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comments2.xml" ContentType="application/vnd.openxmlformats-officedocument.spreadsheetml.comments+xml"/>
  <Override PartName="/xl/tables/table97.xml" ContentType="application/vnd.openxmlformats-officedocument.spreadsheetml.table+xml"/>
  <Override PartName="/xl/comments3.xml" ContentType="application/vnd.openxmlformats-officedocument.spreadsheetml.comments+xml"/>
  <Override PartName="/xl/tables/table98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filterPrivacy="1" hidePivotFieldList="1" defaultThemeVersion="124226"/>
  <xr:revisionPtr revIDLastSave="0" documentId="13_ncr:1_{4BB2418D-64A6-4AEA-8719-BBA77E407277}" xr6:coauthVersionLast="47" xr6:coauthVersionMax="47" xr10:uidLastSave="{00000000-0000-0000-0000-000000000000}"/>
  <bookViews>
    <workbookView xWindow="-120" yWindow="-120" windowWidth="24240" windowHeight="13140" activeTab="4" xr2:uid="{00000000-000D-0000-FFFF-FFFF00000000}"/>
  </bookViews>
  <sheets>
    <sheet name="Счета" sheetId="6" r:id="rId1"/>
    <sheet name="До марта 16" sheetId="2" r:id="rId2"/>
    <sheet name="С марта 16" sheetId="1" r:id="rId3"/>
    <sheet name="Общая" sheetId="5" r:id="rId4"/>
    <sheet name="Помесячно" sheetId="3" r:id="rId5"/>
    <sheet name="Графики" sheetId="4" r:id="rId6"/>
  </sheets>
  <calcPr calcId="191029"/>
  <pivotCaches>
    <pivotCache cacheId="0" r:id="rId7"/>
    <pivotCache cacheId="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7" i="5" l="1"/>
  <c r="K2529" i="6"/>
  <c r="J2529" i="6"/>
  <c r="M2528" i="6"/>
  <c r="O2528" i="6" s="1"/>
  <c r="L2528" i="6"/>
  <c r="H2528" i="6"/>
  <c r="M2527" i="6"/>
  <c r="I2527" i="6"/>
  <c r="I2529" i="6" s="1"/>
  <c r="H2527" i="6"/>
  <c r="M2526" i="6"/>
  <c r="O2526" i="6" s="1"/>
  <c r="L2526" i="6"/>
  <c r="H2526" i="6"/>
  <c r="M2525" i="6"/>
  <c r="O2525" i="6" s="1"/>
  <c r="L2525" i="6"/>
  <c r="H2525" i="6"/>
  <c r="M2524" i="6"/>
  <c r="O2524" i="6" s="1"/>
  <c r="H2524" i="6"/>
  <c r="M2523" i="6"/>
  <c r="O2523" i="6" s="1"/>
  <c r="H2523" i="6"/>
  <c r="O2522" i="6"/>
  <c r="H2522" i="6"/>
  <c r="M2522" i="6" s="1"/>
  <c r="L2521" i="6"/>
  <c r="H2521" i="6"/>
  <c r="M2521" i="6" s="1"/>
  <c r="O2521" i="6" s="1"/>
  <c r="L2520" i="6"/>
  <c r="H2520" i="6"/>
  <c r="M2520" i="6" s="1"/>
  <c r="O2520" i="6" s="1"/>
  <c r="O2519" i="6"/>
  <c r="M2519" i="6"/>
  <c r="H2519" i="6"/>
  <c r="M2518" i="6"/>
  <c r="O2518" i="6" s="1"/>
  <c r="L2518" i="6"/>
  <c r="H2518" i="6"/>
  <c r="M2517" i="6"/>
  <c r="O2517" i="6" s="1"/>
  <c r="L2517" i="6"/>
  <c r="H2517" i="6"/>
  <c r="M2516" i="6"/>
  <c r="O2516" i="6" s="1"/>
  <c r="H2516" i="6"/>
  <c r="M2515" i="6"/>
  <c r="O2515" i="6" s="1"/>
  <c r="H2515" i="6"/>
  <c r="O2514" i="6"/>
  <c r="M2514" i="6"/>
  <c r="O2513" i="6"/>
  <c r="H2513" i="6"/>
  <c r="M2513" i="6" s="1"/>
  <c r="L2512" i="6"/>
  <c r="L2529" i="6" s="1"/>
  <c r="H2512" i="6"/>
  <c r="M2511" i="6"/>
  <c r="O2511" i="6" s="1"/>
  <c r="L2511" i="6"/>
  <c r="H2511" i="6"/>
  <c r="L2510" i="6"/>
  <c r="M2510" i="6" s="1"/>
  <c r="O2510" i="6" s="1"/>
  <c r="H2510" i="6"/>
  <c r="M2509" i="6"/>
  <c r="O2509" i="6" s="1"/>
  <c r="H2509" i="6"/>
  <c r="O2508" i="6"/>
  <c r="H2508" i="6"/>
  <c r="M2508" i="6" s="1"/>
  <c r="O2507" i="6"/>
  <c r="M2507" i="6"/>
  <c r="H2507" i="6"/>
  <c r="M2506" i="6"/>
  <c r="H2506" i="6"/>
  <c r="K2504" i="6"/>
  <c r="J2504" i="6"/>
  <c r="I2503" i="6"/>
  <c r="I2504" i="6" s="1"/>
  <c r="H2503" i="6"/>
  <c r="M2503" i="6" s="1"/>
  <c r="N2503" i="6" s="1"/>
  <c r="N2504" i="6" s="1"/>
  <c r="L2502" i="6"/>
  <c r="H2502" i="6"/>
  <c r="M2502" i="6" s="1"/>
  <c r="O2502" i="6" s="1"/>
  <c r="H2501" i="6"/>
  <c r="M2501" i="6" s="1"/>
  <c r="O2501" i="6" s="1"/>
  <c r="L2500" i="6"/>
  <c r="H2500" i="6"/>
  <c r="O2499" i="6"/>
  <c r="H2499" i="6"/>
  <c r="M2499" i="6" s="1"/>
  <c r="O2498" i="6"/>
  <c r="M2498" i="6"/>
  <c r="H2498" i="6"/>
  <c r="M2497" i="6"/>
  <c r="O2497" i="6" s="1"/>
  <c r="H2497" i="6"/>
  <c r="L2496" i="6"/>
  <c r="H2496" i="6"/>
  <c r="M2496" i="6" s="1"/>
  <c r="O2496" i="6" s="1"/>
  <c r="H2495" i="6"/>
  <c r="M2495" i="6" s="1"/>
  <c r="O2495" i="6" s="1"/>
  <c r="H2494" i="6"/>
  <c r="M2494" i="6" s="1"/>
  <c r="O2494" i="6" s="1"/>
  <c r="M2493" i="6"/>
  <c r="O2493" i="6" s="1"/>
  <c r="H2493" i="6"/>
  <c r="L2492" i="6"/>
  <c r="H2492" i="6"/>
  <c r="H2491" i="6"/>
  <c r="M2491" i="6" s="1"/>
  <c r="O2491" i="6" s="1"/>
  <c r="H2490" i="6"/>
  <c r="K2488" i="6"/>
  <c r="J2488" i="6"/>
  <c r="M2487" i="6"/>
  <c r="O2487" i="6" s="1"/>
  <c r="H2487" i="6"/>
  <c r="M2486" i="6"/>
  <c r="O2486" i="6" s="1"/>
  <c r="H2486" i="6"/>
  <c r="O2485" i="6"/>
  <c r="H2485" i="6"/>
  <c r="M2485" i="6" s="1"/>
  <c r="O2484" i="6"/>
  <c r="M2484" i="6"/>
  <c r="L2484" i="6"/>
  <c r="H2484" i="6"/>
  <c r="O2483" i="6"/>
  <c r="M2483" i="6"/>
  <c r="L2483" i="6"/>
  <c r="H2483" i="6"/>
  <c r="O2482" i="6"/>
  <c r="M2482" i="6"/>
  <c r="H2482" i="6"/>
  <c r="H2481" i="6"/>
  <c r="M2480" i="6"/>
  <c r="O2480" i="6" s="1"/>
  <c r="H2480" i="6"/>
  <c r="O2479" i="6"/>
  <c r="H2479" i="6"/>
  <c r="M2479" i="6" s="1"/>
  <c r="H2478" i="6"/>
  <c r="M2478" i="6" s="1"/>
  <c r="O2478" i="6" s="1"/>
  <c r="L2477" i="6"/>
  <c r="L2488" i="6" s="1"/>
  <c r="H2477" i="6"/>
  <c r="O2476" i="6"/>
  <c r="H2476" i="6"/>
  <c r="M2476" i="6" s="1"/>
  <c r="O2475" i="6"/>
  <c r="M2475" i="6"/>
  <c r="H2475" i="6"/>
  <c r="M2474" i="6"/>
  <c r="O2474" i="6" s="1"/>
  <c r="H2474" i="6"/>
  <c r="M2473" i="6"/>
  <c r="O2473" i="6" s="1"/>
  <c r="H2473" i="6"/>
  <c r="L2471" i="6"/>
  <c r="K2471" i="6"/>
  <c r="J2471" i="6"/>
  <c r="M2470" i="6"/>
  <c r="N2470" i="6" s="1"/>
  <c r="H2470" i="6"/>
  <c r="I2470" i="6" s="1"/>
  <c r="O2469" i="6"/>
  <c r="N2469" i="6"/>
  <c r="I2469" i="6"/>
  <c r="H2469" i="6"/>
  <c r="M2469" i="6" s="1"/>
  <c r="O2468" i="6"/>
  <c r="H2468" i="6"/>
  <c r="M2468" i="6" s="1"/>
  <c r="O2467" i="6"/>
  <c r="M2467" i="6"/>
  <c r="H2467" i="6"/>
  <c r="M2466" i="6"/>
  <c r="O2466" i="6" s="1"/>
  <c r="H2466" i="6"/>
  <c r="M2465" i="6"/>
  <c r="O2465" i="6" s="1"/>
  <c r="H2465" i="6"/>
  <c r="O2464" i="6"/>
  <c r="H2464" i="6"/>
  <c r="M2464" i="6" s="1"/>
  <c r="O2463" i="6"/>
  <c r="M2463" i="6"/>
  <c r="H2463" i="6"/>
  <c r="H2462" i="6"/>
  <c r="M2461" i="6"/>
  <c r="O2461" i="6" s="1"/>
  <c r="H2461" i="6"/>
  <c r="O2460" i="6"/>
  <c r="L2460" i="6"/>
  <c r="M2460" i="6" s="1"/>
  <c r="H2460" i="6"/>
  <c r="H2459" i="6"/>
  <c r="M2459" i="6" s="1"/>
  <c r="O2459" i="6" s="1"/>
  <c r="H2458" i="6"/>
  <c r="M2458" i="6" s="1"/>
  <c r="O2458" i="6" s="1"/>
  <c r="H2457" i="6"/>
  <c r="M2457" i="6" s="1"/>
  <c r="K2455" i="6"/>
  <c r="J2455" i="6"/>
  <c r="E2455" i="6"/>
  <c r="L2454" i="6"/>
  <c r="M2454" i="6" s="1"/>
  <c r="O2454" i="6" s="1"/>
  <c r="H2454" i="6"/>
  <c r="O2453" i="6"/>
  <c r="H2453" i="6"/>
  <c r="M2453" i="6" s="1"/>
  <c r="M2452" i="6"/>
  <c r="O2452" i="6" s="1"/>
  <c r="H2452" i="6"/>
  <c r="H2451" i="6"/>
  <c r="M2451" i="6" s="1"/>
  <c r="O2451" i="6" s="1"/>
  <c r="M2450" i="6"/>
  <c r="O2450" i="6" s="1"/>
  <c r="H2450" i="6"/>
  <c r="L2450" i="6" s="1"/>
  <c r="O2449" i="6"/>
  <c r="M2449" i="6"/>
  <c r="L2449" i="6"/>
  <c r="H2449" i="6"/>
  <c r="O2448" i="6"/>
  <c r="M2448" i="6"/>
  <c r="H2448" i="6"/>
  <c r="H2447" i="6"/>
  <c r="M2447" i="6" s="1"/>
  <c r="O2447" i="6" s="1"/>
  <c r="M2446" i="6"/>
  <c r="O2446" i="6" s="1"/>
  <c r="H2446" i="6"/>
  <c r="H2445" i="6"/>
  <c r="M2445" i="6" s="1"/>
  <c r="O2445" i="6" s="1"/>
  <c r="O2444" i="6"/>
  <c r="M2444" i="6"/>
  <c r="H2444" i="6"/>
  <c r="O2443" i="6"/>
  <c r="M2443" i="6"/>
  <c r="H2443" i="6"/>
  <c r="L2442" i="6"/>
  <c r="L2455" i="6" s="1"/>
  <c r="H2442" i="6"/>
  <c r="M2441" i="6"/>
  <c r="I2441" i="6"/>
  <c r="H2441" i="6"/>
  <c r="H2440" i="6"/>
  <c r="M2440" i="6" s="1"/>
  <c r="O2440" i="6" s="1"/>
  <c r="M2439" i="6"/>
  <c r="O2439" i="6" s="1"/>
  <c r="H2439" i="6"/>
  <c r="H2438" i="6"/>
  <c r="M2438" i="6" s="1"/>
  <c r="O2438" i="6" s="1"/>
  <c r="L2437" i="6"/>
  <c r="H2437" i="6"/>
  <c r="M2437" i="6" s="1"/>
  <c r="O2437" i="6" s="1"/>
  <c r="L2436" i="6"/>
  <c r="H2436" i="6"/>
  <c r="M2436" i="6" s="1"/>
  <c r="O2436" i="6" s="1"/>
  <c r="O2435" i="6"/>
  <c r="I2435" i="6"/>
  <c r="I2455" i="6" s="1"/>
  <c r="H2435" i="6"/>
  <c r="M2435" i="6" s="1"/>
  <c r="N2435" i="6" s="1"/>
  <c r="O2434" i="6"/>
  <c r="H2434" i="6"/>
  <c r="M2434" i="6" s="1"/>
  <c r="O2433" i="6"/>
  <c r="M2433" i="6"/>
  <c r="L2433" i="6"/>
  <c r="H2433" i="6"/>
  <c r="O2432" i="6"/>
  <c r="M2432" i="6"/>
  <c r="M2431" i="6"/>
  <c r="O2431" i="6" s="1"/>
  <c r="H2431" i="6"/>
  <c r="O2430" i="6"/>
  <c r="H2430" i="6"/>
  <c r="M2430" i="6" s="1"/>
  <c r="O2429" i="6"/>
  <c r="L2429" i="6"/>
  <c r="H2429" i="6"/>
  <c r="M2429" i="6" s="1"/>
  <c r="L2428" i="6"/>
  <c r="H2428" i="6"/>
  <c r="M2428" i="6" s="1"/>
  <c r="O2428" i="6" s="1"/>
  <c r="L2427" i="6"/>
  <c r="H2427" i="6"/>
  <c r="O2426" i="6"/>
  <c r="M2426" i="6"/>
  <c r="H2426" i="6"/>
  <c r="K2424" i="6"/>
  <c r="L2423" i="6"/>
  <c r="H2423" i="6"/>
  <c r="H2422" i="6"/>
  <c r="M2422" i="6" s="1"/>
  <c r="O2422" i="6" s="1"/>
  <c r="I2421" i="6"/>
  <c r="I2424" i="6" s="1"/>
  <c r="H2421" i="6"/>
  <c r="M2421" i="6" s="1"/>
  <c r="N2421" i="6" s="1"/>
  <c r="N2424" i="6" s="1"/>
  <c r="L2420" i="6"/>
  <c r="H2420" i="6"/>
  <c r="M2420" i="6" s="1"/>
  <c r="O2420" i="6" s="1"/>
  <c r="L2419" i="6"/>
  <c r="H2419" i="6"/>
  <c r="O2418" i="6"/>
  <c r="H2418" i="6"/>
  <c r="M2418" i="6" s="1"/>
  <c r="L2417" i="6"/>
  <c r="H2417" i="6"/>
  <c r="M2417" i="6" s="1"/>
  <c r="O2417" i="6" s="1"/>
  <c r="O2416" i="6"/>
  <c r="M2416" i="6"/>
  <c r="H2416" i="6"/>
  <c r="O2415" i="6"/>
  <c r="M2415" i="6"/>
  <c r="J2415" i="6"/>
  <c r="H2415" i="6"/>
  <c r="L2414" i="6"/>
  <c r="J2414" i="6"/>
  <c r="H2414" i="6"/>
  <c r="M2414" i="6" s="1"/>
  <c r="O2414" i="6" s="1"/>
  <c r="L2413" i="6"/>
  <c r="J2413" i="6"/>
  <c r="J2424" i="6" s="1"/>
  <c r="H2413" i="6"/>
  <c r="M2413" i="6" s="1"/>
  <c r="O2413" i="6" s="1"/>
  <c r="H2412" i="6"/>
  <c r="M2412" i="6" s="1"/>
  <c r="O2412" i="6" s="1"/>
  <c r="O2411" i="6"/>
  <c r="M2411" i="6"/>
  <c r="H2411" i="6"/>
  <c r="L2411" i="6" s="1"/>
  <c r="M2410" i="6"/>
  <c r="H2410" i="6"/>
  <c r="N2408" i="6"/>
  <c r="K2408" i="6"/>
  <c r="J2408" i="6"/>
  <c r="I2408" i="6"/>
  <c r="L2407" i="6"/>
  <c r="M2407" i="6" s="1"/>
  <c r="O2407" i="6" s="1"/>
  <c r="O2406" i="6"/>
  <c r="M2406" i="6"/>
  <c r="H2406" i="6"/>
  <c r="M2405" i="6"/>
  <c r="O2405" i="6" s="1"/>
  <c r="H2405" i="6"/>
  <c r="H2404" i="6"/>
  <c r="M2404" i="6" s="1"/>
  <c r="O2404" i="6" s="1"/>
  <c r="L2403" i="6"/>
  <c r="M2403" i="6" s="1"/>
  <c r="O2403" i="6" s="1"/>
  <c r="M2402" i="6"/>
  <c r="O2402" i="6" s="1"/>
  <c r="L2402" i="6"/>
  <c r="L2401" i="6"/>
  <c r="H2401" i="6"/>
  <c r="O2400" i="6"/>
  <c r="H2400" i="6"/>
  <c r="M2400" i="6" s="1"/>
  <c r="M2399" i="6"/>
  <c r="O2399" i="6" s="1"/>
  <c r="H2399" i="6"/>
  <c r="H2398" i="6"/>
  <c r="M2398" i="6" s="1"/>
  <c r="O2398" i="6" s="1"/>
  <c r="M2397" i="6"/>
  <c r="O2397" i="6" s="1"/>
  <c r="K2397" i="6"/>
  <c r="O2396" i="6"/>
  <c r="M2396" i="6"/>
  <c r="O2395" i="6"/>
  <c r="H2395" i="6"/>
  <c r="M2395" i="6" s="1"/>
  <c r="O2394" i="6"/>
  <c r="M2394" i="6"/>
  <c r="M2393" i="6"/>
  <c r="H2393" i="6"/>
  <c r="O2392" i="6"/>
  <c r="H2392" i="6"/>
  <c r="M2392" i="6" s="1"/>
  <c r="O2391" i="6"/>
  <c r="M2391" i="6"/>
  <c r="H2391" i="6"/>
  <c r="H2408" i="6" s="1"/>
  <c r="G2408" i="6" s="1"/>
  <c r="J2389" i="6"/>
  <c r="M2388" i="6"/>
  <c r="N2388" i="6" s="1"/>
  <c r="L2388" i="6"/>
  <c r="I2388" i="6"/>
  <c r="M2387" i="6"/>
  <c r="O2387" i="6" s="1"/>
  <c r="L2387" i="6"/>
  <c r="I2387" i="6"/>
  <c r="M2386" i="6"/>
  <c r="O2386" i="6" s="1"/>
  <c r="H2386" i="6"/>
  <c r="M2385" i="6"/>
  <c r="O2385" i="6" s="1"/>
  <c r="H2385" i="6"/>
  <c r="O2384" i="6"/>
  <c r="M2384" i="6"/>
  <c r="K2383" i="6"/>
  <c r="J2383" i="6"/>
  <c r="H2383" i="6"/>
  <c r="M2383" i="6" s="1"/>
  <c r="O2383" i="6" s="1"/>
  <c r="M2382" i="6"/>
  <c r="O2382" i="6" s="1"/>
  <c r="H2382" i="6"/>
  <c r="K2381" i="6"/>
  <c r="K2389" i="6" s="1"/>
  <c r="H2380" i="6"/>
  <c r="M2380" i="6" s="1"/>
  <c r="O2380" i="6" s="1"/>
  <c r="O2379" i="6"/>
  <c r="H2379" i="6"/>
  <c r="M2379" i="6" s="1"/>
  <c r="L2378" i="6"/>
  <c r="M2378" i="6" s="1"/>
  <c r="I2378" i="6"/>
  <c r="M2377" i="6"/>
  <c r="L2377" i="6"/>
  <c r="I2377" i="6"/>
  <c r="I2389" i="6" s="1"/>
  <c r="M2376" i="6"/>
  <c r="O2376" i="6" s="1"/>
  <c r="H2375" i="6"/>
  <c r="M2375" i="6" s="1"/>
  <c r="O2375" i="6" s="1"/>
  <c r="L2374" i="6"/>
  <c r="H2374" i="6"/>
  <c r="O2373" i="6"/>
  <c r="H2373" i="6"/>
  <c r="M2373" i="6" s="1"/>
  <c r="O2372" i="6"/>
  <c r="M2372" i="6"/>
  <c r="L2372" i="6"/>
  <c r="H2372" i="6"/>
  <c r="O2371" i="6"/>
  <c r="M2371" i="6"/>
  <c r="H2371" i="6"/>
  <c r="M2370" i="6"/>
  <c r="O2370" i="6" s="1"/>
  <c r="L2370" i="6"/>
  <c r="H2370" i="6"/>
  <c r="M2369" i="6"/>
  <c r="O2369" i="6" s="1"/>
  <c r="H2369" i="6"/>
  <c r="M2368" i="6"/>
  <c r="O2368" i="6" s="1"/>
  <c r="H2368" i="6"/>
  <c r="H2367" i="6"/>
  <c r="L2365" i="6"/>
  <c r="K2365" i="6"/>
  <c r="J2365" i="6"/>
  <c r="M2364" i="6"/>
  <c r="O2364" i="6" s="1"/>
  <c r="H2364" i="6"/>
  <c r="O2363" i="6"/>
  <c r="H2363" i="6"/>
  <c r="M2363" i="6" s="1"/>
  <c r="O2362" i="6"/>
  <c r="M2362" i="6"/>
  <c r="H2362" i="6"/>
  <c r="M2361" i="6"/>
  <c r="O2361" i="6" s="1"/>
  <c r="H2361" i="6"/>
  <c r="M2360" i="6"/>
  <c r="O2360" i="6" s="1"/>
  <c r="H2360" i="6"/>
  <c r="O2359" i="6"/>
  <c r="H2359" i="6"/>
  <c r="M2359" i="6" s="1"/>
  <c r="O2358" i="6"/>
  <c r="M2358" i="6"/>
  <c r="H2358" i="6"/>
  <c r="M2357" i="6"/>
  <c r="O2357" i="6" s="1"/>
  <c r="L2357" i="6"/>
  <c r="J2357" i="6"/>
  <c r="H2357" i="6"/>
  <c r="H2365" i="6" s="1"/>
  <c r="G2365" i="6" s="1"/>
  <c r="O2356" i="6"/>
  <c r="N2356" i="6"/>
  <c r="N2365" i="6" s="1"/>
  <c r="M2356" i="6"/>
  <c r="M2365" i="6" s="1"/>
  <c r="I2356" i="6"/>
  <c r="I2365" i="6" s="1"/>
  <c r="L2354" i="6"/>
  <c r="K2354" i="6"/>
  <c r="J2354" i="6"/>
  <c r="M2353" i="6"/>
  <c r="O2353" i="6" s="1"/>
  <c r="H2353" i="6"/>
  <c r="O2352" i="6"/>
  <c r="H2352" i="6"/>
  <c r="M2352" i="6" s="1"/>
  <c r="O2351" i="6"/>
  <c r="M2351" i="6"/>
  <c r="H2351" i="6"/>
  <c r="M2350" i="6"/>
  <c r="O2350" i="6" s="1"/>
  <c r="H2350" i="6"/>
  <c r="M2349" i="6"/>
  <c r="O2349" i="6" s="1"/>
  <c r="H2349" i="6"/>
  <c r="O2348" i="6"/>
  <c r="H2348" i="6"/>
  <c r="M2348" i="6" s="1"/>
  <c r="O2347" i="6"/>
  <c r="M2347" i="6"/>
  <c r="H2347" i="6"/>
  <c r="M2346" i="6"/>
  <c r="O2346" i="6" s="1"/>
  <c r="H2346" i="6"/>
  <c r="N2345" i="6"/>
  <c r="M2345" i="6"/>
  <c r="O2345" i="6" s="1"/>
  <c r="I2345" i="6"/>
  <c r="M2344" i="6"/>
  <c r="O2344" i="6" s="1"/>
  <c r="O2343" i="6"/>
  <c r="M2343" i="6"/>
  <c r="H2343" i="6"/>
  <c r="M2342" i="6"/>
  <c r="O2342" i="6" s="1"/>
  <c r="H2342" i="6"/>
  <c r="M2341" i="6"/>
  <c r="O2341" i="6" s="1"/>
  <c r="H2341" i="6"/>
  <c r="O2340" i="6"/>
  <c r="H2340" i="6"/>
  <c r="M2340" i="6" s="1"/>
  <c r="O2339" i="6"/>
  <c r="M2339" i="6"/>
  <c r="H2339" i="6"/>
  <c r="H2338" i="6"/>
  <c r="H2337" i="6"/>
  <c r="O2336" i="6"/>
  <c r="M2336" i="6"/>
  <c r="M2335" i="6"/>
  <c r="O2335" i="6" s="1"/>
  <c r="H2335" i="6"/>
  <c r="M2334" i="6"/>
  <c r="O2334" i="6" s="1"/>
  <c r="H2334" i="6"/>
  <c r="O2333" i="6"/>
  <c r="H2333" i="6"/>
  <c r="M2333" i="6" s="1"/>
  <c r="O2332" i="6"/>
  <c r="M2332" i="6"/>
  <c r="H2332" i="6"/>
  <c r="M2331" i="6"/>
  <c r="O2331" i="6" s="1"/>
  <c r="L2331" i="6"/>
  <c r="H2331" i="6"/>
  <c r="M2330" i="6"/>
  <c r="O2330" i="6" s="1"/>
  <c r="L2330" i="6"/>
  <c r="H2330" i="6"/>
  <c r="M2329" i="6"/>
  <c r="O2329" i="6" s="1"/>
  <c r="H2329" i="6"/>
  <c r="M2328" i="6"/>
  <c r="O2328" i="6" s="1"/>
  <c r="H2328" i="6"/>
  <c r="O2327" i="6"/>
  <c r="M2327" i="6"/>
  <c r="K2325" i="6"/>
  <c r="J2325" i="6"/>
  <c r="O2324" i="6"/>
  <c r="L2324" i="6"/>
  <c r="H2324" i="6"/>
  <c r="M2324" i="6" s="1"/>
  <c r="H2323" i="6"/>
  <c r="M2323" i="6" s="1"/>
  <c r="O2323" i="6" s="1"/>
  <c r="M2322" i="6"/>
  <c r="O2322" i="6" s="1"/>
  <c r="H2322" i="6"/>
  <c r="H2321" i="6"/>
  <c r="M2321" i="6" s="1"/>
  <c r="O2321" i="6" s="1"/>
  <c r="H2320" i="6"/>
  <c r="M2320" i="6" s="1"/>
  <c r="O2320" i="6" s="1"/>
  <c r="L2319" i="6"/>
  <c r="L2325" i="6" s="1"/>
  <c r="H2319" i="6"/>
  <c r="O2318" i="6"/>
  <c r="J2318" i="6"/>
  <c r="H2318" i="6"/>
  <c r="M2318" i="6" s="1"/>
  <c r="H2317" i="6"/>
  <c r="M2317" i="6" s="1"/>
  <c r="O2317" i="6" s="1"/>
  <c r="H2316" i="6"/>
  <c r="H2315" i="6"/>
  <c r="M2315" i="6" s="1"/>
  <c r="O2315" i="6" s="1"/>
  <c r="M2314" i="6"/>
  <c r="O2314" i="6" s="1"/>
  <c r="H2314" i="6"/>
  <c r="O2313" i="6"/>
  <c r="M2313" i="6"/>
  <c r="O2312" i="6"/>
  <c r="H2312" i="6"/>
  <c r="M2312" i="6" s="1"/>
  <c r="O2311" i="6"/>
  <c r="M2311" i="6"/>
  <c r="H2311" i="6"/>
  <c r="N2309" i="6"/>
  <c r="K2309" i="6"/>
  <c r="I2309" i="6"/>
  <c r="L2308" i="6"/>
  <c r="H2308" i="6"/>
  <c r="J2307" i="6"/>
  <c r="J2309" i="6" s="1"/>
  <c r="H2307" i="6"/>
  <c r="M2307" i="6" s="1"/>
  <c r="O2307" i="6" s="1"/>
  <c r="H2306" i="6"/>
  <c r="M2306" i="6" s="1"/>
  <c r="O2306" i="6" s="1"/>
  <c r="L2305" i="6"/>
  <c r="H2305" i="6"/>
  <c r="M2305" i="6" s="1"/>
  <c r="O2305" i="6" s="1"/>
  <c r="M2304" i="6"/>
  <c r="O2304" i="6" s="1"/>
  <c r="H2304" i="6"/>
  <c r="H2303" i="6"/>
  <c r="M2303" i="6" s="1"/>
  <c r="O2303" i="6" s="1"/>
  <c r="H2302" i="6"/>
  <c r="M2302" i="6" s="1"/>
  <c r="O2302" i="6" s="1"/>
  <c r="L2301" i="6"/>
  <c r="H2301" i="6"/>
  <c r="O2300" i="6"/>
  <c r="H2300" i="6"/>
  <c r="M2300" i="6" s="1"/>
  <c r="O2299" i="6"/>
  <c r="M2299" i="6"/>
  <c r="H2299" i="6"/>
  <c r="M2298" i="6"/>
  <c r="O2298" i="6" s="1"/>
  <c r="H2298" i="6"/>
  <c r="M2297" i="6"/>
  <c r="H2297" i="6"/>
  <c r="N2295" i="6"/>
  <c r="L2295" i="6"/>
  <c r="K2295" i="6"/>
  <c r="J2295" i="6"/>
  <c r="I2295" i="6"/>
  <c r="M2294" i="6"/>
  <c r="O2294" i="6" s="1"/>
  <c r="H2294" i="6"/>
  <c r="M2293" i="6"/>
  <c r="O2293" i="6" s="1"/>
  <c r="H2293" i="6"/>
  <c r="O2292" i="6"/>
  <c r="H2292" i="6"/>
  <c r="M2292" i="6" s="1"/>
  <c r="O2291" i="6"/>
  <c r="M2291" i="6"/>
  <c r="H2291" i="6"/>
  <c r="M2290" i="6"/>
  <c r="O2290" i="6" s="1"/>
  <c r="H2290" i="6"/>
  <c r="M2289" i="6"/>
  <c r="O2289" i="6" s="1"/>
  <c r="H2289" i="6"/>
  <c r="O2288" i="6"/>
  <c r="H2288" i="6"/>
  <c r="M2288" i="6" s="1"/>
  <c r="O2287" i="6"/>
  <c r="M2287" i="6"/>
  <c r="H2287" i="6"/>
  <c r="M2286" i="6"/>
  <c r="O2286" i="6" s="1"/>
  <c r="H2286" i="6"/>
  <c r="M2285" i="6"/>
  <c r="O2285" i="6" s="1"/>
  <c r="H2285" i="6"/>
  <c r="O2284" i="6"/>
  <c r="H2284" i="6"/>
  <c r="M2284" i="6" s="1"/>
  <c r="O2283" i="6"/>
  <c r="M2283" i="6"/>
  <c r="H2283" i="6"/>
  <c r="M2282" i="6"/>
  <c r="O2282" i="6" s="1"/>
  <c r="H2282" i="6"/>
  <c r="M2281" i="6"/>
  <c r="O2281" i="6" s="1"/>
  <c r="H2281" i="6"/>
  <c r="O2280" i="6"/>
  <c r="L2280" i="6"/>
  <c r="H2280" i="6"/>
  <c r="M2280" i="6" s="1"/>
  <c r="H2279" i="6"/>
  <c r="M2279" i="6" s="1"/>
  <c r="O2279" i="6" s="1"/>
  <c r="M2278" i="6"/>
  <c r="O2278" i="6" s="1"/>
  <c r="H2278" i="6"/>
  <c r="O2277" i="6"/>
  <c r="H2277" i="6"/>
  <c r="M2277" i="6" s="1"/>
  <c r="H2276" i="6"/>
  <c r="M2276" i="6" s="1"/>
  <c r="O2276" i="6" s="1"/>
  <c r="H2275" i="6"/>
  <c r="M2275" i="6" s="1"/>
  <c r="O2275" i="6" s="1"/>
  <c r="M2274" i="6"/>
  <c r="O2274" i="6" s="1"/>
  <c r="H2274" i="6"/>
  <c r="O2273" i="6"/>
  <c r="H2273" i="6"/>
  <c r="M2273" i="6" s="1"/>
  <c r="H2272" i="6"/>
  <c r="K2270" i="6"/>
  <c r="J2270" i="6"/>
  <c r="I2270" i="6"/>
  <c r="M2269" i="6"/>
  <c r="O2269" i="6" s="1"/>
  <c r="H2269" i="6"/>
  <c r="M2268" i="6"/>
  <c r="O2268" i="6" s="1"/>
  <c r="H2268" i="6"/>
  <c r="O2267" i="6"/>
  <c r="H2267" i="6"/>
  <c r="M2267" i="6" s="1"/>
  <c r="O2266" i="6"/>
  <c r="M2266" i="6"/>
  <c r="L2266" i="6"/>
  <c r="H2266" i="6"/>
  <c r="O2265" i="6"/>
  <c r="M2265" i="6"/>
  <c r="H2265" i="6"/>
  <c r="M2264" i="6"/>
  <c r="O2264" i="6" s="1"/>
  <c r="H2264" i="6"/>
  <c r="M2263" i="6"/>
  <c r="O2263" i="6" s="1"/>
  <c r="H2263" i="6"/>
  <c r="O2262" i="6"/>
  <c r="H2262" i="6"/>
  <c r="M2262" i="6" s="1"/>
  <c r="O2261" i="6"/>
  <c r="M2261" i="6"/>
  <c r="H2261" i="6"/>
  <c r="M2260" i="6"/>
  <c r="O2260" i="6" s="1"/>
  <c r="H2260" i="6"/>
  <c r="N2259" i="6"/>
  <c r="L2259" i="6"/>
  <c r="M2259" i="6" s="1"/>
  <c r="O2259" i="6" s="1"/>
  <c r="H2259" i="6"/>
  <c r="I2259" i="6" s="1"/>
  <c r="O2258" i="6"/>
  <c r="M2258" i="6"/>
  <c r="H2258" i="6"/>
  <c r="M2257" i="6"/>
  <c r="O2257" i="6" s="1"/>
  <c r="H2257" i="6"/>
  <c r="M2256" i="6"/>
  <c r="O2256" i="6" s="1"/>
  <c r="H2256" i="6"/>
  <c r="O2255" i="6"/>
  <c r="H2255" i="6"/>
  <c r="M2255" i="6" s="1"/>
  <c r="O2254" i="6"/>
  <c r="M2254" i="6"/>
  <c r="H2254" i="6"/>
  <c r="M2253" i="6"/>
  <c r="O2253" i="6" s="1"/>
  <c r="L2253" i="6"/>
  <c r="L2270" i="6" s="1"/>
  <c r="H2253" i="6"/>
  <c r="M2252" i="6"/>
  <c r="O2252" i="6" s="1"/>
  <c r="H2252" i="6"/>
  <c r="M2251" i="6"/>
  <c r="O2251" i="6" s="1"/>
  <c r="H2251" i="6"/>
  <c r="I2250" i="6"/>
  <c r="H2250" i="6"/>
  <c r="M2250" i="6" s="1"/>
  <c r="M2249" i="6"/>
  <c r="O2249" i="6" s="1"/>
  <c r="H2249" i="6"/>
  <c r="O2248" i="6"/>
  <c r="H2248" i="6"/>
  <c r="M2248" i="6" s="1"/>
  <c r="O2247" i="6"/>
  <c r="M2247" i="6"/>
  <c r="H2247" i="6"/>
  <c r="M2246" i="6"/>
  <c r="H2246" i="6"/>
  <c r="H2270" i="6" s="1"/>
  <c r="G2270" i="6" s="1"/>
  <c r="N2244" i="6"/>
  <c r="L2244" i="6"/>
  <c r="K2244" i="6"/>
  <c r="J2244" i="6"/>
  <c r="I2244" i="6"/>
  <c r="H2244" i="6"/>
  <c r="G2244" i="6" s="1"/>
  <c r="O2243" i="6"/>
  <c r="M2243" i="6"/>
  <c r="H2243" i="6"/>
  <c r="M2242" i="6"/>
  <c r="O2242" i="6" s="1"/>
  <c r="L2242" i="6"/>
  <c r="H2242" i="6"/>
  <c r="M2241" i="6"/>
  <c r="O2241" i="6" s="1"/>
  <c r="H2241" i="6"/>
  <c r="M2240" i="6"/>
  <c r="O2240" i="6" s="1"/>
  <c r="H2240" i="6"/>
  <c r="O2239" i="6"/>
  <c r="H2239" i="6"/>
  <c r="M2239" i="6" s="1"/>
  <c r="O2238" i="6"/>
  <c r="M2238" i="6"/>
  <c r="H2238" i="6"/>
  <c r="M2237" i="6"/>
  <c r="O2237" i="6" s="1"/>
  <c r="H2237" i="6"/>
  <c r="M2236" i="6"/>
  <c r="O2236" i="6" s="1"/>
  <c r="H2236" i="6"/>
  <c r="O2235" i="6"/>
  <c r="H2235" i="6"/>
  <c r="M2235" i="6" s="1"/>
  <c r="O2234" i="6"/>
  <c r="M2234" i="6"/>
  <c r="H2234" i="6"/>
  <c r="M2233" i="6"/>
  <c r="O2233" i="6" s="1"/>
  <c r="H2233" i="6"/>
  <c r="M2232" i="6"/>
  <c r="O2232" i="6" s="1"/>
  <c r="H2232" i="6"/>
  <c r="O2231" i="6"/>
  <c r="H2231" i="6"/>
  <c r="M2231" i="6" s="1"/>
  <c r="O2230" i="6"/>
  <c r="M2230" i="6"/>
  <c r="H2230" i="6"/>
  <c r="M2229" i="6"/>
  <c r="O2229" i="6" s="1"/>
  <c r="H2229" i="6"/>
  <c r="M2228" i="6"/>
  <c r="O2228" i="6" s="1"/>
  <c r="H2228" i="6"/>
  <c r="O2227" i="6"/>
  <c r="H2227" i="6"/>
  <c r="M2227" i="6" s="1"/>
  <c r="O2226" i="6"/>
  <c r="M2226" i="6"/>
  <c r="M2225" i="6"/>
  <c r="O2225" i="6" s="1"/>
  <c r="H2225" i="6"/>
  <c r="O2224" i="6"/>
  <c r="H2224" i="6"/>
  <c r="M2224" i="6" s="1"/>
  <c r="M2244" i="6" s="1"/>
  <c r="L2222" i="6"/>
  <c r="K2222" i="6"/>
  <c r="J2222" i="6"/>
  <c r="M2221" i="6"/>
  <c r="O2221" i="6" s="1"/>
  <c r="H2221" i="6"/>
  <c r="O2220" i="6"/>
  <c r="L2220" i="6"/>
  <c r="M2220" i="6" s="1"/>
  <c r="O2219" i="6"/>
  <c r="M2219" i="6"/>
  <c r="H2219" i="6"/>
  <c r="M2218" i="6"/>
  <c r="O2218" i="6" s="1"/>
  <c r="H2218" i="6"/>
  <c r="M2217" i="6"/>
  <c r="O2217" i="6" s="1"/>
  <c r="L2217" i="6"/>
  <c r="O2216" i="6"/>
  <c r="H2216" i="6"/>
  <c r="M2216" i="6" s="1"/>
  <c r="O2215" i="6"/>
  <c r="M2215" i="6"/>
  <c r="H2215" i="6"/>
  <c r="M2214" i="6"/>
  <c r="O2214" i="6" s="1"/>
  <c r="H2214" i="6"/>
  <c r="M2213" i="6"/>
  <c r="O2213" i="6" s="1"/>
  <c r="H2213" i="6"/>
  <c r="O2212" i="6"/>
  <c r="H2212" i="6"/>
  <c r="M2212" i="6" s="1"/>
  <c r="O2211" i="6"/>
  <c r="M2211" i="6"/>
  <c r="H2211" i="6"/>
  <c r="M2210" i="6"/>
  <c r="O2210" i="6" s="1"/>
  <c r="H2210" i="6"/>
  <c r="M2209" i="6"/>
  <c r="O2209" i="6" s="1"/>
  <c r="H2209" i="6"/>
  <c r="O2208" i="6"/>
  <c r="H2208" i="6"/>
  <c r="M2208" i="6" s="1"/>
  <c r="O2207" i="6"/>
  <c r="N2207" i="6"/>
  <c r="I2207" i="6"/>
  <c r="H2207" i="6"/>
  <c r="M2207" i="6" s="1"/>
  <c r="O2206" i="6"/>
  <c r="H2206" i="6"/>
  <c r="M2206" i="6" s="1"/>
  <c r="O2205" i="6"/>
  <c r="M2205" i="6"/>
  <c r="H2205" i="6"/>
  <c r="M2204" i="6"/>
  <c r="O2204" i="6" s="1"/>
  <c r="H2204" i="6"/>
  <c r="M2203" i="6"/>
  <c r="O2203" i="6" s="1"/>
  <c r="H2203" i="6"/>
  <c r="O2202" i="6"/>
  <c r="H2202" i="6"/>
  <c r="M2202" i="6" s="1"/>
  <c r="O2201" i="6"/>
  <c r="M2201" i="6"/>
  <c r="H2201" i="6"/>
  <c r="M2200" i="6"/>
  <c r="O2200" i="6" s="1"/>
  <c r="H2200" i="6"/>
  <c r="M2199" i="6"/>
  <c r="O2199" i="6" s="1"/>
  <c r="H2199" i="6"/>
  <c r="O2198" i="6"/>
  <c r="H2198" i="6"/>
  <c r="M2198" i="6" s="1"/>
  <c r="O2197" i="6"/>
  <c r="M2197" i="6"/>
  <c r="H2197" i="6"/>
  <c r="H2196" i="6"/>
  <c r="M2195" i="6"/>
  <c r="O2195" i="6" s="1"/>
  <c r="H2195" i="6"/>
  <c r="H2194" i="6"/>
  <c r="L2192" i="6"/>
  <c r="K2192" i="6"/>
  <c r="J2192" i="6"/>
  <c r="M2191" i="6"/>
  <c r="O2191" i="6" s="1"/>
  <c r="H2191" i="6"/>
  <c r="O2190" i="6"/>
  <c r="M2190" i="6"/>
  <c r="N2190" i="6" s="1"/>
  <c r="H2190" i="6"/>
  <c r="I2190" i="6" s="1"/>
  <c r="O2189" i="6"/>
  <c r="M2189" i="6"/>
  <c r="H2189" i="6"/>
  <c r="M2188" i="6"/>
  <c r="O2188" i="6" s="1"/>
  <c r="H2188" i="6"/>
  <c r="N2187" i="6"/>
  <c r="M2187" i="6"/>
  <c r="O2187" i="6" s="1"/>
  <c r="I2187" i="6"/>
  <c r="I2192" i="6" s="1"/>
  <c r="H2187" i="6"/>
  <c r="O2186" i="6"/>
  <c r="H2186" i="6"/>
  <c r="M2186" i="6" s="1"/>
  <c r="M2185" i="6"/>
  <c r="O2185" i="6" s="1"/>
  <c r="H2185" i="6"/>
  <c r="O2184" i="6"/>
  <c r="H2184" i="6"/>
  <c r="M2184" i="6" s="1"/>
  <c r="M2183" i="6"/>
  <c r="O2183" i="6" s="1"/>
  <c r="M2182" i="6"/>
  <c r="O2182" i="6" s="1"/>
  <c r="H2182" i="6"/>
  <c r="H2181" i="6"/>
  <c r="M2181" i="6" s="1"/>
  <c r="O2181" i="6" s="1"/>
  <c r="M2180" i="6"/>
  <c r="O2180" i="6" s="1"/>
  <c r="H2180" i="6"/>
  <c r="H2179" i="6"/>
  <c r="M2179" i="6" s="1"/>
  <c r="O2179" i="6" s="1"/>
  <c r="M2178" i="6"/>
  <c r="O2178" i="6" s="1"/>
  <c r="I2178" i="6"/>
  <c r="H2178" i="6"/>
  <c r="M2177" i="6"/>
  <c r="O2177" i="6" s="1"/>
  <c r="H2177" i="6"/>
  <c r="M2176" i="6"/>
  <c r="O2176" i="6" s="1"/>
  <c r="H2176" i="6"/>
  <c r="O2175" i="6"/>
  <c r="M2175" i="6"/>
  <c r="O2174" i="6"/>
  <c r="H2174" i="6"/>
  <c r="M2174" i="6" s="1"/>
  <c r="H2173" i="6"/>
  <c r="M2173" i="6" s="1"/>
  <c r="O2173" i="6" s="1"/>
  <c r="H2172" i="6"/>
  <c r="M2172" i="6" s="1"/>
  <c r="O2172" i="6" s="1"/>
  <c r="M2171" i="6"/>
  <c r="O2171" i="6" s="1"/>
  <c r="H2171" i="6"/>
  <c r="H2170" i="6"/>
  <c r="K2168" i="6"/>
  <c r="J2168" i="6"/>
  <c r="M2167" i="6"/>
  <c r="O2167" i="6" s="1"/>
  <c r="H2167" i="6"/>
  <c r="O2166" i="6"/>
  <c r="H2166" i="6"/>
  <c r="M2166" i="6" s="1"/>
  <c r="H2165" i="6"/>
  <c r="M2165" i="6" s="1"/>
  <c r="O2165" i="6" s="1"/>
  <c r="H2164" i="6"/>
  <c r="M2164" i="6" s="1"/>
  <c r="O2164" i="6" s="1"/>
  <c r="M2163" i="6"/>
  <c r="O2163" i="6" s="1"/>
  <c r="H2163" i="6"/>
  <c r="L2162" i="6"/>
  <c r="H2162" i="6"/>
  <c r="H2161" i="6"/>
  <c r="M2161" i="6" s="1"/>
  <c r="O2161" i="6" s="1"/>
  <c r="H2160" i="6"/>
  <c r="M2160" i="6" s="1"/>
  <c r="O2160" i="6" s="1"/>
  <c r="H2159" i="6"/>
  <c r="M2159" i="6" s="1"/>
  <c r="O2159" i="6" s="1"/>
  <c r="M2158" i="6"/>
  <c r="O2158" i="6" s="1"/>
  <c r="H2158" i="6"/>
  <c r="H2157" i="6"/>
  <c r="M2157" i="6" s="1"/>
  <c r="O2157" i="6" s="1"/>
  <c r="H2156" i="6"/>
  <c r="M2156" i="6" s="1"/>
  <c r="O2156" i="6" s="1"/>
  <c r="H2155" i="6"/>
  <c r="M2155" i="6" s="1"/>
  <c r="O2155" i="6" s="1"/>
  <c r="M2154" i="6"/>
  <c r="O2154" i="6" s="1"/>
  <c r="H2154" i="6"/>
  <c r="H2153" i="6"/>
  <c r="M2153" i="6" s="1"/>
  <c r="O2153" i="6" s="1"/>
  <c r="H2152" i="6"/>
  <c r="M2152" i="6" s="1"/>
  <c r="O2152" i="6" s="1"/>
  <c r="M2151" i="6"/>
  <c r="H2151" i="6"/>
  <c r="I2151" i="6" s="1"/>
  <c r="I2168" i="6" s="1"/>
  <c r="M2150" i="6"/>
  <c r="I2150" i="6"/>
  <c r="H2150" i="6"/>
  <c r="M2149" i="6"/>
  <c r="L2147" i="6"/>
  <c r="K2147" i="6"/>
  <c r="J2147" i="6"/>
  <c r="M2146" i="6"/>
  <c r="O2146" i="6" s="1"/>
  <c r="H2145" i="6"/>
  <c r="M2145" i="6" s="1"/>
  <c r="O2145" i="6" s="1"/>
  <c r="H2144" i="6"/>
  <c r="H2143" i="6"/>
  <c r="M2143" i="6" s="1"/>
  <c r="O2143" i="6" s="1"/>
  <c r="M2142" i="6"/>
  <c r="O2142" i="6" s="1"/>
  <c r="H2142" i="6"/>
  <c r="H2139" i="6"/>
  <c r="M2138" i="6"/>
  <c r="O2138" i="6" s="1"/>
  <c r="H2138" i="6"/>
  <c r="H2137" i="6"/>
  <c r="M2137" i="6" s="1"/>
  <c r="O2137" i="6" s="1"/>
  <c r="H2136" i="6"/>
  <c r="M2136" i="6" s="1"/>
  <c r="O2136" i="6" s="1"/>
  <c r="M2135" i="6"/>
  <c r="H2135" i="6"/>
  <c r="I2135" i="6" s="1"/>
  <c r="H2134" i="6"/>
  <c r="M2134" i="6" s="1"/>
  <c r="O2134" i="6" s="1"/>
  <c r="H2133" i="6"/>
  <c r="M2133" i="6" s="1"/>
  <c r="O2133" i="6" s="1"/>
  <c r="M2132" i="6"/>
  <c r="O2132" i="6" s="1"/>
  <c r="H2132" i="6"/>
  <c r="O2131" i="6"/>
  <c r="H2131" i="6"/>
  <c r="M2131" i="6" s="1"/>
  <c r="M2130" i="6"/>
  <c r="O2130" i="6" s="1"/>
  <c r="O2129" i="6"/>
  <c r="M2129" i="6"/>
  <c r="H2129" i="6"/>
  <c r="M2128" i="6"/>
  <c r="O2128" i="6" s="1"/>
  <c r="H2128" i="6"/>
  <c r="M2127" i="6"/>
  <c r="H2127" i="6"/>
  <c r="O2126" i="6"/>
  <c r="H2126" i="6"/>
  <c r="M2126" i="6" s="1"/>
  <c r="O2125" i="6"/>
  <c r="M2125" i="6"/>
  <c r="H2125" i="6"/>
  <c r="N2123" i="6"/>
  <c r="L2123" i="6"/>
  <c r="K2123" i="6"/>
  <c r="J2123" i="6"/>
  <c r="O2122" i="6"/>
  <c r="H2122" i="6"/>
  <c r="M2122" i="6" s="1"/>
  <c r="O2121" i="6"/>
  <c r="M2121" i="6"/>
  <c r="M2120" i="6"/>
  <c r="O2120" i="6" s="1"/>
  <c r="H2120" i="6"/>
  <c r="O2119" i="6"/>
  <c r="H2119" i="6"/>
  <c r="M2119" i="6" s="1"/>
  <c r="O2118" i="6"/>
  <c r="M2118" i="6"/>
  <c r="H2118" i="6"/>
  <c r="M2117" i="6"/>
  <c r="O2117" i="6" s="1"/>
  <c r="H2117" i="6"/>
  <c r="M2116" i="6"/>
  <c r="O2116" i="6" s="1"/>
  <c r="H2116" i="6"/>
  <c r="O2115" i="6"/>
  <c r="H2115" i="6"/>
  <c r="M2115" i="6" s="1"/>
  <c r="O2114" i="6"/>
  <c r="M2114" i="6"/>
  <c r="H2114" i="6"/>
  <c r="M2113" i="6"/>
  <c r="O2113" i="6" s="1"/>
  <c r="H2113" i="6"/>
  <c r="M2112" i="6"/>
  <c r="O2112" i="6" s="1"/>
  <c r="H2112" i="6"/>
  <c r="O2111" i="6"/>
  <c r="H2111" i="6"/>
  <c r="M2111" i="6" s="1"/>
  <c r="O2110" i="6"/>
  <c r="M2110" i="6"/>
  <c r="H2110" i="6"/>
  <c r="M2109" i="6"/>
  <c r="O2109" i="6" s="1"/>
  <c r="H2109" i="6"/>
  <c r="M2108" i="6"/>
  <c r="O2108" i="6" s="1"/>
  <c r="H2108" i="6"/>
  <c r="O2107" i="6"/>
  <c r="M2107" i="6"/>
  <c r="N2107" i="6" s="1"/>
  <c r="I2107" i="6"/>
  <c r="I2123" i="6" s="1"/>
  <c r="H2107" i="6"/>
  <c r="M2106" i="6"/>
  <c r="O2106" i="6" s="1"/>
  <c r="H2106" i="6"/>
  <c r="O2105" i="6"/>
  <c r="H2105" i="6"/>
  <c r="M2105" i="6" s="1"/>
  <c r="O2104" i="6"/>
  <c r="M2104" i="6"/>
  <c r="H2104" i="6"/>
  <c r="M2103" i="6"/>
  <c r="O2103" i="6" s="1"/>
  <c r="H2103" i="6"/>
  <c r="M2102" i="6"/>
  <c r="O2102" i="6" s="1"/>
  <c r="H2102" i="6"/>
  <c r="O2101" i="6"/>
  <c r="H2101" i="6"/>
  <c r="M2101" i="6" s="1"/>
  <c r="O2100" i="6"/>
  <c r="M2100" i="6"/>
  <c r="H2100" i="6"/>
  <c r="M2099" i="6"/>
  <c r="O2099" i="6" s="1"/>
  <c r="H2099" i="6"/>
  <c r="M2098" i="6"/>
  <c r="O2098" i="6" s="1"/>
  <c r="H2098" i="6"/>
  <c r="H2097" i="6"/>
  <c r="L2095" i="6"/>
  <c r="J2095" i="6"/>
  <c r="K2094" i="6"/>
  <c r="K2095" i="6" s="1"/>
  <c r="H2094" i="6"/>
  <c r="M2094" i="6" s="1"/>
  <c r="O2094" i="6" s="1"/>
  <c r="H2093" i="6"/>
  <c r="M2093" i="6" s="1"/>
  <c r="O2093" i="6" s="1"/>
  <c r="H2092" i="6"/>
  <c r="M2092" i="6" s="1"/>
  <c r="O2092" i="6" s="1"/>
  <c r="H2091" i="6"/>
  <c r="H2090" i="6"/>
  <c r="M2090" i="6" s="1"/>
  <c r="O2090" i="6" s="1"/>
  <c r="M2089" i="6"/>
  <c r="O2089" i="6" s="1"/>
  <c r="H2089" i="6"/>
  <c r="H2088" i="6"/>
  <c r="M2088" i="6" s="1"/>
  <c r="O2088" i="6" s="1"/>
  <c r="H2087" i="6"/>
  <c r="M2087" i="6" s="1"/>
  <c r="O2087" i="6" s="1"/>
  <c r="H2086" i="6"/>
  <c r="M2086" i="6" s="1"/>
  <c r="O2086" i="6" s="1"/>
  <c r="M2085" i="6"/>
  <c r="O2085" i="6" s="1"/>
  <c r="H2085" i="6"/>
  <c r="H2084" i="6"/>
  <c r="M2084" i="6" s="1"/>
  <c r="O2084" i="6" s="1"/>
  <c r="M2083" i="6"/>
  <c r="O2083" i="6" s="1"/>
  <c r="O2082" i="6"/>
  <c r="M2082" i="6"/>
  <c r="H2082" i="6"/>
  <c r="M2081" i="6"/>
  <c r="O2081" i="6" s="1"/>
  <c r="H2081" i="6"/>
  <c r="M2080" i="6"/>
  <c r="O2080" i="6" s="1"/>
  <c r="H2080" i="6"/>
  <c r="O2079" i="6"/>
  <c r="H2079" i="6"/>
  <c r="M2079" i="6" s="1"/>
  <c r="O2078" i="6"/>
  <c r="M2078" i="6"/>
  <c r="H2078" i="6"/>
  <c r="M2077" i="6"/>
  <c r="O2077" i="6" s="1"/>
  <c r="H2077" i="6"/>
  <c r="M2076" i="6"/>
  <c r="O2076" i="6" s="1"/>
  <c r="H2076" i="6"/>
  <c r="O2075" i="6"/>
  <c r="H2075" i="6"/>
  <c r="M2075" i="6" s="1"/>
  <c r="O2074" i="6"/>
  <c r="M2074" i="6"/>
  <c r="H2074" i="6"/>
  <c r="M2073" i="6"/>
  <c r="H2073" i="6"/>
  <c r="L2071" i="6"/>
  <c r="J2071" i="6"/>
  <c r="M2070" i="6"/>
  <c r="O2070" i="6" s="1"/>
  <c r="H2070" i="6"/>
  <c r="O2069" i="6"/>
  <c r="K2069" i="6"/>
  <c r="M2069" i="6" s="1"/>
  <c r="H2069" i="6"/>
  <c r="H2068" i="6"/>
  <c r="M2068" i="6" s="1"/>
  <c r="O2068" i="6" s="1"/>
  <c r="H2067" i="6"/>
  <c r="M2067" i="6" s="1"/>
  <c r="O2067" i="6" s="1"/>
  <c r="H2066" i="6"/>
  <c r="M2066" i="6" s="1"/>
  <c r="O2066" i="6" s="1"/>
  <c r="M2065" i="6"/>
  <c r="O2065" i="6" s="1"/>
  <c r="H2065" i="6"/>
  <c r="M2064" i="6"/>
  <c r="N2064" i="6" s="1"/>
  <c r="H2064" i="6"/>
  <c r="I2064" i="6" s="1"/>
  <c r="O2063" i="6"/>
  <c r="M2063" i="6"/>
  <c r="H2063" i="6"/>
  <c r="M2062" i="6"/>
  <c r="O2062" i="6" s="1"/>
  <c r="H2062" i="6"/>
  <c r="M2061" i="6"/>
  <c r="O2061" i="6" s="1"/>
  <c r="H2061" i="6"/>
  <c r="O2060" i="6"/>
  <c r="H2060" i="6"/>
  <c r="M2060" i="6" s="1"/>
  <c r="O2059" i="6"/>
  <c r="M2059" i="6"/>
  <c r="H2059" i="6"/>
  <c r="M2058" i="6"/>
  <c r="O2058" i="6" s="1"/>
  <c r="H2058" i="6"/>
  <c r="M2057" i="6"/>
  <c r="O2057" i="6" s="1"/>
  <c r="K2057" i="6"/>
  <c r="O2056" i="6"/>
  <c r="M2056" i="6"/>
  <c r="O2055" i="6"/>
  <c r="H2055" i="6"/>
  <c r="M2055" i="6" s="1"/>
  <c r="H2054" i="6"/>
  <c r="M2054" i="6" s="1"/>
  <c r="O2054" i="6" s="1"/>
  <c r="H2053" i="6"/>
  <c r="M2053" i="6" s="1"/>
  <c r="O2053" i="6" s="1"/>
  <c r="M2052" i="6"/>
  <c r="O2052" i="6" s="1"/>
  <c r="H2052" i="6"/>
  <c r="O2051" i="6"/>
  <c r="H2051" i="6"/>
  <c r="M2051" i="6" s="1"/>
  <c r="K2050" i="6"/>
  <c r="H2050" i="6"/>
  <c r="M2049" i="6"/>
  <c r="O2049" i="6" s="1"/>
  <c r="H2049" i="6"/>
  <c r="H2048" i="6"/>
  <c r="M2048" i="6" s="1"/>
  <c r="O2048" i="6" s="1"/>
  <c r="H2047" i="6"/>
  <c r="M2047" i="6" s="1"/>
  <c r="O2047" i="6" s="1"/>
  <c r="H2046" i="6"/>
  <c r="M2046" i="6" s="1"/>
  <c r="O2046" i="6" s="1"/>
  <c r="H2045" i="6"/>
  <c r="H2044" i="6"/>
  <c r="M2043" i="6"/>
  <c r="H2043" i="6"/>
  <c r="L2041" i="6"/>
  <c r="K2041" i="6"/>
  <c r="J2041" i="6"/>
  <c r="H2040" i="6"/>
  <c r="M2040" i="6" s="1"/>
  <c r="O2040" i="6" s="1"/>
  <c r="M2039" i="6"/>
  <c r="O2039" i="6" s="1"/>
  <c r="K2039" i="6"/>
  <c r="H2039" i="6"/>
  <c r="M2038" i="6"/>
  <c r="O2038" i="6" s="1"/>
  <c r="H2038" i="6"/>
  <c r="M2037" i="6"/>
  <c r="N2037" i="6" s="1"/>
  <c r="H2037" i="6"/>
  <c r="I2037" i="6" s="1"/>
  <c r="O2036" i="6"/>
  <c r="M2036" i="6"/>
  <c r="H2036" i="6"/>
  <c r="M2035" i="6"/>
  <c r="O2035" i="6" s="1"/>
  <c r="H2035" i="6"/>
  <c r="M2034" i="6"/>
  <c r="O2034" i="6" s="1"/>
  <c r="H2034" i="6"/>
  <c r="O2033" i="6"/>
  <c r="H2033" i="6"/>
  <c r="M2033" i="6" s="1"/>
  <c r="O2032" i="6"/>
  <c r="N2032" i="6"/>
  <c r="I2032" i="6"/>
  <c r="H2032" i="6"/>
  <c r="M2032" i="6" s="1"/>
  <c r="O2031" i="6"/>
  <c r="M2031" i="6"/>
  <c r="N2031" i="6" s="1"/>
  <c r="I2031" i="6"/>
  <c r="H2031" i="6"/>
  <c r="M2030" i="6"/>
  <c r="O2030" i="6" s="1"/>
  <c r="H2030" i="6"/>
  <c r="O2029" i="6"/>
  <c r="H2029" i="6"/>
  <c r="M2029" i="6" s="1"/>
  <c r="O2028" i="6"/>
  <c r="M2028" i="6"/>
  <c r="H2028" i="6"/>
  <c r="M2027" i="6"/>
  <c r="O2027" i="6" s="1"/>
  <c r="H2027" i="6"/>
  <c r="M2026" i="6"/>
  <c r="O2026" i="6" s="1"/>
  <c r="H2026" i="6"/>
  <c r="O2025" i="6"/>
  <c r="H2025" i="6"/>
  <c r="M2025" i="6" s="1"/>
  <c r="O2024" i="6"/>
  <c r="M2024" i="6"/>
  <c r="H2024" i="6"/>
  <c r="M2023" i="6"/>
  <c r="O2023" i="6" s="1"/>
  <c r="H2023" i="6"/>
  <c r="M2022" i="6"/>
  <c r="O2022" i="6" s="1"/>
  <c r="H2022" i="6"/>
  <c r="O2021" i="6"/>
  <c r="H2021" i="6"/>
  <c r="M2021" i="6" s="1"/>
  <c r="O2020" i="6"/>
  <c r="M2020" i="6"/>
  <c r="H2020" i="6"/>
  <c r="H2019" i="6"/>
  <c r="H2018" i="6"/>
  <c r="H2017" i="6"/>
  <c r="M2017" i="6" s="1"/>
  <c r="O2017" i="6" s="1"/>
  <c r="M2016" i="6"/>
  <c r="O2016" i="6" s="1"/>
  <c r="H2016" i="6"/>
  <c r="N2014" i="6"/>
  <c r="L2014" i="6"/>
  <c r="K2014" i="6"/>
  <c r="J2014" i="6"/>
  <c r="I2014" i="6"/>
  <c r="H2013" i="6"/>
  <c r="M2013" i="6" s="1"/>
  <c r="O2013" i="6" s="1"/>
  <c r="M2012" i="6"/>
  <c r="O2012" i="6" s="1"/>
  <c r="H2012" i="6"/>
  <c r="O2011" i="6"/>
  <c r="H2011" i="6"/>
  <c r="M2011" i="6" s="1"/>
  <c r="M2010" i="6"/>
  <c r="O2010" i="6" s="1"/>
  <c r="O2009" i="6"/>
  <c r="M2009" i="6"/>
  <c r="H2009" i="6"/>
  <c r="M2008" i="6"/>
  <c r="O2008" i="6" s="1"/>
  <c r="H2008" i="6"/>
  <c r="M2007" i="6"/>
  <c r="O2007" i="6" s="1"/>
  <c r="H2007" i="6"/>
  <c r="O2006" i="6"/>
  <c r="H2006" i="6"/>
  <c r="M2006" i="6" s="1"/>
  <c r="O2005" i="6"/>
  <c r="M2005" i="6"/>
  <c r="H2005" i="6"/>
  <c r="M2004" i="6"/>
  <c r="O2004" i="6" s="1"/>
  <c r="H2004" i="6"/>
  <c r="L2002" i="6"/>
  <c r="J2002" i="6"/>
  <c r="M2001" i="6"/>
  <c r="O2001" i="6" s="1"/>
  <c r="H2001" i="6"/>
  <c r="O2000" i="6"/>
  <c r="M2000" i="6"/>
  <c r="N2000" i="6" s="1"/>
  <c r="I2000" i="6"/>
  <c r="O1999" i="6"/>
  <c r="M1999" i="6"/>
  <c r="O1998" i="6"/>
  <c r="H1998" i="6"/>
  <c r="M1998" i="6" s="1"/>
  <c r="O1997" i="6"/>
  <c r="M1997" i="6"/>
  <c r="H1997" i="6"/>
  <c r="M1996" i="6"/>
  <c r="O1996" i="6" s="1"/>
  <c r="I1996" i="6"/>
  <c r="H1996" i="6"/>
  <c r="N1995" i="6"/>
  <c r="M1995" i="6"/>
  <c r="O1995" i="6" s="1"/>
  <c r="I1995" i="6"/>
  <c r="H1994" i="6"/>
  <c r="M1993" i="6"/>
  <c r="O1993" i="6" s="1"/>
  <c r="H1992" i="6"/>
  <c r="M1992" i="6" s="1"/>
  <c r="O1992" i="6" s="1"/>
  <c r="O1991" i="6"/>
  <c r="M1991" i="6"/>
  <c r="M1990" i="6"/>
  <c r="O1990" i="6" s="1"/>
  <c r="K1990" i="6"/>
  <c r="K2002" i="6" s="1"/>
  <c r="N1989" i="6"/>
  <c r="M1989" i="6"/>
  <c r="O1989" i="6" s="1"/>
  <c r="I1989" i="6"/>
  <c r="H1989" i="6"/>
  <c r="O1988" i="6"/>
  <c r="M1988" i="6"/>
  <c r="N1988" i="6" s="1"/>
  <c r="H1988" i="6"/>
  <c r="I1988" i="6" s="1"/>
  <c r="O1987" i="6"/>
  <c r="M1987" i="6"/>
  <c r="H1987" i="6"/>
  <c r="M1986" i="6"/>
  <c r="O1986" i="6" s="1"/>
  <c r="H1986" i="6"/>
  <c r="M1985" i="6"/>
  <c r="O1985" i="6" s="1"/>
  <c r="H1985" i="6"/>
  <c r="O1984" i="6"/>
  <c r="H1984" i="6"/>
  <c r="M1984" i="6" s="1"/>
  <c r="L1982" i="6"/>
  <c r="K1982" i="6"/>
  <c r="J1982" i="6"/>
  <c r="M1981" i="6"/>
  <c r="O1981" i="6" s="1"/>
  <c r="H1981" i="6"/>
  <c r="O1980" i="6"/>
  <c r="H1980" i="6"/>
  <c r="M1980" i="6" s="1"/>
  <c r="O1979" i="6"/>
  <c r="M1979" i="6"/>
  <c r="K1979" i="6"/>
  <c r="M1978" i="6"/>
  <c r="O1978" i="6" s="1"/>
  <c r="H1978" i="6"/>
  <c r="M1977" i="6"/>
  <c r="O1977" i="6" s="1"/>
  <c r="H1977" i="6"/>
  <c r="O1976" i="6"/>
  <c r="M1976" i="6"/>
  <c r="O1975" i="6"/>
  <c r="H1975" i="6"/>
  <c r="M1975" i="6" s="1"/>
  <c r="H1974" i="6"/>
  <c r="M1974" i="6" s="1"/>
  <c r="O1974" i="6" s="1"/>
  <c r="H1973" i="6"/>
  <c r="M1973" i="6" s="1"/>
  <c r="O1973" i="6" s="1"/>
  <c r="M1972" i="6"/>
  <c r="O1972" i="6" s="1"/>
  <c r="H1972" i="6"/>
  <c r="O1971" i="6"/>
  <c r="H1971" i="6"/>
  <c r="M1971" i="6" s="1"/>
  <c r="H1970" i="6"/>
  <c r="M1970" i="6" s="1"/>
  <c r="O1970" i="6" s="1"/>
  <c r="H1969" i="6"/>
  <c r="M1969" i="6" s="1"/>
  <c r="O1969" i="6" s="1"/>
  <c r="H1968" i="6"/>
  <c r="O1967" i="6"/>
  <c r="M1967" i="6"/>
  <c r="H1966" i="6"/>
  <c r="M1965" i="6"/>
  <c r="O1965" i="6" s="1"/>
  <c r="H1965" i="6"/>
  <c r="O1964" i="6"/>
  <c r="M1964" i="6"/>
  <c r="H1964" i="6"/>
  <c r="I1964" i="6" s="1"/>
  <c r="L1962" i="6"/>
  <c r="K1962" i="6"/>
  <c r="J1962" i="6"/>
  <c r="M1961" i="6"/>
  <c r="O1961" i="6" s="1"/>
  <c r="H1961" i="6"/>
  <c r="O1960" i="6"/>
  <c r="H1960" i="6"/>
  <c r="M1960" i="6" s="1"/>
  <c r="O1959" i="6"/>
  <c r="M1959" i="6"/>
  <c r="H1959" i="6"/>
  <c r="M1958" i="6"/>
  <c r="O1958" i="6" s="1"/>
  <c r="H1958" i="6"/>
  <c r="M1957" i="6"/>
  <c r="O1957" i="6" s="1"/>
  <c r="M1956" i="6"/>
  <c r="O1956" i="6" s="1"/>
  <c r="M1955" i="6"/>
  <c r="O1955" i="6" s="1"/>
  <c r="O1954" i="6"/>
  <c r="M1954" i="6"/>
  <c r="H1954" i="6"/>
  <c r="M1953" i="6"/>
  <c r="O1953" i="6" s="1"/>
  <c r="H1953" i="6"/>
  <c r="M1952" i="6"/>
  <c r="O1952" i="6" s="1"/>
  <c r="M1951" i="6"/>
  <c r="O1951" i="6" s="1"/>
  <c r="H1951" i="6"/>
  <c r="O1950" i="6"/>
  <c r="H1950" i="6"/>
  <c r="M1950" i="6" s="1"/>
  <c r="H1949" i="6"/>
  <c r="M1949" i="6" s="1"/>
  <c r="O1949" i="6" s="1"/>
  <c r="H1948" i="6"/>
  <c r="M1948" i="6" s="1"/>
  <c r="O1948" i="6" s="1"/>
  <c r="M1947" i="6"/>
  <c r="O1947" i="6" s="1"/>
  <c r="H1947" i="6"/>
  <c r="O1946" i="6"/>
  <c r="H1946" i="6"/>
  <c r="M1946" i="6" s="1"/>
  <c r="M1945" i="6"/>
  <c r="I1945" i="6"/>
  <c r="I1962" i="6" s="1"/>
  <c r="H1945" i="6"/>
  <c r="M1944" i="6"/>
  <c r="O1944" i="6" s="1"/>
  <c r="H1944" i="6"/>
  <c r="M1943" i="6"/>
  <c r="O1943" i="6" s="1"/>
  <c r="K1943" i="6"/>
  <c r="O1942" i="6"/>
  <c r="H1942" i="6"/>
  <c r="M1942" i="6" s="1"/>
  <c r="O1941" i="6"/>
  <c r="M1941" i="6"/>
  <c r="H1941" i="6"/>
  <c r="M1940" i="6"/>
  <c r="H1940" i="6"/>
  <c r="L1938" i="6"/>
  <c r="J1938" i="6"/>
  <c r="M1937" i="6"/>
  <c r="O1937" i="6" s="1"/>
  <c r="H1936" i="6"/>
  <c r="M1936" i="6" s="1"/>
  <c r="O1936" i="6" s="1"/>
  <c r="H1935" i="6"/>
  <c r="M1935" i="6" s="1"/>
  <c r="O1935" i="6" s="1"/>
  <c r="M1934" i="6"/>
  <c r="O1934" i="6" s="1"/>
  <c r="H1934" i="6"/>
  <c r="O1933" i="6"/>
  <c r="H1933" i="6"/>
  <c r="M1933" i="6" s="1"/>
  <c r="H1932" i="6"/>
  <c r="M1932" i="6" s="1"/>
  <c r="O1932" i="6" s="1"/>
  <c r="H1931" i="6"/>
  <c r="M1931" i="6" s="1"/>
  <c r="O1931" i="6" s="1"/>
  <c r="M1930" i="6"/>
  <c r="O1930" i="6" s="1"/>
  <c r="K1930" i="6"/>
  <c r="K1938" i="6" s="1"/>
  <c r="H1930" i="6"/>
  <c r="M1929" i="6"/>
  <c r="O1929" i="6" s="1"/>
  <c r="H1929" i="6"/>
  <c r="H1928" i="6"/>
  <c r="M1928" i="6" s="1"/>
  <c r="O1928" i="6" s="1"/>
  <c r="H1927" i="6"/>
  <c r="M1927" i="6" s="1"/>
  <c r="O1927" i="6" s="1"/>
  <c r="H1926" i="6"/>
  <c r="M1926" i="6" s="1"/>
  <c r="O1926" i="6" s="1"/>
  <c r="M1925" i="6"/>
  <c r="O1925" i="6" s="1"/>
  <c r="H1925" i="6"/>
  <c r="H1924" i="6"/>
  <c r="M1924" i="6" s="1"/>
  <c r="O1924" i="6" s="1"/>
  <c r="M1923" i="6"/>
  <c r="I1923" i="6"/>
  <c r="H1923" i="6"/>
  <c r="H1922" i="6"/>
  <c r="M1921" i="6"/>
  <c r="O1921" i="6" s="1"/>
  <c r="H1921" i="6"/>
  <c r="O1920" i="6"/>
  <c r="H1920" i="6"/>
  <c r="M1920" i="6" s="1"/>
  <c r="H1919" i="6"/>
  <c r="L1917" i="6"/>
  <c r="K1917" i="6"/>
  <c r="J1917" i="6"/>
  <c r="M1916" i="6"/>
  <c r="O1916" i="6" s="1"/>
  <c r="H1916" i="6"/>
  <c r="M1915" i="6"/>
  <c r="O1915" i="6" s="1"/>
  <c r="H1915" i="6"/>
  <c r="O1914" i="6"/>
  <c r="H1914" i="6"/>
  <c r="M1914" i="6" s="1"/>
  <c r="O1913" i="6"/>
  <c r="M1913" i="6"/>
  <c r="H1913" i="6"/>
  <c r="M1912" i="6"/>
  <c r="O1912" i="6" s="1"/>
  <c r="H1912" i="6"/>
  <c r="M1911" i="6"/>
  <c r="O1911" i="6" s="1"/>
  <c r="H1911" i="6"/>
  <c r="K1910" i="6"/>
  <c r="H1910" i="6"/>
  <c r="M1910" i="6" s="1"/>
  <c r="O1910" i="6" s="1"/>
  <c r="H1909" i="6"/>
  <c r="M1909" i="6" s="1"/>
  <c r="O1909" i="6" s="1"/>
  <c r="M1908" i="6"/>
  <c r="O1908" i="6" s="1"/>
  <c r="H1908" i="6"/>
  <c r="O1907" i="6"/>
  <c r="M1907" i="6"/>
  <c r="N1907" i="6" s="1"/>
  <c r="H1907" i="6"/>
  <c r="I1907" i="6" s="1"/>
  <c r="O1906" i="6"/>
  <c r="I1906" i="6"/>
  <c r="H1906" i="6"/>
  <c r="M1906" i="6" s="1"/>
  <c r="N1906" i="6" s="1"/>
  <c r="O1905" i="6"/>
  <c r="H1905" i="6"/>
  <c r="M1905" i="6" s="1"/>
  <c r="O1904" i="6"/>
  <c r="N1904" i="6"/>
  <c r="I1904" i="6"/>
  <c r="I1917" i="6" s="1"/>
  <c r="H1904" i="6"/>
  <c r="M1904" i="6" s="1"/>
  <c r="O1903" i="6"/>
  <c r="H1903" i="6"/>
  <c r="M1903" i="6" s="1"/>
  <c r="O1902" i="6"/>
  <c r="M1902" i="6"/>
  <c r="H1902" i="6"/>
  <c r="M1901" i="6"/>
  <c r="O1901" i="6" s="1"/>
  <c r="H1901" i="6"/>
  <c r="M1900" i="6"/>
  <c r="O1900" i="6" s="1"/>
  <c r="H1900" i="6"/>
  <c r="O1899" i="6"/>
  <c r="H1899" i="6"/>
  <c r="M1899" i="6" s="1"/>
  <c r="O1898" i="6"/>
  <c r="M1898" i="6"/>
  <c r="H1898" i="6"/>
  <c r="M1897" i="6"/>
  <c r="O1897" i="6" s="1"/>
  <c r="H1897" i="6"/>
  <c r="M1896" i="6"/>
  <c r="O1896" i="6" s="1"/>
  <c r="H1896" i="6"/>
  <c r="O1895" i="6"/>
  <c r="H1895" i="6"/>
  <c r="M1895" i="6" s="1"/>
  <c r="O1894" i="6"/>
  <c r="M1894" i="6"/>
  <c r="H1894" i="6"/>
  <c r="M1893" i="6"/>
  <c r="O1893" i="6" s="1"/>
  <c r="H1893" i="6"/>
  <c r="M1892" i="6"/>
  <c r="O1892" i="6" s="1"/>
  <c r="H1892" i="6"/>
  <c r="O1891" i="6"/>
  <c r="H1891" i="6"/>
  <c r="M1891" i="6" s="1"/>
  <c r="L1889" i="6"/>
  <c r="K1889" i="6"/>
  <c r="J1889" i="6"/>
  <c r="M1888" i="6"/>
  <c r="O1888" i="6" s="1"/>
  <c r="H1888" i="6"/>
  <c r="O1887" i="6"/>
  <c r="H1887" i="6"/>
  <c r="M1887" i="6" s="1"/>
  <c r="O1886" i="6"/>
  <c r="M1886" i="6"/>
  <c r="H1886" i="6"/>
  <c r="H1885" i="6"/>
  <c r="M1884" i="6"/>
  <c r="O1884" i="6" s="1"/>
  <c r="H1884" i="6"/>
  <c r="H1883" i="6"/>
  <c r="M1883" i="6" s="1"/>
  <c r="O1883" i="6" s="1"/>
  <c r="H1882" i="6"/>
  <c r="M1882" i="6" s="1"/>
  <c r="O1882" i="6" s="1"/>
  <c r="H1881" i="6"/>
  <c r="M1881" i="6" s="1"/>
  <c r="O1881" i="6" s="1"/>
  <c r="M1880" i="6"/>
  <c r="O1880" i="6" s="1"/>
  <c r="H1880" i="6"/>
  <c r="H1879" i="6"/>
  <c r="M1879" i="6" s="1"/>
  <c r="O1879" i="6" s="1"/>
  <c r="H1878" i="6"/>
  <c r="M1878" i="6" s="1"/>
  <c r="O1878" i="6" s="1"/>
  <c r="H1877" i="6"/>
  <c r="M1877" i="6" s="1"/>
  <c r="O1877" i="6" s="1"/>
  <c r="M1876" i="6"/>
  <c r="O1876" i="6" s="1"/>
  <c r="H1876" i="6"/>
  <c r="H1875" i="6"/>
  <c r="M1875" i="6" s="1"/>
  <c r="O1875" i="6" s="1"/>
  <c r="M1874" i="6"/>
  <c r="I1874" i="6"/>
  <c r="H1874" i="6"/>
  <c r="M1873" i="6"/>
  <c r="O1873" i="6" s="1"/>
  <c r="H1873" i="6"/>
  <c r="N1872" i="6"/>
  <c r="M1872" i="6"/>
  <c r="O1872" i="6" s="1"/>
  <c r="I1872" i="6"/>
  <c r="H1872" i="6"/>
  <c r="O1871" i="6"/>
  <c r="H1871" i="6"/>
  <c r="M1871" i="6" s="1"/>
  <c r="H1870" i="6"/>
  <c r="M1870" i="6" s="1"/>
  <c r="O1870" i="6" s="1"/>
  <c r="H1869" i="6"/>
  <c r="M1869" i="6" s="1"/>
  <c r="O1869" i="6" s="1"/>
  <c r="M1868" i="6"/>
  <c r="O1868" i="6" s="1"/>
  <c r="H1868" i="6"/>
  <c r="O1867" i="6"/>
  <c r="M1867" i="6"/>
  <c r="N1867" i="6" s="1"/>
  <c r="H1867" i="6"/>
  <c r="I1867" i="6" s="1"/>
  <c r="O1866" i="6"/>
  <c r="M1866" i="6"/>
  <c r="H1866" i="6"/>
  <c r="M1865" i="6"/>
  <c r="O1865" i="6" s="1"/>
  <c r="H1865" i="6"/>
  <c r="M1864" i="6"/>
  <c r="O1864" i="6" s="1"/>
  <c r="H1864" i="6"/>
  <c r="O1863" i="6"/>
  <c r="H1863" i="6"/>
  <c r="M1863" i="6" s="1"/>
  <c r="O1862" i="6"/>
  <c r="M1862" i="6"/>
  <c r="H1862" i="6"/>
  <c r="M1861" i="6"/>
  <c r="O1861" i="6" s="1"/>
  <c r="H1861" i="6"/>
  <c r="M1860" i="6"/>
  <c r="O1860" i="6" s="1"/>
  <c r="H1860" i="6"/>
  <c r="O1859" i="6"/>
  <c r="H1859" i="6"/>
  <c r="M1859" i="6" s="1"/>
  <c r="K1858" i="6"/>
  <c r="H1858" i="6"/>
  <c r="L1856" i="6"/>
  <c r="J1856" i="6"/>
  <c r="M1855" i="6"/>
  <c r="O1855" i="6" s="1"/>
  <c r="H1855" i="6"/>
  <c r="O1854" i="6"/>
  <c r="M1854" i="6"/>
  <c r="N1854" i="6" s="1"/>
  <c r="I1854" i="6"/>
  <c r="H1854" i="6"/>
  <c r="N1853" i="6"/>
  <c r="M1853" i="6"/>
  <c r="O1853" i="6" s="1"/>
  <c r="I1853" i="6"/>
  <c r="H1853" i="6"/>
  <c r="O1852" i="6"/>
  <c r="H1852" i="6"/>
  <c r="M1852" i="6" s="1"/>
  <c r="H1851" i="6"/>
  <c r="M1851" i="6" s="1"/>
  <c r="O1851" i="6" s="1"/>
  <c r="H1850" i="6"/>
  <c r="M1850" i="6" s="1"/>
  <c r="O1850" i="6" s="1"/>
  <c r="M1849" i="6"/>
  <c r="O1849" i="6" s="1"/>
  <c r="H1849" i="6"/>
  <c r="O1848" i="6"/>
  <c r="H1848" i="6"/>
  <c r="M1848" i="6" s="1"/>
  <c r="K1847" i="6"/>
  <c r="H1847" i="6"/>
  <c r="M1846" i="6"/>
  <c r="O1846" i="6" s="1"/>
  <c r="H1846" i="6"/>
  <c r="O1845" i="6"/>
  <c r="H1845" i="6"/>
  <c r="M1845" i="6" s="1"/>
  <c r="O1844" i="6"/>
  <c r="M1844" i="6"/>
  <c r="H1844" i="6"/>
  <c r="H1843" i="6"/>
  <c r="M1842" i="6"/>
  <c r="O1842" i="6" s="1"/>
  <c r="H1842" i="6"/>
  <c r="H1841" i="6"/>
  <c r="M1841" i="6" s="1"/>
  <c r="O1841" i="6" s="1"/>
  <c r="H1840" i="6"/>
  <c r="M1840" i="6" s="1"/>
  <c r="O1840" i="6" s="1"/>
  <c r="H1839" i="6"/>
  <c r="M1839" i="6" s="1"/>
  <c r="O1839" i="6" s="1"/>
  <c r="H1838" i="6"/>
  <c r="H1837" i="6"/>
  <c r="M1837" i="6" s="1"/>
  <c r="O1837" i="6" s="1"/>
  <c r="M1836" i="6"/>
  <c r="O1836" i="6" s="1"/>
  <c r="H1836" i="6"/>
  <c r="O1835" i="6"/>
  <c r="H1835" i="6"/>
  <c r="M1835" i="6" s="1"/>
  <c r="M1834" i="6"/>
  <c r="I1834" i="6"/>
  <c r="H1834" i="6"/>
  <c r="M1833" i="6"/>
  <c r="O1833" i="6" s="1"/>
  <c r="H1833" i="6"/>
  <c r="M1832" i="6"/>
  <c r="O1832" i="6" s="1"/>
  <c r="H1832" i="6"/>
  <c r="O1831" i="6"/>
  <c r="H1831" i="6"/>
  <c r="M1831" i="6" s="1"/>
  <c r="L1829" i="6"/>
  <c r="K1829" i="6"/>
  <c r="J1829" i="6"/>
  <c r="M1828" i="6"/>
  <c r="O1828" i="6" s="1"/>
  <c r="H1828" i="6"/>
  <c r="O1827" i="6"/>
  <c r="H1827" i="6"/>
  <c r="M1827" i="6" s="1"/>
  <c r="O1826" i="6"/>
  <c r="M1826" i="6"/>
  <c r="H1826" i="6"/>
  <c r="M1825" i="6"/>
  <c r="O1825" i="6" s="1"/>
  <c r="H1824" i="6"/>
  <c r="M1824" i="6" s="1"/>
  <c r="O1824" i="6" s="1"/>
  <c r="M1823" i="6"/>
  <c r="O1823" i="6" s="1"/>
  <c r="H1823" i="6"/>
  <c r="H1822" i="6"/>
  <c r="M1822" i="6" s="1"/>
  <c r="O1822" i="6" s="1"/>
  <c r="H1821" i="6"/>
  <c r="M1821" i="6" s="1"/>
  <c r="O1821" i="6" s="1"/>
  <c r="H1820" i="6"/>
  <c r="M1820" i="6" s="1"/>
  <c r="O1820" i="6" s="1"/>
  <c r="M1819" i="6"/>
  <c r="O1819" i="6" s="1"/>
  <c r="H1819" i="6"/>
  <c r="H1818" i="6"/>
  <c r="M1818" i="6" s="1"/>
  <c r="O1818" i="6" s="1"/>
  <c r="M1817" i="6"/>
  <c r="I1817" i="6"/>
  <c r="I1829" i="6" s="1"/>
  <c r="H1817" i="6"/>
  <c r="M1816" i="6"/>
  <c r="O1816" i="6" s="1"/>
  <c r="H1816" i="6"/>
  <c r="M1815" i="6"/>
  <c r="O1815" i="6" s="1"/>
  <c r="H1815" i="6"/>
  <c r="O1814" i="6"/>
  <c r="H1814" i="6"/>
  <c r="M1814" i="6" s="1"/>
  <c r="O1813" i="6"/>
  <c r="M1813" i="6"/>
  <c r="H1813" i="6"/>
  <c r="M1812" i="6"/>
  <c r="H1812" i="6"/>
  <c r="L1810" i="6"/>
  <c r="J1810" i="6"/>
  <c r="I1810" i="6"/>
  <c r="O1809" i="6"/>
  <c r="N1809" i="6"/>
  <c r="M1809" i="6"/>
  <c r="I1809" i="6"/>
  <c r="M1808" i="6"/>
  <c r="O1808" i="6" s="1"/>
  <c r="H1808" i="6"/>
  <c r="O1807" i="6"/>
  <c r="M1807" i="6"/>
  <c r="O1806" i="6"/>
  <c r="H1806" i="6"/>
  <c r="M1806" i="6" s="1"/>
  <c r="O1805" i="6"/>
  <c r="M1805" i="6"/>
  <c r="H1805" i="6"/>
  <c r="M1804" i="6"/>
  <c r="O1804" i="6" s="1"/>
  <c r="H1804" i="6"/>
  <c r="N1803" i="6"/>
  <c r="M1803" i="6"/>
  <c r="O1803" i="6" s="1"/>
  <c r="I1803" i="6"/>
  <c r="H1803" i="6"/>
  <c r="M1802" i="6"/>
  <c r="I1802" i="6"/>
  <c r="O1801" i="6"/>
  <c r="H1801" i="6"/>
  <c r="M1801" i="6" s="1"/>
  <c r="H1800" i="6"/>
  <c r="M1800" i="6" s="1"/>
  <c r="O1800" i="6" s="1"/>
  <c r="K1799" i="6"/>
  <c r="K1810" i="6" s="1"/>
  <c r="H1799" i="6"/>
  <c r="O1798" i="6"/>
  <c r="M1798" i="6"/>
  <c r="N1798" i="6" s="1"/>
  <c r="I1798" i="6"/>
  <c r="H1798" i="6"/>
  <c r="N1797" i="6"/>
  <c r="M1797" i="6"/>
  <c r="O1797" i="6" s="1"/>
  <c r="I1797" i="6"/>
  <c r="H1797" i="6"/>
  <c r="M1796" i="6"/>
  <c r="H1796" i="6"/>
  <c r="I1796" i="6" s="1"/>
  <c r="O1795" i="6"/>
  <c r="M1795" i="6"/>
  <c r="H1795" i="6"/>
  <c r="N1794" i="6"/>
  <c r="M1794" i="6"/>
  <c r="O1794" i="6" s="1"/>
  <c r="I1794" i="6"/>
  <c r="M1793" i="6"/>
  <c r="O1793" i="6" s="1"/>
  <c r="H1793" i="6"/>
  <c r="M1792" i="6"/>
  <c r="H1792" i="6"/>
  <c r="L1790" i="6"/>
  <c r="J1790" i="6"/>
  <c r="O1789" i="6"/>
  <c r="H1789" i="6"/>
  <c r="M1789" i="6" s="1"/>
  <c r="H1788" i="6"/>
  <c r="M1788" i="6" s="1"/>
  <c r="O1788" i="6" s="1"/>
  <c r="H1787" i="6"/>
  <c r="H1786" i="6"/>
  <c r="M1786" i="6" s="1"/>
  <c r="O1786" i="6" s="1"/>
  <c r="H1785" i="6"/>
  <c r="M1785" i="6" s="1"/>
  <c r="O1785" i="6" s="1"/>
  <c r="M1784" i="6"/>
  <c r="O1784" i="6" s="1"/>
  <c r="H1784" i="6"/>
  <c r="H1783" i="6"/>
  <c r="M1783" i="6" s="1"/>
  <c r="O1783" i="6" s="1"/>
  <c r="H1782" i="6"/>
  <c r="M1782" i="6" s="1"/>
  <c r="O1782" i="6" s="1"/>
  <c r="K1781" i="6"/>
  <c r="H1781" i="6"/>
  <c r="O1780" i="6"/>
  <c r="H1780" i="6"/>
  <c r="M1780" i="6" s="1"/>
  <c r="O1779" i="6"/>
  <c r="I1779" i="6"/>
  <c r="H1779" i="6"/>
  <c r="M1779" i="6" s="1"/>
  <c r="N1779" i="6" s="1"/>
  <c r="O1778" i="6"/>
  <c r="H1778" i="6"/>
  <c r="M1778" i="6" s="1"/>
  <c r="O1777" i="6"/>
  <c r="M1777" i="6"/>
  <c r="H1777" i="6"/>
  <c r="M1776" i="6"/>
  <c r="O1776" i="6" s="1"/>
  <c r="H1776" i="6"/>
  <c r="M1775" i="6"/>
  <c r="O1775" i="6" s="1"/>
  <c r="H1775" i="6"/>
  <c r="O1774" i="6"/>
  <c r="H1774" i="6"/>
  <c r="M1774" i="6" s="1"/>
  <c r="O1773" i="6"/>
  <c r="M1773" i="6"/>
  <c r="H1773" i="6"/>
  <c r="H1772" i="6"/>
  <c r="M1771" i="6"/>
  <c r="O1771" i="6" s="1"/>
  <c r="H1771" i="6"/>
  <c r="H1770" i="6"/>
  <c r="M1770" i="6" s="1"/>
  <c r="O1770" i="6" s="1"/>
  <c r="H1769" i="6"/>
  <c r="M1769" i="6" s="1"/>
  <c r="O1769" i="6" s="1"/>
  <c r="H1768" i="6"/>
  <c r="M1768" i="6" s="1"/>
  <c r="O1768" i="6" s="1"/>
  <c r="M1767" i="6"/>
  <c r="O1767" i="6" s="1"/>
  <c r="H1767" i="6"/>
  <c r="M1766" i="6"/>
  <c r="H1766" i="6"/>
  <c r="I1766" i="6" s="1"/>
  <c r="O1765" i="6"/>
  <c r="M1765" i="6"/>
  <c r="H1765" i="6"/>
  <c r="M1764" i="6"/>
  <c r="O1764" i="6" s="1"/>
  <c r="H1764" i="6"/>
  <c r="M1763" i="6"/>
  <c r="O1763" i="6" s="1"/>
  <c r="H1763" i="6"/>
  <c r="O1762" i="6"/>
  <c r="H1762" i="6"/>
  <c r="M1762" i="6" s="1"/>
  <c r="O1761" i="6"/>
  <c r="M1761" i="6"/>
  <c r="H1761" i="6"/>
  <c r="M1760" i="6"/>
  <c r="O1760" i="6" s="1"/>
  <c r="H1760" i="6"/>
  <c r="M1759" i="6"/>
  <c r="O1759" i="6" s="1"/>
  <c r="K1759" i="6"/>
  <c r="H1759" i="6"/>
  <c r="H1758" i="6"/>
  <c r="M1758" i="6" s="1"/>
  <c r="O1758" i="6" s="1"/>
  <c r="M1757" i="6"/>
  <c r="H1757" i="6"/>
  <c r="I1757" i="6" s="1"/>
  <c r="H1756" i="6"/>
  <c r="M1756" i="6" s="1"/>
  <c r="O1756" i="6" s="1"/>
  <c r="H1755" i="6"/>
  <c r="M1755" i="6" s="1"/>
  <c r="O1755" i="6" s="1"/>
  <c r="M1754" i="6"/>
  <c r="O1754" i="6" s="1"/>
  <c r="H1754" i="6"/>
  <c r="O1753" i="6"/>
  <c r="H1753" i="6"/>
  <c r="M1753" i="6" s="1"/>
  <c r="H1752" i="6"/>
  <c r="M1752" i="6" s="1"/>
  <c r="O1752" i="6" s="1"/>
  <c r="H1751" i="6"/>
  <c r="M1751" i="6" s="1"/>
  <c r="O1751" i="6" s="1"/>
  <c r="M1750" i="6"/>
  <c r="H1750" i="6"/>
  <c r="K1748" i="6"/>
  <c r="J1748" i="6"/>
  <c r="O1747" i="6"/>
  <c r="M1747" i="6"/>
  <c r="N1747" i="6" s="1"/>
  <c r="I1747" i="6"/>
  <c r="H1747" i="6"/>
  <c r="M1746" i="6"/>
  <c r="O1746" i="6" s="1"/>
  <c r="H1746" i="6"/>
  <c r="L1745" i="6"/>
  <c r="H1745" i="6"/>
  <c r="M1745" i="6" s="1"/>
  <c r="O1745" i="6" s="1"/>
  <c r="O1744" i="6"/>
  <c r="M1744" i="6"/>
  <c r="M1743" i="6"/>
  <c r="O1743" i="6" s="1"/>
  <c r="H1743" i="6"/>
  <c r="M1742" i="6"/>
  <c r="O1742" i="6" s="1"/>
  <c r="H1742" i="6"/>
  <c r="O1741" i="6"/>
  <c r="H1741" i="6"/>
  <c r="M1741" i="6" s="1"/>
  <c r="O1740" i="6"/>
  <c r="M1740" i="6"/>
  <c r="H1740" i="6"/>
  <c r="M1739" i="6"/>
  <c r="O1739" i="6" s="1"/>
  <c r="H1739" i="6"/>
  <c r="N1738" i="6"/>
  <c r="M1738" i="6"/>
  <c r="O1738" i="6" s="1"/>
  <c r="I1738" i="6"/>
  <c r="H1738" i="6"/>
  <c r="M1737" i="6"/>
  <c r="H1737" i="6"/>
  <c r="I1737" i="6" s="1"/>
  <c r="O1736" i="6"/>
  <c r="M1736" i="6"/>
  <c r="H1736" i="6"/>
  <c r="H1735" i="6"/>
  <c r="M1734" i="6"/>
  <c r="O1734" i="6" s="1"/>
  <c r="H1734" i="6"/>
  <c r="H1733" i="6"/>
  <c r="M1733" i="6" s="1"/>
  <c r="O1733" i="6" s="1"/>
  <c r="N1732" i="6"/>
  <c r="H1732" i="6"/>
  <c r="M1732" i="6" s="1"/>
  <c r="O1732" i="6" s="1"/>
  <c r="H1731" i="6"/>
  <c r="M1731" i="6" s="1"/>
  <c r="O1731" i="6" s="1"/>
  <c r="M1730" i="6"/>
  <c r="O1730" i="6" s="1"/>
  <c r="H1730" i="6"/>
  <c r="O1729" i="6"/>
  <c r="M1729" i="6"/>
  <c r="N1729" i="6" s="1"/>
  <c r="H1729" i="6"/>
  <c r="I1729" i="6" s="1"/>
  <c r="O1728" i="6"/>
  <c r="M1728" i="6"/>
  <c r="H1728" i="6"/>
  <c r="M1727" i="6"/>
  <c r="O1727" i="6" s="1"/>
  <c r="H1727" i="6"/>
  <c r="L1726" i="6"/>
  <c r="L1748" i="6" s="1"/>
  <c r="H1726" i="6"/>
  <c r="M1726" i="6" s="1"/>
  <c r="O1726" i="6" s="1"/>
  <c r="H1725" i="6"/>
  <c r="M1725" i="6" s="1"/>
  <c r="O1725" i="6" s="1"/>
  <c r="H1724" i="6"/>
  <c r="M1724" i="6" s="1"/>
  <c r="O1724" i="6" s="1"/>
  <c r="M1723" i="6"/>
  <c r="H1723" i="6"/>
  <c r="L1721" i="6"/>
  <c r="K1721" i="6"/>
  <c r="J1721" i="6"/>
  <c r="H1720" i="6"/>
  <c r="H1719" i="6"/>
  <c r="M1719" i="6" s="1"/>
  <c r="O1719" i="6" s="1"/>
  <c r="O1718" i="6"/>
  <c r="M1718" i="6"/>
  <c r="M1717" i="6"/>
  <c r="O1717" i="6" s="1"/>
  <c r="H1717" i="6"/>
  <c r="M1716" i="6"/>
  <c r="O1716" i="6" s="1"/>
  <c r="H1716" i="6"/>
  <c r="O1715" i="6"/>
  <c r="H1715" i="6"/>
  <c r="M1715" i="6" s="1"/>
  <c r="O1714" i="6"/>
  <c r="M1714" i="6"/>
  <c r="H1714" i="6"/>
  <c r="M1713" i="6"/>
  <c r="O1713" i="6" s="1"/>
  <c r="H1713" i="6"/>
  <c r="N1712" i="6"/>
  <c r="M1712" i="6"/>
  <c r="O1712" i="6" s="1"/>
  <c r="I1712" i="6"/>
  <c r="H1712" i="6"/>
  <c r="H1711" i="6"/>
  <c r="M1711" i="6" s="1"/>
  <c r="O1711" i="6" s="1"/>
  <c r="H1710" i="6"/>
  <c r="M1710" i="6" s="1"/>
  <c r="O1710" i="6" s="1"/>
  <c r="H1709" i="6"/>
  <c r="M1709" i="6" s="1"/>
  <c r="O1709" i="6" s="1"/>
  <c r="H1708" i="6"/>
  <c r="H1707" i="6"/>
  <c r="M1707" i="6" s="1"/>
  <c r="O1707" i="6" s="1"/>
  <c r="M1706" i="6"/>
  <c r="O1706" i="6" s="1"/>
  <c r="H1706" i="6"/>
  <c r="H1705" i="6"/>
  <c r="M1705" i="6" s="1"/>
  <c r="O1705" i="6" s="1"/>
  <c r="M1704" i="6"/>
  <c r="O1704" i="6" s="1"/>
  <c r="O1703" i="6"/>
  <c r="M1703" i="6"/>
  <c r="M1702" i="6"/>
  <c r="K1702" i="6"/>
  <c r="H1702" i="6"/>
  <c r="L1700" i="6"/>
  <c r="J1700" i="6"/>
  <c r="O1699" i="6"/>
  <c r="M1699" i="6"/>
  <c r="H1699" i="6"/>
  <c r="M1698" i="6"/>
  <c r="O1698" i="6" s="1"/>
  <c r="H1698" i="6"/>
  <c r="M1697" i="6"/>
  <c r="O1697" i="6" s="1"/>
  <c r="H1697" i="6"/>
  <c r="O1696" i="6"/>
  <c r="H1696" i="6"/>
  <c r="M1696" i="6" s="1"/>
  <c r="O1695" i="6"/>
  <c r="M1695" i="6"/>
  <c r="H1695" i="6"/>
  <c r="H1694" i="6"/>
  <c r="M1693" i="6"/>
  <c r="O1693" i="6" s="1"/>
  <c r="H1693" i="6"/>
  <c r="H1692" i="6"/>
  <c r="M1692" i="6" s="1"/>
  <c r="O1692" i="6" s="1"/>
  <c r="H1691" i="6"/>
  <c r="M1691" i="6" s="1"/>
  <c r="O1691" i="6" s="1"/>
  <c r="H1690" i="6"/>
  <c r="M1690" i="6" s="1"/>
  <c r="O1690" i="6" s="1"/>
  <c r="H1689" i="6"/>
  <c r="O1688" i="6"/>
  <c r="M1688" i="6"/>
  <c r="M1687" i="6"/>
  <c r="O1687" i="6" s="1"/>
  <c r="H1687" i="6"/>
  <c r="M1686" i="6"/>
  <c r="O1686" i="6" s="1"/>
  <c r="H1686" i="6"/>
  <c r="O1685" i="6"/>
  <c r="H1685" i="6"/>
  <c r="M1685" i="6" s="1"/>
  <c r="O1684" i="6"/>
  <c r="M1684" i="6"/>
  <c r="H1684" i="6"/>
  <c r="M1683" i="6"/>
  <c r="O1683" i="6" s="1"/>
  <c r="H1683" i="6"/>
  <c r="M1682" i="6"/>
  <c r="O1682" i="6" s="1"/>
  <c r="H1682" i="6"/>
  <c r="O1681" i="6"/>
  <c r="H1681" i="6"/>
  <c r="M1681" i="6" s="1"/>
  <c r="O1680" i="6"/>
  <c r="M1680" i="6"/>
  <c r="K1680" i="6"/>
  <c r="H1680" i="6"/>
  <c r="O1679" i="6"/>
  <c r="M1679" i="6"/>
  <c r="H1679" i="6"/>
  <c r="M1678" i="6"/>
  <c r="O1678" i="6" s="1"/>
  <c r="K1678" i="6"/>
  <c r="K1700" i="6" s="1"/>
  <c r="H1678" i="6"/>
  <c r="N1677" i="6"/>
  <c r="M1677" i="6"/>
  <c r="O1677" i="6" s="1"/>
  <c r="I1677" i="6"/>
  <c r="M1676" i="6"/>
  <c r="O1676" i="6" s="1"/>
  <c r="H1676" i="6"/>
  <c r="M1675" i="6"/>
  <c r="O1675" i="6" s="1"/>
  <c r="H1675" i="6"/>
  <c r="O1674" i="6"/>
  <c r="H1674" i="6"/>
  <c r="M1674" i="6" s="1"/>
  <c r="O1673" i="6"/>
  <c r="M1673" i="6"/>
  <c r="H1673" i="6"/>
  <c r="M1672" i="6"/>
  <c r="O1672" i="6" s="1"/>
  <c r="H1672" i="6"/>
  <c r="M1671" i="6"/>
  <c r="O1671" i="6" s="1"/>
  <c r="H1671" i="6"/>
  <c r="O1670" i="6"/>
  <c r="H1670" i="6"/>
  <c r="M1670" i="6" s="1"/>
  <c r="O1669" i="6"/>
  <c r="M1669" i="6"/>
  <c r="H1669" i="6"/>
  <c r="M1668" i="6"/>
  <c r="H1668" i="6"/>
  <c r="L1666" i="6"/>
  <c r="K1666" i="6"/>
  <c r="J1666" i="6"/>
  <c r="O1665" i="6"/>
  <c r="M1665" i="6"/>
  <c r="H1665" i="6"/>
  <c r="M1664" i="6"/>
  <c r="O1664" i="6" s="1"/>
  <c r="H1664" i="6"/>
  <c r="M1663" i="6"/>
  <c r="O1663" i="6" s="1"/>
  <c r="H1663" i="6"/>
  <c r="O1662" i="6"/>
  <c r="H1662" i="6"/>
  <c r="M1662" i="6" s="1"/>
  <c r="O1661" i="6"/>
  <c r="M1661" i="6"/>
  <c r="H1661" i="6"/>
  <c r="M1660" i="6"/>
  <c r="O1660" i="6" s="1"/>
  <c r="H1660" i="6"/>
  <c r="M1659" i="6"/>
  <c r="O1659" i="6" s="1"/>
  <c r="H1659" i="6"/>
  <c r="O1658" i="6"/>
  <c r="H1658" i="6"/>
  <c r="M1658" i="6" s="1"/>
  <c r="O1657" i="6"/>
  <c r="M1657" i="6"/>
  <c r="H1657" i="6"/>
  <c r="M1656" i="6"/>
  <c r="O1656" i="6" s="1"/>
  <c r="H1656" i="6"/>
  <c r="N1655" i="6"/>
  <c r="M1655" i="6"/>
  <c r="O1655" i="6" s="1"/>
  <c r="I1655" i="6"/>
  <c r="H1655" i="6"/>
  <c r="H1654" i="6"/>
  <c r="M1654" i="6" s="1"/>
  <c r="O1654" i="6" s="1"/>
  <c r="H1653" i="6"/>
  <c r="H1652" i="6"/>
  <c r="M1652" i="6" s="1"/>
  <c r="O1652" i="6" s="1"/>
  <c r="M1651" i="6"/>
  <c r="O1651" i="6" s="1"/>
  <c r="H1651" i="6"/>
  <c r="O1650" i="6"/>
  <c r="H1650" i="6"/>
  <c r="M1650" i="6" s="1"/>
  <c r="M1649" i="6"/>
  <c r="I1649" i="6"/>
  <c r="H1649" i="6"/>
  <c r="M1648" i="6"/>
  <c r="O1648" i="6" s="1"/>
  <c r="H1648" i="6"/>
  <c r="M1647" i="6"/>
  <c r="O1647" i="6" s="1"/>
  <c r="H1647" i="6"/>
  <c r="O1646" i="6"/>
  <c r="H1646" i="6"/>
  <c r="M1646" i="6" s="1"/>
  <c r="O1645" i="6"/>
  <c r="N1645" i="6"/>
  <c r="I1645" i="6"/>
  <c r="H1645" i="6"/>
  <c r="M1645" i="6" s="1"/>
  <c r="L1643" i="6"/>
  <c r="K1643" i="6"/>
  <c r="J1643" i="6"/>
  <c r="O1642" i="6"/>
  <c r="M1642" i="6"/>
  <c r="N1642" i="6" s="1"/>
  <c r="H1642" i="6"/>
  <c r="I1642" i="6" s="1"/>
  <c r="O1641" i="6"/>
  <c r="M1641" i="6"/>
  <c r="H1641" i="6"/>
  <c r="M1640" i="6"/>
  <c r="O1640" i="6" s="1"/>
  <c r="H1639" i="6"/>
  <c r="M1639" i="6" s="1"/>
  <c r="O1639" i="6" s="1"/>
  <c r="M1638" i="6"/>
  <c r="O1638" i="6" s="1"/>
  <c r="H1638" i="6"/>
  <c r="H1637" i="6"/>
  <c r="M1637" i="6" s="1"/>
  <c r="O1637" i="6" s="1"/>
  <c r="H1636" i="6"/>
  <c r="M1636" i="6" s="1"/>
  <c r="O1636" i="6" s="1"/>
  <c r="H1635" i="6"/>
  <c r="M1635" i="6" s="1"/>
  <c r="O1635" i="6" s="1"/>
  <c r="M1634" i="6"/>
  <c r="O1634" i="6" s="1"/>
  <c r="H1634" i="6"/>
  <c r="O1633" i="6"/>
  <c r="H1633" i="6"/>
  <c r="M1633" i="6" s="1"/>
  <c r="H1632" i="6"/>
  <c r="M1632" i="6" s="1"/>
  <c r="O1632" i="6" s="1"/>
  <c r="H1631" i="6"/>
  <c r="M1631" i="6" s="1"/>
  <c r="O1631" i="6" s="1"/>
  <c r="M1630" i="6"/>
  <c r="O1630" i="6" s="1"/>
  <c r="H1629" i="6"/>
  <c r="M1629" i="6" s="1"/>
  <c r="O1629" i="6" s="1"/>
  <c r="H1628" i="6"/>
  <c r="M1628" i="6" s="1"/>
  <c r="O1628" i="6" s="1"/>
  <c r="M1627" i="6"/>
  <c r="O1627" i="6" s="1"/>
  <c r="H1627" i="6"/>
  <c r="H1626" i="6"/>
  <c r="M1626" i="6" s="1"/>
  <c r="O1626" i="6" s="1"/>
  <c r="H1625" i="6"/>
  <c r="M1625" i="6" s="1"/>
  <c r="O1625" i="6" s="1"/>
  <c r="M1624" i="6"/>
  <c r="H1624" i="6"/>
  <c r="I1624" i="6" s="1"/>
  <c r="M1623" i="6"/>
  <c r="I1623" i="6"/>
  <c r="H1623" i="6"/>
  <c r="H1622" i="6"/>
  <c r="M1621" i="6"/>
  <c r="O1621" i="6" s="1"/>
  <c r="H1621" i="6"/>
  <c r="H1620" i="6"/>
  <c r="M1620" i="6" s="1"/>
  <c r="O1620" i="6" s="1"/>
  <c r="M1619" i="6"/>
  <c r="I1619" i="6"/>
  <c r="H1619" i="6"/>
  <c r="M1618" i="6"/>
  <c r="O1618" i="6" s="1"/>
  <c r="H1618" i="6"/>
  <c r="N1617" i="6"/>
  <c r="M1617" i="6"/>
  <c r="O1617" i="6" s="1"/>
  <c r="I1617" i="6"/>
  <c r="H1617" i="6"/>
  <c r="O1616" i="6"/>
  <c r="M1616" i="6"/>
  <c r="H1616" i="6"/>
  <c r="I1616" i="6" s="1"/>
  <c r="L1614" i="6"/>
  <c r="K1614" i="6"/>
  <c r="J1614" i="6"/>
  <c r="M1613" i="6"/>
  <c r="O1613" i="6" s="1"/>
  <c r="H1613" i="6"/>
  <c r="O1612" i="6"/>
  <c r="H1612" i="6"/>
  <c r="M1612" i="6" s="1"/>
  <c r="O1611" i="6"/>
  <c r="M1611" i="6"/>
  <c r="H1611" i="6"/>
  <c r="M1610" i="6"/>
  <c r="O1610" i="6" s="1"/>
  <c r="H1610" i="6"/>
  <c r="N1609" i="6"/>
  <c r="M1609" i="6"/>
  <c r="O1609" i="6" s="1"/>
  <c r="I1609" i="6"/>
  <c r="H1609" i="6"/>
  <c r="M1608" i="6"/>
  <c r="N1608" i="6" s="1"/>
  <c r="H1608" i="6"/>
  <c r="I1608" i="6" s="1"/>
  <c r="O1607" i="6"/>
  <c r="M1607" i="6"/>
  <c r="H1607" i="6"/>
  <c r="M1606" i="6"/>
  <c r="O1606" i="6" s="1"/>
  <c r="H1606" i="6"/>
  <c r="M1605" i="6"/>
  <c r="O1605" i="6" s="1"/>
  <c r="H1605" i="6"/>
  <c r="O1604" i="6"/>
  <c r="H1604" i="6"/>
  <c r="M1604" i="6" s="1"/>
  <c r="O1603" i="6"/>
  <c r="M1603" i="6"/>
  <c r="H1603" i="6"/>
  <c r="M1602" i="6"/>
  <c r="O1602" i="6" s="1"/>
  <c r="H1602" i="6"/>
  <c r="M1601" i="6"/>
  <c r="O1601" i="6" s="1"/>
  <c r="H1601" i="6"/>
  <c r="O1600" i="6"/>
  <c r="H1600" i="6"/>
  <c r="M1600" i="6" s="1"/>
  <c r="O1599" i="6"/>
  <c r="M1599" i="6"/>
  <c r="H1599" i="6"/>
  <c r="M1598" i="6"/>
  <c r="O1598" i="6" s="1"/>
  <c r="H1598" i="6"/>
  <c r="M1597" i="6"/>
  <c r="O1597" i="6" s="1"/>
  <c r="H1597" i="6"/>
  <c r="O1596" i="6"/>
  <c r="H1596" i="6"/>
  <c r="M1596" i="6" s="1"/>
  <c r="O1595" i="6"/>
  <c r="M1595" i="6"/>
  <c r="H1595" i="6"/>
  <c r="M1594" i="6"/>
  <c r="O1594" i="6" s="1"/>
  <c r="H1594" i="6"/>
  <c r="M1593" i="6"/>
  <c r="O1593" i="6" s="1"/>
  <c r="H1593" i="6"/>
  <c r="O1592" i="6"/>
  <c r="M1592" i="6"/>
  <c r="O1591" i="6"/>
  <c r="H1591" i="6"/>
  <c r="M1591" i="6" s="1"/>
  <c r="M1590" i="6"/>
  <c r="O1590" i="6" s="1"/>
  <c r="H1590" i="6"/>
  <c r="H1589" i="6"/>
  <c r="I1589" i="6" s="1"/>
  <c r="M1588" i="6"/>
  <c r="O1588" i="6" s="1"/>
  <c r="H1588" i="6"/>
  <c r="H1587" i="6"/>
  <c r="M1587" i="6" s="1"/>
  <c r="O1587" i="6" s="1"/>
  <c r="M1586" i="6"/>
  <c r="O1586" i="6" s="1"/>
  <c r="H1586" i="6"/>
  <c r="H1585" i="6"/>
  <c r="M1585" i="6" s="1"/>
  <c r="O1585" i="6" s="1"/>
  <c r="M1584" i="6"/>
  <c r="O1584" i="6" s="1"/>
  <c r="H1584" i="6"/>
  <c r="H1583" i="6"/>
  <c r="M1583" i="6" s="1"/>
  <c r="O1583" i="6" s="1"/>
  <c r="M1582" i="6"/>
  <c r="H1582" i="6"/>
  <c r="H1614" i="6" s="1"/>
  <c r="L1580" i="6"/>
  <c r="K1580" i="6"/>
  <c r="J1580" i="6"/>
  <c r="O1579" i="6"/>
  <c r="H1579" i="6"/>
  <c r="M1579" i="6" s="1"/>
  <c r="M1578" i="6"/>
  <c r="O1578" i="6" s="1"/>
  <c r="H1578" i="6"/>
  <c r="O1577" i="6"/>
  <c r="H1577" i="6"/>
  <c r="M1577" i="6" s="1"/>
  <c r="M1576" i="6"/>
  <c r="O1576" i="6" s="1"/>
  <c r="H1576" i="6"/>
  <c r="O1575" i="6"/>
  <c r="H1575" i="6"/>
  <c r="M1575" i="6" s="1"/>
  <c r="M1574" i="6"/>
  <c r="O1574" i="6" s="1"/>
  <c r="M1573" i="6"/>
  <c r="O1573" i="6" s="1"/>
  <c r="H1573" i="6"/>
  <c r="H1572" i="6"/>
  <c r="I1572" i="6" s="1"/>
  <c r="I1580" i="6" s="1"/>
  <c r="M1571" i="6"/>
  <c r="O1571" i="6" s="1"/>
  <c r="H1571" i="6"/>
  <c r="H1570" i="6"/>
  <c r="M1570" i="6" s="1"/>
  <c r="O1570" i="6" s="1"/>
  <c r="M1569" i="6"/>
  <c r="O1569" i="6" s="1"/>
  <c r="H1569" i="6"/>
  <c r="H1568" i="6"/>
  <c r="M1568" i="6" s="1"/>
  <c r="O1568" i="6" s="1"/>
  <c r="M1567" i="6"/>
  <c r="O1567" i="6" s="1"/>
  <c r="H1567" i="6"/>
  <c r="H1566" i="6"/>
  <c r="M1566" i="6" s="1"/>
  <c r="O1566" i="6" s="1"/>
  <c r="M1565" i="6"/>
  <c r="O1565" i="6" s="1"/>
  <c r="H1565" i="6"/>
  <c r="O1564" i="6"/>
  <c r="M1564" i="6"/>
  <c r="O1563" i="6"/>
  <c r="H1563" i="6"/>
  <c r="M1563" i="6" s="1"/>
  <c r="M1562" i="6"/>
  <c r="O1562" i="6" s="1"/>
  <c r="H1562" i="6"/>
  <c r="O1561" i="6"/>
  <c r="H1561" i="6"/>
  <c r="M1561" i="6" s="1"/>
  <c r="M1560" i="6"/>
  <c r="O1560" i="6" s="1"/>
  <c r="H1560" i="6"/>
  <c r="O1559" i="6"/>
  <c r="H1559" i="6"/>
  <c r="M1559" i="6" s="1"/>
  <c r="M1558" i="6"/>
  <c r="O1558" i="6" s="1"/>
  <c r="M1557" i="6"/>
  <c r="O1557" i="6" s="1"/>
  <c r="H1557" i="6"/>
  <c r="H1556" i="6"/>
  <c r="M1556" i="6" s="1"/>
  <c r="O1556" i="6" s="1"/>
  <c r="M1555" i="6"/>
  <c r="O1555" i="6" s="1"/>
  <c r="H1555" i="6"/>
  <c r="H1554" i="6"/>
  <c r="M1554" i="6" s="1"/>
  <c r="O1554" i="6" s="1"/>
  <c r="N1553" i="6"/>
  <c r="M1553" i="6"/>
  <c r="O1553" i="6" s="1"/>
  <c r="I1553" i="6"/>
  <c r="H1553" i="6"/>
  <c r="L1551" i="6"/>
  <c r="K1551" i="6"/>
  <c r="J1551" i="6"/>
  <c r="H1550" i="6"/>
  <c r="M1549" i="6"/>
  <c r="O1549" i="6" s="1"/>
  <c r="H1549" i="6"/>
  <c r="H1548" i="6"/>
  <c r="M1548" i="6" s="1"/>
  <c r="O1548" i="6" s="1"/>
  <c r="K1547" i="6"/>
  <c r="H1547" i="6"/>
  <c r="M1547" i="6" s="1"/>
  <c r="O1547" i="6" s="1"/>
  <c r="N1546" i="6"/>
  <c r="I1546" i="6"/>
  <c r="H1546" i="6"/>
  <c r="M1546" i="6" s="1"/>
  <c r="O1546" i="6" s="1"/>
  <c r="H1545" i="6"/>
  <c r="M1545" i="6" s="1"/>
  <c r="O1545" i="6" s="1"/>
  <c r="I1544" i="6"/>
  <c r="H1544" i="6"/>
  <c r="M1544" i="6" s="1"/>
  <c r="O1544" i="6" s="1"/>
  <c r="O1543" i="6"/>
  <c r="H1543" i="6"/>
  <c r="M1543" i="6" s="1"/>
  <c r="M1542" i="6"/>
  <c r="O1542" i="6" s="1"/>
  <c r="H1542" i="6"/>
  <c r="H1541" i="6"/>
  <c r="I1541" i="6" s="1"/>
  <c r="M1540" i="6"/>
  <c r="O1540" i="6" s="1"/>
  <c r="H1540" i="6"/>
  <c r="H1539" i="6"/>
  <c r="M1539" i="6" s="1"/>
  <c r="O1539" i="6" s="1"/>
  <c r="M1538" i="6"/>
  <c r="O1538" i="6" s="1"/>
  <c r="H1538" i="6"/>
  <c r="H1537" i="6"/>
  <c r="M1537" i="6" s="1"/>
  <c r="O1537" i="6" s="1"/>
  <c r="M1536" i="6"/>
  <c r="O1536" i="6" s="1"/>
  <c r="H1536" i="6"/>
  <c r="O1535" i="6"/>
  <c r="M1535" i="6"/>
  <c r="H1534" i="6"/>
  <c r="M1534" i="6" s="1"/>
  <c r="O1534" i="6" s="1"/>
  <c r="M1533" i="6"/>
  <c r="O1533" i="6" s="1"/>
  <c r="H1533" i="6"/>
  <c r="H1532" i="6"/>
  <c r="M1532" i="6" s="1"/>
  <c r="O1532" i="6" s="1"/>
  <c r="M1531" i="6"/>
  <c r="O1531" i="6" s="1"/>
  <c r="H1531" i="6"/>
  <c r="H1530" i="6"/>
  <c r="M1530" i="6" s="1"/>
  <c r="O1530" i="6" s="1"/>
  <c r="M1529" i="6"/>
  <c r="O1529" i="6" s="1"/>
  <c r="H1529" i="6"/>
  <c r="H1528" i="6"/>
  <c r="M1528" i="6" s="1"/>
  <c r="O1528" i="6" s="1"/>
  <c r="M1527" i="6"/>
  <c r="O1527" i="6" s="1"/>
  <c r="H1527" i="6"/>
  <c r="H1526" i="6"/>
  <c r="M1526" i="6" s="1"/>
  <c r="O1526" i="6" s="1"/>
  <c r="I1525" i="6"/>
  <c r="H1525" i="6"/>
  <c r="M1525" i="6" s="1"/>
  <c r="O1525" i="6" s="1"/>
  <c r="O1524" i="6"/>
  <c r="H1524" i="6"/>
  <c r="M1524" i="6" s="1"/>
  <c r="M1523" i="6"/>
  <c r="O1523" i="6" s="1"/>
  <c r="H1523" i="6"/>
  <c r="O1522" i="6"/>
  <c r="H1522" i="6"/>
  <c r="M1522" i="6" s="1"/>
  <c r="M1521" i="6"/>
  <c r="O1521" i="6" s="1"/>
  <c r="H1521" i="6"/>
  <c r="O1520" i="6"/>
  <c r="H1520" i="6"/>
  <c r="M1520" i="6" s="1"/>
  <c r="M1519" i="6"/>
  <c r="O1519" i="6" s="1"/>
  <c r="H1519" i="6"/>
  <c r="O1518" i="6"/>
  <c r="H1518" i="6"/>
  <c r="M1518" i="6" s="1"/>
  <c r="M1517" i="6"/>
  <c r="O1517" i="6" s="1"/>
  <c r="H1517" i="6"/>
  <c r="O1516" i="6"/>
  <c r="H1516" i="6"/>
  <c r="M1516" i="6" s="1"/>
  <c r="I1515" i="6"/>
  <c r="H1515" i="6"/>
  <c r="M1515" i="6" s="1"/>
  <c r="H1514" i="6"/>
  <c r="M1514" i="6" s="1"/>
  <c r="O1514" i="6" s="1"/>
  <c r="M1513" i="6"/>
  <c r="O1513" i="6" s="1"/>
  <c r="H1513" i="6"/>
  <c r="H1512" i="6"/>
  <c r="L1510" i="6"/>
  <c r="K1510" i="6"/>
  <c r="J1510" i="6"/>
  <c r="M1509" i="6"/>
  <c r="O1509" i="6" s="1"/>
  <c r="H1509" i="6"/>
  <c r="O1508" i="6"/>
  <c r="H1508" i="6"/>
  <c r="M1508" i="6" s="1"/>
  <c r="I1507" i="6"/>
  <c r="H1507" i="6"/>
  <c r="M1507" i="6" s="1"/>
  <c r="H1506" i="6"/>
  <c r="I1506" i="6" s="1"/>
  <c r="M1505" i="6"/>
  <c r="O1505" i="6" s="1"/>
  <c r="I1504" i="6"/>
  <c r="H1504" i="6"/>
  <c r="M1504" i="6" s="1"/>
  <c r="O1504" i="6" s="1"/>
  <c r="H1503" i="6"/>
  <c r="I1503" i="6" s="1"/>
  <c r="M1502" i="6"/>
  <c r="O1502" i="6" s="1"/>
  <c r="H1502" i="6"/>
  <c r="H1501" i="6"/>
  <c r="M1501" i="6" s="1"/>
  <c r="O1501" i="6" s="1"/>
  <c r="M1500" i="6"/>
  <c r="O1500" i="6" s="1"/>
  <c r="H1500" i="6"/>
  <c r="H1499" i="6"/>
  <c r="M1499" i="6" s="1"/>
  <c r="O1499" i="6" s="1"/>
  <c r="M1498" i="6"/>
  <c r="O1498" i="6" s="1"/>
  <c r="H1498" i="6"/>
  <c r="H1497" i="6"/>
  <c r="M1497" i="6" s="1"/>
  <c r="O1497" i="6" s="1"/>
  <c r="M1496" i="6"/>
  <c r="O1496" i="6" s="1"/>
  <c r="H1496" i="6"/>
  <c r="H1495" i="6"/>
  <c r="M1495" i="6" s="1"/>
  <c r="O1495" i="6" s="1"/>
  <c r="M1494" i="6"/>
  <c r="O1494" i="6" s="1"/>
  <c r="H1494" i="6"/>
  <c r="H1493" i="6"/>
  <c r="M1493" i="6" s="1"/>
  <c r="O1493" i="6" s="1"/>
  <c r="M1492" i="6"/>
  <c r="O1492" i="6" s="1"/>
  <c r="H1492" i="6"/>
  <c r="H1491" i="6"/>
  <c r="M1491" i="6" s="1"/>
  <c r="O1491" i="6" s="1"/>
  <c r="M1490" i="6"/>
  <c r="O1490" i="6" s="1"/>
  <c r="H1490" i="6"/>
  <c r="H1489" i="6"/>
  <c r="M1489" i="6" s="1"/>
  <c r="O1489" i="6" s="1"/>
  <c r="N1488" i="6"/>
  <c r="I1488" i="6"/>
  <c r="H1488" i="6"/>
  <c r="M1488" i="6" s="1"/>
  <c r="O1488" i="6" s="1"/>
  <c r="H1487" i="6"/>
  <c r="M1487" i="6" s="1"/>
  <c r="O1487" i="6" s="1"/>
  <c r="N1486" i="6"/>
  <c r="I1486" i="6"/>
  <c r="H1486" i="6"/>
  <c r="M1486" i="6" s="1"/>
  <c r="O1486" i="6" s="1"/>
  <c r="H1485" i="6"/>
  <c r="M1485" i="6" s="1"/>
  <c r="O1485" i="6" s="1"/>
  <c r="M1484" i="6"/>
  <c r="O1484" i="6" s="1"/>
  <c r="H1484" i="6"/>
  <c r="H1483" i="6"/>
  <c r="M1483" i="6" s="1"/>
  <c r="O1483" i="6" s="1"/>
  <c r="N1482" i="6"/>
  <c r="M1482" i="6"/>
  <c r="O1482" i="6" s="1"/>
  <c r="I1482" i="6"/>
  <c r="H1482" i="6"/>
  <c r="H1481" i="6"/>
  <c r="M1481" i="6" s="1"/>
  <c r="O1481" i="6" s="1"/>
  <c r="M1480" i="6"/>
  <c r="O1480" i="6" s="1"/>
  <c r="H1480" i="6"/>
  <c r="H1479" i="6"/>
  <c r="M1479" i="6" s="1"/>
  <c r="O1479" i="6" s="1"/>
  <c r="M1478" i="6"/>
  <c r="O1478" i="6" s="1"/>
  <c r="H1478" i="6"/>
  <c r="H1477" i="6"/>
  <c r="M1477" i="6" s="1"/>
  <c r="O1477" i="6" s="1"/>
  <c r="N1476" i="6"/>
  <c r="M1476" i="6"/>
  <c r="I1476" i="6"/>
  <c r="H1476" i="6"/>
  <c r="L1474" i="6"/>
  <c r="J1474" i="6"/>
  <c r="H1473" i="6"/>
  <c r="N1472" i="6"/>
  <c r="M1472" i="6"/>
  <c r="O1472" i="6" s="1"/>
  <c r="I1472" i="6"/>
  <c r="H1472" i="6"/>
  <c r="K1471" i="6"/>
  <c r="M1471" i="6" s="1"/>
  <c r="O1471" i="6" s="1"/>
  <c r="H1471" i="6"/>
  <c r="O1470" i="6"/>
  <c r="H1470" i="6"/>
  <c r="M1470" i="6" s="1"/>
  <c r="N1469" i="6"/>
  <c r="M1469" i="6"/>
  <c r="O1469" i="6" s="1"/>
  <c r="I1469" i="6"/>
  <c r="H1469" i="6"/>
  <c r="H1468" i="6"/>
  <c r="M1468" i="6" s="1"/>
  <c r="O1468" i="6" s="1"/>
  <c r="N1467" i="6"/>
  <c r="M1467" i="6"/>
  <c r="O1467" i="6" s="1"/>
  <c r="I1467" i="6"/>
  <c r="H1467" i="6"/>
  <c r="O1466" i="6"/>
  <c r="H1466" i="6"/>
  <c r="M1466" i="6" s="1"/>
  <c r="M1465" i="6"/>
  <c r="O1465" i="6" s="1"/>
  <c r="H1465" i="6"/>
  <c r="O1464" i="6"/>
  <c r="H1464" i="6"/>
  <c r="M1464" i="6" s="1"/>
  <c r="M1463" i="6"/>
  <c r="O1463" i="6" s="1"/>
  <c r="H1463" i="6"/>
  <c r="O1462" i="6"/>
  <c r="H1462" i="6"/>
  <c r="M1462" i="6" s="1"/>
  <c r="M1461" i="6"/>
  <c r="O1461" i="6" s="1"/>
  <c r="H1461" i="6"/>
  <c r="O1460" i="6"/>
  <c r="H1460" i="6"/>
  <c r="M1460" i="6" s="1"/>
  <c r="I1459" i="6"/>
  <c r="H1459" i="6"/>
  <c r="M1459" i="6" s="1"/>
  <c r="H1458" i="6"/>
  <c r="I1458" i="6" s="1"/>
  <c r="M1457" i="6"/>
  <c r="O1457" i="6" s="1"/>
  <c r="H1457" i="6"/>
  <c r="H1456" i="6"/>
  <c r="M1456" i="6" s="1"/>
  <c r="O1456" i="6" s="1"/>
  <c r="M1455" i="6"/>
  <c r="O1455" i="6" s="1"/>
  <c r="H1455" i="6"/>
  <c r="H1454" i="6"/>
  <c r="M1454" i="6" s="1"/>
  <c r="O1454" i="6" s="1"/>
  <c r="M1453" i="6"/>
  <c r="O1453" i="6" s="1"/>
  <c r="H1453" i="6"/>
  <c r="H1452" i="6"/>
  <c r="M1452" i="6" s="1"/>
  <c r="O1452" i="6" s="1"/>
  <c r="M1451" i="6"/>
  <c r="O1451" i="6" s="1"/>
  <c r="H1451" i="6"/>
  <c r="H1450" i="6"/>
  <c r="M1450" i="6" s="1"/>
  <c r="O1450" i="6" s="1"/>
  <c r="N1449" i="6"/>
  <c r="M1449" i="6"/>
  <c r="O1449" i="6" s="1"/>
  <c r="I1449" i="6"/>
  <c r="H1449" i="6"/>
  <c r="L1447" i="6"/>
  <c r="K1447" i="6"/>
  <c r="J1447" i="6"/>
  <c r="M1446" i="6"/>
  <c r="H1446" i="6"/>
  <c r="I1446" i="6" s="1"/>
  <c r="M1445" i="6"/>
  <c r="O1445" i="6" s="1"/>
  <c r="H1445" i="6"/>
  <c r="O1444" i="6"/>
  <c r="H1444" i="6"/>
  <c r="M1444" i="6" s="1"/>
  <c r="M1443" i="6"/>
  <c r="O1443" i="6" s="1"/>
  <c r="H1443" i="6"/>
  <c r="O1442" i="6"/>
  <c r="H1442" i="6"/>
  <c r="M1442" i="6" s="1"/>
  <c r="M1441" i="6"/>
  <c r="O1441" i="6" s="1"/>
  <c r="H1441" i="6"/>
  <c r="O1440" i="6"/>
  <c r="H1440" i="6"/>
  <c r="M1440" i="6" s="1"/>
  <c r="M1439" i="6"/>
  <c r="O1439" i="6" s="1"/>
  <c r="M1438" i="6"/>
  <c r="O1438" i="6" s="1"/>
  <c r="H1438" i="6"/>
  <c r="H1437" i="6"/>
  <c r="I1437" i="6" s="1"/>
  <c r="M1436" i="6"/>
  <c r="O1436" i="6" s="1"/>
  <c r="H1436" i="6"/>
  <c r="H1435" i="6"/>
  <c r="M1434" i="6"/>
  <c r="O1434" i="6" s="1"/>
  <c r="M1433" i="6"/>
  <c r="O1433" i="6" s="1"/>
  <c r="H1433" i="6"/>
  <c r="O1432" i="6"/>
  <c r="H1432" i="6"/>
  <c r="M1432" i="6" s="1"/>
  <c r="M1431" i="6"/>
  <c r="O1431" i="6" s="1"/>
  <c r="H1431" i="6"/>
  <c r="O1430" i="6"/>
  <c r="H1430" i="6"/>
  <c r="M1430" i="6" s="1"/>
  <c r="M1429" i="6"/>
  <c r="O1429" i="6" s="1"/>
  <c r="H1429" i="6"/>
  <c r="O1428" i="6"/>
  <c r="H1428" i="6"/>
  <c r="M1428" i="6" s="1"/>
  <c r="N1427" i="6"/>
  <c r="M1427" i="6"/>
  <c r="O1427" i="6" s="1"/>
  <c r="I1427" i="6"/>
  <c r="H1427" i="6"/>
  <c r="H1426" i="6"/>
  <c r="M1425" i="6"/>
  <c r="O1425" i="6" s="1"/>
  <c r="H1425" i="6"/>
  <c r="H1424" i="6"/>
  <c r="M1424" i="6" s="1"/>
  <c r="O1424" i="6" s="1"/>
  <c r="M1423" i="6"/>
  <c r="O1423" i="6" s="1"/>
  <c r="H1423" i="6"/>
  <c r="H1422" i="6"/>
  <c r="M1422" i="6" s="1"/>
  <c r="O1422" i="6" s="1"/>
  <c r="M1421" i="6"/>
  <c r="O1421" i="6" s="1"/>
  <c r="H1421" i="6"/>
  <c r="M1420" i="6"/>
  <c r="H1420" i="6"/>
  <c r="I1420" i="6" s="1"/>
  <c r="M1419" i="6"/>
  <c r="O1419" i="6" s="1"/>
  <c r="H1419" i="6"/>
  <c r="O1418" i="6"/>
  <c r="H1418" i="6"/>
  <c r="M1418" i="6" s="1"/>
  <c r="M1417" i="6"/>
  <c r="O1417" i="6" s="1"/>
  <c r="H1417" i="6"/>
  <c r="O1416" i="6"/>
  <c r="H1416" i="6"/>
  <c r="M1416" i="6" s="1"/>
  <c r="M1415" i="6"/>
  <c r="O1415" i="6" s="1"/>
  <c r="H1415" i="6"/>
  <c r="H1414" i="6"/>
  <c r="I1414" i="6" s="1"/>
  <c r="M1413" i="6"/>
  <c r="O1413" i="6" s="1"/>
  <c r="H1413" i="6"/>
  <c r="H1412" i="6"/>
  <c r="M1412" i="6" s="1"/>
  <c r="O1412" i="6" s="1"/>
  <c r="M1411" i="6"/>
  <c r="O1411" i="6" s="1"/>
  <c r="H1411" i="6"/>
  <c r="H1410" i="6"/>
  <c r="M1410" i="6" s="1"/>
  <c r="O1410" i="6" s="1"/>
  <c r="M1409" i="6"/>
  <c r="O1409" i="6" s="1"/>
  <c r="H1409" i="6"/>
  <c r="H1408" i="6"/>
  <c r="I1408" i="6" s="1"/>
  <c r="M1407" i="6"/>
  <c r="O1407" i="6" s="1"/>
  <c r="H1407" i="6"/>
  <c r="H1406" i="6"/>
  <c r="L1404" i="6"/>
  <c r="J1404" i="6"/>
  <c r="M1403" i="6"/>
  <c r="O1403" i="6" s="1"/>
  <c r="M1402" i="6"/>
  <c r="O1402" i="6" s="1"/>
  <c r="H1402" i="6"/>
  <c r="O1401" i="6"/>
  <c r="H1401" i="6"/>
  <c r="M1401" i="6" s="1"/>
  <c r="I1400" i="6"/>
  <c r="H1400" i="6"/>
  <c r="M1400" i="6" s="1"/>
  <c r="H1399" i="6"/>
  <c r="M1399" i="6" s="1"/>
  <c r="O1399" i="6" s="1"/>
  <c r="M1398" i="6"/>
  <c r="O1398" i="6" s="1"/>
  <c r="H1398" i="6"/>
  <c r="H1397" i="6"/>
  <c r="I1397" i="6" s="1"/>
  <c r="M1396" i="6"/>
  <c r="O1396" i="6" s="1"/>
  <c r="H1396" i="6"/>
  <c r="H1395" i="6"/>
  <c r="M1395" i="6" s="1"/>
  <c r="O1395" i="6" s="1"/>
  <c r="M1394" i="6"/>
  <c r="O1394" i="6" s="1"/>
  <c r="H1394" i="6"/>
  <c r="H1393" i="6"/>
  <c r="M1393" i="6" s="1"/>
  <c r="O1393" i="6" s="1"/>
  <c r="M1392" i="6"/>
  <c r="O1392" i="6" s="1"/>
  <c r="H1392" i="6"/>
  <c r="H1391" i="6"/>
  <c r="M1391" i="6" s="1"/>
  <c r="O1391" i="6" s="1"/>
  <c r="M1390" i="6"/>
  <c r="O1390" i="6" s="1"/>
  <c r="H1390" i="6"/>
  <c r="H1389" i="6"/>
  <c r="M1389" i="6" s="1"/>
  <c r="O1389" i="6" s="1"/>
  <c r="M1388" i="6"/>
  <c r="O1388" i="6" s="1"/>
  <c r="H1388" i="6"/>
  <c r="K1387" i="6"/>
  <c r="H1387" i="6"/>
  <c r="H1386" i="6"/>
  <c r="M1386" i="6" s="1"/>
  <c r="O1386" i="6" s="1"/>
  <c r="M1385" i="6"/>
  <c r="O1385" i="6" s="1"/>
  <c r="H1385" i="6"/>
  <c r="H1384" i="6"/>
  <c r="M1384" i="6" s="1"/>
  <c r="O1384" i="6" s="1"/>
  <c r="M1383" i="6"/>
  <c r="O1383" i="6" s="1"/>
  <c r="H1383" i="6"/>
  <c r="H1382" i="6"/>
  <c r="M1382" i="6" s="1"/>
  <c r="O1382" i="6" s="1"/>
  <c r="N1381" i="6"/>
  <c r="M1381" i="6"/>
  <c r="O1381" i="6" s="1"/>
  <c r="I1381" i="6"/>
  <c r="H1381" i="6"/>
  <c r="H1380" i="6"/>
  <c r="M1380" i="6" s="1"/>
  <c r="O1380" i="6" s="1"/>
  <c r="M1379" i="6"/>
  <c r="O1379" i="6" s="1"/>
  <c r="H1379" i="6"/>
  <c r="H1378" i="6"/>
  <c r="M1378" i="6" s="1"/>
  <c r="O1378" i="6" s="1"/>
  <c r="M1377" i="6"/>
  <c r="O1377" i="6" s="1"/>
  <c r="H1377" i="6"/>
  <c r="H1376" i="6"/>
  <c r="M1376" i="6" s="1"/>
  <c r="O1376" i="6" s="1"/>
  <c r="M1375" i="6"/>
  <c r="O1375" i="6" s="1"/>
  <c r="H1375" i="6"/>
  <c r="H1374" i="6"/>
  <c r="M1374" i="6" s="1"/>
  <c r="O1374" i="6" s="1"/>
  <c r="M1373" i="6"/>
  <c r="O1373" i="6" s="1"/>
  <c r="H1373" i="6"/>
  <c r="H1372" i="6"/>
  <c r="M1371" i="6"/>
  <c r="H1371" i="6"/>
  <c r="L1369" i="6"/>
  <c r="K1369" i="6"/>
  <c r="J1369" i="6"/>
  <c r="I1369" i="6"/>
  <c r="H1368" i="6"/>
  <c r="M1368" i="6" s="1"/>
  <c r="O1368" i="6" s="1"/>
  <c r="M1367" i="6"/>
  <c r="O1367" i="6" s="1"/>
  <c r="H1367" i="6"/>
  <c r="H1366" i="6"/>
  <c r="M1366" i="6" s="1"/>
  <c r="O1366" i="6" s="1"/>
  <c r="M1365" i="6"/>
  <c r="O1365" i="6" s="1"/>
  <c r="H1365" i="6"/>
  <c r="H1364" i="6"/>
  <c r="M1364" i="6" s="1"/>
  <c r="O1364" i="6" s="1"/>
  <c r="M1363" i="6"/>
  <c r="O1363" i="6" s="1"/>
  <c r="H1363" i="6"/>
  <c r="H1362" i="6"/>
  <c r="M1362" i="6" s="1"/>
  <c r="O1362" i="6" s="1"/>
  <c r="N1361" i="6"/>
  <c r="I1361" i="6"/>
  <c r="H1361" i="6"/>
  <c r="M1361" i="6" s="1"/>
  <c r="O1361" i="6" s="1"/>
  <c r="M1360" i="6"/>
  <c r="H1360" i="6"/>
  <c r="I1360" i="6" s="1"/>
  <c r="M1359" i="6"/>
  <c r="O1359" i="6" s="1"/>
  <c r="H1359" i="6"/>
  <c r="O1358" i="6"/>
  <c r="H1358" i="6"/>
  <c r="M1358" i="6" s="1"/>
  <c r="M1357" i="6"/>
  <c r="O1357" i="6" s="1"/>
  <c r="H1357" i="6"/>
  <c r="H1356" i="6"/>
  <c r="I1356" i="6" s="1"/>
  <c r="M1355" i="6"/>
  <c r="O1355" i="6" s="1"/>
  <c r="H1355" i="6"/>
  <c r="H1354" i="6"/>
  <c r="I1354" i="6" s="1"/>
  <c r="M1353" i="6"/>
  <c r="O1353" i="6" s="1"/>
  <c r="H1353" i="6"/>
  <c r="H1352" i="6"/>
  <c r="M1352" i="6" s="1"/>
  <c r="O1352" i="6" s="1"/>
  <c r="M1351" i="6"/>
  <c r="O1351" i="6" s="1"/>
  <c r="H1351" i="6"/>
  <c r="H1350" i="6"/>
  <c r="M1350" i="6" s="1"/>
  <c r="O1350" i="6" s="1"/>
  <c r="M1349" i="6"/>
  <c r="O1349" i="6" s="1"/>
  <c r="M1348" i="6"/>
  <c r="O1348" i="6" s="1"/>
  <c r="H1348" i="6"/>
  <c r="H1347" i="6"/>
  <c r="L1345" i="6"/>
  <c r="K1345" i="6"/>
  <c r="J1345" i="6"/>
  <c r="M1344" i="6"/>
  <c r="O1344" i="6" s="1"/>
  <c r="H1344" i="6"/>
  <c r="H1343" i="6"/>
  <c r="M1343" i="6" s="1"/>
  <c r="O1343" i="6" s="1"/>
  <c r="M1342" i="6"/>
  <c r="O1342" i="6" s="1"/>
  <c r="K1342" i="6"/>
  <c r="H1342" i="6"/>
  <c r="K1341" i="6"/>
  <c r="H1341" i="6"/>
  <c r="M1341" i="6" s="1"/>
  <c r="O1341" i="6" s="1"/>
  <c r="M1340" i="6"/>
  <c r="O1340" i="6" s="1"/>
  <c r="H1340" i="6"/>
  <c r="H1339" i="6"/>
  <c r="M1339" i="6" s="1"/>
  <c r="O1339" i="6" s="1"/>
  <c r="M1338" i="6"/>
  <c r="O1338" i="6" s="1"/>
  <c r="H1338" i="6"/>
  <c r="H1337" i="6"/>
  <c r="M1337" i="6" s="1"/>
  <c r="O1337" i="6" s="1"/>
  <c r="M1336" i="6"/>
  <c r="O1336" i="6" s="1"/>
  <c r="H1336" i="6"/>
  <c r="H1335" i="6"/>
  <c r="M1335" i="6" s="1"/>
  <c r="O1335" i="6" s="1"/>
  <c r="N1334" i="6"/>
  <c r="M1334" i="6"/>
  <c r="O1334" i="6" s="1"/>
  <c r="I1334" i="6"/>
  <c r="H1334" i="6"/>
  <c r="H1333" i="6"/>
  <c r="I1333" i="6" s="1"/>
  <c r="I1345" i="6" s="1"/>
  <c r="M1332" i="6"/>
  <c r="O1332" i="6" s="1"/>
  <c r="H1332" i="6"/>
  <c r="H1331" i="6"/>
  <c r="M1331" i="6" s="1"/>
  <c r="O1331" i="6" s="1"/>
  <c r="M1330" i="6"/>
  <c r="O1330" i="6" s="1"/>
  <c r="H1330" i="6"/>
  <c r="H1329" i="6"/>
  <c r="M1329" i="6" s="1"/>
  <c r="O1329" i="6" s="1"/>
  <c r="M1328" i="6"/>
  <c r="O1328" i="6" s="1"/>
  <c r="H1328" i="6"/>
  <c r="H1327" i="6"/>
  <c r="M1327" i="6" s="1"/>
  <c r="L1325" i="6"/>
  <c r="K1325" i="6"/>
  <c r="J1325" i="6"/>
  <c r="M1324" i="6"/>
  <c r="O1324" i="6" s="1"/>
  <c r="M1323" i="6"/>
  <c r="O1323" i="6" s="1"/>
  <c r="H1323" i="6"/>
  <c r="H1322" i="6"/>
  <c r="M1322" i="6" s="1"/>
  <c r="O1322" i="6" s="1"/>
  <c r="M1321" i="6"/>
  <c r="O1321" i="6" s="1"/>
  <c r="H1321" i="6"/>
  <c r="H1320" i="6"/>
  <c r="M1320" i="6" s="1"/>
  <c r="O1320" i="6" s="1"/>
  <c r="M1319" i="6"/>
  <c r="O1319" i="6" s="1"/>
  <c r="H1319" i="6"/>
  <c r="H1318" i="6"/>
  <c r="M1318" i="6" s="1"/>
  <c r="O1318" i="6" s="1"/>
  <c r="M1317" i="6"/>
  <c r="O1317" i="6" s="1"/>
  <c r="H1317" i="6"/>
  <c r="H1316" i="6"/>
  <c r="M1316" i="6" s="1"/>
  <c r="O1316" i="6" s="1"/>
  <c r="M1315" i="6"/>
  <c r="O1315" i="6" s="1"/>
  <c r="H1315" i="6"/>
  <c r="H1314" i="6"/>
  <c r="M1314" i="6" s="1"/>
  <c r="O1314" i="6" s="1"/>
  <c r="M1313" i="6"/>
  <c r="O1313" i="6" s="1"/>
  <c r="J1313" i="6"/>
  <c r="H1313" i="6"/>
  <c r="M1312" i="6"/>
  <c r="O1312" i="6" s="1"/>
  <c r="H1312" i="6"/>
  <c r="O1311" i="6"/>
  <c r="H1311" i="6"/>
  <c r="M1311" i="6" s="1"/>
  <c r="M1310" i="6"/>
  <c r="O1310" i="6" s="1"/>
  <c r="H1310" i="6"/>
  <c r="O1309" i="6"/>
  <c r="H1309" i="6"/>
  <c r="M1309" i="6" s="1"/>
  <c r="M1308" i="6"/>
  <c r="O1308" i="6" s="1"/>
  <c r="H1308" i="6"/>
  <c r="O1307" i="6"/>
  <c r="H1307" i="6"/>
  <c r="M1307" i="6" s="1"/>
  <c r="M1306" i="6"/>
  <c r="O1306" i="6" s="1"/>
  <c r="H1306" i="6"/>
  <c r="O1305" i="6"/>
  <c r="H1305" i="6"/>
  <c r="M1305" i="6" s="1"/>
  <c r="M1304" i="6"/>
  <c r="O1304" i="6" s="1"/>
  <c r="H1304" i="6"/>
  <c r="O1303" i="6"/>
  <c r="M1303" i="6"/>
  <c r="H1302" i="6"/>
  <c r="M1302" i="6" s="1"/>
  <c r="O1302" i="6" s="1"/>
  <c r="M1301" i="6"/>
  <c r="O1301" i="6" s="1"/>
  <c r="H1301" i="6"/>
  <c r="M1300" i="6"/>
  <c r="H1300" i="6"/>
  <c r="I1300" i="6" s="1"/>
  <c r="I1299" i="6"/>
  <c r="H1299" i="6"/>
  <c r="M1299" i="6" s="1"/>
  <c r="L1297" i="6"/>
  <c r="K1297" i="6"/>
  <c r="J1297" i="6"/>
  <c r="O1296" i="6"/>
  <c r="M1296" i="6"/>
  <c r="N1296" i="6" s="1"/>
  <c r="H1296" i="6"/>
  <c r="I1296" i="6" s="1"/>
  <c r="M1295" i="6"/>
  <c r="O1295" i="6" s="1"/>
  <c r="H1295" i="6"/>
  <c r="O1294" i="6"/>
  <c r="H1294" i="6"/>
  <c r="M1294" i="6" s="1"/>
  <c r="M1293" i="6"/>
  <c r="O1293" i="6" s="1"/>
  <c r="H1293" i="6"/>
  <c r="O1292" i="6"/>
  <c r="H1292" i="6"/>
  <c r="M1292" i="6" s="1"/>
  <c r="M1291" i="6"/>
  <c r="O1291" i="6" s="1"/>
  <c r="H1291" i="6"/>
  <c r="O1290" i="6"/>
  <c r="H1290" i="6"/>
  <c r="M1290" i="6" s="1"/>
  <c r="M1289" i="6"/>
  <c r="O1289" i="6" s="1"/>
  <c r="H1289" i="6"/>
  <c r="H1288" i="6"/>
  <c r="I1288" i="6" s="1"/>
  <c r="I1297" i="6" s="1"/>
  <c r="M1287" i="6"/>
  <c r="O1287" i="6" s="1"/>
  <c r="H1287" i="6"/>
  <c r="H1286" i="6"/>
  <c r="M1286" i="6" s="1"/>
  <c r="O1286" i="6" s="1"/>
  <c r="M1285" i="6"/>
  <c r="O1285" i="6" s="1"/>
  <c r="H1285" i="6"/>
  <c r="H1284" i="6"/>
  <c r="M1284" i="6" s="1"/>
  <c r="O1284" i="6" s="1"/>
  <c r="M1283" i="6"/>
  <c r="O1283" i="6" s="1"/>
  <c r="M1282" i="6"/>
  <c r="O1282" i="6" s="1"/>
  <c r="H1282" i="6"/>
  <c r="H1281" i="6"/>
  <c r="M1281" i="6" s="1"/>
  <c r="O1281" i="6" s="1"/>
  <c r="M1280" i="6"/>
  <c r="O1280" i="6" s="1"/>
  <c r="H1280" i="6"/>
  <c r="H1279" i="6"/>
  <c r="M1279" i="6" s="1"/>
  <c r="O1279" i="6" s="1"/>
  <c r="M1278" i="6"/>
  <c r="O1278" i="6" s="1"/>
  <c r="H1278" i="6"/>
  <c r="H1277" i="6"/>
  <c r="M1277" i="6" s="1"/>
  <c r="O1277" i="6" s="1"/>
  <c r="M1276" i="6"/>
  <c r="O1276" i="6" s="1"/>
  <c r="H1276" i="6"/>
  <c r="H1275" i="6"/>
  <c r="L1273" i="6"/>
  <c r="J1273" i="6"/>
  <c r="K1272" i="6"/>
  <c r="K1273" i="6" s="1"/>
  <c r="H1272" i="6"/>
  <c r="M1272" i="6" s="1"/>
  <c r="O1272" i="6" s="1"/>
  <c r="M1271" i="6"/>
  <c r="O1271" i="6" s="1"/>
  <c r="H1271" i="6"/>
  <c r="H1270" i="6"/>
  <c r="M1270" i="6" s="1"/>
  <c r="O1270" i="6" s="1"/>
  <c r="M1269" i="6"/>
  <c r="O1269" i="6" s="1"/>
  <c r="H1269" i="6"/>
  <c r="H1268" i="6"/>
  <c r="M1268" i="6" s="1"/>
  <c r="O1268" i="6" s="1"/>
  <c r="M1267" i="6"/>
  <c r="O1267" i="6" s="1"/>
  <c r="H1267" i="6"/>
  <c r="H1266" i="6"/>
  <c r="M1266" i="6" s="1"/>
  <c r="O1266" i="6" s="1"/>
  <c r="M1265" i="6"/>
  <c r="O1265" i="6" s="1"/>
  <c r="H1265" i="6"/>
  <c r="H1264" i="6"/>
  <c r="M1264" i="6" s="1"/>
  <c r="O1264" i="6" s="1"/>
  <c r="M1263" i="6"/>
  <c r="O1263" i="6" s="1"/>
  <c r="H1263" i="6"/>
  <c r="H1262" i="6"/>
  <c r="M1262" i="6" s="1"/>
  <c r="O1262" i="6" s="1"/>
  <c r="M1261" i="6"/>
  <c r="O1261" i="6" s="1"/>
  <c r="H1261" i="6"/>
  <c r="H1260" i="6"/>
  <c r="M1260" i="6" s="1"/>
  <c r="O1260" i="6" s="1"/>
  <c r="M1259" i="6"/>
  <c r="O1259" i="6" s="1"/>
  <c r="H1259" i="6"/>
  <c r="H1258" i="6"/>
  <c r="M1257" i="6"/>
  <c r="O1257" i="6" s="1"/>
  <c r="H1257" i="6"/>
  <c r="H1256" i="6"/>
  <c r="M1256" i="6" s="1"/>
  <c r="O1256" i="6" s="1"/>
  <c r="M1255" i="6"/>
  <c r="O1255" i="6" s="1"/>
  <c r="H1255" i="6"/>
  <c r="M1254" i="6"/>
  <c r="H1254" i="6"/>
  <c r="I1254" i="6" s="1"/>
  <c r="M1253" i="6"/>
  <c r="O1253" i="6" s="1"/>
  <c r="H1253" i="6"/>
  <c r="O1252" i="6"/>
  <c r="H1252" i="6"/>
  <c r="M1252" i="6" s="1"/>
  <c r="M1251" i="6"/>
  <c r="O1251" i="6" s="1"/>
  <c r="H1251" i="6"/>
  <c r="O1250" i="6"/>
  <c r="H1250" i="6"/>
  <c r="M1250" i="6" s="1"/>
  <c r="M1249" i="6"/>
  <c r="O1249" i="6" s="1"/>
  <c r="H1249" i="6"/>
  <c r="H1248" i="6"/>
  <c r="I1248" i="6" s="1"/>
  <c r="M1247" i="6"/>
  <c r="O1247" i="6" s="1"/>
  <c r="H1247" i="6"/>
  <c r="H1246" i="6"/>
  <c r="M1245" i="6"/>
  <c r="H1245" i="6"/>
  <c r="N1243" i="6"/>
  <c r="L1243" i="6"/>
  <c r="K1243" i="6"/>
  <c r="J1243" i="6"/>
  <c r="I1243" i="6"/>
  <c r="H1242" i="6"/>
  <c r="M1242" i="6" s="1"/>
  <c r="O1242" i="6" s="1"/>
  <c r="M1241" i="6"/>
  <c r="O1241" i="6" s="1"/>
  <c r="H1241" i="6"/>
  <c r="H1240" i="6"/>
  <c r="M1240" i="6" s="1"/>
  <c r="O1240" i="6" s="1"/>
  <c r="M1239" i="6"/>
  <c r="O1239" i="6" s="1"/>
  <c r="H1239" i="6"/>
  <c r="H1238" i="6"/>
  <c r="M1238" i="6" s="1"/>
  <c r="O1238" i="6" s="1"/>
  <c r="M1237" i="6"/>
  <c r="O1237" i="6" s="1"/>
  <c r="H1237" i="6"/>
  <c r="H1236" i="6"/>
  <c r="M1236" i="6" s="1"/>
  <c r="O1236" i="6" s="1"/>
  <c r="M1235" i="6"/>
  <c r="O1235" i="6" s="1"/>
  <c r="H1235" i="6"/>
  <c r="H1234" i="6"/>
  <c r="M1234" i="6" s="1"/>
  <c r="O1234" i="6" s="1"/>
  <c r="M1233" i="6"/>
  <c r="O1233" i="6" s="1"/>
  <c r="H1233" i="6"/>
  <c r="H1232" i="6"/>
  <c r="M1232" i="6" s="1"/>
  <c r="O1232" i="6" s="1"/>
  <c r="M1231" i="6"/>
  <c r="O1231" i="6" s="1"/>
  <c r="H1231" i="6"/>
  <c r="H1230" i="6"/>
  <c r="M1230" i="6" s="1"/>
  <c r="O1230" i="6" s="1"/>
  <c r="M1229" i="6"/>
  <c r="O1229" i="6" s="1"/>
  <c r="H1229" i="6"/>
  <c r="H1228" i="6"/>
  <c r="L1226" i="6"/>
  <c r="J1226" i="6"/>
  <c r="M1225" i="6"/>
  <c r="O1225" i="6" s="1"/>
  <c r="H1225" i="6"/>
  <c r="O1224" i="6"/>
  <c r="H1224" i="6"/>
  <c r="M1224" i="6" s="1"/>
  <c r="M1223" i="6"/>
  <c r="O1223" i="6" s="1"/>
  <c r="M1222" i="6"/>
  <c r="O1222" i="6" s="1"/>
  <c r="H1222" i="6"/>
  <c r="O1221" i="6"/>
  <c r="H1221" i="6"/>
  <c r="M1221" i="6" s="1"/>
  <c r="M1220" i="6"/>
  <c r="O1220" i="6" s="1"/>
  <c r="H1220" i="6"/>
  <c r="O1219" i="6"/>
  <c r="H1219" i="6"/>
  <c r="M1219" i="6" s="1"/>
  <c r="M1218" i="6"/>
  <c r="O1218" i="6" s="1"/>
  <c r="H1218" i="6"/>
  <c r="O1217" i="6"/>
  <c r="H1217" i="6"/>
  <c r="M1217" i="6" s="1"/>
  <c r="M1216" i="6"/>
  <c r="O1216" i="6" s="1"/>
  <c r="H1216" i="6"/>
  <c r="O1215" i="6"/>
  <c r="H1215" i="6"/>
  <c r="M1215" i="6" s="1"/>
  <c r="M1214" i="6"/>
  <c r="O1214" i="6" s="1"/>
  <c r="H1214" i="6"/>
  <c r="O1213" i="6"/>
  <c r="H1213" i="6"/>
  <c r="M1213" i="6" s="1"/>
  <c r="M1212" i="6"/>
  <c r="O1212" i="6" s="1"/>
  <c r="H1212" i="6"/>
  <c r="H1211" i="6"/>
  <c r="M1210" i="6"/>
  <c r="O1210" i="6" s="1"/>
  <c r="H1210" i="6"/>
  <c r="H1209" i="6"/>
  <c r="M1209" i="6" s="1"/>
  <c r="O1209" i="6" s="1"/>
  <c r="M1208" i="6"/>
  <c r="O1208" i="6" s="1"/>
  <c r="H1208" i="6"/>
  <c r="O1207" i="6"/>
  <c r="M1207" i="6"/>
  <c r="O1206" i="6"/>
  <c r="H1206" i="6"/>
  <c r="M1206" i="6" s="1"/>
  <c r="I1205" i="6"/>
  <c r="H1205" i="6"/>
  <c r="M1205" i="6" s="1"/>
  <c r="O1204" i="6"/>
  <c r="H1204" i="6"/>
  <c r="M1204" i="6" s="1"/>
  <c r="K1203" i="6"/>
  <c r="K1226" i="6" s="1"/>
  <c r="H1203" i="6"/>
  <c r="M1203" i="6" s="1"/>
  <c r="O1203" i="6" s="1"/>
  <c r="I1202" i="6"/>
  <c r="H1202" i="6"/>
  <c r="M1202" i="6" s="1"/>
  <c r="H1201" i="6"/>
  <c r="M1200" i="6"/>
  <c r="O1200" i="6" s="1"/>
  <c r="H1200" i="6"/>
  <c r="H1199" i="6"/>
  <c r="M1199" i="6" s="1"/>
  <c r="O1199" i="6" s="1"/>
  <c r="M1198" i="6"/>
  <c r="O1198" i="6" s="1"/>
  <c r="H1198" i="6"/>
  <c r="M1197" i="6"/>
  <c r="H1197" i="6"/>
  <c r="I1197" i="6" s="1"/>
  <c r="L1195" i="6"/>
  <c r="J1195" i="6"/>
  <c r="N1194" i="6"/>
  <c r="M1194" i="6"/>
  <c r="O1194" i="6" s="1"/>
  <c r="I1194" i="6"/>
  <c r="H1194" i="6"/>
  <c r="H1193" i="6"/>
  <c r="M1193" i="6" s="1"/>
  <c r="O1193" i="6" s="1"/>
  <c r="M1192" i="6"/>
  <c r="O1192" i="6" s="1"/>
  <c r="H1192" i="6"/>
  <c r="H1191" i="6"/>
  <c r="M1191" i="6" s="1"/>
  <c r="O1191" i="6" s="1"/>
  <c r="M1190" i="6"/>
  <c r="O1190" i="6" s="1"/>
  <c r="H1190" i="6"/>
  <c r="H1189" i="6"/>
  <c r="M1188" i="6"/>
  <c r="O1188" i="6" s="1"/>
  <c r="H1188" i="6"/>
  <c r="H1187" i="6"/>
  <c r="M1187" i="6" s="1"/>
  <c r="O1187" i="6" s="1"/>
  <c r="M1186" i="6"/>
  <c r="O1186" i="6" s="1"/>
  <c r="H1186" i="6"/>
  <c r="H1185" i="6"/>
  <c r="M1185" i="6" s="1"/>
  <c r="O1185" i="6" s="1"/>
  <c r="M1184" i="6"/>
  <c r="O1184" i="6" s="1"/>
  <c r="H1184" i="6"/>
  <c r="H1183" i="6"/>
  <c r="M1183" i="6" s="1"/>
  <c r="O1183" i="6" s="1"/>
  <c r="M1182" i="6"/>
  <c r="O1182" i="6" s="1"/>
  <c r="H1182" i="6"/>
  <c r="H1181" i="6"/>
  <c r="M1181" i="6" s="1"/>
  <c r="O1181" i="6" s="1"/>
  <c r="O1180" i="6"/>
  <c r="M1180" i="6"/>
  <c r="H1180" i="6"/>
  <c r="O1179" i="6"/>
  <c r="M1179" i="6"/>
  <c r="H1179" i="6"/>
  <c r="H1178" i="6"/>
  <c r="M1178" i="6" s="1"/>
  <c r="O1178" i="6" s="1"/>
  <c r="O1177" i="6"/>
  <c r="H1177" i="6"/>
  <c r="M1177" i="6" s="1"/>
  <c r="M1176" i="6"/>
  <c r="O1176" i="6" s="1"/>
  <c r="H1176" i="6"/>
  <c r="M1175" i="6"/>
  <c r="O1175" i="6" s="1"/>
  <c r="K1175" i="6"/>
  <c r="K1195" i="6" s="1"/>
  <c r="H1175" i="6"/>
  <c r="H1174" i="6"/>
  <c r="M1174" i="6" s="1"/>
  <c r="O1174" i="6" s="1"/>
  <c r="M1173" i="6"/>
  <c r="O1173" i="6" s="1"/>
  <c r="H1173" i="6"/>
  <c r="H1172" i="6"/>
  <c r="M1172" i="6" s="1"/>
  <c r="O1172" i="6" s="1"/>
  <c r="O1171" i="6"/>
  <c r="M1171" i="6"/>
  <c r="H1171" i="6"/>
  <c r="O1170" i="6"/>
  <c r="M1170" i="6"/>
  <c r="H1170" i="6"/>
  <c r="H1169" i="6"/>
  <c r="M1169" i="6" s="1"/>
  <c r="O1169" i="6" s="1"/>
  <c r="I1168" i="6"/>
  <c r="H1168" i="6"/>
  <c r="M1168" i="6" s="1"/>
  <c r="O1168" i="6" s="1"/>
  <c r="L1166" i="6"/>
  <c r="J1166" i="6"/>
  <c r="M1165" i="6"/>
  <c r="O1165" i="6" s="1"/>
  <c r="H1165" i="6"/>
  <c r="H1164" i="6"/>
  <c r="M1164" i="6" s="1"/>
  <c r="O1164" i="6" s="1"/>
  <c r="H1163" i="6"/>
  <c r="M1163" i="6" s="1"/>
  <c r="O1163" i="6" s="1"/>
  <c r="O1162" i="6"/>
  <c r="H1162" i="6"/>
  <c r="M1162" i="6" s="1"/>
  <c r="M1161" i="6"/>
  <c r="O1161" i="6" s="1"/>
  <c r="H1161" i="6"/>
  <c r="O1160" i="6"/>
  <c r="H1160" i="6"/>
  <c r="M1160" i="6" s="1"/>
  <c r="M1159" i="6"/>
  <c r="O1159" i="6" s="1"/>
  <c r="H1159" i="6"/>
  <c r="H1158" i="6"/>
  <c r="M1158" i="6" s="1"/>
  <c r="O1158" i="6" s="1"/>
  <c r="H1157" i="6"/>
  <c r="H1156" i="6"/>
  <c r="H1155" i="6"/>
  <c r="M1155" i="6" s="1"/>
  <c r="O1155" i="6" s="1"/>
  <c r="M1154" i="6"/>
  <c r="I1154" i="6"/>
  <c r="H1154" i="6"/>
  <c r="H1153" i="6"/>
  <c r="I1153" i="6" s="1"/>
  <c r="N1152" i="6"/>
  <c r="H1152" i="6"/>
  <c r="M1152" i="6" s="1"/>
  <c r="O1152" i="6" s="1"/>
  <c r="M1151" i="6"/>
  <c r="H1151" i="6"/>
  <c r="I1151" i="6" s="1"/>
  <c r="M1150" i="6"/>
  <c r="I1150" i="6"/>
  <c r="H1150" i="6"/>
  <c r="M1149" i="6"/>
  <c r="O1149" i="6" s="1"/>
  <c r="H1149" i="6"/>
  <c r="M1148" i="6"/>
  <c r="O1148" i="6" s="1"/>
  <c r="H1148" i="6"/>
  <c r="O1147" i="6"/>
  <c r="H1147" i="6"/>
  <c r="M1147" i="6" s="1"/>
  <c r="O1146" i="6"/>
  <c r="M1146" i="6"/>
  <c r="H1146" i="6"/>
  <c r="H1145" i="6"/>
  <c r="H1144" i="6"/>
  <c r="H1143" i="6"/>
  <c r="M1143" i="6" s="1"/>
  <c r="O1143" i="6" s="1"/>
  <c r="M1142" i="6"/>
  <c r="O1142" i="6" s="1"/>
  <c r="H1142" i="6"/>
  <c r="K1141" i="6"/>
  <c r="M1141" i="6" s="1"/>
  <c r="O1141" i="6" s="1"/>
  <c r="H1141" i="6"/>
  <c r="M1140" i="6"/>
  <c r="H1140" i="6"/>
  <c r="I1140" i="6" s="1"/>
  <c r="O1139" i="6"/>
  <c r="M1139" i="6"/>
  <c r="H1139" i="6"/>
  <c r="H1138" i="6"/>
  <c r="M1137" i="6"/>
  <c r="O1137" i="6" s="1"/>
  <c r="H1137" i="6"/>
  <c r="O1136" i="6"/>
  <c r="H1136" i="6"/>
  <c r="M1136" i="6" s="1"/>
  <c r="M1135" i="6"/>
  <c r="I1135" i="6"/>
  <c r="H1135" i="6"/>
  <c r="M1134" i="6"/>
  <c r="O1134" i="6" s="1"/>
  <c r="H1134" i="6"/>
  <c r="K1133" i="6"/>
  <c r="H1133" i="6"/>
  <c r="M1133" i="6" s="1"/>
  <c r="O1133" i="6" s="1"/>
  <c r="H1132" i="6"/>
  <c r="M1132" i="6" s="1"/>
  <c r="O1132" i="6" s="1"/>
  <c r="K1131" i="6"/>
  <c r="M1130" i="6"/>
  <c r="O1130" i="6" s="1"/>
  <c r="H1130" i="6"/>
  <c r="H1129" i="6"/>
  <c r="M1129" i="6" s="1"/>
  <c r="O1129" i="6" s="1"/>
  <c r="H1128" i="6"/>
  <c r="M1128" i="6" s="1"/>
  <c r="O1128" i="6" s="1"/>
  <c r="H1127" i="6"/>
  <c r="H1126" i="6"/>
  <c r="L1124" i="6"/>
  <c r="K1124" i="6"/>
  <c r="J1124" i="6"/>
  <c r="M1123" i="6"/>
  <c r="O1123" i="6" s="1"/>
  <c r="H1123" i="6"/>
  <c r="N1122" i="6"/>
  <c r="M1122" i="6"/>
  <c r="O1122" i="6" s="1"/>
  <c r="I1122" i="6"/>
  <c r="H1122" i="6"/>
  <c r="H1121" i="6"/>
  <c r="M1121" i="6" s="1"/>
  <c r="O1121" i="6" s="1"/>
  <c r="M1120" i="6"/>
  <c r="O1120" i="6" s="1"/>
  <c r="I1120" i="6"/>
  <c r="H1120" i="6"/>
  <c r="M1119" i="6"/>
  <c r="O1119" i="6" s="1"/>
  <c r="H1119" i="6"/>
  <c r="N1118" i="6"/>
  <c r="M1118" i="6"/>
  <c r="O1118" i="6" s="1"/>
  <c r="I1118" i="6"/>
  <c r="H1118" i="6"/>
  <c r="O1117" i="6"/>
  <c r="H1117" i="6"/>
  <c r="M1117" i="6" s="1"/>
  <c r="H1116" i="6"/>
  <c r="M1116" i="6" s="1"/>
  <c r="O1116" i="6" s="1"/>
  <c r="H1115" i="6"/>
  <c r="M1115" i="6" s="1"/>
  <c r="O1115" i="6" s="1"/>
  <c r="M1114" i="6"/>
  <c r="O1114" i="6" s="1"/>
  <c r="H1114" i="6"/>
  <c r="H1113" i="6"/>
  <c r="M1113" i="6" s="1"/>
  <c r="O1113" i="6" s="1"/>
  <c r="M1112" i="6"/>
  <c r="O1112" i="6" s="1"/>
  <c r="O1111" i="6"/>
  <c r="M1111" i="6"/>
  <c r="H1111" i="6"/>
  <c r="M1110" i="6"/>
  <c r="O1110" i="6" s="1"/>
  <c r="H1110" i="6"/>
  <c r="M1109" i="6"/>
  <c r="O1109" i="6" s="1"/>
  <c r="H1109" i="6"/>
  <c r="K1108" i="6"/>
  <c r="H1108" i="6"/>
  <c r="M1108" i="6" s="1"/>
  <c r="O1108" i="6" s="1"/>
  <c r="H1107" i="6"/>
  <c r="H1106" i="6"/>
  <c r="M1106" i="6" s="1"/>
  <c r="O1106" i="6" s="1"/>
  <c r="H1105" i="6"/>
  <c r="M1105" i="6" s="1"/>
  <c r="O1105" i="6" s="1"/>
  <c r="M1104" i="6"/>
  <c r="O1104" i="6" s="1"/>
  <c r="H1104" i="6"/>
  <c r="O1103" i="6"/>
  <c r="M1103" i="6"/>
  <c r="N1103" i="6" s="1"/>
  <c r="H1103" i="6"/>
  <c r="I1103" i="6" s="1"/>
  <c r="O1102" i="6"/>
  <c r="N1102" i="6"/>
  <c r="I1102" i="6"/>
  <c r="H1102" i="6"/>
  <c r="M1102" i="6" s="1"/>
  <c r="O1101" i="6"/>
  <c r="H1101" i="6"/>
  <c r="M1101" i="6" s="1"/>
  <c r="O1100" i="6"/>
  <c r="M1100" i="6"/>
  <c r="H1100" i="6"/>
  <c r="H1099" i="6"/>
  <c r="M1098" i="6"/>
  <c r="O1098" i="6" s="1"/>
  <c r="H1098" i="6"/>
  <c r="O1097" i="6"/>
  <c r="M1097" i="6"/>
  <c r="N1097" i="6" s="1"/>
  <c r="H1097" i="6"/>
  <c r="I1097" i="6" s="1"/>
  <c r="O1096" i="6"/>
  <c r="M1096" i="6"/>
  <c r="H1096" i="6"/>
  <c r="H1095" i="6"/>
  <c r="I1095" i="6" s="1"/>
  <c r="M1094" i="6"/>
  <c r="O1094" i="6" s="1"/>
  <c r="H1094" i="6"/>
  <c r="H1093" i="6"/>
  <c r="M1093" i="6" s="1"/>
  <c r="O1093" i="6" s="1"/>
  <c r="H1092" i="6"/>
  <c r="M1092" i="6" s="1"/>
  <c r="O1092" i="6" s="1"/>
  <c r="H1091" i="6"/>
  <c r="M1091" i="6" s="1"/>
  <c r="O1091" i="6" s="1"/>
  <c r="H1090" i="6"/>
  <c r="H1089" i="6"/>
  <c r="M1089" i="6" s="1"/>
  <c r="O1089" i="6" s="1"/>
  <c r="M1088" i="6"/>
  <c r="O1088" i="6" s="1"/>
  <c r="H1088" i="6"/>
  <c r="M1087" i="6"/>
  <c r="H1087" i="6"/>
  <c r="I1087" i="6" s="1"/>
  <c r="N1085" i="6"/>
  <c r="L1085" i="6"/>
  <c r="K1085" i="6"/>
  <c r="J1085" i="6"/>
  <c r="I1085" i="6"/>
  <c r="H1084" i="6"/>
  <c r="M1084" i="6" s="1"/>
  <c r="O1084" i="6" s="1"/>
  <c r="H1083" i="6"/>
  <c r="M1083" i="6" s="1"/>
  <c r="O1083" i="6" s="1"/>
  <c r="M1082" i="6"/>
  <c r="O1082" i="6" s="1"/>
  <c r="H1082" i="6"/>
  <c r="H1081" i="6"/>
  <c r="M1081" i="6" s="1"/>
  <c r="O1081" i="6" s="1"/>
  <c r="H1080" i="6"/>
  <c r="M1080" i="6" s="1"/>
  <c r="O1080" i="6" s="1"/>
  <c r="H1079" i="6"/>
  <c r="M1079" i="6" s="1"/>
  <c r="O1079" i="6" s="1"/>
  <c r="M1078" i="6"/>
  <c r="O1078" i="6" s="1"/>
  <c r="H1078" i="6"/>
  <c r="O1077" i="6"/>
  <c r="H1077" i="6"/>
  <c r="M1077" i="6" s="1"/>
  <c r="H1076" i="6"/>
  <c r="M1076" i="6" s="1"/>
  <c r="O1076" i="6" s="1"/>
  <c r="H1075" i="6"/>
  <c r="M1075" i="6" s="1"/>
  <c r="O1075" i="6" s="1"/>
  <c r="M1074" i="6"/>
  <c r="O1074" i="6" s="1"/>
  <c r="H1074" i="6"/>
  <c r="H1073" i="6"/>
  <c r="M1073" i="6" s="1"/>
  <c r="O1073" i="6" s="1"/>
  <c r="H1072" i="6"/>
  <c r="M1072" i="6" s="1"/>
  <c r="O1072" i="6" s="1"/>
  <c r="H1071" i="6"/>
  <c r="M1071" i="6" s="1"/>
  <c r="O1071" i="6" s="1"/>
  <c r="M1070" i="6"/>
  <c r="O1070" i="6" s="1"/>
  <c r="H1070" i="6"/>
  <c r="H1069" i="6"/>
  <c r="M1069" i="6" s="1"/>
  <c r="O1069" i="6" s="1"/>
  <c r="H1068" i="6"/>
  <c r="M1068" i="6" s="1"/>
  <c r="O1068" i="6" s="1"/>
  <c r="H1067" i="6"/>
  <c r="M1067" i="6" s="1"/>
  <c r="O1067" i="6" s="1"/>
  <c r="M1066" i="6"/>
  <c r="O1066" i="6" s="1"/>
  <c r="H1066" i="6"/>
  <c r="H1065" i="6"/>
  <c r="M1065" i="6" s="1"/>
  <c r="O1065" i="6" s="1"/>
  <c r="H1064" i="6"/>
  <c r="M1064" i="6" s="1"/>
  <c r="O1064" i="6" s="1"/>
  <c r="H1063" i="6"/>
  <c r="M1063" i="6" s="1"/>
  <c r="O1063" i="6" s="1"/>
  <c r="M1062" i="6"/>
  <c r="O1062" i="6" s="1"/>
  <c r="H1062" i="6"/>
  <c r="O1061" i="6"/>
  <c r="H1061" i="6"/>
  <c r="M1061" i="6" s="1"/>
  <c r="H1060" i="6"/>
  <c r="M1060" i="6" s="1"/>
  <c r="O1060" i="6" s="1"/>
  <c r="H1059" i="6"/>
  <c r="M1059" i="6" s="1"/>
  <c r="O1059" i="6" s="1"/>
  <c r="M1058" i="6"/>
  <c r="O1058" i="6" s="1"/>
  <c r="H1058" i="6"/>
  <c r="H1057" i="6"/>
  <c r="M1057" i="6" s="1"/>
  <c r="O1057" i="6" s="1"/>
  <c r="H1056" i="6"/>
  <c r="M1056" i="6" s="1"/>
  <c r="O1056" i="6" s="1"/>
  <c r="H1055" i="6"/>
  <c r="M1055" i="6" s="1"/>
  <c r="O1055" i="6" s="1"/>
  <c r="M1054" i="6"/>
  <c r="O1054" i="6" s="1"/>
  <c r="H1054" i="6"/>
  <c r="O1053" i="6"/>
  <c r="H1053" i="6"/>
  <c r="M1053" i="6" s="1"/>
  <c r="L1051" i="6"/>
  <c r="J1051" i="6"/>
  <c r="H1051" i="6"/>
  <c r="G1051" i="6" s="1"/>
  <c r="K1050" i="6"/>
  <c r="H1050" i="6"/>
  <c r="M1050" i="6" s="1"/>
  <c r="O1050" i="6" s="1"/>
  <c r="O1049" i="6"/>
  <c r="M1049" i="6"/>
  <c r="H1049" i="6"/>
  <c r="M1048" i="6"/>
  <c r="O1048" i="6" s="1"/>
  <c r="H1048" i="6"/>
  <c r="M1047" i="6"/>
  <c r="O1047" i="6" s="1"/>
  <c r="H1047" i="6"/>
  <c r="O1046" i="6"/>
  <c r="H1046" i="6"/>
  <c r="M1046" i="6" s="1"/>
  <c r="O1045" i="6"/>
  <c r="M1045" i="6"/>
  <c r="H1045" i="6"/>
  <c r="M1044" i="6"/>
  <c r="O1044" i="6" s="1"/>
  <c r="H1044" i="6"/>
  <c r="M1043" i="6"/>
  <c r="O1043" i="6" s="1"/>
  <c r="H1043" i="6"/>
  <c r="O1042" i="6"/>
  <c r="M1042" i="6"/>
  <c r="N1042" i="6" s="1"/>
  <c r="I1042" i="6"/>
  <c r="H1042" i="6"/>
  <c r="N1041" i="6"/>
  <c r="M1041" i="6"/>
  <c r="O1041" i="6" s="1"/>
  <c r="I1041" i="6"/>
  <c r="H1041" i="6"/>
  <c r="O1040" i="6"/>
  <c r="M1040" i="6"/>
  <c r="N1040" i="6" s="1"/>
  <c r="H1040" i="6"/>
  <c r="I1040" i="6" s="1"/>
  <c r="I1051" i="6" s="1"/>
  <c r="O1039" i="6"/>
  <c r="M1039" i="6"/>
  <c r="H1039" i="6"/>
  <c r="M1038" i="6"/>
  <c r="O1038" i="6" s="1"/>
  <c r="H1038" i="6"/>
  <c r="M1037" i="6"/>
  <c r="O1037" i="6" s="1"/>
  <c r="H1037" i="6"/>
  <c r="O1036" i="6"/>
  <c r="H1036" i="6"/>
  <c r="M1036" i="6" s="1"/>
  <c r="O1035" i="6"/>
  <c r="M1035" i="6"/>
  <c r="H1035" i="6"/>
  <c r="M1034" i="6"/>
  <c r="O1034" i="6" s="1"/>
  <c r="K1034" i="6"/>
  <c r="K1051" i="6" s="1"/>
  <c r="H1034" i="6"/>
  <c r="M1033" i="6"/>
  <c r="O1033" i="6" s="1"/>
  <c r="H1033" i="6"/>
  <c r="M1032" i="6"/>
  <c r="O1032" i="6" s="1"/>
  <c r="H1032" i="6"/>
  <c r="O1031" i="6"/>
  <c r="H1031" i="6"/>
  <c r="M1031" i="6" s="1"/>
  <c r="L1029" i="6"/>
  <c r="J1029" i="6"/>
  <c r="M1028" i="6"/>
  <c r="O1028" i="6" s="1"/>
  <c r="H1028" i="6"/>
  <c r="O1027" i="6"/>
  <c r="H1027" i="6"/>
  <c r="M1027" i="6" s="1"/>
  <c r="O1026" i="6"/>
  <c r="M1026" i="6"/>
  <c r="H1026" i="6"/>
  <c r="M1025" i="6"/>
  <c r="O1025" i="6" s="1"/>
  <c r="H1025" i="6"/>
  <c r="M1024" i="6"/>
  <c r="O1024" i="6" s="1"/>
  <c r="H1024" i="6"/>
  <c r="O1023" i="6"/>
  <c r="H1023" i="6"/>
  <c r="M1023" i="6" s="1"/>
  <c r="O1022" i="6"/>
  <c r="M1022" i="6"/>
  <c r="H1022" i="6"/>
  <c r="M1021" i="6"/>
  <c r="O1021" i="6" s="1"/>
  <c r="H1021" i="6"/>
  <c r="M1020" i="6"/>
  <c r="O1020" i="6" s="1"/>
  <c r="H1020" i="6"/>
  <c r="O1019" i="6"/>
  <c r="H1019" i="6"/>
  <c r="M1019" i="6" s="1"/>
  <c r="O1018" i="6"/>
  <c r="M1018" i="6"/>
  <c r="H1018" i="6"/>
  <c r="M1017" i="6"/>
  <c r="O1017" i="6" s="1"/>
  <c r="H1017" i="6"/>
  <c r="M1016" i="6"/>
  <c r="O1016" i="6" s="1"/>
  <c r="H1016" i="6"/>
  <c r="O1015" i="6"/>
  <c r="H1015" i="6"/>
  <c r="M1015" i="6" s="1"/>
  <c r="O1014" i="6"/>
  <c r="I1014" i="6"/>
  <c r="H1014" i="6"/>
  <c r="M1014" i="6" s="1"/>
  <c r="N1014" i="6" s="1"/>
  <c r="O1013" i="6"/>
  <c r="H1013" i="6"/>
  <c r="M1013" i="6" s="1"/>
  <c r="O1012" i="6"/>
  <c r="M1012" i="6"/>
  <c r="H1012" i="6"/>
  <c r="M1011" i="6"/>
  <c r="O1011" i="6" s="1"/>
  <c r="H1011" i="6"/>
  <c r="M1010" i="6"/>
  <c r="O1010" i="6" s="1"/>
  <c r="H1010" i="6"/>
  <c r="O1009" i="6"/>
  <c r="M1009" i="6"/>
  <c r="N1009" i="6" s="1"/>
  <c r="I1009" i="6"/>
  <c r="H1009" i="6"/>
  <c r="M1008" i="6"/>
  <c r="O1008" i="6" s="1"/>
  <c r="H1008" i="6"/>
  <c r="I1007" i="6"/>
  <c r="H1007" i="6"/>
  <c r="M1007" i="6" s="1"/>
  <c r="M1006" i="6"/>
  <c r="O1006" i="6" s="1"/>
  <c r="H1006" i="6"/>
  <c r="O1005" i="6"/>
  <c r="H1005" i="6"/>
  <c r="M1005" i="6" s="1"/>
  <c r="O1004" i="6"/>
  <c r="I1004" i="6"/>
  <c r="I1029" i="6" s="1"/>
  <c r="H1004" i="6"/>
  <c r="M1004" i="6" s="1"/>
  <c r="N1004" i="6" s="1"/>
  <c r="O1003" i="6"/>
  <c r="H1003" i="6"/>
  <c r="M1003" i="6" s="1"/>
  <c r="O1002" i="6"/>
  <c r="M1002" i="6"/>
  <c r="H1002" i="6"/>
  <c r="M1001" i="6"/>
  <c r="O1001" i="6" s="1"/>
  <c r="H1001" i="6"/>
  <c r="M1000" i="6"/>
  <c r="K1000" i="6"/>
  <c r="K1029" i="6" s="1"/>
  <c r="H1000" i="6"/>
  <c r="H1029" i="6" s="1"/>
  <c r="L998" i="6"/>
  <c r="K998" i="6"/>
  <c r="J998" i="6"/>
  <c r="M997" i="6"/>
  <c r="O997" i="6" s="1"/>
  <c r="H997" i="6"/>
  <c r="O996" i="6"/>
  <c r="H996" i="6"/>
  <c r="M996" i="6" s="1"/>
  <c r="H995" i="6"/>
  <c r="M995" i="6" s="1"/>
  <c r="O995" i="6" s="1"/>
  <c r="H994" i="6"/>
  <c r="M994" i="6" s="1"/>
  <c r="O994" i="6" s="1"/>
  <c r="H993" i="6"/>
  <c r="M992" i="6"/>
  <c r="I992" i="6"/>
  <c r="O991" i="6"/>
  <c r="H991" i="6"/>
  <c r="M991" i="6" s="1"/>
  <c r="O990" i="6"/>
  <c r="M990" i="6"/>
  <c r="H990" i="6"/>
  <c r="M989" i="6"/>
  <c r="O989" i="6" s="1"/>
  <c r="H989" i="6"/>
  <c r="M988" i="6"/>
  <c r="O988" i="6" s="1"/>
  <c r="H988" i="6"/>
  <c r="O987" i="6"/>
  <c r="M987" i="6"/>
  <c r="N987" i="6" s="1"/>
  <c r="I987" i="6"/>
  <c r="H987" i="6"/>
  <c r="M986" i="6"/>
  <c r="O986" i="6" s="1"/>
  <c r="H986" i="6"/>
  <c r="O985" i="6"/>
  <c r="H985" i="6"/>
  <c r="M985" i="6" s="1"/>
  <c r="O984" i="6"/>
  <c r="N984" i="6"/>
  <c r="M984" i="6"/>
  <c r="I984" i="6"/>
  <c r="O983" i="6"/>
  <c r="M983" i="6"/>
  <c r="H983" i="6"/>
  <c r="M982" i="6"/>
  <c r="O982" i="6" s="1"/>
  <c r="H982" i="6"/>
  <c r="M981" i="6"/>
  <c r="O981" i="6" s="1"/>
  <c r="H981" i="6"/>
  <c r="O980" i="6"/>
  <c r="H980" i="6"/>
  <c r="M980" i="6" s="1"/>
  <c r="O979" i="6"/>
  <c r="M979" i="6"/>
  <c r="H979" i="6"/>
  <c r="M978" i="6"/>
  <c r="O978" i="6" s="1"/>
  <c r="H978" i="6"/>
  <c r="M977" i="6"/>
  <c r="O977" i="6" s="1"/>
  <c r="H977" i="6"/>
  <c r="H998" i="6" s="1"/>
  <c r="L975" i="6"/>
  <c r="M974" i="6"/>
  <c r="O974" i="6" s="1"/>
  <c r="K974" i="6"/>
  <c r="H974" i="6"/>
  <c r="M973" i="6"/>
  <c r="O973" i="6" s="1"/>
  <c r="H973" i="6"/>
  <c r="M972" i="6"/>
  <c r="O972" i="6" s="1"/>
  <c r="H972" i="6"/>
  <c r="O971" i="6"/>
  <c r="H971" i="6"/>
  <c r="M971" i="6" s="1"/>
  <c r="O970" i="6"/>
  <c r="M970" i="6"/>
  <c r="H970" i="6"/>
  <c r="M969" i="6"/>
  <c r="O969" i="6" s="1"/>
  <c r="H969" i="6"/>
  <c r="J968" i="6"/>
  <c r="J975" i="6" s="1"/>
  <c r="H968" i="6"/>
  <c r="M968" i="6" s="1"/>
  <c r="O968" i="6" s="1"/>
  <c r="H967" i="6"/>
  <c r="M967" i="6" s="1"/>
  <c r="O967" i="6" s="1"/>
  <c r="H966" i="6"/>
  <c r="M966" i="6" s="1"/>
  <c r="O966" i="6" s="1"/>
  <c r="M965" i="6"/>
  <c r="O965" i="6" s="1"/>
  <c r="H965" i="6"/>
  <c r="O964" i="6"/>
  <c r="H964" i="6"/>
  <c r="M964" i="6" s="1"/>
  <c r="H963" i="6"/>
  <c r="M963" i="6" s="1"/>
  <c r="O963" i="6" s="1"/>
  <c r="H962" i="6"/>
  <c r="M962" i="6" s="1"/>
  <c r="O962" i="6" s="1"/>
  <c r="H961" i="6"/>
  <c r="H960" i="6"/>
  <c r="M960" i="6" s="1"/>
  <c r="O960" i="6" s="1"/>
  <c r="M959" i="6"/>
  <c r="O959" i="6" s="1"/>
  <c r="H959" i="6"/>
  <c r="H958" i="6"/>
  <c r="M958" i="6" s="1"/>
  <c r="O958" i="6" s="1"/>
  <c r="H957" i="6"/>
  <c r="M957" i="6" s="1"/>
  <c r="O957" i="6" s="1"/>
  <c r="H956" i="6"/>
  <c r="M956" i="6" s="1"/>
  <c r="O956" i="6" s="1"/>
  <c r="H955" i="6"/>
  <c r="K954" i="6"/>
  <c r="K975" i="6" s="1"/>
  <c r="H954" i="6"/>
  <c r="K953" i="6"/>
  <c r="H953" i="6"/>
  <c r="M953" i="6" s="1"/>
  <c r="O953" i="6" s="1"/>
  <c r="H952" i="6"/>
  <c r="M952" i="6" s="1"/>
  <c r="O952" i="6" s="1"/>
  <c r="H951" i="6"/>
  <c r="H950" i="6"/>
  <c r="M950" i="6" s="1"/>
  <c r="O950" i="6" s="1"/>
  <c r="M949" i="6"/>
  <c r="O949" i="6" s="1"/>
  <c r="H949" i="6"/>
  <c r="O948" i="6"/>
  <c r="H948" i="6"/>
  <c r="M948" i="6" s="1"/>
  <c r="H947" i="6"/>
  <c r="M947" i="6" s="1"/>
  <c r="O947" i="6" s="1"/>
  <c r="H946" i="6"/>
  <c r="M946" i="6" s="1"/>
  <c r="O946" i="6" s="1"/>
  <c r="M945" i="6"/>
  <c r="O945" i="6" s="1"/>
  <c r="H945" i="6"/>
  <c r="O944" i="6"/>
  <c r="H944" i="6"/>
  <c r="M944" i="6" s="1"/>
  <c r="M943" i="6"/>
  <c r="I943" i="6"/>
  <c r="H943" i="6"/>
  <c r="M942" i="6"/>
  <c r="O942" i="6" s="1"/>
  <c r="H942" i="6"/>
  <c r="M941" i="6"/>
  <c r="O941" i="6" s="1"/>
  <c r="H941" i="6"/>
  <c r="I940" i="6"/>
  <c r="H940" i="6"/>
  <c r="M940" i="6" s="1"/>
  <c r="N940" i="6" s="1"/>
  <c r="N939" i="6"/>
  <c r="M939" i="6"/>
  <c r="O939" i="6" s="1"/>
  <c r="I939" i="6"/>
  <c r="H939" i="6"/>
  <c r="O938" i="6"/>
  <c r="H938" i="6"/>
  <c r="M938" i="6" s="1"/>
  <c r="H937" i="6"/>
  <c r="M937" i="6" s="1"/>
  <c r="O937" i="6" s="1"/>
  <c r="H936" i="6"/>
  <c r="M936" i="6" s="1"/>
  <c r="O936" i="6" s="1"/>
  <c r="M935" i="6"/>
  <c r="O935" i="6" s="1"/>
  <c r="H935" i="6"/>
  <c r="O934" i="6"/>
  <c r="H934" i="6"/>
  <c r="M934" i="6" s="1"/>
  <c r="H933" i="6"/>
  <c r="M933" i="6" s="1"/>
  <c r="O933" i="6" s="1"/>
  <c r="H932" i="6"/>
  <c r="M932" i="6" s="1"/>
  <c r="O932" i="6" s="1"/>
  <c r="M931" i="6"/>
  <c r="O931" i="6" s="1"/>
  <c r="H931" i="6"/>
  <c r="O930" i="6"/>
  <c r="H930" i="6"/>
  <c r="M930" i="6" s="1"/>
  <c r="H929" i="6"/>
  <c r="L927" i="6"/>
  <c r="K927" i="6"/>
  <c r="J927" i="6"/>
  <c r="M926" i="6"/>
  <c r="O926" i="6" s="1"/>
  <c r="H926" i="6"/>
  <c r="M925" i="6"/>
  <c r="O925" i="6" s="1"/>
  <c r="H925" i="6"/>
  <c r="O924" i="6"/>
  <c r="H924" i="6"/>
  <c r="M924" i="6" s="1"/>
  <c r="O923" i="6"/>
  <c r="M923" i="6"/>
  <c r="H923" i="6"/>
  <c r="M922" i="6"/>
  <c r="O922" i="6" s="1"/>
  <c r="H922" i="6"/>
  <c r="M921" i="6"/>
  <c r="O921" i="6" s="1"/>
  <c r="H921" i="6"/>
  <c r="O920" i="6"/>
  <c r="H920" i="6"/>
  <c r="M920" i="6" s="1"/>
  <c r="O919" i="6"/>
  <c r="M919" i="6"/>
  <c r="H919" i="6"/>
  <c r="M918" i="6"/>
  <c r="O918" i="6" s="1"/>
  <c r="H918" i="6"/>
  <c r="M917" i="6"/>
  <c r="O917" i="6" s="1"/>
  <c r="H917" i="6"/>
  <c r="O916" i="6"/>
  <c r="H916" i="6"/>
  <c r="M916" i="6" s="1"/>
  <c r="O915" i="6"/>
  <c r="M915" i="6"/>
  <c r="H915" i="6"/>
  <c r="M914" i="6"/>
  <c r="O914" i="6" s="1"/>
  <c r="H914" i="6"/>
  <c r="M913" i="6"/>
  <c r="O913" i="6" s="1"/>
  <c r="H913" i="6"/>
  <c r="O912" i="6"/>
  <c r="H912" i="6"/>
  <c r="M912" i="6" s="1"/>
  <c r="O911" i="6"/>
  <c r="M911" i="6"/>
  <c r="H911" i="6"/>
  <c r="M910" i="6"/>
  <c r="O910" i="6" s="1"/>
  <c r="H910" i="6"/>
  <c r="M909" i="6"/>
  <c r="O909" i="6" s="1"/>
  <c r="H909" i="6"/>
  <c r="O908" i="6"/>
  <c r="M908" i="6"/>
  <c r="N908" i="6" s="1"/>
  <c r="I908" i="6"/>
  <c r="H908" i="6"/>
  <c r="M907" i="6"/>
  <c r="O907" i="6" s="1"/>
  <c r="H907" i="6"/>
  <c r="O906" i="6"/>
  <c r="K906" i="6"/>
  <c r="H906" i="6"/>
  <c r="M906" i="6" s="1"/>
  <c r="H905" i="6"/>
  <c r="M905" i="6" s="1"/>
  <c r="O905" i="6" s="1"/>
  <c r="M904" i="6"/>
  <c r="O904" i="6" s="1"/>
  <c r="H904" i="6"/>
  <c r="H903" i="6"/>
  <c r="M903" i="6" s="1"/>
  <c r="O903" i="6" s="1"/>
  <c r="H902" i="6"/>
  <c r="M902" i="6" s="1"/>
  <c r="O902" i="6" s="1"/>
  <c r="H901" i="6"/>
  <c r="M901" i="6" s="1"/>
  <c r="O901" i="6" s="1"/>
  <c r="M900" i="6"/>
  <c r="O900" i="6" s="1"/>
  <c r="H900" i="6"/>
  <c r="O899" i="6"/>
  <c r="H899" i="6"/>
  <c r="M899" i="6" s="1"/>
  <c r="H898" i="6"/>
  <c r="M898" i="6" s="1"/>
  <c r="O898" i="6" s="1"/>
  <c r="M897" i="6"/>
  <c r="H897" i="6"/>
  <c r="I897" i="6" s="1"/>
  <c r="I927" i="6" s="1"/>
  <c r="H896" i="6"/>
  <c r="M896" i="6" s="1"/>
  <c r="O896" i="6" s="1"/>
  <c r="H895" i="6"/>
  <c r="L893" i="6"/>
  <c r="J893" i="6"/>
  <c r="H892" i="6"/>
  <c r="M892" i="6" s="1"/>
  <c r="O892" i="6" s="1"/>
  <c r="H891" i="6"/>
  <c r="M891" i="6" s="1"/>
  <c r="O891" i="6" s="1"/>
  <c r="M890" i="6"/>
  <c r="O890" i="6" s="1"/>
  <c r="H890" i="6"/>
  <c r="O889" i="6"/>
  <c r="H889" i="6"/>
  <c r="M889" i="6" s="1"/>
  <c r="H888" i="6"/>
  <c r="M888" i="6" s="1"/>
  <c r="O888" i="6" s="1"/>
  <c r="H887" i="6"/>
  <c r="M887" i="6" s="1"/>
  <c r="O887" i="6" s="1"/>
  <c r="M886" i="6"/>
  <c r="O886" i="6" s="1"/>
  <c r="H886" i="6"/>
  <c r="O885" i="6"/>
  <c r="H885" i="6"/>
  <c r="M885" i="6" s="1"/>
  <c r="K884" i="6"/>
  <c r="M884" i="6" s="1"/>
  <c r="O884" i="6" s="1"/>
  <c r="H884" i="6"/>
  <c r="M883" i="6"/>
  <c r="O883" i="6" s="1"/>
  <c r="H883" i="6"/>
  <c r="O882" i="6"/>
  <c r="H882" i="6"/>
  <c r="M882" i="6" s="1"/>
  <c r="O881" i="6"/>
  <c r="M881" i="6"/>
  <c r="H881" i="6"/>
  <c r="M880" i="6"/>
  <c r="O880" i="6" s="1"/>
  <c r="H880" i="6"/>
  <c r="N879" i="6"/>
  <c r="M879" i="6"/>
  <c r="O879" i="6" s="1"/>
  <c r="I879" i="6"/>
  <c r="H879" i="6"/>
  <c r="O878" i="6"/>
  <c r="H878" i="6"/>
  <c r="M878" i="6" s="1"/>
  <c r="H877" i="6"/>
  <c r="M877" i="6" s="1"/>
  <c r="O877" i="6" s="1"/>
  <c r="H876" i="6"/>
  <c r="M876" i="6" s="1"/>
  <c r="O876" i="6" s="1"/>
  <c r="M875" i="6"/>
  <c r="O875" i="6" s="1"/>
  <c r="H875" i="6"/>
  <c r="H874" i="6"/>
  <c r="M874" i="6" s="1"/>
  <c r="O874" i="6" s="1"/>
  <c r="H873" i="6"/>
  <c r="M873" i="6" s="1"/>
  <c r="O873" i="6" s="1"/>
  <c r="H872" i="6"/>
  <c r="M872" i="6" s="1"/>
  <c r="O872" i="6" s="1"/>
  <c r="H871" i="6"/>
  <c r="H870" i="6"/>
  <c r="M870" i="6" s="1"/>
  <c r="O870" i="6" s="1"/>
  <c r="M869" i="6"/>
  <c r="O869" i="6" s="1"/>
  <c r="H869" i="6"/>
  <c r="O868" i="6"/>
  <c r="H868" i="6"/>
  <c r="M868" i="6" s="1"/>
  <c r="H867" i="6"/>
  <c r="M867" i="6" s="1"/>
  <c r="O867" i="6" s="1"/>
  <c r="H866" i="6"/>
  <c r="M866" i="6" s="1"/>
  <c r="O866" i="6" s="1"/>
  <c r="M865" i="6"/>
  <c r="O865" i="6" s="1"/>
  <c r="H865" i="6"/>
  <c r="O864" i="6"/>
  <c r="H864" i="6"/>
  <c r="M864" i="6" s="1"/>
  <c r="H863" i="6"/>
  <c r="M863" i="6" s="1"/>
  <c r="O863" i="6" s="1"/>
  <c r="H862" i="6"/>
  <c r="M862" i="6" s="1"/>
  <c r="O862" i="6" s="1"/>
  <c r="H861" i="6"/>
  <c r="H860" i="6"/>
  <c r="M860" i="6" s="1"/>
  <c r="O860" i="6" s="1"/>
  <c r="M859" i="6"/>
  <c r="O859" i="6" s="1"/>
  <c r="H859" i="6"/>
  <c r="K858" i="6"/>
  <c r="M858" i="6" s="1"/>
  <c r="O858" i="6" s="1"/>
  <c r="H858" i="6"/>
  <c r="O857" i="6"/>
  <c r="H857" i="6"/>
  <c r="M857" i="6" s="1"/>
  <c r="M856" i="6"/>
  <c r="I856" i="6"/>
  <c r="H856" i="6"/>
  <c r="M855" i="6"/>
  <c r="O855" i="6" s="1"/>
  <c r="H855" i="6"/>
  <c r="M854" i="6"/>
  <c r="O854" i="6" s="1"/>
  <c r="H854" i="6"/>
  <c r="O853" i="6"/>
  <c r="H853" i="6"/>
  <c r="M853" i="6" s="1"/>
  <c r="L851" i="6"/>
  <c r="J851" i="6"/>
  <c r="M850" i="6"/>
  <c r="O850" i="6" s="1"/>
  <c r="H850" i="6"/>
  <c r="I849" i="6"/>
  <c r="H849" i="6"/>
  <c r="M849" i="6" s="1"/>
  <c r="N849" i="6" s="1"/>
  <c r="M848" i="6"/>
  <c r="O848" i="6" s="1"/>
  <c r="H848" i="6"/>
  <c r="O847" i="6"/>
  <c r="H847" i="6"/>
  <c r="M847" i="6" s="1"/>
  <c r="O846" i="6"/>
  <c r="M846" i="6"/>
  <c r="H846" i="6"/>
  <c r="H845" i="6"/>
  <c r="H844" i="6"/>
  <c r="H843" i="6"/>
  <c r="M843" i="6" s="1"/>
  <c r="O843" i="6" s="1"/>
  <c r="K842" i="6"/>
  <c r="H842" i="6"/>
  <c r="M842" i="6" s="1"/>
  <c r="O842" i="6" s="1"/>
  <c r="M841" i="6"/>
  <c r="O841" i="6" s="1"/>
  <c r="H841" i="6"/>
  <c r="H840" i="6"/>
  <c r="M840" i="6" s="1"/>
  <c r="O840" i="6" s="1"/>
  <c r="M839" i="6"/>
  <c r="O839" i="6" s="1"/>
  <c r="H839" i="6"/>
  <c r="H838" i="6"/>
  <c r="M838" i="6" s="1"/>
  <c r="O838" i="6" s="1"/>
  <c r="N837" i="6"/>
  <c r="M837" i="6"/>
  <c r="O837" i="6" s="1"/>
  <c r="I837" i="6"/>
  <c r="H837" i="6"/>
  <c r="O836" i="6"/>
  <c r="H836" i="6"/>
  <c r="M836" i="6" s="1"/>
  <c r="M835" i="6"/>
  <c r="O835" i="6" s="1"/>
  <c r="H835" i="6"/>
  <c r="K834" i="6"/>
  <c r="K851" i="6" s="1"/>
  <c r="H834" i="6"/>
  <c r="O833" i="6"/>
  <c r="M833" i="6"/>
  <c r="N833" i="6" s="1"/>
  <c r="H833" i="6"/>
  <c r="I833" i="6" s="1"/>
  <c r="N832" i="6"/>
  <c r="M832" i="6"/>
  <c r="O832" i="6" s="1"/>
  <c r="I832" i="6"/>
  <c r="H832" i="6"/>
  <c r="M831" i="6"/>
  <c r="N831" i="6" s="1"/>
  <c r="H831" i="6"/>
  <c r="I831" i="6" s="1"/>
  <c r="I830" i="6"/>
  <c r="H830" i="6"/>
  <c r="H851" i="6" s="1"/>
  <c r="L828" i="6"/>
  <c r="K828" i="6"/>
  <c r="J828" i="6"/>
  <c r="O827" i="6"/>
  <c r="H827" i="6"/>
  <c r="M827" i="6" s="1"/>
  <c r="M826" i="6"/>
  <c r="O826" i="6" s="1"/>
  <c r="H826" i="6"/>
  <c r="O825" i="6"/>
  <c r="H825" i="6"/>
  <c r="M825" i="6" s="1"/>
  <c r="M824" i="6"/>
  <c r="O824" i="6" s="1"/>
  <c r="H824" i="6"/>
  <c r="O823" i="6"/>
  <c r="M823" i="6"/>
  <c r="N823" i="6" s="1"/>
  <c r="H823" i="6"/>
  <c r="I823" i="6" s="1"/>
  <c r="M822" i="6"/>
  <c r="O822" i="6" s="1"/>
  <c r="H822" i="6"/>
  <c r="O821" i="6"/>
  <c r="M821" i="6"/>
  <c r="N821" i="6" s="1"/>
  <c r="H821" i="6"/>
  <c r="I821" i="6" s="1"/>
  <c r="M820" i="6"/>
  <c r="O820" i="6" s="1"/>
  <c r="H820" i="6"/>
  <c r="O819" i="6"/>
  <c r="H819" i="6"/>
  <c r="M819" i="6" s="1"/>
  <c r="M818" i="6"/>
  <c r="O818" i="6" s="1"/>
  <c r="H818" i="6"/>
  <c r="O817" i="6"/>
  <c r="H817" i="6"/>
  <c r="M817" i="6" s="1"/>
  <c r="M816" i="6"/>
  <c r="O816" i="6" s="1"/>
  <c r="H816" i="6"/>
  <c r="O815" i="6"/>
  <c r="H815" i="6"/>
  <c r="M815" i="6" s="1"/>
  <c r="M814" i="6"/>
  <c r="O814" i="6" s="1"/>
  <c r="H814" i="6"/>
  <c r="H813" i="6"/>
  <c r="I813" i="6" s="1"/>
  <c r="M812" i="6"/>
  <c r="O812" i="6" s="1"/>
  <c r="H812" i="6"/>
  <c r="M811" i="6"/>
  <c r="N811" i="6" s="1"/>
  <c r="H811" i="6"/>
  <c r="I811" i="6" s="1"/>
  <c r="M810" i="6"/>
  <c r="O810" i="6" s="1"/>
  <c r="H810" i="6"/>
  <c r="O809" i="6"/>
  <c r="H809" i="6"/>
  <c r="M809" i="6" s="1"/>
  <c r="M808" i="6"/>
  <c r="O808" i="6" s="1"/>
  <c r="H808" i="6"/>
  <c r="O807" i="6"/>
  <c r="H807" i="6"/>
  <c r="M807" i="6" s="1"/>
  <c r="M806" i="6"/>
  <c r="O806" i="6" s="1"/>
  <c r="H806" i="6"/>
  <c r="O805" i="6"/>
  <c r="M805" i="6"/>
  <c r="N805" i="6" s="1"/>
  <c r="H805" i="6"/>
  <c r="I805" i="6" s="1"/>
  <c r="M804" i="6"/>
  <c r="O804" i="6" s="1"/>
  <c r="H804" i="6"/>
  <c r="H803" i="6"/>
  <c r="M803" i="6" s="1"/>
  <c r="O803" i="6" s="1"/>
  <c r="I802" i="6"/>
  <c r="H802" i="6"/>
  <c r="M802" i="6" s="1"/>
  <c r="O802" i="6" s="1"/>
  <c r="O801" i="6"/>
  <c r="H801" i="6"/>
  <c r="M801" i="6" s="1"/>
  <c r="M800" i="6"/>
  <c r="O800" i="6" s="1"/>
  <c r="H800" i="6"/>
  <c r="O799" i="6"/>
  <c r="H799" i="6"/>
  <c r="M799" i="6" s="1"/>
  <c r="M798" i="6"/>
  <c r="O798" i="6" s="1"/>
  <c r="H798" i="6"/>
  <c r="O797" i="6"/>
  <c r="H797" i="6"/>
  <c r="M797" i="6" s="1"/>
  <c r="M796" i="6"/>
  <c r="O796" i="6" s="1"/>
  <c r="H796" i="6"/>
  <c r="O795" i="6"/>
  <c r="H795" i="6"/>
  <c r="M795" i="6" s="1"/>
  <c r="M794" i="6"/>
  <c r="O794" i="6" s="1"/>
  <c r="H794" i="6"/>
  <c r="O793" i="6"/>
  <c r="H793" i="6"/>
  <c r="M793" i="6" s="1"/>
  <c r="M792" i="6"/>
  <c r="O792" i="6" s="1"/>
  <c r="H792" i="6"/>
  <c r="O791" i="6"/>
  <c r="H791" i="6"/>
  <c r="M791" i="6" s="1"/>
  <c r="M790" i="6"/>
  <c r="O790" i="6" s="1"/>
  <c r="H790" i="6"/>
  <c r="H789" i="6"/>
  <c r="I789" i="6" s="1"/>
  <c r="I828" i="6" s="1"/>
  <c r="M788" i="6"/>
  <c r="O788" i="6" s="1"/>
  <c r="H788" i="6"/>
  <c r="L786" i="6"/>
  <c r="K786" i="6"/>
  <c r="J786" i="6"/>
  <c r="O785" i="6"/>
  <c r="H785" i="6"/>
  <c r="M785" i="6" s="1"/>
  <c r="M784" i="6"/>
  <c r="O784" i="6" s="1"/>
  <c r="K784" i="6"/>
  <c r="H784" i="6"/>
  <c r="M783" i="6"/>
  <c r="O783" i="6" s="1"/>
  <c r="H783" i="6"/>
  <c r="H782" i="6"/>
  <c r="M782" i="6" s="1"/>
  <c r="O782" i="6" s="1"/>
  <c r="M781" i="6"/>
  <c r="O781" i="6" s="1"/>
  <c r="H781" i="6"/>
  <c r="H780" i="6"/>
  <c r="M780" i="6" s="1"/>
  <c r="O780" i="6" s="1"/>
  <c r="M779" i="6"/>
  <c r="O779" i="6" s="1"/>
  <c r="H779" i="6"/>
  <c r="H778" i="6"/>
  <c r="M778" i="6" s="1"/>
  <c r="O778" i="6" s="1"/>
  <c r="M777" i="6"/>
  <c r="O777" i="6" s="1"/>
  <c r="H777" i="6"/>
  <c r="H776" i="6"/>
  <c r="M776" i="6" s="1"/>
  <c r="O776" i="6" s="1"/>
  <c r="M775" i="6"/>
  <c r="O775" i="6" s="1"/>
  <c r="H775" i="6"/>
  <c r="H774" i="6"/>
  <c r="M774" i="6" s="1"/>
  <c r="O774" i="6" s="1"/>
  <c r="M773" i="6"/>
  <c r="O773" i="6" s="1"/>
  <c r="H773" i="6"/>
  <c r="H772" i="6"/>
  <c r="M772" i="6" s="1"/>
  <c r="O772" i="6" s="1"/>
  <c r="M771" i="6"/>
  <c r="O771" i="6" s="1"/>
  <c r="H771" i="6"/>
  <c r="M770" i="6"/>
  <c r="N770" i="6" s="1"/>
  <c r="H770" i="6"/>
  <c r="I770" i="6" s="1"/>
  <c r="M769" i="6"/>
  <c r="O769" i="6" s="1"/>
  <c r="H769" i="6"/>
  <c r="H768" i="6"/>
  <c r="I768" i="6" s="1"/>
  <c r="N767" i="6"/>
  <c r="M767" i="6"/>
  <c r="O767" i="6" s="1"/>
  <c r="I767" i="6"/>
  <c r="H767" i="6"/>
  <c r="H766" i="6"/>
  <c r="M766" i="6" s="1"/>
  <c r="O766" i="6" s="1"/>
  <c r="M765" i="6"/>
  <c r="O765" i="6" s="1"/>
  <c r="H765" i="6"/>
  <c r="H764" i="6"/>
  <c r="M764" i="6" s="1"/>
  <c r="O764" i="6" s="1"/>
  <c r="M763" i="6"/>
  <c r="O763" i="6" s="1"/>
  <c r="H763" i="6"/>
  <c r="H762" i="6"/>
  <c r="M762" i="6" s="1"/>
  <c r="O762" i="6" s="1"/>
  <c r="M761" i="6"/>
  <c r="O761" i="6" s="1"/>
  <c r="H761" i="6"/>
  <c r="M760" i="6"/>
  <c r="N760" i="6" s="1"/>
  <c r="H760" i="6"/>
  <c r="L758" i="6"/>
  <c r="K758" i="6"/>
  <c r="J758" i="6"/>
  <c r="M757" i="6"/>
  <c r="O757" i="6" s="1"/>
  <c r="H757" i="6"/>
  <c r="O756" i="6"/>
  <c r="H756" i="6"/>
  <c r="M756" i="6" s="1"/>
  <c r="M755" i="6"/>
  <c r="O755" i="6" s="1"/>
  <c r="H755" i="6"/>
  <c r="O754" i="6"/>
  <c r="H754" i="6"/>
  <c r="M754" i="6" s="1"/>
  <c r="M753" i="6"/>
  <c r="O753" i="6" s="1"/>
  <c r="H753" i="6"/>
  <c r="O752" i="6"/>
  <c r="H752" i="6"/>
  <c r="M752" i="6" s="1"/>
  <c r="N751" i="6"/>
  <c r="M751" i="6"/>
  <c r="O751" i="6" s="1"/>
  <c r="I751" i="6"/>
  <c r="H751" i="6"/>
  <c r="H750" i="6"/>
  <c r="I750" i="6" s="1"/>
  <c r="N749" i="6"/>
  <c r="I749" i="6"/>
  <c r="H749" i="6"/>
  <c r="M749" i="6" s="1"/>
  <c r="O749" i="6" s="1"/>
  <c r="O748" i="6"/>
  <c r="H748" i="6"/>
  <c r="M748" i="6" s="1"/>
  <c r="M747" i="6"/>
  <c r="O747" i="6" s="1"/>
  <c r="H747" i="6"/>
  <c r="O746" i="6"/>
  <c r="H746" i="6"/>
  <c r="M746" i="6" s="1"/>
  <c r="M745" i="6"/>
  <c r="O745" i="6" s="1"/>
  <c r="H745" i="6"/>
  <c r="O744" i="6"/>
  <c r="H744" i="6"/>
  <c r="M744" i="6" s="1"/>
  <c r="M743" i="6"/>
  <c r="O743" i="6" s="1"/>
  <c r="H743" i="6"/>
  <c r="O742" i="6"/>
  <c r="H742" i="6"/>
  <c r="M742" i="6" s="1"/>
  <c r="N741" i="6"/>
  <c r="M741" i="6"/>
  <c r="O741" i="6" s="1"/>
  <c r="I741" i="6"/>
  <c r="H741" i="6"/>
  <c r="O740" i="6"/>
  <c r="H740" i="6"/>
  <c r="M740" i="6" s="1"/>
  <c r="M739" i="6"/>
  <c r="O739" i="6" s="1"/>
  <c r="H739" i="6"/>
  <c r="O738" i="6"/>
  <c r="H738" i="6"/>
  <c r="M738" i="6" s="1"/>
  <c r="M737" i="6"/>
  <c r="O737" i="6" s="1"/>
  <c r="H737" i="6"/>
  <c r="O736" i="6"/>
  <c r="H736" i="6"/>
  <c r="M736" i="6" s="1"/>
  <c r="M735" i="6"/>
  <c r="O735" i="6" s="1"/>
  <c r="H735" i="6"/>
  <c r="H734" i="6"/>
  <c r="I734" i="6" s="1"/>
  <c r="M733" i="6"/>
  <c r="O733" i="6" s="1"/>
  <c r="H733" i="6"/>
  <c r="M732" i="6"/>
  <c r="N732" i="6" s="1"/>
  <c r="H732" i="6"/>
  <c r="I732" i="6" s="1"/>
  <c r="M731" i="6"/>
  <c r="O731" i="6" s="1"/>
  <c r="H731" i="6"/>
  <c r="O730" i="6"/>
  <c r="H730" i="6"/>
  <c r="M730" i="6" s="1"/>
  <c r="M729" i="6"/>
  <c r="O729" i="6" s="1"/>
  <c r="H729" i="6"/>
  <c r="H728" i="6"/>
  <c r="I728" i="6" s="1"/>
  <c r="M727" i="6"/>
  <c r="O727" i="6" s="1"/>
  <c r="H727" i="6"/>
  <c r="H726" i="6"/>
  <c r="M726" i="6" s="1"/>
  <c r="L724" i="6"/>
  <c r="J724" i="6"/>
  <c r="M723" i="6"/>
  <c r="O723" i="6" s="1"/>
  <c r="H723" i="6"/>
  <c r="O722" i="6"/>
  <c r="H722" i="6"/>
  <c r="M722" i="6" s="1"/>
  <c r="N721" i="6"/>
  <c r="M721" i="6"/>
  <c r="O721" i="6" s="1"/>
  <c r="I721" i="6"/>
  <c r="H721" i="6"/>
  <c r="O720" i="6"/>
  <c r="H720" i="6"/>
  <c r="M720" i="6" s="1"/>
  <c r="N719" i="6"/>
  <c r="M719" i="6"/>
  <c r="O719" i="6" s="1"/>
  <c r="I719" i="6"/>
  <c r="H719" i="6"/>
  <c r="H718" i="6"/>
  <c r="I718" i="6" s="1"/>
  <c r="N717" i="6"/>
  <c r="I717" i="6"/>
  <c r="H717" i="6"/>
  <c r="M717" i="6" s="1"/>
  <c r="O717" i="6" s="1"/>
  <c r="O716" i="6"/>
  <c r="H716" i="6"/>
  <c r="M716" i="6" s="1"/>
  <c r="M715" i="6"/>
  <c r="O715" i="6" s="1"/>
  <c r="H715" i="6"/>
  <c r="O714" i="6"/>
  <c r="H714" i="6"/>
  <c r="M714" i="6" s="1"/>
  <c r="M713" i="6"/>
  <c r="O713" i="6" s="1"/>
  <c r="H713" i="6"/>
  <c r="O712" i="6"/>
  <c r="H712" i="6"/>
  <c r="M712" i="6" s="1"/>
  <c r="M711" i="6"/>
  <c r="O711" i="6" s="1"/>
  <c r="H711" i="6"/>
  <c r="O710" i="6"/>
  <c r="H710" i="6"/>
  <c r="M710" i="6" s="1"/>
  <c r="N709" i="6"/>
  <c r="M709" i="6"/>
  <c r="O709" i="6" s="1"/>
  <c r="I709" i="6"/>
  <c r="H709" i="6"/>
  <c r="O708" i="6"/>
  <c r="H708" i="6"/>
  <c r="M708" i="6" s="1"/>
  <c r="M707" i="6"/>
  <c r="O707" i="6" s="1"/>
  <c r="H707" i="6"/>
  <c r="O706" i="6"/>
  <c r="H706" i="6"/>
  <c r="M706" i="6" s="1"/>
  <c r="M705" i="6"/>
  <c r="O705" i="6" s="1"/>
  <c r="H705" i="6"/>
  <c r="O704" i="6"/>
  <c r="H704" i="6"/>
  <c r="M704" i="6" s="1"/>
  <c r="M703" i="6"/>
  <c r="O703" i="6" s="1"/>
  <c r="H703" i="6"/>
  <c r="H702" i="6"/>
  <c r="I702" i="6" s="1"/>
  <c r="M701" i="6"/>
  <c r="O701" i="6" s="1"/>
  <c r="H701" i="6"/>
  <c r="M700" i="6"/>
  <c r="N700" i="6" s="1"/>
  <c r="H700" i="6"/>
  <c r="I700" i="6" s="1"/>
  <c r="M699" i="6"/>
  <c r="O699" i="6" s="1"/>
  <c r="H699" i="6"/>
  <c r="O698" i="6"/>
  <c r="H698" i="6"/>
  <c r="M698" i="6" s="1"/>
  <c r="M697" i="6"/>
  <c r="O697" i="6" s="1"/>
  <c r="H697" i="6"/>
  <c r="O696" i="6"/>
  <c r="H696" i="6"/>
  <c r="M696" i="6" s="1"/>
  <c r="M695" i="6"/>
  <c r="O695" i="6" s="1"/>
  <c r="H695" i="6"/>
  <c r="H694" i="6"/>
  <c r="I694" i="6" s="1"/>
  <c r="K693" i="6"/>
  <c r="H693" i="6"/>
  <c r="M693" i="6" s="1"/>
  <c r="O693" i="6" s="1"/>
  <c r="K692" i="6"/>
  <c r="K724" i="6" s="1"/>
  <c r="H692" i="6"/>
  <c r="M692" i="6" s="1"/>
  <c r="O692" i="6" s="1"/>
  <c r="M691" i="6"/>
  <c r="O691" i="6" s="1"/>
  <c r="H691" i="6"/>
  <c r="H690" i="6"/>
  <c r="M690" i="6" s="1"/>
  <c r="O690" i="6" s="1"/>
  <c r="N689" i="6"/>
  <c r="I689" i="6"/>
  <c r="H689" i="6"/>
  <c r="M689" i="6" s="1"/>
  <c r="O689" i="6" s="1"/>
  <c r="O688" i="6"/>
  <c r="H688" i="6"/>
  <c r="M688" i="6" s="1"/>
  <c r="M687" i="6"/>
  <c r="O687" i="6" s="1"/>
  <c r="H687" i="6"/>
  <c r="O686" i="6"/>
  <c r="H686" i="6"/>
  <c r="M686" i="6" s="1"/>
  <c r="M685" i="6"/>
  <c r="O685" i="6" s="1"/>
  <c r="H685" i="6"/>
  <c r="H684" i="6"/>
  <c r="I684" i="6" s="1"/>
  <c r="N683" i="6"/>
  <c r="M683" i="6"/>
  <c r="I683" i="6"/>
  <c r="H683" i="6"/>
  <c r="L681" i="6"/>
  <c r="K681" i="6"/>
  <c r="J681" i="6"/>
  <c r="O680" i="6"/>
  <c r="H680" i="6"/>
  <c r="M680" i="6" s="1"/>
  <c r="N679" i="6"/>
  <c r="I679" i="6"/>
  <c r="H679" i="6"/>
  <c r="M679" i="6" s="1"/>
  <c r="O679" i="6" s="1"/>
  <c r="H678" i="6"/>
  <c r="M678" i="6" s="1"/>
  <c r="O678" i="6" s="1"/>
  <c r="N677" i="6"/>
  <c r="I677" i="6"/>
  <c r="H677" i="6"/>
  <c r="M677" i="6" s="1"/>
  <c r="O677" i="6" s="1"/>
  <c r="O676" i="6"/>
  <c r="H676" i="6"/>
  <c r="M676" i="6" s="1"/>
  <c r="M675" i="6"/>
  <c r="O675" i="6" s="1"/>
  <c r="H675" i="6"/>
  <c r="O674" i="6"/>
  <c r="H674" i="6"/>
  <c r="M674" i="6" s="1"/>
  <c r="M673" i="6"/>
  <c r="O673" i="6" s="1"/>
  <c r="H673" i="6"/>
  <c r="H672" i="6"/>
  <c r="I672" i="6" s="1"/>
  <c r="N671" i="6"/>
  <c r="M671" i="6"/>
  <c r="O671" i="6" s="1"/>
  <c r="I671" i="6"/>
  <c r="H671" i="6"/>
  <c r="M670" i="6"/>
  <c r="N670" i="6" s="1"/>
  <c r="H670" i="6"/>
  <c r="I670" i="6" s="1"/>
  <c r="M669" i="6"/>
  <c r="O669" i="6" s="1"/>
  <c r="H669" i="6"/>
  <c r="O668" i="6"/>
  <c r="H668" i="6"/>
  <c r="M668" i="6" s="1"/>
  <c r="N667" i="6"/>
  <c r="M667" i="6"/>
  <c r="O667" i="6" s="1"/>
  <c r="I667" i="6"/>
  <c r="H667" i="6"/>
  <c r="O666" i="6"/>
  <c r="K666" i="6"/>
  <c r="M666" i="6" s="1"/>
  <c r="H666" i="6"/>
  <c r="H665" i="6"/>
  <c r="M665" i="6" s="1"/>
  <c r="O665" i="6" s="1"/>
  <c r="M664" i="6"/>
  <c r="O664" i="6" s="1"/>
  <c r="H664" i="6"/>
  <c r="H663" i="6"/>
  <c r="M663" i="6" s="1"/>
  <c r="O663" i="6" s="1"/>
  <c r="M662" i="6"/>
  <c r="O662" i="6" s="1"/>
  <c r="H662" i="6"/>
  <c r="H661" i="6"/>
  <c r="M661" i="6" s="1"/>
  <c r="O661" i="6" s="1"/>
  <c r="M660" i="6"/>
  <c r="O660" i="6" s="1"/>
  <c r="H660" i="6"/>
  <c r="H659" i="6"/>
  <c r="M659" i="6" s="1"/>
  <c r="O659" i="6" s="1"/>
  <c r="I658" i="6"/>
  <c r="H658" i="6"/>
  <c r="M658" i="6" s="1"/>
  <c r="O658" i="6" s="1"/>
  <c r="H657" i="6"/>
  <c r="I657" i="6" s="1"/>
  <c r="I681" i="6" s="1"/>
  <c r="M656" i="6"/>
  <c r="O656" i="6" s="1"/>
  <c r="H656" i="6"/>
  <c r="M655" i="6"/>
  <c r="N655" i="6" s="1"/>
  <c r="H655" i="6"/>
  <c r="I655" i="6" s="1"/>
  <c r="M654" i="6"/>
  <c r="O654" i="6" s="1"/>
  <c r="H654" i="6"/>
  <c r="H653" i="6"/>
  <c r="I653" i="6" s="1"/>
  <c r="M652" i="6"/>
  <c r="O652" i="6" s="1"/>
  <c r="H652" i="6"/>
  <c r="H651" i="6"/>
  <c r="M651" i="6" s="1"/>
  <c r="O651" i="6" s="1"/>
  <c r="M650" i="6"/>
  <c r="O650" i="6" s="1"/>
  <c r="H650" i="6"/>
  <c r="H681" i="6" s="1"/>
  <c r="L648" i="6"/>
  <c r="J648" i="6"/>
  <c r="O647" i="6"/>
  <c r="H647" i="6"/>
  <c r="M647" i="6" s="1"/>
  <c r="M646" i="6"/>
  <c r="O646" i="6" s="1"/>
  <c r="H646" i="6"/>
  <c r="O645" i="6"/>
  <c r="H645" i="6"/>
  <c r="M645" i="6" s="1"/>
  <c r="M644" i="6"/>
  <c r="O644" i="6" s="1"/>
  <c r="H644" i="6"/>
  <c r="O643" i="6"/>
  <c r="H643" i="6"/>
  <c r="M643" i="6" s="1"/>
  <c r="M642" i="6"/>
  <c r="O642" i="6" s="1"/>
  <c r="H642" i="6"/>
  <c r="H641" i="6"/>
  <c r="I641" i="6" s="1"/>
  <c r="I640" i="6"/>
  <c r="H640" i="6"/>
  <c r="M640" i="6" s="1"/>
  <c r="O640" i="6" s="1"/>
  <c r="O639" i="6"/>
  <c r="H639" i="6"/>
  <c r="M639" i="6" s="1"/>
  <c r="N638" i="6"/>
  <c r="I638" i="6"/>
  <c r="H638" i="6"/>
  <c r="M638" i="6" s="1"/>
  <c r="O638" i="6" s="1"/>
  <c r="K637" i="6"/>
  <c r="K648" i="6" s="1"/>
  <c r="H637" i="6"/>
  <c r="O636" i="6"/>
  <c r="H636" i="6"/>
  <c r="M636" i="6" s="1"/>
  <c r="M635" i="6"/>
  <c r="O635" i="6" s="1"/>
  <c r="H635" i="6"/>
  <c r="H634" i="6"/>
  <c r="I634" i="6" s="1"/>
  <c r="M633" i="6"/>
  <c r="O633" i="6" s="1"/>
  <c r="H633" i="6"/>
  <c r="H632" i="6"/>
  <c r="M632" i="6" s="1"/>
  <c r="O632" i="6" s="1"/>
  <c r="N631" i="6"/>
  <c r="M631" i="6"/>
  <c r="O631" i="6" s="1"/>
  <c r="I631" i="6"/>
  <c r="H631" i="6"/>
  <c r="H630" i="6"/>
  <c r="M630" i="6" s="1"/>
  <c r="O630" i="6" s="1"/>
  <c r="N629" i="6"/>
  <c r="M629" i="6"/>
  <c r="O629" i="6" s="1"/>
  <c r="I629" i="6"/>
  <c r="H629" i="6"/>
  <c r="H628" i="6"/>
  <c r="M628" i="6" s="1"/>
  <c r="O628" i="6" s="1"/>
  <c r="M627" i="6"/>
  <c r="O627" i="6" s="1"/>
  <c r="H627" i="6"/>
  <c r="H626" i="6"/>
  <c r="M626" i="6" s="1"/>
  <c r="O626" i="6" s="1"/>
  <c r="M625" i="6"/>
  <c r="O625" i="6" s="1"/>
  <c r="H625" i="6"/>
  <c r="H624" i="6"/>
  <c r="M624" i="6" s="1"/>
  <c r="O624" i="6" s="1"/>
  <c r="M623" i="6"/>
  <c r="O623" i="6" s="1"/>
  <c r="H623" i="6"/>
  <c r="M622" i="6"/>
  <c r="N622" i="6" s="1"/>
  <c r="H622" i="6"/>
  <c r="I622" i="6" s="1"/>
  <c r="M621" i="6"/>
  <c r="O621" i="6" s="1"/>
  <c r="H621" i="6"/>
  <c r="O620" i="6"/>
  <c r="H620" i="6"/>
  <c r="M620" i="6" s="1"/>
  <c r="M619" i="6"/>
  <c r="O619" i="6" s="1"/>
  <c r="H619" i="6"/>
  <c r="O618" i="6"/>
  <c r="H618" i="6"/>
  <c r="M618" i="6" s="1"/>
  <c r="N617" i="6"/>
  <c r="M617" i="6"/>
  <c r="O617" i="6" s="1"/>
  <c r="I617" i="6"/>
  <c r="I648" i="6" s="1"/>
  <c r="H617" i="6"/>
  <c r="O616" i="6"/>
  <c r="H616" i="6"/>
  <c r="M616" i="6" s="1"/>
  <c r="M615" i="6"/>
  <c r="O615" i="6" s="1"/>
  <c r="H615" i="6"/>
  <c r="L613" i="6"/>
  <c r="J613" i="6"/>
  <c r="M612" i="6"/>
  <c r="N612" i="6" s="1"/>
  <c r="H612" i="6"/>
  <c r="I612" i="6" s="1"/>
  <c r="M611" i="6"/>
  <c r="O611" i="6" s="1"/>
  <c r="H611" i="6"/>
  <c r="O610" i="6"/>
  <c r="H610" i="6"/>
  <c r="M610" i="6" s="1"/>
  <c r="N609" i="6"/>
  <c r="M609" i="6"/>
  <c r="O609" i="6" s="1"/>
  <c r="I609" i="6"/>
  <c r="H609" i="6"/>
  <c r="O608" i="6"/>
  <c r="H608" i="6"/>
  <c r="M608" i="6" s="1"/>
  <c r="K607" i="6"/>
  <c r="H607" i="6"/>
  <c r="M607" i="6" s="1"/>
  <c r="O607" i="6" s="1"/>
  <c r="M606" i="6"/>
  <c r="O606" i="6" s="1"/>
  <c r="H606" i="6"/>
  <c r="H605" i="6"/>
  <c r="M605" i="6" s="1"/>
  <c r="O605" i="6" s="1"/>
  <c r="M604" i="6"/>
  <c r="O604" i="6" s="1"/>
  <c r="H604" i="6"/>
  <c r="M603" i="6"/>
  <c r="N603" i="6" s="1"/>
  <c r="H603" i="6"/>
  <c r="I603" i="6" s="1"/>
  <c r="M602" i="6"/>
  <c r="O602" i="6" s="1"/>
  <c r="H602" i="6"/>
  <c r="H601" i="6"/>
  <c r="I601" i="6" s="1"/>
  <c r="M600" i="6"/>
  <c r="O600" i="6" s="1"/>
  <c r="H600" i="6"/>
  <c r="K599" i="6"/>
  <c r="M599" i="6" s="1"/>
  <c r="O599" i="6" s="1"/>
  <c r="H599" i="6"/>
  <c r="O598" i="6"/>
  <c r="H598" i="6"/>
  <c r="M598" i="6" s="1"/>
  <c r="M597" i="6"/>
  <c r="O597" i="6" s="1"/>
  <c r="H597" i="6"/>
  <c r="O596" i="6"/>
  <c r="K596" i="6"/>
  <c r="K613" i="6" s="1"/>
  <c r="H596" i="6"/>
  <c r="M596" i="6" s="1"/>
  <c r="H595" i="6"/>
  <c r="M595" i="6" s="1"/>
  <c r="O595" i="6" s="1"/>
  <c r="M594" i="6"/>
  <c r="O594" i="6" s="1"/>
  <c r="H594" i="6"/>
  <c r="H593" i="6"/>
  <c r="M593" i="6" s="1"/>
  <c r="O593" i="6" s="1"/>
  <c r="N592" i="6"/>
  <c r="M592" i="6"/>
  <c r="O592" i="6" s="1"/>
  <c r="I592" i="6"/>
  <c r="H592" i="6"/>
  <c r="H591" i="6"/>
  <c r="M591" i="6" s="1"/>
  <c r="O591" i="6" s="1"/>
  <c r="N590" i="6"/>
  <c r="M590" i="6"/>
  <c r="O590" i="6" s="1"/>
  <c r="I590" i="6"/>
  <c r="I613" i="6" s="1"/>
  <c r="H590" i="6"/>
  <c r="H589" i="6"/>
  <c r="M589" i="6" s="1"/>
  <c r="O589" i="6" s="1"/>
  <c r="M588" i="6"/>
  <c r="O588" i="6" s="1"/>
  <c r="H588" i="6"/>
  <c r="H587" i="6"/>
  <c r="K585" i="6"/>
  <c r="J585" i="6"/>
  <c r="M584" i="6"/>
  <c r="O584" i="6" s="1"/>
  <c r="H584" i="6"/>
  <c r="H583" i="6"/>
  <c r="M583" i="6" s="1"/>
  <c r="O583" i="6" s="1"/>
  <c r="M582" i="6"/>
  <c r="O582" i="6" s="1"/>
  <c r="H582" i="6"/>
  <c r="M581" i="6"/>
  <c r="N581" i="6" s="1"/>
  <c r="H581" i="6"/>
  <c r="I581" i="6" s="1"/>
  <c r="M580" i="6"/>
  <c r="O580" i="6" s="1"/>
  <c r="J580" i="6"/>
  <c r="H580" i="6"/>
  <c r="J579" i="6"/>
  <c r="H579" i="6"/>
  <c r="M579" i="6" s="1"/>
  <c r="O579" i="6" s="1"/>
  <c r="M578" i="6"/>
  <c r="O578" i="6" s="1"/>
  <c r="H578" i="6"/>
  <c r="O577" i="6"/>
  <c r="H577" i="6"/>
  <c r="M577" i="6" s="1"/>
  <c r="M576" i="6"/>
  <c r="O576" i="6" s="1"/>
  <c r="H576" i="6"/>
  <c r="O575" i="6"/>
  <c r="M575" i="6"/>
  <c r="N575" i="6" s="1"/>
  <c r="H575" i="6"/>
  <c r="H574" i="6"/>
  <c r="M574" i="6" s="1"/>
  <c r="O574" i="6" s="1"/>
  <c r="N573" i="6"/>
  <c r="I573" i="6"/>
  <c r="H573" i="6"/>
  <c r="M573" i="6" s="1"/>
  <c r="O573" i="6" s="1"/>
  <c r="H572" i="6"/>
  <c r="I572" i="6" s="1"/>
  <c r="M571" i="6"/>
  <c r="O571" i="6" s="1"/>
  <c r="H571" i="6"/>
  <c r="L570" i="6"/>
  <c r="L585" i="6" s="1"/>
  <c r="H570" i="6"/>
  <c r="O569" i="6"/>
  <c r="H569" i="6"/>
  <c r="M569" i="6" s="1"/>
  <c r="M568" i="6"/>
  <c r="O568" i="6" s="1"/>
  <c r="H568" i="6"/>
  <c r="H567" i="6"/>
  <c r="I567" i="6" s="1"/>
  <c r="I585" i="6" s="1"/>
  <c r="M566" i="6"/>
  <c r="O566" i="6" s="1"/>
  <c r="H566" i="6"/>
  <c r="H565" i="6"/>
  <c r="M565" i="6" s="1"/>
  <c r="M561" i="6"/>
  <c r="O561" i="6" s="1"/>
  <c r="H561" i="6"/>
  <c r="H560" i="6"/>
  <c r="M560" i="6" s="1"/>
  <c r="O560" i="6" s="1"/>
  <c r="M559" i="6"/>
  <c r="O559" i="6" s="1"/>
  <c r="K559" i="6"/>
  <c r="H559" i="6"/>
  <c r="M558" i="6"/>
  <c r="O558" i="6" s="1"/>
  <c r="H558" i="6"/>
  <c r="O557" i="6"/>
  <c r="M557" i="6"/>
  <c r="N557" i="6" s="1"/>
  <c r="H557" i="6"/>
  <c r="H556" i="6"/>
  <c r="M556" i="6" s="1"/>
  <c r="O556" i="6" s="1"/>
  <c r="N555" i="6"/>
  <c r="M555" i="6"/>
  <c r="O555" i="6" s="1"/>
  <c r="I555" i="6"/>
  <c r="H555" i="6"/>
  <c r="H554" i="6"/>
  <c r="M554" i="6" s="1"/>
  <c r="O554" i="6" s="1"/>
  <c r="M553" i="6"/>
  <c r="O553" i="6" s="1"/>
  <c r="H553" i="6"/>
  <c r="H552" i="6"/>
  <c r="M552" i="6" s="1"/>
  <c r="O552" i="6" s="1"/>
  <c r="M551" i="6"/>
  <c r="O551" i="6" s="1"/>
  <c r="H551" i="6"/>
  <c r="K550" i="6"/>
  <c r="M550" i="6" s="1"/>
  <c r="O550" i="6" s="1"/>
  <c r="H550" i="6"/>
  <c r="O549" i="6"/>
  <c r="H549" i="6"/>
  <c r="M549" i="6" s="1"/>
  <c r="N548" i="6"/>
  <c r="M548" i="6"/>
  <c r="O548" i="6" s="1"/>
  <c r="I548" i="6"/>
  <c r="H548" i="6"/>
  <c r="O547" i="6"/>
  <c r="L547" i="6"/>
  <c r="M547" i="6" s="1"/>
  <c r="H547" i="6"/>
  <c r="H546" i="6"/>
  <c r="M546" i="6" s="1"/>
  <c r="O546" i="6" s="1"/>
  <c r="M545" i="6"/>
  <c r="O545" i="6" s="1"/>
  <c r="H545" i="6"/>
  <c r="H544" i="6"/>
  <c r="M544" i="6" s="1"/>
  <c r="O544" i="6" s="1"/>
  <c r="M543" i="6"/>
  <c r="O543" i="6" s="1"/>
  <c r="H543" i="6"/>
  <c r="M542" i="6"/>
  <c r="N542" i="6" s="1"/>
  <c r="H542" i="6"/>
  <c r="I542" i="6" s="1"/>
  <c r="M541" i="6"/>
  <c r="O541" i="6" s="1"/>
  <c r="H541" i="6"/>
  <c r="O540" i="6"/>
  <c r="H540" i="6"/>
  <c r="M540" i="6" s="1"/>
  <c r="M539" i="6"/>
  <c r="O539" i="6" s="1"/>
  <c r="H539" i="6"/>
  <c r="O538" i="6"/>
  <c r="H538" i="6"/>
  <c r="M538" i="6" s="1"/>
  <c r="I537" i="6"/>
  <c r="H537" i="6"/>
  <c r="M537" i="6" s="1"/>
  <c r="O537" i="6" s="1"/>
  <c r="K536" i="6"/>
  <c r="H536" i="6"/>
  <c r="O535" i="6"/>
  <c r="H535" i="6"/>
  <c r="M535" i="6" s="1"/>
  <c r="K534" i="6"/>
  <c r="J534" i="6"/>
  <c r="J562" i="6" s="1"/>
  <c r="H534" i="6"/>
  <c r="O533" i="6"/>
  <c r="H533" i="6"/>
  <c r="M533" i="6" s="1"/>
  <c r="M532" i="6"/>
  <c r="O532" i="6" s="1"/>
  <c r="H532" i="6"/>
  <c r="O531" i="6"/>
  <c r="L531" i="6"/>
  <c r="M531" i="6" s="1"/>
  <c r="H531" i="6"/>
  <c r="L529" i="6"/>
  <c r="M528" i="6"/>
  <c r="N528" i="6" s="1"/>
  <c r="H528" i="6"/>
  <c r="I528" i="6" s="1"/>
  <c r="M527" i="6"/>
  <c r="O527" i="6" s="1"/>
  <c r="H527" i="6"/>
  <c r="O526" i="6"/>
  <c r="K526" i="6"/>
  <c r="H526" i="6"/>
  <c r="M526" i="6" s="1"/>
  <c r="K525" i="6"/>
  <c r="K529" i="6" s="1"/>
  <c r="J525" i="6"/>
  <c r="H525" i="6"/>
  <c r="M524" i="6"/>
  <c r="O524" i="6" s="1"/>
  <c r="H524" i="6"/>
  <c r="H523" i="6"/>
  <c r="M523" i="6" s="1"/>
  <c r="O523" i="6" s="1"/>
  <c r="M522" i="6"/>
  <c r="O522" i="6" s="1"/>
  <c r="H522" i="6"/>
  <c r="M521" i="6"/>
  <c r="N521" i="6" s="1"/>
  <c r="H521" i="6"/>
  <c r="I521" i="6" s="1"/>
  <c r="M520" i="6"/>
  <c r="O520" i="6" s="1"/>
  <c r="H520" i="6"/>
  <c r="O519" i="6"/>
  <c r="H519" i="6"/>
  <c r="M519" i="6" s="1"/>
  <c r="M518" i="6"/>
  <c r="O518" i="6" s="1"/>
  <c r="H518" i="6"/>
  <c r="O517" i="6"/>
  <c r="H517" i="6"/>
  <c r="M517" i="6" s="1"/>
  <c r="M516" i="6"/>
  <c r="O516" i="6" s="1"/>
  <c r="H516" i="6"/>
  <c r="O515" i="6"/>
  <c r="H515" i="6"/>
  <c r="M515" i="6" s="1"/>
  <c r="M514" i="6"/>
  <c r="O514" i="6" s="1"/>
  <c r="H514" i="6"/>
  <c r="J513" i="6"/>
  <c r="H513" i="6"/>
  <c r="M513" i="6" s="1"/>
  <c r="O513" i="6" s="1"/>
  <c r="K512" i="6"/>
  <c r="J512" i="6"/>
  <c r="H512" i="6"/>
  <c r="M512" i="6" s="1"/>
  <c r="O512" i="6" s="1"/>
  <c r="M511" i="6"/>
  <c r="O511" i="6" s="1"/>
  <c r="J511" i="6"/>
  <c r="J529" i="6" s="1"/>
  <c r="H511" i="6"/>
  <c r="N510" i="6"/>
  <c r="M510" i="6"/>
  <c r="O510" i="6" s="1"/>
  <c r="I510" i="6"/>
  <c r="H510" i="6"/>
  <c r="H509" i="6"/>
  <c r="I509" i="6" s="1"/>
  <c r="M508" i="6"/>
  <c r="O508" i="6" s="1"/>
  <c r="H508" i="6"/>
  <c r="M507" i="6"/>
  <c r="N507" i="6" s="1"/>
  <c r="H507" i="6"/>
  <c r="I507" i="6" s="1"/>
  <c r="M506" i="6"/>
  <c r="O506" i="6" s="1"/>
  <c r="K506" i="6"/>
  <c r="O505" i="6"/>
  <c r="H505" i="6"/>
  <c r="M505" i="6" s="1"/>
  <c r="N504" i="6"/>
  <c r="M504" i="6"/>
  <c r="O504" i="6" s="1"/>
  <c r="I504" i="6"/>
  <c r="H504" i="6"/>
  <c r="O503" i="6"/>
  <c r="H503" i="6"/>
  <c r="M503" i="6" s="1"/>
  <c r="N502" i="6"/>
  <c r="M502" i="6"/>
  <c r="O502" i="6" s="1"/>
  <c r="I502" i="6"/>
  <c r="I529" i="6" s="1"/>
  <c r="H502" i="6"/>
  <c r="L500" i="6"/>
  <c r="H499" i="6"/>
  <c r="I499" i="6" s="1"/>
  <c r="M498" i="6"/>
  <c r="O498" i="6" s="1"/>
  <c r="H498" i="6"/>
  <c r="K497" i="6"/>
  <c r="J497" i="6"/>
  <c r="H497" i="6"/>
  <c r="M497" i="6" s="1"/>
  <c r="O497" i="6" s="1"/>
  <c r="M496" i="6"/>
  <c r="O496" i="6" s="1"/>
  <c r="K496" i="6"/>
  <c r="J496" i="6"/>
  <c r="J500" i="6" s="1"/>
  <c r="H496" i="6"/>
  <c r="K495" i="6"/>
  <c r="M495" i="6" s="1"/>
  <c r="O495" i="6" s="1"/>
  <c r="H495" i="6"/>
  <c r="H494" i="6"/>
  <c r="M494" i="6" s="1"/>
  <c r="O494" i="6" s="1"/>
  <c r="M493" i="6"/>
  <c r="O493" i="6" s="1"/>
  <c r="I493" i="6"/>
  <c r="H493" i="6"/>
  <c r="M492" i="6"/>
  <c r="O492" i="6" s="1"/>
  <c r="H492" i="6"/>
  <c r="M491" i="6"/>
  <c r="O491" i="6" s="1"/>
  <c r="H491" i="6"/>
  <c r="O490" i="6"/>
  <c r="H490" i="6"/>
  <c r="M490" i="6" s="1"/>
  <c r="O489" i="6"/>
  <c r="M489" i="6"/>
  <c r="H489" i="6"/>
  <c r="M488" i="6"/>
  <c r="O488" i="6" s="1"/>
  <c r="H488" i="6"/>
  <c r="N487" i="6"/>
  <c r="M487" i="6"/>
  <c r="O487" i="6" s="1"/>
  <c r="I487" i="6"/>
  <c r="H487" i="6"/>
  <c r="H486" i="6"/>
  <c r="M486" i="6" s="1"/>
  <c r="O486" i="6" s="1"/>
  <c r="H485" i="6"/>
  <c r="M485" i="6" s="1"/>
  <c r="O485" i="6" s="1"/>
  <c r="H484" i="6"/>
  <c r="M484" i="6" s="1"/>
  <c r="H483" i="6"/>
  <c r="M483" i="6" s="1"/>
  <c r="O483" i="6" s="1"/>
  <c r="K482" i="6"/>
  <c r="K500" i="6" s="1"/>
  <c r="H482" i="6"/>
  <c r="O481" i="6"/>
  <c r="H481" i="6"/>
  <c r="M481" i="6" s="1"/>
  <c r="O480" i="6"/>
  <c r="M480" i="6"/>
  <c r="H480" i="6"/>
  <c r="H479" i="6"/>
  <c r="I479" i="6" s="1"/>
  <c r="M478" i="6"/>
  <c r="O478" i="6" s="1"/>
  <c r="H478" i="6"/>
  <c r="H477" i="6"/>
  <c r="M477" i="6" s="1"/>
  <c r="O477" i="6" s="1"/>
  <c r="H476" i="6"/>
  <c r="M476" i="6" s="1"/>
  <c r="O476" i="6" s="1"/>
  <c r="H475" i="6"/>
  <c r="M475" i="6" s="1"/>
  <c r="O475" i="6" s="1"/>
  <c r="M474" i="6"/>
  <c r="O474" i="6" s="1"/>
  <c r="H474" i="6"/>
  <c r="O473" i="6"/>
  <c r="M473" i="6"/>
  <c r="N473" i="6" s="1"/>
  <c r="H473" i="6"/>
  <c r="I473" i="6" s="1"/>
  <c r="I472" i="6"/>
  <c r="H472" i="6"/>
  <c r="L470" i="6"/>
  <c r="K470" i="6"/>
  <c r="M469" i="6"/>
  <c r="O469" i="6" s="1"/>
  <c r="H469" i="6"/>
  <c r="M468" i="6"/>
  <c r="O468" i="6" s="1"/>
  <c r="H468" i="6"/>
  <c r="O467" i="6"/>
  <c r="H467" i="6"/>
  <c r="M467" i="6" s="1"/>
  <c r="O466" i="6"/>
  <c r="M466" i="6"/>
  <c r="H466" i="6"/>
  <c r="M465" i="6"/>
  <c r="O465" i="6" s="1"/>
  <c r="H465" i="6"/>
  <c r="M464" i="6"/>
  <c r="O464" i="6" s="1"/>
  <c r="J464" i="6"/>
  <c r="H464" i="6"/>
  <c r="J463" i="6"/>
  <c r="J470" i="6" s="1"/>
  <c r="H463" i="6"/>
  <c r="M463" i="6" s="1"/>
  <c r="O463" i="6" s="1"/>
  <c r="M462" i="6"/>
  <c r="O462" i="6" s="1"/>
  <c r="H462" i="6"/>
  <c r="O461" i="6"/>
  <c r="M461" i="6"/>
  <c r="N461" i="6" s="1"/>
  <c r="I461" i="6"/>
  <c r="H461" i="6"/>
  <c r="N460" i="6"/>
  <c r="M460" i="6"/>
  <c r="O460" i="6" s="1"/>
  <c r="I460" i="6"/>
  <c r="H460" i="6"/>
  <c r="H459" i="6"/>
  <c r="M459" i="6" s="1"/>
  <c r="O459" i="6" s="1"/>
  <c r="H458" i="6"/>
  <c r="M458" i="6" s="1"/>
  <c r="O458" i="6" s="1"/>
  <c r="H457" i="6"/>
  <c r="M457" i="6" s="1"/>
  <c r="M456" i="6"/>
  <c r="O456" i="6" s="1"/>
  <c r="I456" i="6"/>
  <c r="H456" i="6"/>
  <c r="M455" i="6"/>
  <c r="O455" i="6" s="1"/>
  <c r="H455" i="6"/>
  <c r="M454" i="6"/>
  <c r="O454" i="6" s="1"/>
  <c r="H454" i="6"/>
  <c r="O453" i="6"/>
  <c r="H453" i="6"/>
  <c r="M453" i="6" s="1"/>
  <c r="O452" i="6"/>
  <c r="M452" i="6"/>
  <c r="H452" i="6"/>
  <c r="M451" i="6"/>
  <c r="O451" i="6" s="1"/>
  <c r="H451" i="6"/>
  <c r="N450" i="6"/>
  <c r="M450" i="6"/>
  <c r="O450" i="6" s="1"/>
  <c r="I450" i="6"/>
  <c r="H450" i="6"/>
  <c r="H449" i="6"/>
  <c r="M449" i="6" s="1"/>
  <c r="O449" i="6" s="1"/>
  <c r="H448" i="6"/>
  <c r="M448" i="6" s="1"/>
  <c r="O448" i="6" s="1"/>
  <c r="H447" i="6"/>
  <c r="M447" i="6" s="1"/>
  <c r="O447" i="6" s="1"/>
  <c r="H446" i="6"/>
  <c r="M446" i="6" s="1"/>
  <c r="O446" i="6" s="1"/>
  <c r="H445" i="6"/>
  <c r="M445" i="6" s="1"/>
  <c r="O445" i="6" s="1"/>
  <c r="M444" i="6"/>
  <c r="H444" i="6"/>
  <c r="L442" i="6"/>
  <c r="K442" i="6"/>
  <c r="H441" i="6"/>
  <c r="M441" i="6" s="1"/>
  <c r="O441" i="6" s="1"/>
  <c r="M440" i="6"/>
  <c r="O440" i="6" s="1"/>
  <c r="H440" i="6"/>
  <c r="O439" i="6"/>
  <c r="M439" i="6"/>
  <c r="N439" i="6" s="1"/>
  <c r="H439" i="6"/>
  <c r="I439" i="6" s="1"/>
  <c r="O438" i="6"/>
  <c r="M438" i="6"/>
  <c r="H438" i="6"/>
  <c r="M437" i="6"/>
  <c r="O437" i="6" s="1"/>
  <c r="J437" i="6"/>
  <c r="H437" i="6"/>
  <c r="M436" i="6"/>
  <c r="O436" i="6" s="1"/>
  <c r="J436" i="6"/>
  <c r="H436" i="6"/>
  <c r="M435" i="6"/>
  <c r="O435" i="6" s="1"/>
  <c r="J435" i="6"/>
  <c r="H435" i="6"/>
  <c r="H434" i="6"/>
  <c r="I434" i="6" s="1"/>
  <c r="M433" i="6"/>
  <c r="O433" i="6" s="1"/>
  <c r="H433" i="6"/>
  <c r="H432" i="6"/>
  <c r="M432" i="6" s="1"/>
  <c r="O432" i="6" s="1"/>
  <c r="H431" i="6"/>
  <c r="M431" i="6" s="1"/>
  <c r="O431" i="6" s="1"/>
  <c r="H430" i="6"/>
  <c r="M430" i="6" s="1"/>
  <c r="O430" i="6" s="1"/>
  <c r="M429" i="6"/>
  <c r="O429" i="6" s="1"/>
  <c r="H429" i="6"/>
  <c r="H428" i="6"/>
  <c r="M428" i="6" s="1"/>
  <c r="O428" i="6" s="1"/>
  <c r="H427" i="6"/>
  <c r="M427" i="6" s="1"/>
  <c r="O427" i="6" s="1"/>
  <c r="H426" i="6"/>
  <c r="M426" i="6" s="1"/>
  <c r="M425" i="6"/>
  <c r="O425" i="6" s="1"/>
  <c r="I425" i="6"/>
  <c r="H425" i="6"/>
  <c r="H424" i="6"/>
  <c r="I424" i="6" s="1"/>
  <c r="M423" i="6"/>
  <c r="O423" i="6" s="1"/>
  <c r="H423" i="6"/>
  <c r="H422" i="6"/>
  <c r="M422" i="6" s="1"/>
  <c r="O422" i="6" s="1"/>
  <c r="H421" i="6"/>
  <c r="M421" i="6" s="1"/>
  <c r="O421" i="6" s="1"/>
  <c r="H420" i="6"/>
  <c r="M420" i="6" s="1"/>
  <c r="O420" i="6" s="1"/>
  <c r="N419" i="6"/>
  <c r="H419" i="6"/>
  <c r="M419" i="6" s="1"/>
  <c r="O419" i="6" s="1"/>
  <c r="H418" i="6"/>
  <c r="M418" i="6" s="1"/>
  <c r="O418" i="6" s="1"/>
  <c r="H417" i="6"/>
  <c r="M417" i="6" s="1"/>
  <c r="O417" i="6" s="1"/>
  <c r="H416" i="6"/>
  <c r="M416" i="6" s="1"/>
  <c r="M415" i="6"/>
  <c r="O415" i="6" s="1"/>
  <c r="I415" i="6"/>
  <c r="H415" i="6"/>
  <c r="H414" i="6"/>
  <c r="I414" i="6" s="1"/>
  <c r="M413" i="6"/>
  <c r="O413" i="6" s="1"/>
  <c r="H413" i="6"/>
  <c r="O412" i="6"/>
  <c r="M412" i="6"/>
  <c r="N412" i="6" s="1"/>
  <c r="H412" i="6"/>
  <c r="I412" i="6" s="1"/>
  <c r="H411" i="6"/>
  <c r="J411" i="6" s="1"/>
  <c r="M410" i="6"/>
  <c r="O410" i="6" s="1"/>
  <c r="H410" i="6"/>
  <c r="J410" i="6" s="1"/>
  <c r="H409" i="6"/>
  <c r="J409" i="6" s="1"/>
  <c r="M408" i="6"/>
  <c r="O408" i="6" s="1"/>
  <c r="H408" i="6"/>
  <c r="J408" i="6" s="1"/>
  <c r="J442" i="6" s="1"/>
  <c r="O407" i="6"/>
  <c r="M407" i="6"/>
  <c r="H407" i="6"/>
  <c r="M406" i="6"/>
  <c r="O406" i="6" s="1"/>
  <c r="H406" i="6"/>
  <c r="M405" i="6"/>
  <c r="O405" i="6" s="1"/>
  <c r="H405" i="6"/>
  <c r="O404" i="6"/>
  <c r="H404" i="6"/>
  <c r="M404" i="6" s="1"/>
  <c r="O403" i="6"/>
  <c r="M403" i="6"/>
  <c r="H403" i="6"/>
  <c r="M402" i="6"/>
  <c r="O402" i="6" s="1"/>
  <c r="H402" i="6"/>
  <c r="N401" i="6"/>
  <c r="M401" i="6"/>
  <c r="O401" i="6" s="1"/>
  <c r="I401" i="6"/>
  <c r="H401" i="6"/>
  <c r="O400" i="6"/>
  <c r="M400" i="6"/>
  <c r="N400" i="6" s="1"/>
  <c r="H400" i="6"/>
  <c r="I400" i="6" s="1"/>
  <c r="I399" i="6"/>
  <c r="H399" i="6"/>
  <c r="L397" i="6"/>
  <c r="K397" i="6"/>
  <c r="M396" i="6"/>
  <c r="O396" i="6" s="1"/>
  <c r="H396" i="6"/>
  <c r="N395" i="6"/>
  <c r="M395" i="6"/>
  <c r="O395" i="6" s="1"/>
  <c r="I395" i="6"/>
  <c r="H395" i="6"/>
  <c r="H394" i="6"/>
  <c r="M394" i="6" s="1"/>
  <c r="O394" i="6" s="1"/>
  <c r="M393" i="6"/>
  <c r="O393" i="6" s="1"/>
  <c r="I393" i="6"/>
  <c r="H393" i="6"/>
  <c r="H392" i="6"/>
  <c r="I392" i="6" s="1"/>
  <c r="M391" i="6"/>
  <c r="O391" i="6" s="1"/>
  <c r="H391" i="6"/>
  <c r="H390" i="6"/>
  <c r="M390" i="6" s="1"/>
  <c r="O390" i="6" s="1"/>
  <c r="H389" i="6"/>
  <c r="M389" i="6" s="1"/>
  <c r="O389" i="6" s="1"/>
  <c r="H388" i="6"/>
  <c r="M388" i="6" s="1"/>
  <c r="O388" i="6" s="1"/>
  <c r="M387" i="6"/>
  <c r="O387" i="6" s="1"/>
  <c r="J387" i="6"/>
  <c r="J397" i="6" s="1"/>
  <c r="H387" i="6"/>
  <c r="N386" i="6"/>
  <c r="H386" i="6"/>
  <c r="M386" i="6" s="1"/>
  <c r="O386" i="6" s="1"/>
  <c r="H385" i="6"/>
  <c r="M385" i="6" s="1"/>
  <c r="O385" i="6" s="1"/>
  <c r="M384" i="6"/>
  <c r="O384" i="6" s="1"/>
  <c r="H384" i="6"/>
  <c r="H383" i="6"/>
  <c r="M383" i="6" s="1"/>
  <c r="O383" i="6" s="1"/>
  <c r="M382" i="6"/>
  <c r="O382" i="6" s="1"/>
  <c r="I382" i="6"/>
  <c r="H382" i="6"/>
  <c r="M381" i="6"/>
  <c r="H381" i="6"/>
  <c r="H397" i="6" s="1"/>
  <c r="K379" i="6"/>
  <c r="J379" i="6"/>
  <c r="O378" i="6"/>
  <c r="M378" i="6"/>
  <c r="H378" i="6"/>
  <c r="M377" i="6"/>
  <c r="O377" i="6" s="1"/>
  <c r="H377" i="6"/>
  <c r="N376" i="6"/>
  <c r="M376" i="6"/>
  <c r="O376" i="6" s="1"/>
  <c r="I376" i="6"/>
  <c r="H376" i="6"/>
  <c r="H375" i="6"/>
  <c r="M375" i="6" s="1"/>
  <c r="O375" i="6" s="1"/>
  <c r="M374" i="6"/>
  <c r="O374" i="6" s="1"/>
  <c r="I374" i="6"/>
  <c r="H374" i="6"/>
  <c r="M373" i="6"/>
  <c r="O373" i="6" s="1"/>
  <c r="H373" i="6"/>
  <c r="M372" i="6"/>
  <c r="O372" i="6" s="1"/>
  <c r="H372" i="6"/>
  <c r="O371" i="6"/>
  <c r="M371" i="6"/>
  <c r="N371" i="6" s="1"/>
  <c r="I371" i="6"/>
  <c r="H371" i="6"/>
  <c r="N370" i="6"/>
  <c r="M370" i="6"/>
  <c r="O370" i="6" s="1"/>
  <c r="I370" i="6"/>
  <c r="H370" i="6"/>
  <c r="H369" i="6"/>
  <c r="M369" i="6" s="1"/>
  <c r="O369" i="6" s="1"/>
  <c r="L368" i="6"/>
  <c r="L379" i="6" s="1"/>
  <c r="H368" i="6"/>
  <c r="M368" i="6" s="1"/>
  <c r="O368" i="6" s="1"/>
  <c r="N367" i="6"/>
  <c r="M367" i="6"/>
  <c r="O367" i="6" s="1"/>
  <c r="I367" i="6"/>
  <c r="H367" i="6"/>
  <c r="H366" i="6"/>
  <c r="M366" i="6" s="1"/>
  <c r="O366" i="6" s="1"/>
  <c r="M365" i="6"/>
  <c r="O365" i="6" s="1"/>
  <c r="I365" i="6"/>
  <c r="H365" i="6"/>
  <c r="H364" i="6"/>
  <c r="I364" i="6" s="1"/>
  <c r="M363" i="6"/>
  <c r="O363" i="6" s="1"/>
  <c r="H363" i="6"/>
  <c r="H362" i="6"/>
  <c r="M362" i="6" s="1"/>
  <c r="O362" i="6" s="1"/>
  <c r="H361" i="6"/>
  <c r="M361" i="6" s="1"/>
  <c r="O361" i="6" s="1"/>
  <c r="H360" i="6"/>
  <c r="M360" i="6" s="1"/>
  <c r="H359" i="6"/>
  <c r="M359" i="6" s="1"/>
  <c r="O359" i="6" s="1"/>
  <c r="H358" i="6"/>
  <c r="M358" i="6" s="1"/>
  <c r="O358" i="6" s="1"/>
  <c r="H357" i="6"/>
  <c r="M357" i="6" s="1"/>
  <c r="O357" i="6" s="1"/>
  <c r="H356" i="6"/>
  <c r="M356" i="6" s="1"/>
  <c r="H355" i="6"/>
  <c r="M355" i="6" s="1"/>
  <c r="O355" i="6" s="1"/>
  <c r="H354" i="6"/>
  <c r="M354" i="6" s="1"/>
  <c r="O354" i="6" s="1"/>
  <c r="H353" i="6"/>
  <c r="M353" i="6" s="1"/>
  <c r="O353" i="6" s="1"/>
  <c r="H352" i="6"/>
  <c r="M352" i="6" s="1"/>
  <c r="O352" i="6" s="1"/>
  <c r="N351" i="6"/>
  <c r="H351" i="6"/>
  <c r="M351" i="6" s="1"/>
  <c r="O351" i="6" s="1"/>
  <c r="H350" i="6"/>
  <c r="M350" i="6" s="1"/>
  <c r="O350" i="6" s="1"/>
  <c r="M349" i="6"/>
  <c r="O349" i="6" s="1"/>
  <c r="H349" i="6"/>
  <c r="O348" i="6"/>
  <c r="M348" i="6"/>
  <c r="N348" i="6" s="1"/>
  <c r="H348" i="6"/>
  <c r="I348" i="6" s="1"/>
  <c r="L346" i="6"/>
  <c r="K346" i="6"/>
  <c r="J346" i="6"/>
  <c r="M345" i="6"/>
  <c r="O345" i="6" s="1"/>
  <c r="H345" i="6"/>
  <c r="O344" i="6"/>
  <c r="H344" i="6"/>
  <c r="M344" i="6" s="1"/>
  <c r="O343" i="6"/>
  <c r="N343" i="6"/>
  <c r="I343" i="6"/>
  <c r="H343" i="6"/>
  <c r="M343" i="6" s="1"/>
  <c r="O342" i="6"/>
  <c r="M342" i="6"/>
  <c r="N342" i="6" s="1"/>
  <c r="I342" i="6"/>
  <c r="H342" i="6"/>
  <c r="N341" i="6"/>
  <c r="M341" i="6"/>
  <c r="O341" i="6" s="1"/>
  <c r="I341" i="6"/>
  <c r="H341" i="6"/>
  <c r="O340" i="6"/>
  <c r="M340" i="6"/>
  <c r="N340" i="6" s="1"/>
  <c r="H340" i="6"/>
  <c r="I340" i="6" s="1"/>
  <c r="O339" i="6"/>
  <c r="M339" i="6"/>
  <c r="H339" i="6"/>
  <c r="M338" i="6"/>
  <c r="O338" i="6" s="1"/>
  <c r="H338" i="6"/>
  <c r="M337" i="6"/>
  <c r="O337" i="6" s="1"/>
  <c r="H337" i="6"/>
  <c r="O336" i="6"/>
  <c r="M336" i="6"/>
  <c r="N336" i="6" s="1"/>
  <c r="I336" i="6"/>
  <c r="H336" i="6"/>
  <c r="M335" i="6"/>
  <c r="O335" i="6" s="1"/>
  <c r="H335" i="6"/>
  <c r="O334" i="6"/>
  <c r="H334" i="6"/>
  <c r="M334" i="6" s="1"/>
  <c r="O333" i="6"/>
  <c r="M333" i="6"/>
  <c r="H333" i="6"/>
  <c r="M332" i="6"/>
  <c r="O332" i="6" s="1"/>
  <c r="H332" i="6"/>
  <c r="M331" i="6"/>
  <c r="O331" i="6" s="1"/>
  <c r="H331" i="6"/>
  <c r="O330" i="6"/>
  <c r="M330" i="6"/>
  <c r="N330" i="6" s="1"/>
  <c r="I330" i="6"/>
  <c r="H330" i="6"/>
  <c r="M329" i="6"/>
  <c r="O329" i="6" s="1"/>
  <c r="L329" i="6"/>
  <c r="H329" i="6"/>
  <c r="M328" i="6"/>
  <c r="O328" i="6" s="1"/>
  <c r="I328" i="6"/>
  <c r="H328" i="6"/>
  <c r="H327" i="6"/>
  <c r="I327" i="6" s="1"/>
  <c r="N326" i="6"/>
  <c r="H326" i="6"/>
  <c r="M326" i="6" s="1"/>
  <c r="O326" i="6" s="1"/>
  <c r="H325" i="6"/>
  <c r="M325" i="6" s="1"/>
  <c r="O325" i="6" s="1"/>
  <c r="M324" i="6"/>
  <c r="O324" i="6" s="1"/>
  <c r="H324" i="6"/>
  <c r="H323" i="6"/>
  <c r="M323" i="6" s="1"/>
  <c r="O323" i="6" s="1"/>
  <c r="H322" i="6"/>
  <c r="H346" i="6" s="1"/>
  <c r="K320" i="6"/>
  <c r="O319" i="6"/>
  <c r="M319" i="6"/>
  <c r="N319" i="6" s="1"/>
  <c r="H319" i="6"/>
  <c r="I319" i="6" s="1"/>
  <c r="O318" i="6"/>
  <c r="N318" i="6"/>
  <c r="I318" i="6"/>
  <c r="H318" i="6"/>
  <c r="M318" i="6" s="1"/>
  <c r="O317" i="6"/>
  <c r="H317" i="6"/>
  <c r="M317" i="6" s="1"/>
  <c r="O316" i="6"/>
  <c r="M316" i="6"/>
  <c r="H316" i="6"/>
  <c r="H315" i="6"/>
  <c r="I315" i="6" s="1"/>
  <c r="M314" i="6"/>
  <c r="O314" i="6" s="1"/>
  <c r="H314" i="6"/>
  <c r="L313" i="6"/>
  <c r="M313" i="6" s="1"/>
  <c r="O313" i="6" s="1"/>
  <c r="H313" i="6"/>
  <c r="O312" i="6"/>
  <c r="M312" i="6"/>
  <c r="N312" i="6" s="1"/>
  <c r="H312" i="6"/>
  <c r="I312" i="6" s="1"/>
  <c r="O311" i="6"/>
  <c r="M311" i="6"/>
  <c r="H311" i="6"/>
  <c r="M310" i="6"/>
  <c r="O310" i="6" s="1"/>
  <c r="H310" i="6"/>
  <c r="M309" i="6"/>
  <c r="O309" i="6" s="1"/>
  <c r="H309" i="6"/>
  <c r="O308" i="6"/>
  <c r="H308" i="6"/>
  <c r="M308" i="6" s="1"/>
  <c r="O307" i="6"/>
  <c r="M307" i="6"/>
  <c r="H307" i="6"/>
  <c r="H306" i="6"/>
  <c r="I306" i="6" s="1"/>
  <c r="M305" i="6"/>
  <c r="O305" i="6" s="1"/>
  <c r="H305" i="6"/>
  <c r="H304" i="6"/>
  <c r="M304" i="6" s="1"/>
  <c r="O304" i="6" s="1"/>
  <c r="H303" i="6"/>
  <c r="M303" i="6" s="1"/>
  <c r="O303" i="6" s="1"/>
  <c r="H302" i="6"/>
  <c r="M302" i="6" s="1"/>
  <c r="M301" i="6"/>
  <c r="O301" i="6" s="1"/>
  <c r="I301" i="6"/>
  <c r="H301" i="6"/>
  <c r="M300" i="6"/>
  <c r="O300" i="6" s="1"/>
  <c r="L300" i="6"/>
  <c r="L320" i="6" s="1"/>
  <c r="H300" i="6"/>
  <c r="M299" i="6"/>
  <c r="O299" i="6" s="1"/>
  <c r="H299" i="6"/>
  <c r="N298" i="6"/>
  <c r="M298" i="6"/>
  <c r="O298" i="6" s="1"/>
  <c r="I298" i="6"/>
  <c r="H298" i="6"/>
  <c r="O297" i="6"/>
  <c r="M297" i="6"/>
  <c r="N297" i="6" s="1"/>
  <c r="H297" i="6"/>
  <c r="I297" i="6" s="1"/>
  <c r="O296" i="6"/>
  <c r="M296" i="6"/>
  <c r="H296" i="6"/>
  <c r="H295" i="6"/>
  <c r="I295" i="6" s="1"/>
  <c r="M294" i="6"/>
  <c r="O294" i="6" s="1"/>
  <c r="H294" i="6"/>
  <c r="H293" i="6"/>
  <c r="M293" i="6" s="1"/>
  <c r="O293" i="6" s="1"/>
  <c r="M292" i="6"/>
  <c r="O292" i="6" s="1"/>
  <c r="I292" i="6"/>
  <c r="H292" i="6"/>
  <c r="H291" i="6"/>
  <c r="I291" i="6" s="1"/>
  <c r="J290" i="6"/>
  <c r="H290" i="6"/>
  <c r="M290" i="6" s="1"/>
  <c r="O290" i="6" s="1"/>
  <c r="J289" i="6"/>
  <c r="H289" i="6"/>
  <c r="M289" i="6" s="1"/>
  <c r="O289" i="6" s="1"/>
  <c r="J288" i="6"/>
  <c r="J320" i="6" s="1"/>
  <c r="H288" i="6"/>
  <c r="M288" i="6" s="1"/>
  <c r="O288" i="6" s="1"/>
  <c r="M287" i="6"/>
  <c r="O287" i="6" s="1"/>
  <c r="H287" i="6"/>
  <c r="H286" i="6"/>
  <c r="M286" i="6" s="1"/>
  <c r="K284" i="6"/>
  <c r="J284" i="6"/>
  <c r="M283" i="6"/>
  <c r="O283" i="6" s="1"/>
  <c r="J283" i="6"/>
  <c r="H283" i="6"/>
  <c r="M282" i="6"/>
  <c r="O282" i="6" s="1"/>
  <c r="J282" i="6"/>
  <c r="H282" i="6"/>
  <c r="M281" i="6"/>
  <c r="O281" i="6" s="1"/>
  <c r="H281" i="6"/>
  <c r="H280" i="6"/>
  <c r="M280" i="6" s="1"/>
  <c r="O280" i="6" s="1"/>
  <c r="H279" i="6"/>
  <c r="M279" i="6" s="1"/>
  <c r="O279" i="6" s="1"/>
  <c r="H278" i="6"/>
  <c r="M278" i="6" s="1"/>
  <c r="O278" i="6" s="1"/>
  <c r="M277" i="6"/>
  <c r="O277" i="6" s="1"/>
  <c r="H277" i="6"/>
  <c r="H276" i="6"/>
  <c r="M276" i="6" s="1"/>
  <c r="O276" i="6" s="1"/>
  <c r="M275" i="6"/>
  <c r="O275" i="6" s="1"/>
  <c r="I275" i="6"/>
  <c r="H275" i="6"/>
  <c r="M274" i="6"/>
  <c r="O274" i="6" s="1"/>
  <c r="H274" i="6"/>
  <c r="N273" i="6"/>
  <c r="M273" i="6"/>
  <c r="O273" i="6" s="1"/>
  <c r="I273" i="6"/>
  <c r="H273" i="6"/>
  <c r="H272" i="6"/>
  <c r="M272" i="6" s="1"/>
  <c r="O272" i="6" s="1"/>
  <c r="H271" i="6"/>
  <c r="M271" i="6" s="1"/>
  <c r="O271" i="6" s="1"/>
  <c r="M270" i="6"/>
  <c r="N270" i="6" s="1"/>
  <c r="H270" i="6"/>
  <c r="I270" i="6" s="1"/>
  <c r="H269" i="6"/>
  <c r="M269" i="6" s="1"/>
  <c r="O269" i="6" s="1"/>
  <c r="H268" i="6"/>
  <c r="M268" i="6" s="1"/>
  <c r="O268" i="6" s="1"/>
  <c r="M267" i="6"/>
  <c r="O267" i="6" s="1"/>
  <c r="H267" i="6"/>
  <c r="M266" i="6"/>
  <c r="O266" i="6" s="1"/>
  <c r="H266" i="6"/>
  <c r="I266" i="6" s="1"/>
  <c r="I284" i="6" s="1"/>
  <c r="M265" i="6"/>
  <c r="O265" i="6" s="1"/>
  <c r="H265" i="6"/>
  <c r="H264" i="6"/>
  <c r="M264" i="6" s="1"/>
  <c r="O264" i="6" s="1"/>
  <c r="M263" i="6"/>
  <c r="O263" i="6" s="1"/>
  <c r="H263" i="6"/>
  <c r="L262" i="6"/>
  <c r="M262" i="6" s="1"/>
  <c r="O262" i="6" s="1"/>
  <c r="H262" i="6"/>
  <c r="H261" i="6"/>
  <c r="M261" i="6" s="1"/>
  <c r="O261" i="6" s="1"/>
  <c r="M260" i="6"/>
  <c r="O260" i="6" s="1"/>
  <c r="L260" i="6"/>
  <c r="L284" i="6" s="1"/>
  <c r="H260" i="6"/>
  <c r="M259" i="6"/>
  <c r="M284" i="6" s="1"/>
  <c r="H259" i="6"/>
  <c r="H284" i="6" s="1"/>
  <c r="H256" i="6"/>
  <c r="I256" i="6" s="1"/>
  <c r="H255" i="6"/>
  <c r="H254" i="6"/>
  <c r="H253" i="6"/>
  <c r="I252" i="6"/>
  <c r="H252" i="6"/>
  <c r="H251" i="6"/>
  <c r="H250" i="6"/>
  <c r="H249" i="6"/>
  <c r="H248" i="6"/>
  <c r="I247" i="6"/>
  <c r="H247" i="6"/>
  <c r="I246" i="6"/>
  <c r="H246" i="6"/>
  <c r="I245" i="6"/>
  <c r="I257" i="6" s="1"/>
  <c r="H245" i="6"/>
  <c r="H244" i="6"/>
  <c r="H243" i="6"/>
  <c r="H242" i="6"/>
  <c r="H241" i="6"/>
  <c r="H240" i="6"/>
  <c r="H257" i="6" s="1"/>
  <c r="H237" i="6"/>
  <c r="H236" i="6"/>
  <c r="H235" i="6"/>
  <c r="H234" i="6"/>
  <c r="I234" i="6" s="1"/>
  <c r="H233" i="6"/>
  <c r="H232" i="6"/>
  <c r="H231" i="6"/>
  <c r="H230" i="6"/>
  <c r="H229" i="6"/>
  <c r="I229" i="6" s="1"/>
  <c r="H228" i="6"/>
  <c r="I228" i="6" s="1"/>
  <c r="I238" i="6" s="1"/>
  <c r="H227" i="6"/>
  <c r="H226" i="6"/>
  <c r="H238" i="6" s="1"/>
  <c r="H225" i="6"/>
  <c r="H224" i="6"/>
  <c r="I221" i="6"/>
  <c r="H221" i="6"/>
  <c r="I220" i="6"/>
  <c r="H220" i="6"/>
  <c r="H219" i="6"/>
  <c r="H218" i="6"/>
  <c r="I217" i="6"/>
  <c r="H217" i="6"/>
  <c r="I216" i="6"/>
  <c r="H216" i="6"/>
  <c r="H215" i="6"/>
  <c r="H214" i="6"/>
  <c r="I213" i="6"/>
  <c r="H213" i="6"/>
  <c r="H212" i="6"/>
  <c r="H211" i="6"/>
  <c r="I210" i="6"/>
  <c r="H210" i="6"/>
  <c r="I209" i="6"/>
  <c r="H209" i="6"/>
  <c r="I208" i="6"/>
  <c r="H208" i="6"/>
  <c r="I207" i="6"/>
  <c r="H207" i="6"/>
  <c r="I206" i="6"/>
  <c r="H206" i="6"/>
  <c r="I205" i="6"/>
  <c r="H205" i="6"/>
  <c r="H204" i="6"/>
  <c r="H203" i="6"/>
  <c r="I203" i="6" s="1"/>
  <c r="I222" i="6" s="1"/>
  <c r="H202" i="6"/>
  <c r="H201" i="6"/>
  <c r="H200" i="6"/>
  <c r="H199" i="6"/>
  <c r="H198" i="6"/>
  <c r="H197" i="6"/>
  <c r="H222" i="6" s="1"/>
  <c r="L222" i="6" s="1"/>
  <c r="I194" i="6"/>
  <c r="H194" i="6"/>
  <c r="I193" i="6"/>
  <c r="H193" i="6"/>
  <c r="I192" i="6"/>
  <c r="H192" i="6"/>
  <c r="I191" i="6"/>
  <c r="H191" i="6"/>
  <c r="H190" i="6"/>
  <c r="H189" i="6"/>
  <c r="I188" i="6"/>
  <c r="I195" i="6" s="1"/>
  <c r="H188" i="6"/>
  <c r="H187" i="6"/>
  <c r="H186" i="6"/>
  <c r="H185" i="6"/>
  <c r="H195" i="6" s="1"/>
  <c r="L195" i="6" s="1"/>
  <c r="I181" i="6"/>
  <c r="H181" i="6"/>
  <c r="H180" i="6"/>
  <c r="H179" i="6"/>
  <c r="I178" i="6"/>
  <c r="H178" i="6"/>
  <c r="H177" i="6"/>
  <c r="H176" i="6"/>
  <c r="H175" i="6"/>
  <c r="H174" i="6"/>
  <c r="H173" i="6"/>
  <c r="H172" i="6"/>
  <c r="H171" i="6"/>
  <c r="H170" i="6"/>
  <c r="I169" i="6"/>
  <c r="H169" i="6"/>
  <c r="H168" i="6"/>
  <c r="H167" i="6"/>
  <c r="I167" i="6" s="1"/>
  <c r="H166" i="6"/>
  <c r="I166" i="6" s="1"/>
  <c r="I183" i="6" s="1"/>
  <c r="H165" i="6"/>
  <c r="H164" i="6"/>
  <c r="H163" i="6"/>
  <c r="H162" i="6"/>
  <c r="H161" i="6"/>
  <c r="H160" i="6"/>
  <c r="H159" i="6"/>
  <c r="H158" i="6"/>
  <c r="H183" i="6" s="1"/>
  <c r="L183" i="6" s="1"/>
  <c r="H157" i="6"/>
  <c r="H154" i="6"/>
  <c r="I154" i="6" s="1"/>
  <c r="H153" i="6"/>
  <c r="H152" i="6"/>
  <c r="H151" i="6"/>
  <c r="I151" i="6" s="1"/>
  <c r="H150" i="6"/>
  <c r="I150" i="6" s="1"/>
  <c r="H149" i="6"/>
  <c r="I149" i="6" s="1"/>
  <c r="H148" i="6"/>
  <c r="I148" i="6" s="1"/>
  <c r="H147" i="6"/>
  <c r="I147" i="6" s="1"/>
  <c r="H146" i="6"/>
  <c r="H145" i="6"/>
  <c r="H144" i="6"/>
  <c r="I144" i="6" s="1"/>
  <c r="H143" i="6"/>
  <c r="I142" i="6"/>
  <c r="H142" i="6"/>
  <c r="H141" i="6"/>
  <c r="H140" i="6"/>
  <c r="I140" i="6" s="1"/>
  <c r="H139" i="6"/>
  <c r="I138" i="6"/>
  <c r="H138" i="6"/>
  <c r="I137" i="6"/>
  <c r="H137" i="6"/>
  <c r="I136" i="6"/>
  <c r="H136" i="6"/>
  <c r="H135" i="6"/>
  <c r="H155" i="6" s="1"/>
  <c r="I132" i="6"/>
  <c r="H132" i="6"/>
  <c r="I131" i="6"/>
  <c r="H131" i="6"/>
  <c r="I130" i="6"/>
  <c r="H130" i="6"/>
  <c r="I129" i="6"/>
  <c r="H129" i="6"/>
  <c r="I128" i="6"/>
  <c r="H128" i="6"/>
  <c r="H127" i="6"/>
  <c r="H126" i="6"/>
  <c r="I126" i="6" s="1"/>
  <c r="H125" i="6"/>
  <c r="I125" i="6" s="1"/>
  <c r="H124" i="6"/>
  <c r="H123" i="6"/>
  <c r="H122" i="6"/>
  <c r="I121" i="6"/>
  <c r="H121" i="6"/>
  <c r="H120" i="6"/>
  <c r="H119" i="6"/>
  <c r="I119" i="6" s="1"/>
  <c r="H118" i="6"/>
  <c r="H133" i="6" s="1"/>
  <c r="H117" i="6"/>
  <c r="H114" i="6"/>
  <c r="I114" i="6" s="1"/>
  <c r="H113" i="6"/>
  <c r="H112" i="6"/>
  <c r="H111" i="6"/>
  <c r="I110" i="6"/>
  <c r="H110" i="6"/>
  <c r="I109" i="6"/>
  <c r="H109" i="6"/>
  <c r="I108" i="6"/>
  <c r="H108" i="6"/>
  <c r="H107" i="6"/>
  <c r="H106" i="6"/>
  <c r="I106" i="6" s="1"/>
  <c r="H105" i="6"/>
  <c r="I105" i="6" s="1"/>
  <c r="H104" i="6"/>
  <c r="H103" i="6"/>
  <c r="H102" i="6"/>
  <c r="I102" i="6" s="1"/>
  <c r="H101" i="6"/>
  <c r="H98" i="6"/>
  <c r="H97" i="6"/>
  <c r="H96" i="6"/>
  <c r="I95" i="6"/>
  <c r="H95" i="6"/>
  <c r="I94" i="6"/>
  <c r="H94" i="6"/>
  <c r="I93" i="6"/>
  <c r="H93" i="6"/>
  <c r="I92" i="6"/>
  <c r="H92" i="6"/>
  <c r="I91" i="6"/>
  <c r="H91" i="6"/>
  <c r="H90" i="6"/>
  <c r="H89" i="6"/>
  <c r="I89" i="6" s="1"/>
  <c r="H88" i="6"/>
  <c r="I88" i="6" s="1"/>
  <c r="H87" i="6"/>
  <c r="H86" i="6"/>
  <c r="H85" i="6"/>
  <c r="H84" i="6"/>
  <c r="H83" i="6"/>
  <c r="H82" i="6"/>
  <c r="H80" i="6"/>
  <c r="I80" i="6" s="1"/>
  <c r="H79" i="6"/>
  <c r="I79" i="6" s="1"/>
  <c r="I99" i="6" s="1"/>
  <c r="H78" i="6"/>
  <c r="H75" i="6"/>
  <c r="I75" i="6" s="1"/>
  <c r="H74" i="6"/>
  <c r="I73" i="6"/>
  <c r="H73" i="6"/>
  <c r="I72" i="6"/>
  <c r="H72" i="6"/>
  <c r="H71" i="6"/>
  <c r="H70" i="6"/>
  <c r="I70" i="6" s="1"/>
  <c r="H69" i="6"/>
  <c r="I68" i="6"/>
  <c r="H68" i="6"/>
  <c r="H67" i="6"/>
  <c r="H66" i="6"/>
  <c r="H65" i="6"/>
  <c r="H64" i="6"/>
  <c r="I63" i="6"/>
  <c r="H63" i="6"/>
  <c r="H62" i="6"/>
  <c r="H61" i="6"/>
  <c r="I61" i="6" s="1"/>
  <c r="H60" i="6"/>
  <c r="I60" i="6" s="1"/>
  <c r="H59" i="6"/>
  <c r="I59" i="6" s="1"/>
  <c r="H58" i="6"/>
  <c r="I58" i="6" s="1"/>
  <c r="H57" i="6"/>
  <c r="H76" i="6" s="1"/>
  <c r="H56" i="6"/>
  <c r="I56" i="6" s="1"/>
  <c r="H55" i="6"/>
  <c r="I55" i="6" s="1"/>
  <c r="H52" i="6"/>
  <c r="H51" i="6"/>
  <c r="I50" i="6"/>
  <c r="H50" i="6"/>
  <c r="I49" i="6"/>
  <c r="H49" i="6"/>
  <c r="I48" i="6"/>
  <c r="H48" i="6"/>
  <c r="H47" i="6"/>
  <c r="H46" i="6"/>
  <c r="I46" i="6" s="1"/>
  <c r="H45" i="6"/>
  <c r="H44" i="6"/>
  <c r="H43" i="6"/>
  <c r="I42" i="6"/>
  <c r="H42" i="6"/>
  <c r="H41" i="6"/>
  <c r="H40" i="6"/>
  <c r="I40" i="6" s="1"/>
  <c r="H39" i="6"/>
  <c r="I39" i="6" s="1"/>
  <c r="H38" i="6"/>
  <c r="I38" i="6" s="1"/>
  <c r="I53" i="6" s="1"/>
  <c r="H35" i="6"/>
  <c r="I34" i="6"/>
  <c r="I33" i="6"/>
  <c r="H32" i="6"/>
  <c r="I32" i="6" s="1"/>
  <c r="H31" i="6"/>
  <c r="I31" i="6" s="1"/>
  <c r="H30" i="6"/>
  <c r="I29" i="6"/>
  <c r="H28" i="6"/>
  <c r="I28" i="6" s="1"/>
  <c r="H27" i="6"/>
  <c r="I27" i="6" s="1"/>
  <c r="H26" i="6"/>
  <c r="I26" i="6" s="1"/>
  <c r="H25" i="6"/>
  <c r="I24" i="6"/>
  <c r="H24" i="6"/>
  <c r="I23" i="6"/>
  <c r="H23" i="6"/>
  <c r="I22" i="6"/>
  <c r="H22" i="6"/>
  <c r="I21" i="6"/>
  <c r="H21" i="6"/>
  <c r="H36" i="6" s="1"/>
  <c r="I20" i="6"/>
  <c r="I17" i="6"/>
  <c r="H17" i="6"/>
  <c r="I16" i="6"/>
  <c r="H16" i="6"/>
  <c r="I15" i="6"/>
  <c r="H15" i="6"/>
  <c r="I14" i="6"/>
  <c r="H14" i="6"/>
  <c r="I13" i="6"/>
  <c r="H13" i="6"/>
  <c r="I12" i="6"/>
  <c r="H12" i="6"/>
  <c r="I11" i="6"/>
  <c r="H11" i="6"/>
  <c r="I10" i="6"/>
  <c r="H10" i="6"/>
  <c r="I9" i="6"/>
  <c r="H9" i="6"/>
  <c r="I8" i="6"/>
  <c r="H8" i="6"/>
  <c r="I7" i="6"/>
  <c r="H7" i="6"/>
  <c r="I6" i="6"/>
  <c r="H6" i="6"/>
  <c r="I5" i="6"/>
  <c r="H5" i="6"/>
  <c r="I4" i="6"/>
  <c r="H4" i="6"/>
  <c r="I3" i="6"/>
  <c r="H3" i="6"/>
  <c r="I2" i="6"/>
  <c r="I18" i="6" s="1"/>
  <c r="H2" i="6"/>
  <c r="H18" i="6" s="1"/>
  <c r="L18" i="6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O2" i="5"/>
  <c r="O3" i="5"/>
  <c r="O4" i="5"/>
  <c r="O5" i="5"/>
  <c r="O6" i="5"/>
  <c r="O9" i="5"/>
  <c r="O10" i="5"/>
  <c r="O11" i="5"/>
  <c r="O12" i="5"/>
  <c r="O14" i="5"/>
  <c r="O15" i="5"/>
  <c r="O16" i="5"/>
  <c r="O17" i="5"/>
  <c r="O18" i="5"/>
  <c r="O19" i="5"/>
  <c r="O20" i="5"/>
  <c r="O21" i="5"/>
  <c r="O25" i="5"/>
  <c r="O26" i="5"/>
  <c r="O27" i="5"/>
  <c r="O28" i="5"/>
  <c r="O30" i="5"/>
  <c r="O31" i="5"/>
  <c r="O32" i="5"/>
  <c r="O34" i="5"/>
  <c r="O35" i="5"/>
  <c r="O36" i="5"/>
  <c r="O37" i="5"/>
  <c r="O38" i="5"/>
  <c r="O39" i="5"/>
  <c r="O40" i="5"/>
  <c r="O42" i="5"/>
  <c r="O43" i="5"/>
  <c r="O44" i="5"/>
  <c r="O46" i="5"/>
  <c r="O47" i="5"/>
  <c r="O49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6" i="5"/>
  <c r="O67" i="5"/>
  <c r="O69" i="5"/>
  <c r="O72" i="5"/>
  <c r="O73" i="5"/>
  <c r="O76" i="5"/>
  <c r="O77" i="5"/>
  <c r="O78" i="5"/>
  <c r="O80" i="5"/>
  <c r="O81" i="5"/>
  <c r="O82" i="5"/>
  <c r="O83" i="5"/>
  <c r="O84" i="5"/>
  <c r="O86" i="5"/>
  <c r="O87" i="5"/>
  <c r="O89" i="5"/>
  <c r="O90" i="5"/>
  <c r="O93" i="5"/>
  <c r="O94" i="5"/>
  <c r="O95" i="5"/>
  <c r="O96" i="5"/>
  <c r="O100" i="5"/>
  <c r="O102" i="5"/>
  <c r="O103" i="5"/>
  <c r="O104" i="5"/>
  <c r="O105" i="5"/>
  <c r="O106" i="5"/>
  <c r="O108" i="5"/>
  <c r="O109" i="5"/>
  <c r="O110" i="5"/>
  <c r="O115" i="5"/>
  <c r="O116" i="5"/>
  <c r="O118" i="5"/>
  <c r="O119" i="5"/>
  <c r="O121" i="5"/>
  <c r="O123" i="5"/>
  <c r="O124" i="5"/>
  <c r="O127" i="5"/>
  <c r="O128" i="5"/>
  <c r="O130" i="5"/>
  <c r="O131" i="5"/>
  <c r="O132" i="5"/>
  <c r="O135" i="5"/>
  <c r="O137" i="5"/>
  <c r="O138" i="5"/>
  <c r="O141" i="5"/>
  <c r="O142" i="5"/>
  <c r="O144" i="5"/>
  <c r="O146" i="5"/>
  <c r="O147" i="5"/>
  <c r="O148" i="5"/>
  <c r="O150" i="5"/>
  <c r="O151" i="5"/>
  <c r="O152" i="5"/>
  <c r="O154" i="5"/>
  <c r="O155" i="5"/>
  <c r="O156" i="5"/>
  <c r="O157" i="5"/>
  <c r="O158" i="5"/>
  <c r="O161" i="5"/>
  <c r="O163" i="5"/>
  <c r="O167" i="5"/>
  <c r="O168" i="5"/>
  <c r="O169" i="5"/>
  <c r="O170" i="5"/>
  <c r="O171" i="5"/>
  <c r="O172" i="5"/>
  <c r="O173" i="5"/>
  <c r="O174" i="5"/>
  <c r="O175" i="5"/>
  <c r="O176" i="5"/>
  <c r="O178" i="5"/>
  <c r="O183" i="5"/>
  <c r="O185" i="5"/>
  <c r="O186" i="5"/>
  <c r="O187" i="5"/>
  <c r="O188" i="5"/>
  <c r="O192" i="5"/>
  <c r="O193" i="5"/>
  <c r="O194" i="5"/>
  <c r="O195" i="5"/>
  <c r="O196" i="5"/>
  <c r="O197" i="5"/>
  <c r="O198" i="5"/>
  <c r="O200" i="5"/>
  <c r="O201" i="5"/>
  <c r="O202" i="5"/>
  <c r="O203" i="5"/>
  <c r="O205" i="5"/>
  <c r="O206" i="5"/>
  <c r="O207" i="5"/>
  <c r="O208" i="5"/>
  <c r="O210" i="5"/>
  <c r="O211" i="5"/>
  <c r="O212" i="5"/>
  <c r="O214" i="5"/>
  <c r="O215" i="5"/>
  <c r="O216" i="5"/>
  <c r="O217" i="5"/>
  <c r="O218" i="5"/>
  <c r="O221" i="5"/>
  <c r="O222" i="5"/>
  <c r="O225" i="5"/>
  <c r="O226" i="5"/>
  <c r="O227" i="5"/>
  <c r="O228" i="5"/>
  <c r="O229" i="5"/>
  <c r="O230" i="5"/>
  <c r="O231" i="5"/>
  <c r="O232" i="5"/>
  <c r="O235" i="5"/>
  <c r="O236" i="5"/>
  <c r="O237" i="5"/>
  <c r="O238" i="5"/>
  <c r="O239" i="5"/>
  <c r="O241" i="5"/>
  <c r="O242" i="5"/>
  <c r="O243" i="5"/>
  <c r="O244" i="5"/>
  <c r="O246" i="5"/>
  <c r="O247" i="5"/>
  <c r="O249" i="5"/>
  <c r="O250" i="5"/>
  <c r="O251" i="5"/>
  <c r="O252" i="5"/>
  <c r="O253" i="5"/>
  <c r="O255" i="5"/>
  <c r="O256" i="5"/>
  <c r="O257" i="5"/>
  <c r="O258" i="5"/>
  <c r="O259" i="5"/>
  <c r="O262" i="5"/>
  <c r="O264" i="5"/>
  <c r="O265" i="5"/>
  <c r="O267" i="5"/>
  <c r="O270" i="5"/>
  <c r="O271" i="5"/>
  <c r="O272" i="5"/>
  <c r="O273" i="5"/>
  <c r="O274" i="5"/>
  <c r="O275" i="5"/>
  <c r="O276" i="5"/>
  <c r="O277" i="5"/>
  <c r="O278" i="5"/>
  <c r="O279" i="5"/>
  <c r="O281" i="5"/>
  <c r="O282" i="5"/>
  <c r="O283" i="5"/>
  <c r="O284" i="5"/>
  <c r="O285" i="5"/>
  <c r="O286" i="5"/>
  <c r="O288" i="5"/>
  <c r="O289" i="5"/>
  <c r="O290" i="5"/>
  <c r="O291" i="5"/>
  <c r="O292" i="5"/>
  <c r="O293" i="5"/>
  <c r="O295" i="5"/>
  <c r="O296" i="5"/>
  <c r="O297" i="5"/>
  <c r="O298" i="5"/>
  <c r="O300" i="5"/>
  <c r="O301" i="5"/>
  <c r="O302" i="5"/>
  <c r="O303" i="5"/>
  <c r="O304" i="5"/>
  <c r="O306" i="5"/>
  <c r="O307" i="5"/>
  <c r="O308" i="5"/>
  <c r="O309" i="5"/>
  <c r="O310" i="5"/>
  <c r="O311" i="5"/>
  <c r="O313" i="5"/>
  <c r="O315" i="5"/>
  <c r="O316" i="5"/>
  <c r="O317" i="5"/>
  <c r="O318" i="5"/>
  <c r="O319" i="5"/>
  <c r="O320" i="5"/>
  <c r="O322" i="5"/>
  <c r="O323" i="5"/>
  <c r="O324" i="5"/>
  <c r="O325" i="5"/>
  <c r="O328" i="5"/>
  <c r="O330" i="5"/>
  <c r="O331" i="5"/>
  <c r="O332" i="5"/>
  <c r="O333" i="5"/>
  <c r="O334" i="5"/>
  <c r="O336" i="5"/>
  <c r="O337" i="5"/>
  <c r="O338" i="5"/>
  <c r="O339" i="5"/>
  <c r="O340" i="5"/>
  <c r="O341" i="5"/>
  <c r="O343" i="5"/>
  <c r="O345" i="5"/>
  <c r="O346" i="5"/>
  <c r="O347" i="5"/>
  <c r="O348" i="5"/>
  <c r="O349" i="5"/>
  <c r="O350" i="5"/>
  <c r="O351" i="5"/>
  <c r="O352" i="5"/>
  <c r="O354" i="5"/>
  <c r="O356" i="5"/>
  <c r="O357" i="5"/>
  <c r="O358" i="5"/>
  <c r="O359" i="5"/>
  <c r="O360" i="5"/>
  <c r="O362" i="5"/>
  <c r="O363" i="5"/>
  <c r="O365" i="5"/>
  <c r="O366" i="5"/>
  <c r="O368" i="5"/>
  <c r="O369" i="5"/>
  <c r="O370" i="5"/>
  <c r="O371" i="5"/>
  <c r="O373" i="5"/>
  <c r="O374" i="5"/>
  <c r="O375" i="5"/>
  <c r="O376" i="5"/>
  <c r="O377" i="5"/>
  <c r="O378" i="5"/>
  <c r="O380" i="5"/>
  <c r="O382" i="5"/>
  <c r="O383" i="5"/>
  <c r="O385" i="5"/>
  <c r="O386" i="5"/>
  <c r="O387" i="5"/>
  <c r="O389" i="5"/>
  <c r="O392" i="5"/>
  <c r="O393" i="5"/>
  <c r="O394" i="5"/>
  <c r="O395" i="5"/>
  <c r="O396" i="5"/>
  <c r="O397" i="5"/>
  <c r="O398" i="5"/>
  <c r="O399" i="5"/>
  <c r="O400" i="5"/>
  <c r="O402" i="5"/>
  <c r="O404" i="5"/>
  <c r="O407" i="5"/>
  <c r="O408" i="5"/>
  <c r="O409" i="5"/>
  <c r="O410" i="5"/>
  <c r="O411" i="5"/>
  <c r="O412" i="5"/>
  <c r="O413" i="5"/>
  <c r="O414" i="5"/>
  <c r="O416" i="5"/>
  <c r="O417" i="5"/>
  <c r="O421" i="5"/>
  <c r="O422" i="5"/>
  <c r="O423" i="5"/>
  <c r="O424" i="5"/>
  <c r="O426" i="5"/>
  <c r="O428" i="5"/>
  <c r="O431" i="5"/>
  <c r="O432" i="5"/>
  <c r="O433" i="5"/>
  <c r="O434" i="5"/>
  <c r="O436" i="5"/>
  <c r="O437" i="5"/>
  <c r="O438" i="5"/>
  <c r="O439" i="5"/>
  <c r="O441" i="5"/>
  <c r="O442" i="5"/>
  <c r="O443" i="5"/>
  <c r="O444" i="5"/>
  <c r="O445" i="5"/>
  <c r="O447" i="5"/>
  <c r="O449" i="5"/>
  <c r="O450" i="5"/>
  <c r="O451" i="5"/>
  <c r="O452" i="5"/>
  <c r="O453" i="5"/>
  <c r="O454" i="5"/>
  <c r="O456" i="5"/>
  <c r="O457" i="5"/>
  <c r="O458" i="5"/>
  <c r="O459" i="5"/>
  <c r="O460" i="5"/>
  <c r="O461" i="5"/>
  <c r="O462" i="5"/>
  <c r="O466" i="5"/>
  <c r="O468" i="5"/>
  <c r="O469" i="5"/>
  <c r="O470" i="5"/>
  <c r="O471" i="5"/>
  <c r="O473" i="5"/>
  <c r="O474" i="5"/>
  <c r="O475" i="5"/>
  <c r="O477" i="5"/>
  <c r="O479" i="5"/>
  <c r="O480" i="5"/>
  <c r="O481" i="5"/>
  <c r="O482" i="5"/>
  <c r="O483" i="5"/>
  <c r="O484" i="5"/>
  <c r="O486" i="5"/>
  <c r="O487" i="5"/>
  <c r="O488" i="5"/>
  <c r="O489" i="5"/>
  <c r="O490" i="5"/>
  <c r="O491" i="5"/>
  <c r="O492" i="5"/>
  <c r="O496" i="5"/>
  <c r="O497" i="5"/>
  <c r="O498" i="5"/>
  <c r="O499" i="5"/>
  <c r="O500" i="5"/>
  <c r="O501" i="5"/>
  <c r="O503" i="5"/>
  <c r="O504" i="5"/>
  <c r="O505" i="5"/>
  <c r="O506" i="5"/>
  <c r="O507" i="5"/>
  <c r="O508" i="5"/>
  <c r="O511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3" i="5"/>
  <c r="O544" i="5"/>
  <c r="O546" i="5"/>
  <c r="O547" i="5"/>
  <c r="O548" i="5"/>
  <c r="O549" i="5"/>
  <c r="O550" i="5"/>
  <c r="O552" i="5"/>
  <c r="O554" i="5"/>
  <c r="O555" i="5"/>
  <c r="O556" i="5"/>
  <c r="O557" i="5"/>
  <c r="O558" i="5"/>
  <c r="O559" i="5"/>
  <c r="O560" i="5"/>
  <c r="O562" i="5"/>
  <c r="O564" i="5"/>
  <c r="O565" i="5"/>
  <c r="O566" i="5"/>
  <c r="O567" i="5"/>
  <c r="O572" i="5"/>
  <c r="O573" i="5"/>
  <c r="O574" i="5"/>
  <c r="O576" i="5"/>
  <c r="O577" i="5"/>
  <c r="O578" i="5"/>
  <c r="O579" i="5"/>
  <c r="O580" i="5"/>
  <c r="O581" i="5"/>
  <c r="O584" i="5"/>
  <c r="O585" i="5"/>
  <c r="O586" i="5"/>
  <c r="O588" i="5"/>
  <c r="O589" i="5"/>
  <c r="O590" i="5"/>
  <c r="O591" i="5"/>
  <c r="O593" i="5"/>
  <c r="O594" i="5"/>
  <c r="O595" i="5"/>
  <c r="O596" i="5"/>
  <c r="O598" i="5"/>
  <c r="O599" i="5"/>
  <c r="O600" i="5"/>
  <c r="O601" i="5"/>
  <c r="O602" i="5"/>
  <c r="O603" i="5"/>
  <c r="O604" i="5"/>
  <c r="O605" i="5"/>
  <c r="O606" i="5"/>
  <c r="O608" i="5"/>
  <c r="O609" i="5"/>
  <c r="O610" i="5"/>
  <c r="O611" i="5"/>
  <c r="O612" i="5"/>
  <c r="O613" i="5"/>
  <c r="O614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2" i="5"/>
  <c r="O633" i="5"/>
  <c r="O634" i="5"/>
  <c r="O635" i="5"/>
  <c r="O636" i="5"/>
  <c r="O637" i="5"/>
  <c r="O638" i="5"/>
  <c r="O639" i="5"/>
  <c r="O640" i="5"/>
  <c r="O641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3" i="5"/>
  <c r="O674" i="5"/>
  <c r="O676" i="5"/>
  <c r="O677" i="5"/>
  <c r="O678" i="5"/>
  <c r="O679" i="5"/>
  <c r="O680" i="5"/>
  <c r="O681" i="5"/>
  <c r="O682" i="5"/>
  <c r="O684" i="5"/>
  <c r="O685" i="5"/>
  <c r="O686" i="5"/>
  <c r="O688" i="5"/>
  <c r="O689" i="5"/>
  <c r="O690" i="5"/>
  <c r="O691" i="5"/>
  <c r="O692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5" i="5"/>
  <c r="O716" i="5"/>
  <c r="O718" i="5"/>
  <c r="O719" i="5"/>
  <c r="O720" i="5"/>
  <c r="O721" i="5"/>
  <c r="O724" i="5"/>
  <c r="O725" i="5"/>
  <c r="O726" i="5"/>
  <c r="O727" i="5"/>
  <c r="O728" i="5"/>
  <c r="O729" i="5"/>
  <c r="O730" i="5"/>
  <c r="O731" i="5"/>
  <c r="O733" i="5"/>
  <c r="O734" i="5"/>
  <c r="O736" i="5"/>
  <c r="O738" i="5"/>
  <c r="O739" i="5"/>
  <c r="O740" i="5"/>
  <c r="O741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10" i="5"/>
  <c r="O811" i="5"/>
  <c r="O813" i="5"/>
  <c r="O814" i="5"/>
  <c r="O815" i="5"/>
  <c r="O816" i="5"/>
  <c r="O818" i="5"/>
  <c r="O820" i="5"/>
  <c r="O822" i="5"/>
  <c r="O823" i="5"/>
  <c r="O826" i="5"/>
  <c r="O827" i="5"/>
  <c r="O828" i="5"/>
  <c r="O830" i="5"/>
  <c r="O831" i="5"/>
  <c r="O832" i="5"/>
  <c r="O833" i="5"/>
  <c r="O834" i="5"/>
  <c r="O835" i="5"/>
  <c r="O836" i="5"/>
  <c r="O837" i="5"/>
  <c r="O838" i="5"/>
  <c r="O839" i="5"/>
  <c r="O841" i="5"/>
  <c r="O843" i="5"/>
  <c r="O845" i="5"/>
  <c r="O846" i="5"/>
  <c r="O848" i="5"/>
  <c r="O849" i="5"/>
  <c r="O850" i="5"/>
  <c r="O851" i="5"/>
  <c r="O852" i="5"/>
  <c r="O853" i="5"/>
  <c r="O854" i="5"/>
  <c r="O856" i="5"/>
  <c r="O857" i="5"/>
  <c r="O859" i="5"/>
  <c r="O861" i="5"/>
  <c r="O862" i="5"/>
  <c r="O863" i="5"/>
  <c r="O866" i="5"/>
  <c r="O867" i="5"/>
  <c r="O868" i="5"/>
  <c r="O869" i="5"/>
  <c r="O875" i="5"/>
  <c r="O878" i="5"/>
  <c r="O879" i="5"/>
  <c r="O880" i="5"/>
  <c r="O881" i="5"/>
  <c r="O882" i="5"/>
  <c r="O883" i="5"/>
  <c r="O884" i="5"/>
  <c r="O885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8" i="5"/>
  <c r="O909" i="5"/>
  <c r="O910" i="5"/>
  <c r="O911" i="5"/>
  <c r="O914" i="5"/>
  <c r="O915" i="5"/>
  <c r="O916" i="5"/>
  <c r="O919" i="5"/>
  <c r="O920" i="5"/>
  <c r="O922" i="5"/>
  <c r="O923" i="5"/>
  <c r="O924" i="5"/>
  <c r="O925" i="5"/>
  <c r="O926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9" i="5"/>
  <c r="O961" i="5"/>
  <c r="O962" i="5"/>
  <c r="O963" i="5"/>
  <c r="O964" i="5"/>
  <c r="O965" i="5"/>
  <c r="O967" i="5"/>
  <c r="O968" i="5"/>
  <c r="O969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9" i="5"/>
  <c r="O1000" i="5"/>
  <c r="O1001" i="5"/>
  <c r="O1002" i="5"/>
  <c r="O1003" i="5"/>
  <c r="O1004" i="5"/>
  <c r="O1005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9" i="5"/>
  <c r="O1061" i="5"/>
  <c r="O1062" i="5"/>
  <c r="O1063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100" i="5"/>
  <c r="O1101" i="5"/>
  <c r="O1103" i="5"/>
  <c r="O1104" i="5"/>
  <c r="O1105" i="5"/>
  <c r="O1106" i="5"/>
  <c r="O1107" i="5"/>
  <c r="O1109" i="5"/>
  <c r="O1110" i="5"/>
  <c r="O1111" i="5"/>
  <c r="O1112" i="5"/>
  <c r="O1113" i="5"/>
  <c r="O1115" i="5"/>
  <c r="O1116" i="5"/>
  <c r="O1117" i="5"/>
  <c r="O1118" i="5"/>
  <c r="O1119" i="5"/>
  <c r="O1121" i="5"/>
  <c r="O1122" i="5"/>
  <c r="O1123" i="5"/>
  <c r="O1124" i="5"/>
  <c r="O1125" i="5"/>
  <c r="O1128" i="5"/>
  <c r="O1129" i="5"/>
  <c r="O1130" i="5"/>
  <c r="O1131" i="5"/>
  <c r="O1132" i="5"/>
  <c r="O1133" i="5"/>
  <c r="O1134" i="5"/>
  <c r="O1136" i="5"/>
  <c r="O1138" i="5"/>
  <c r="O1139" i="5"/>
  <c r="O1140" i="5"/>
  <c r="O1141" i="5"/>
  <c r="O1142" i="5"/>
  <c r="O1143" i="5"/>
  <c r="O1144" i="5"/>
  <c r="O1145" i="5"/>
  <c r="O1148" i="5"/>
  <c r="O1149" i="5"/>
  <c r="O1150" i="5"/>
  <c r="O1151" i="5"/>
  <c r="O1152" i="5"/>
  <c r="O1153" i="5"/>
  <c r="O1154" i="5"/>
  <c r="O1155" i="5"/>
  <c r="O1158" i="5"/>
  <c r="O1159" i="5"/>
  <c r="O1160" i="5"/>
  <c r="O1161" i="5"/>
  <c r="O1162" i="5"/>
  <c r="O1163" i="5"/>
  <c r="O1164" i="5"/>
  <c r="O1166" i="5"/>
  <c r="O1168" i="5"/>
  <c r="O1169" i="5"/>
  <c r="O1173" i="5"/>
  <c r="O1174" i="5"/>
  <c r="O1175" i="5"/>
  <c r="O1176" i="5"/>
  <c r="O1177" i="5"/>
  <c r="O1179" i="5"/>
  <c r="O1180" i="5"/>
  <c r="O1181" i="5"/>
  <c r="O1183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201" i="5"/>
  <c r="O1204" i="5"/>
  <c r="O1205" i="5"/>
  <c r="O1207" i="5"/>
  <c r="O1208" i="5"/>
  <c r="O1210" i="5"/>
  <c r="O1211" i="5"/>
  <c r="O1212" i="5"/>
  <c r="O1213" i="5"/>
  <c r="O1214" i="5"/>
  <c r="O1215" i="5"/>
  <c r="O1216" i="5"/>
  <c r="O1217" i="5"/>
  <c r="O1218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6" i="5"/>
  <c r="O1237" i="5"/>
  <c r="O1239" i="5"/>
  <c r="O1241" i="5"/>
  <c r="O1242" i="5"/>
  <c r="O1243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300" i="5"/>
  <c r="O1301" i="5"/>
  <c r="O1302" i="5"/>
  <c r="O1303" i="5"/>
  <c r="O1306" i="5"/>
  <c r="O1308" i="5"/>
  <c r="O1309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2" i="5"/>
  <c r="O1333" i="5"/>
  <c r="O1334" i="5"/>
  <c r="O1336" i="5"/>
  <c r="O1337" i="5"/>
  <c r="O1338" i="5"/>
  <c r="O1339" i="5"/>
  <c r="O1340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2" i="5"/>
  <c r="O1363" i="5"/>
  <c r="O1364" i="5"/>
  <c r="O1365" i="5"/>
  <c r="O1366" i="5"/>
  <c r="O1367" i="5"/>
  <c r="O1368" i="5"/>
  <c r="O1369" i="5"/>
  <c r="O1370" i="5"/>
  <c r="O1371" i="5"/>
  <c r="O1372" i="5"/>
  <c r="O1374" i="5"/>
  <c r="O1375" i="5"/>
  <c r="O1376" i="5"/>
  <c r="O1377" i="5"/>
  <c r="O1379" i="5"/>
  <c r="O1380" i="5"/>
  <c r="O1381" i="5"/>
  <c r="O1382" i="5"/>
  <c r="O1383" i="5"/>
  <c r="O1384" i="5"/>
  <c r="O1385" i="5"/>
  <c r="O1386" i="5"/>
  <c r="O1387" i="5"/>
  <c r="O1388" i="5"/>
  <c r="O1389" i="5"/>
  <c r="O1391" i="5"/>
  <c r="O1392" i="5"/>
  <c r="O1393" i="5"/>
  <c r="O1395" i="5"/>
  <c r="O1396" i="5"/>
  <c r="O1397" i="5"/>
  <c r="O1398" i="5"/>
  <c r="O1399" i="5"/>
  <c r="O1400" i="5"/>
  <c r="O1401" i="5"/>
  <c r="O1403" i="5"/>
  <c r="O1404" i="5"/>
  <c r="O1405" i="5"/>
  <c r="O1406" i="5"/>
  <c r="O1407" i="5"/>
  <c r="O1408" i="5"/>
  <c r="O1410" i="5"/>
  <c r="O1411" i="5"/>
  <c r="O1413" i="5"/>
  <c r="O1414" i="5"/>
  <c r="O1416" i="5"/>
  <c r="O1419" i="5"/>
  <c r="O1420" i="5"/>
  <c r="O1421" i="5"/>
  <c r="O1422" i="5"/>
  <c r="O1423" i="5"/>
  <c r="O1424" i="5"/>
  <c r="O1425" i="5"/>
  <c r="O1426" i="5"/>
  <c r="O1428" i="5"/>
  <c r="O1429" i="5"/>
  <c r="O1430" i="5"/>
  <c r="O1431" i="5"/>
  <c r="O1432" i="5"/>
  <c r="O1433" i="5"/>
  <c r="O1434" i="5"/>
  <c r="O1436" i="5"/>
  <c r="O1437" i="5"/>
  <c r="O1438" i="5"/>
  <c r="O1439" i="5"/>
  <c r="O1440" i="5"/>
  <c r="O1441" i="5"/>
  <c r="O1442" i="5"/>
  <c r="O1443" i="5"/>
  <c r="O1445" i="5"/>
  <c r="O1446" i="5"/>
  <c r="O1447" i="5"/>
  <c r="O1448" i="5"/>
  <c r="O1449" i="5"/>
  <c r="O1451" i="5"/>
  <c r="O1452" i="5"/>
  <c r="O1453" i="5"/>
  <c r="O1454" i="5"/>
  <c r="O1455" i="5"/>
  <c r="O1456" i="5"/>
  <c r="O1458" i="5"/>
  <c r="O1459" i="5"/>
  <c r="O1460" i="5"/>
  <c r="O1461" i="5"/>
  <c r="O1462" i="5"/>
  <c r="O1463" i="5"/>
  <c r="O1464" i="5"/>
  <c r="O1466" i="5"/>
  <c r="O1467" i="5"/>
  <c r="O1468" i="5"/>
  <c r="O1469" i="5"/>
  <c r="O1470" i="5"/>
  <c r="O1471" i="5"/>
  <c r="O1475" i="5"/>
  <c r="O1476" i="5"/>
  <c r="O1477" i="5"/>
  <c r="O1480" i="5"/>
  <c r="O1481" i="5"/>
  <c r="O1482" i="5"/>
  <c r="O1483" i="5"/>
  <c r="O1484" i="5"/>
  <c r="O1485" i="5"/>
  <c r="O1486" i="5"/>
  <c r="O1487" i="5"/>
  <c r="O1488" i="5"/>
  <c r="O1489" i="5"/>
  <c r="O1490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7" i="5"/>
  <c r="O1508" i="5"/>
  <c r="O1509" i="5"/>
  <c r="O1511" i="5"/>
  <c r="O1512" i="5"/>
  <c r="O1513" i="5"/>
  <c r="O1514" i="5"/>
  <c r="O1516" i="5"/>
  <c r="O1517" i="5"/>
  <c r="O1518" i="5"/>
  <c r="O1519" i="5"/>
  <c r="O1520" i="5"/>
  <c r="O1521" i="5"/>
  <c r="O1522" i="5"/>
  <c r="O1523" i="5"/>
  <c r="O1524" i="5"/>
  <c r="O1527" i="5"/>
  <c r="O1528" i="5"/>
  <c r="O1529" i="5"/>
  <c r="O1530" i="5"/>
  <c r="O1531" i="5"/>
  <c r="O1532" i="5"/>
  <c r="O1533" i="5"/>
  <c r="O1534" i="5"/>
  <c r="O1535" i="5"/>
  <c r="O1536" i="5"/>
  <c r="O1538" i="5"/>
  <c r="O1539" i="5"/>
  <c r="O1540" i="5"/>
  <c r="O1541" i="5"/>
  <c r="O1543" i="5"/>
  <c r="O1545" i="5"/>
  <c r="O1546" i="5"/>
  <c r="O1547" i="5"/>
  <c r="O1548" i="5"/>
  <c r="O1549" i="5"/>
  <c r="O1550" i="5"/>
  <c r="O1551" i="5"/>
  <c r="O1552" i="5"/>
  <c r="O1553" i="5"/>
  <c r="O1554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3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7" i="5"/>
  <c r="O1629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50" i="5"/>
  <c r="O1651" i="5"/>
  <c r="O1652" i="5"/>
  <c r="O1653" i="5"/>
  <c r="O1656" i="5"/>
  <c r="O1657" i="5"/>
  <c r="O1658" i="5"/>
  <c r="O1659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6" i="5"/>
  <c r="O1677" i="5"/>
  <c r="O1678" i="5"/>
  <c r="O1679" i="5"/>
  <c r="O1680" i="5"/>
  <c r="O1681" i="5"/>
  <c r="O1682" i="5"/>
  <c r="O1683" i="5"/>
  <c r="O1684" i="5"/>
  <c r="O1685" i="5"/>
  <c r="O1686" i="5"/>
  <c r="O1689" i="5"/>
  <c r="O1690" i="5"/>
  <c r="O1691" i="5"/>
  <c r="O1692" i="5"/>
  <c r="O1694" i="5"/>
  <c r="O1695" i="5"/>
  <c r="O1696" i="5"/>
  <c r="O1697" i="5"/>
  <c r="O1698" i="5"/>
  <c r="O1700" i="5"/>
  <c r="O1701" i="5"/>
  <c r="O1702" i="5"/>
  <c r="O1703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4" i="5"/>
  <c r="O1785" i="5"/>
  <c r="O1786" i="5"/>
  <c r="O1787" i="5"/>
  <c r="O1788" i="5"/>
  <c r="O1789" i="5"/>
  <c r="O1790" i="5"/>
  <c r="O1791" i="5"/>
  <c r="O1793" i="5"/>
  <c r="O1794" i="5"/>
  <c r="O1795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3" i="5"/>
  <c r="O1824" i="5"/>
  <c r="O1825" i="5"/>
  <c r="O1826" i="5"/>
  <c r="O1827" i="5"/>
  <c r="O1828" i="5"/>
  <c r="O1829" i="5"/>
  <c r="O1830" i="5"/>
  <c r="O1832" i="5"/>
  <c r="O1833" i="5"/>
  <c r="O1835" i="5"/>
  <c r="O1836" i="5"/>
  <c r="O1837" i="5"/>
  <c r="O1839" i="5"/>
  <c r="O1840" i="5"/>
  <c r="O1841" i="5"/>
  <c r="O1842" i="5"/>
  <c r="O1843" i="5"/>
  <c r="O1844" i="5"/>
  <c r="O1845" i="5"/>
  <c r="O1846" i="5"/>
  <c r="O1847" i="5"/>
  <c r="O1848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9" i="5"/>
  <c r="O1890" i="5"/>
  <c r="O1891" i="5"/>
  <c r="O1892" i="5"/>
  <c r="O1893" i="5"/>
  <c r="O1894" i="5"/>
  <c r="O1895" i="5"/>
  <c r="O1896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9" i="5"/>
  <c r="O1970" i="5"/>
  <c r="O1971" i="5"/>
  <c r="O1972" i="5"/>
  <c r="O1973" i="5"/>
  <c r="O1974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5" i="5"/>
  <c r="O2006" i="5"/>
  <c r="O2007" i="5"/>
  <c r="O2008" i="5"/>
  <c r="O2009" i="5"/>
  <c r="O2010" i="5"/>
  <c r="O2011" i="5"/>
  <c r="O2012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4" i="5"/>
  <c r="O2045" i="5"/>
  <c r="O2046" i="5"/>
  <c r="O2047" i="5"/>
  <c r="O2048" i="5"/>
  <c r="O2049" i="5"/>
  <c r="O2050" i="5"/>
  <c r="O2051" i="5"/>
  <c r="O2052" i="5"/>
  <c r="O2053" i="5"/>
  <c r="O2054" i="5"/>
  <c r="O2056" i="5"/>
  <c r="O2057" i="5"/>
  <c r="O2058" i="5"/>
  <c r="O2059" i="5"/>
  <c r="O2060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1" i="5"/>
  <c r="O2082" i="5"/>
  <c r="O2083" i="5"/>
  <c r="O2084" i="5"/>
  <c r="O2085" i="5"/>
  <c r="O2086" i="5"/>
  <c r="O2089" i="5"/>
  <c r="O2090" i="5"/>
  <c r="O2091" i="5"/>
  <c r="O2092" i="5"/>
  <c r="O2093" i="5"/>
  <c r="O2094" i="5"/>
  <c r="O2095" i="5"/>
  <c r="O2096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40" i="5"/>
  <c r="J2" i="5"/>
  <c r="N265" i="5"/>
  <c r="N714" i="5"/>
  <c r="O714" i="5" s="1"/>
  <c r="N722" i="5"/>
  <c r="O722" i="5" s="1"/>
  <c r="N834" i="5"/>
  <c r="N851" i="5"/>
  <c r="N923" i="5"/>
  <c r="N939" i="5"/>
  <c r="N993" i="5"/>
  <c r="N1011" i="5"/>
  <c r="N1032" i="5"/>
  <c r="N1053" i="5"/>
  <c r="N1105" i="5"/>
  <c r="N1134" i="5"/>
  <c r="N1139" i="5"/>
  <c r="N1201" i="5"/>
  <c r="N1229" i="5"/>
  <c r="N1250" i="5"/>
  <c r="N1256" i="5"/>
  <c r="N1266" i="5"/>
  <c r="N1282" i="5"/>
  <c r="N1318" i="5"/>
  <c r="N1328" i="5"/>
  <c r="N1361" i="5"/>
  <c r="O1361" i="5" s="1"/>
  <c r="N1372" i="5"/>
  <c r="N1385" i="5"/>
  <c r="N1386" i="5"/>
  <c r="N1400" i="5"/>
  <c r="N1424" i="5"/>
  <c r="N1470" i="5"/>
  <c r="N1478" i="5"/>
  <c r="O1478" i="5" s="1"/>
  <c r="N1483" i="5"/>
  <c r="N1485" i="5"/>
  <c r="N1499" i="5"/>
  <c r="N1603" i="5"/>
  <c r="N1607" i="5"/>
  <c r="N1616" i="5"/>
  <c r="N1619" i="5"/>
  <c r="N1620" i="5"/>
  <c r="N1621" i="5"/>
  <c r="N1629" i="5"/>
  <c r="N1638" i="5"/>
  <c r="N1641" i="5"/>
  <c r="N1650" i="5"/>
  <c r="N1651" i="5"/>
  <c r="N1653" i="5"/>
  <c r="N1655" i="5"/>
  <c r="O1655" i="5" s="1"/>
  <c r="N1659" i="5"/>
  <c r="N1660" i="5"/>
  <c r="O1660" i="5" s="1"/>
  <c r="N1668" i="5"/>
  <c r="N1710" i="5"/>
  <c r="N1711" i="5"/>
  <c r="N1735" i="5"/>
  <c r="N1771" i="5"/>
  <c r="N1778" i="5"/>
  <c r="N1788" i="5"/>
  <c r="N1789" i="5"/>
  <c r="N1794" i="5"/>
  <c r="N1795" i="5"/>
  <c r="N1819" i="5"/>
  <c r="N1827" i="5"/>
  <c r="N1866" i="5"/>
  <c r="N1945" i="5"/>
  <c r="N1957" i="5"/>
  <c r="N1966" i="5"/>
  <c r="N1974" i="5"/>
  <c r="N1975" i="5"/>
  <c r="O1975" i="5" s="1"/>
  <c r="N1984" i="5"/>
  <c r="N2002" i="5"/>
  <c r="N2007" i="5"/>
  <c r="N2010" i="5"/>
  <c r="N2018" i="5"/>
  <c r="N2020" i="5"/>
  <c r="N2021" i="5"/>
  <c r="N2052" i="5"/>
  <c r="N2126" i="5"/>
  <c r="L155" i="6" l="1"/>
  <c r="N416" i="6"/>
  <c r="O416" i="6"/>
  <c r="O284" i="6"/>
  <c r="G681" i="6"/>
  <c r="E238" i="6"/>
  <c r="E257" i="6"/>
  <c r="E563" i="6" s="1"/>
  <c r="F563" i="6" s="1"/>
  <c r="N302" i="6"/>
  <c r="O302" i="6"/>
  <c r="I36" i="6"/>
  <c r="L36" i="6" s="1"/>
  <c r="I115" i="6"/>
  <c r="I155" i="6"/>
  <c r="G284" i="6"/>
  <c r="O286" i="6"/>
  <c r="N356" i="6"/>
  <c r="O356" i="6"/>
  <c r="N360" i="6"/>
  <c r="O360" i="6"/>
  <c r="N426" i="6"/>
  <c r="O426" i="6"/>
  <c r="M470" i="6"/>
  <c r="N457" i="6"/>
  <c r="O457" i="6"/>
  <c r="N484" i="6"/>
  <c r="O484" i="6"/>
  <c r="H379" i="6"/>
  <c r="H758" i="6"/>
  <c r="M844" i="6"/>
  <c r="I844" i="6"/>
  <c r="M871" i="6"/>
  <c r="I871" i="6"/>
  <c r="H893" i="6"/>
  <c r="N897" i="6"/>
  <c r="N927" i="6" s="1"/>
  <c r="O897" i="6"/>
  <c r="M929" i="6"/>
  <c r="H975" i="6"/>
  <c r="O943" i="6"/>
  <c r="N943" i="6"/>
  <c r="M951" i="6"/>
  <c r="I951" i="6"/>
  <c r="I975" i="6" s="1"/>
  <c r="M955" i="6"/>
  <c r="I955" i="6"/>
  <c r="K1166" i="6"/>
  <c r="M1131" i="6"/>
  <c r="O1131" i="6" s="1"/>
  <c r="O1135" i="6"/>
  <c r="N1135" i="6"/>
  <c r="M1144" i="6"/>
  <c r="I1144" i="6"/>
  <c r="I1156" i="6"/>
  <c r="M1156" i="6"/>
  <c r="O1459" i="6"/>
  <c r="N1459" i="6"/>
  <c r="N1624" i="6"/>
  <c r="O1624" i="6"/>
  <c r="M1653" i="6"/>
  <c r="O1653" i="6" s="1"/>
  <c r="H1666" i="6"/>
  <c r="H53" i="6"/>
  <c r="L53" i="6" s="1"/>
  <c r="I57" i="6"/>
  <c r="I76" i="6" s="1"/>
  <c r="L76" i="6" s="1"/>
  <c r="O259" i="6"/>
  <c r="N266" i="6"/>
  <c r="O270" i="6"/>
  <c r="N275" i="6"/>
  <c r="M291" i="6"/>
  <c r="I302" i="6"/>
  <c r="I320" i="6" s="1"/>
  <c r="M306" i="6"/>
  <c r="M315" i="6"/>
  <c r="M322" i="6"/>
  <c r="N328" i="6"/>
  <c r="I353" i="6"/>
  <c r="I356" i="6"/>
  <c r="I357" i="6"/>
  <c r="I360" i="6"/>
  <c r="M364" i="6"/>
  <c r="M379" i="6" s="1"/>
  <c r="N374" i="6"/>
  <c r="O381" i="6"/>
  <c r="N382" i="6"/>
  <c r="M392" i="6"/>
  <c r="H442" i="6"/>
  <c r="M399" i="6"/>
  <c r="M409" i="6"/>
  <c r="O409" i="6" s="1"/>
  <c r="M414" i="6"/>
  <c r="I416" i="6"/>
  <c r="I442" i="6" s="1"/>
  <c r="I417" i="6"/>
  <c r="M424" i="6"/>
  <c r="I426" i="6"/>
  <c r="O444" i="6"/>
  <c r="I446" i="6"/>
  <c r="I470" i="6" s="1"/>
  <c r="I457" i="6"/>
  <c r="H500" i="6"/>
  <c r="M472" i="6"/>
  <c r="I484" i="6"/>
  <c r="I500" i="6" s="1"/>
  <c r="N493" i="6"/>
  <c r="O528" i="6"/>
  <c r="M536" i="6"/>
  <c r="O536" i="6" s="1"/>
  <c r="I562" i="6"/>
  <c r="O542" i="6"/>
  <c r="H562" i="6"/>
  <c r="M570" i="6"/>
  <c r="O570" i="6" s="1"/>
  <c r="O603" i="6"/>
  <c r="O622" i="6"/>
  <c r="M634" i="6"/>
  <c r="M648" i="6" s="1"/>
  <c r="N640" i="6"/>
  <c r="O655" i="6"/>
  <c r="M657" i="6"/>
  <c r="N658" i="6"/>
  <c r="O670" i="6"/>
  <c r="O700" i="6"/>
  <c r="M702" i="6"/>
  <c r="M718" i="6"/>
  <c r="O732" i="6"/>
  <c r="M734" i="6"/>
  <c r="M750" i="6"/>
  <c r="H786" i="6"/>
  <c r="G786" i="6" s="1"/>
  <c r="I760" i="6"/>
  <c r="I786" i="6" s="1"/>
  <c r="M768" i="6"/>
  <c r="M789" i="6"/>
  <c r="N802" i="6"/>
  <c r="O811" i="6"/>
  <c r="M813" i="6"/>
  <c r="O831" i="6"/>
  <c r="M834" i="6"/>
  <c r="O834" i="6" s="1"/>
  <c r="O849" i="6"/>
  <c r="M861" i="6"/>
  <c r="I861" i="6"/>
  <c r="M895" i="6"/>
  <c r="H927" i="6"/>
  <c r="G927" i="6" s="1"/>
  <c r="O940" i="6"/>
  <c r="M961" i="6"/>
  <c r="I961" i="6"/>
  <c r="G1029" i="6"/>
  <c r="M1051" i="6"/>
  <c r="O1087" i="6"/>
  <c r="N1087" i="6"/>
  <c r="M1090" i="6"/>
  <c r="I1090" i="6"/>
  <c r="I1099" i="6"/>
  <c r="M1099" i="6"/>
  <c r="I1138" i="6"/>
  <c r="M1138" i="6"/>
  <c r="I1145" i="6"/>
  <c r="M1145" i="6"/>
  <c r="O1150" i="6"/>
  <c r="N1150" i="6"/>
  <c r="I1189" i="6"/>
  <c r="M1189" i="6"/>
  <c r="I1211" i="6"/>
  <c r="M1211" i="6"/>
  <c r="I1246" i="6"/>
  <c r="M1246" i="6"/>
  <c r="H1273" i="6"/>
  <c r="N1254" i="6"/>
  <c r="O1254" i="6"/>
  <c r="H1369" i="6"/>
  <c r="G1369" i="6" s="1"/>
  <c r="M1347" i="6"/>
  <c r="I1426" i="6"/>
  <c r="M1426" i="6"/>
  <c r="H320" i="6"/>
  <c r="N353" i="6"/>
  <c r="N357" i="6"/>
  <c r="N417" i="6"/>
  <c r="N446" i="6"/>
  <c r="N470" i="6" s="1"/>
  <c r="M525" i="6"/>
  <c r="O525" i="6" s="1"/>
  <c r="M534" i="6"/>
  <c r="O534" i="6" s="1"/>
  <c r="K562" i="6"/>
  <c r="N537" i="6"/>
  <c r="N562" i="6" s="1"/>
  <c r="H724" i="6"/>
  <c r="G724" i="6" s="1"/>
  <c r="I758" i="6"/>
  <c r="H828" i="6"/>
  <c r="G828" i="6" s="1"/>
  <c r="I845" i="6"/>
  <c r="I851" i="6" s="1"/>
  <c r="G851" i="6" s="1"/>
  <c r="M845" i="6"/>
  <c r="K893" i="6"/>
  <c r="N992" i="6"/>
  <c r="O992" i="6"/>
  <c r="N1007" i="6"/>
  <c r="O1007" i="6"/>
  <c r="N1051" i="6"/>
  <c r="M1085" i="6"/>
  <c r="H1085" i="6"/>
  <c r="G1085" i="6" s="1"/>
  <c r="M1107" i="6"/>
  <c r="I1107" i="6"/>
  <c r="M1127" i="6"/>
  <c r="I1127" i="6"/>
  <c r="O1140" i="6"/>
  <c r="N1140" i="6"/>
  <c r="O1154" i="6"/>
  <c r="N1154" i="6"/>
  <c r="I1474" i="6"/>
  <c r="H613" i="6"/>
  <c r="G613" i="6" s="1"/>
  <c r="M587" i="6"/>
  <c r="O856" i="6"/>
  <c r="N856" i="6"/>
  <c r="H99" i="6"/>
  <c r="L99" i="6" s="1"/>
  <c r="H115" i="6"/>
  <c r="L115" i="6" s="1"/>
  <c r="I118" i="6"/>
  <c r="I133" i="6" s="1"/>
  <c r="L133" i="6" s="1"/>
  <c r="N292" i="6"/>
  <c r="M295" i="6"/>
  <c r="M320" i="6" s="1"/>
  <c r="N301" i="6"/>
  <c r="I326" i="6"/>
  <c r="I346" i="6" s="1"/>
  <c r="G346" i="6" s="1"/>
  <c r="M327" i="6"/>
  <c r="I351" i="6"/>
  <c r="I379" i="6" s="1"/>
  <c r="N365" i="6"/>
  <c r="I386" i="6"/>
  <c r="I397" i="6" s="1"/>
  <c r="G397" i="6" s="1"/>
  <c r="N393" i="6"/>
  <c r="M411" i="6"/>
  <c r="O411" i="6" s="1"/>
  <c r="N415" i="6"/>
  <c r="I419" i="6"/>
  <c r="N425" i="6"/>
  <c r="M434" i="6"/>
  <c r="N456" i="6"/>
  <c r="H470" i="6"/>
  <c r="G470" i="6" s="1"/>
  <c r="M479" i="6"/>
  <c r="M482" i="6"/>
  <c r="O482" i="6" s="1"/>
  <c r="M499" i="6"/>
  <c r="H529" i="6"/>
  <c r="G529" i="6" s="1"/>
  <c r="O507" i="6"/>
  <c r="M509" i="6"/>
  <c r="M529" i="6" s="1"/>
  <c r="O521" i="6"/>
  <c r="L562" i="6"/>
  <c r="O565" i="6"/>
  <c r="M567" i="6"/>
  <c r="M585" i="6" s="1"/>
  <c r="M572" i="6"/>
  <c r="O581" i="6"/>
  <c r="H585" i="6"/>
  <c r="G585" i="6" s="1"/>
  <c r="M601" i="6"/>
  <c r="O612" i="6"/>
  <c r="H648" i="6"/>
  <c r="G648" i="6" s="1"/>
  <c r="M637" i="6"/>
  <c r="O637" i="6" s="1"/>
  <c r="M641" i="6"/>
  <c r="M653" i="6"/>
  <c r="M672" i="6"/>
  <c r="I724" i="6"/>
  <c r="M684" i="6"/>
  <c r="M694" i="6"/>
  <c r="O726" i="6"/>
  <c r="M728" i="6"/>
  <c r="O760" i="6"/>
  <c r="O770" i="6"/>
  <c r="M993" i="6"/>
  <c r="I993" i="6"/>
  <c r="I998" i="6" s="1"/>
  <c r="G998" i="6" s="1"/>
  <c r="M1029" i="6"/>
  <c r="O1000" i="6"/>
  <c r="N1029" i="6"/>
  <c r="N1151" i="6"/>
  <c r="O1151" i="6"/>
  <c r="I1195" i="6"/>
  <c r="I1201" i="6"/>
  <c r="M1201" i="6"/>
  <c r="H1226" i="6"/>
  <c r="I1258" i="6"/>
  <c r="M1258" i="6"/>
  <c r="I1550" i="6"/>
  <c r="M1550" i="6"/>
  <c r="O683" i="6"/>
  <c r="M830" i="6"/>
  <c r="M893" i="6"/>
  <c r="I893" i="6"/>
  <c r="H1195" i="6"/>
  <c r="G1195" i="6" s="1"/>
  <c r="I1226" i="6"/>
  <c r="O1205" i="6"/>
  <c r="N1205" i="6"/>
  <c r="H1297" i="6"/>
  <c r="G1297" i="6" s="1"/>
  <c r="M1275" i="6"/>
  <c r="H1325" i="6"/>
  <c r="I1473" i="6"/>
  <c r="M1473" i="6"/>
  <c r="H1510" i="6"/>
  <c r="O1668" i="6"/>
  <c r="H1166" i="6"/>
  <c r="M1226" i="6"/>
  <c r="N1197" i="6"/>
  <c r="O1197" i="6"/>
  <c r="O1202" i="6"/>
  <c r="N1202" i="6"/>
  <c r="M1228" i="6"/>
  <c r="H1243" i="6"/>
  <c r="G1243" i="6" s="1"/>
  <c r="N1300" i="6"/>
  <c r="O1300" i="6"/>
  <c r="N1360" i="6"/>
  <c r="O1360" i="6"/>
  <c r="I1435" i="6"/>
  <c r="I1447" i="6" s="1"/>
  <c r="M1435" i="6"/>
  <c r="N1446" i="6"/>
  <c r="O1446" i="6"/>
  <c r="O1515" i="6"/>
  <c r="N1515" i="6"/>
  <c r="N1757" i="6"/>
  <c r="O1757" i="6"/>
  <c r="N1766" i="6"/>
  <c r="O1766" i="6"/>
  <c r="I1787" i="6"/>
  <c r="M1787" i="6"/>
  <c r="M954" i="6"/>
  <c r="O954" i="6" s="1"/>
  <c r="M1095" i="6"/>
  <c r="N1120" i="6"/>
  <c r="H1124" i="6"/>
  <c r="M1126" i="6"/>
  <c r="I1152" i="6"/>
  <c r="M1153" i="6"/>
  <c r="M1157" i="6"/>
  <c r="I1157" i="6"/>
  <c r="M1195" i="6"/>
  <c r="N1168" i="6"/>
  <c r="O1245" i="6"/>
  <c r="M1325" i="6"/>
  <c r="O1299" i="6"/>
  <c r="N1299" i="6"/>
  <c r="N1325" i="6" s="1"/>
  <c r="M1372" i="6"/>
  <c r="O1372" i="6" s="1"/>
  <c r="H1404" i="6"/>
  <c r="O1400" i="6"/>
  <c r="N1400" i="6"/>
  <c r="N1420" i="6"/>
  <c r="O1420" i="6"/>
  <c r="O1507" i="6"/>
  <c r="N1507" i="6"/>
  <c r="M1345" i="6"/>
  <c r="M1387" i="6"/>
  <c r="O1387" i="6" s="1"/>
  <c r="K1404" i="6"/>
  <c r="M1406" i="6"/>
  <c r="H1447" i="6"/>
  <c r="H1474" i="6"/>
  <c r="H1551" i="6"/>
  <c r="G1551" i="6" s="1"/>
  <c r="I1512" i="6"/>
  <c r="I1551" i="6" s="1"/>
  <c r="O1582" i="6"/>
  <c r="O1619" i="6"/>
  <c r="N1619" i="6"/>
  <c r="H1643" i="6"/>
  <c r="M1689" i="6"/>
  <c r="M1700" i="6" s="1"/>
  <c r="I1689" i="6"/>
  <c r="I1700" i="6" s="1"/>
  <c r="I1694" i="6"/>
  <c r="M1694" i="6"/>
  <c r="O1702" i="6"/>
  <c r="N1802" i="6"/>
  <c r="O1802" i="6"/>
  <c r="I2050" i="6"/>
  <c r="M2050" i="6"/>
  <c r="O2127" i="6"/>
  <c r="M2147" i="6"/>
  <c r="M2427" i="6"/>
  <c r="O2427" i="6" s="1"/>
  <c r="H2455" i="6"/>
  <c r="G2455" i="6" s="1"/>
  <c r="I1325" i="6"/>
  <c r="O1327" i="6"/>
  <c r="M1333" i="6"/>
  <c r="M1354" i="6"/>
  <c r="M1397" i="6"/>
  <c r="M1408" i="6"/>
  <c r="M1437" i="6"/>
  <c r="M1458" i="6"/>
  <c r="M1474" i="6" s="1"/>
  <c r="K1474" i="6"/>
  <c r="M1506" i="6"/>
  <c r="M1512" i="6"/>
  <c r="H1580" i="6"/>
  <c r="G1580" i="6" s="1"/>
  <c r="M1572" i="6"/>
  <c r="M1580" i="6"/>
  <c r="I1614" i="6"/>
  <c r="G1614" i="6" s="1"/>
  <c r="I1643" i="6"/>
  <c r="I1622" i="6"/>
  <c r="M1622" i="6"/>
  <c r="O1623" i="6"/>
  <c r="N1623" i="6"/>
  <c r="M1666" i="6"/>
  <c r="O1649" i="6"/>
  <c r="N1649" i="6"/>
  <c r="N1666" i="6" s="1"/>
  <c r="M1708" i="6"/>
  <c r="I1708" i="6"/>
  <c r="I1721" i="6" s="1"/>
  <c r="M1720" i="6"/>
  <c r="I1720" i="6"/>
  <c r="N1796" i="6"/>
  <c r="N1810" i="6" s="1"/>
  <c r="O1796" i="6"/>
  <c r="O1834" i="6"/>
  <c r="N1834" i="6"/>
  <c r="M1962" i="6"/>
  <c r="O1940" i="6"/>
  <c r="O1945" i="6"/>
  <c r="N1945" i="6"/>
  <c r="N1962" i="6" s="1"/>
  <c r="M2337" i="6"/>
  <c r="I2337" i="6"/>
  <c r="F2365" i="6"/>
  <c r="O2365" i="6"/>
  <c r="M1248" i="6"/>
  <c r="M1273" i="6" s="1"/>
  <c r="M1288" i="6"/>
  <c r="H1345" i="6"/>
  <c r="G1345" i="6" s="1"/>
  <c r="M1356" i="6"/>
  <c r="M1404" i="6"/>
  <c r="O1371" i="6"/>
  <c r="I1404" i="6"/>
  <c r="M1414" i="6"/>
  <c r="I1510" i="6"/>
  <c r="M1503" i="6"/>
  <c r="M1510" i="6" s="1"/>
  <c r="N1504" i="6"/>
  <c r="N1525" i="6"/>
  <c r="M1541" i="6"/>
  <c r="N1544" i="6"/>
  <c r="M1589" i="6"/>
  <c r="M1614" i="6" s="1"/>
  <c r="O1608" i="6"/>
  <c r="N1616" i="6"/>
  <c r="I1666" i="6"/>
  <c r="H1700" i="6"/>
  <c r="H1721" i="6"/>
  <c r="G1721" i="6" s="1"/>
  <c r="N1737" i="6"/>
  <c r="O1737" i="6"/>
  <c r="K1856" i="6"/>
  <c r="M1847" i="6"/>
  <c r="O1847" i="6" s="1"/>
  <c r="M2045" i="6"/>
  <c r="I2045" i="6"/>
  <c r="I2071" i="6" s="1"/>
  <c r="O1476" i="6"/>
  <c r="H1790" i="6"/>
  <c r="O1874" i="6"/>
  <c r="N1874" i="6"/>
  <c r="M1917" i="6"/>
  <c r="M2014" i="6"/>
  <c r="I2019" i="6"/>
  <c r="M2019" i="6"/>
  <c r="O2073" i="6"/>
  <c r="O2150" i="6"/>
  <c r="N2150" i="6"/>
  <c r="O2377" i="6"/>
  <c r="N2377" i="6"/>
  <c r="I1735" i="6"/>
  <c r="M1735" i="6"/>
  <c r="O1750" i="6"/>
  <c r="I1772" i="6"/>
  <c r="I1790" i="6" s="1"/>
  <c r="M1772" i="6"/>
  <c r="O1792" i="6"/>
  <c r="M1838" i="6"/>
  <c r="I1838" i="6"/>
  <c r="I1843" i="6"/>
  <c r="M1843" i="6"/>
  <c r="I1885" i="6"/>
  <c r="I1889" i="6" s="1"/>
  <c r="M1885" i="6"/>
  <c r="H1917" i="6"/>
  <c r="G1917" i="6" s="1"/>
  <c r="H1938" i="6"/>
  <c r="M1919" i="6"/>
  <c r="O2043" i="6"/>
  <c r="N2135" i="6"/>
  <c r="O2135" i="6"/>
  <c r="O2149" i="6"/>
  <c r="L2168" i="6"/>
  <c r="M2162" i="6"/>
  <c r="O2162" i="6" s="1"/>
  <c r="H2192" i="6"/>
  <c r="G2192" i="6" s="1"/>
  <c r="M2170" i="6"/>
  <c r="O1723" i="6"/>
  <c r="I1732" i="6"/>
  <c r="I1748" i="6" s="1"/>
  <c r="K1790" i="6"/>
  <c r="H1810" i="6"/>
  <c r="G1810" i="6" s="1"/>
  <c r="M1829" i="6"/>
  <c r="O1812" i="6"/>
  <c r="O1817" i="6"/>
  <c r="N1817" i="6"/>
  <c r="N1829" i="6" s="1"/>
  <c r="H1889" i="6"/>
  <c r="I1922" i="6"/>
  <c r="I1938" i="6" s="1"/>
  <c r="M1922" i="6"/>
  <c r="O1923" i="6"/>
  <c r="N1923" i="6"/>
  <c r="H1962" i="6"/>
  <c r="G1962" i="6" s="1"/>
  <c r="N1964" i="6"/>
  <c r="I1966" i="6"/>
  <c r="I1982" i="6" s="1"/>
  <c r="M1966" i="6"/>
  <c r="M1968" i="6"/>
  <c r="I1968" i="6"/>
  <c r="I1994" i="6"/>
  <c r="I2002" i="6" s="1"/>
  <c r="M1994" i="6"/>
  <c r="M2018" i="6"/>
  <c r="M2041" i="6" s="1"/>
  <c r="I2018" i="6"/>
  <c r="I2041" i="6" s="1"/>
  <c r="O2037" i="6"/>
  <c r="M2044" i="6"/>
  <c r="O2044" i="6" s="1"/>
  <c r="H2071" i="6"/>
  <c r="G2071" i="6" s="1"/>
  <c r="O2064" i="6"/>
  <c r="M2091" i="6"/>
  <c r="I2091" i="6"/>
  <c r="I2095" i="6" s="1"/>
  <c r="M2144" i="6"/>
  <c r="I2144" i="6"/>
  <c r="I2147" i="6" s="1"/>
  <c r="N2151" i="6"/>
  <c r="O2151" i="6"/>
  <c r="O2244" i="6"/>
  <c r="F2244" i="6"/>
  <c r="O2246" i="6"/>
  <c r="M2270" i="6"/>
  <c r="N2250" i="6"/>
  <c r="N2270" i="6" s="1"/>
  <c r="O2250" i="6"/>
  <c r="H1748" i="6"/>
  <c r="M1781" i="6"/>
  <c r="O1781" i="6" s="1"/>
  <c r="M1799" i="6"/>
  <c r="O1799" i="6" s="1"/>
  <c r="M1856" i="6"/>
  <c r="I1856" i="6"/>
  <c r="H1856" i="6"/>
  <c r="G1856" i="6" s="1"/>
  <c r="M1858" i="6"/>
  <c r="H1982" i="6"/>
  <c r="H2002" i="6"/>
  <c r="H2041" i="6"/>
  <c r="G2041" i="6" s="1"/>
  <c r="K2071" i="6"/>
  <c r="H2123" i="6"/>
  <c r="G2123" i="6" s="1"/>
  <c r="M2097" i="6"/>
  <c r="H2147" i="6"/>
  <c r="H2168" i="6"/>
  <c r="G2168" i="6" s="1"/>
  <c r="O2297" i="6"/>
  <c r="H2325" i="6"/>
  <c r="M2442" i="6"/>
  <c r="O2442" i="6" s="1"/>
  <c r="H2471" i="6"/>
  <c r="G2471" i="6" s="1"/>
  <c r="O2527" i="6"/>
  <c r="N2527" i="6"/>
  <c r="N2529" i="6" s="1"/>
  <c r="H2295" i="6"/>
  <c r="G2295" i="6" s="1"/>
  <c r="M2272" i="6"/>
  <c r="L2309" i="6"/>
  <c r="I2338" i="6"/>
  <c r="M2338" i="6"/>
  <c r="O2378" i="6"/>
  <c r="N2378" i="6"/>
  <c r="L2408" i="6"/>
  <c r="M2401" i="6"/>
  <c r="O2401" i="6" s="1"/>
  <c r="H1829" i="6"/>
  <c r="G1829" i="6" s="1"/>
  <c r="N1917" i="6"/>
  <c r="H2014" i="6"/>
  <c r="G2014" i="6" s="1"/>
  <c r="H2095" i="6"/>
  <c r="G2095" i="6" s="1"/>
  <c r="N2178" i="6"/>
  <c r="N2192" i="6" s="1"/>
  <c r="M2194" i="6"/>
  <c r="H2222" i="6"/>
  <c r="G2222" i="6" s="1"/>
  <c r="I2196" i="6"/>
  <c r="I2222" i="6" s="1"/>
  <c r="M2196" i="6"/>
  <c r="M2316" i="6"/>
  <c r="M2325" i="6" s="1"/>
  <c r="I2316" i="6"/>
  <c r="I2325" i="6" s="1"/>
  <c r="H2354" i="6"/>
  <c r="O2393" i="6"/>
  <c r="M2408" i="6"/>
  <c r="O2506" i="6"/>
  <c r="M2301" i="6"/>
  <c r="O2301" i="6" s="1"/>
  <c r="M2308" i="6"/>
  <c r="O2308" i="6" s="1"/>
  <c r="M2319" i="6"/>
  <c r="O2319" i="6" s="1"/>
  <c r="M2354" i="6"/>
  <c r="H2424" i="6"/>
  <c r="G2424" i="6" s="1"/>
  <c r="O2421" i="6"/>
  <c r="I2462" i="6"/>
  <c r="I2471" i="6" s="1"/>
  <c r="M2462" i="6"/>
  <c r="H2488" i="6"/>
  <c r="G2488" i="6" s="1"/>
  <c r="I2481" i="6"/>
  <c r="I2488" i="6" s="1"/>
  <c r="M2481" i="6"/>
  <c r="H2504" i="6"/>
  <c r="M2490" i="6"/>
  <c r="L2504" i="6"/>
  <c r="M2492" i="6"/>
  <c r="O2492" i="6" s="1"/>
  <c r="O2503" i="6"/>
  <c r="M2512" i="6"/>
  <c r="O2512" i="6" s="1"/>
  <c r="O2441" i="6"/>
  <c r="N2441" i="6"/>
  <c r="N2455" i="6" s="1"/>
  <c r="H2309" i="6"/>
  <c r="G2309" i="6" s="1"/>
  <c r="H2389" i="6"/>
  <c r="G2389" i="6" s="1"/>
  <c r="M2367" i="6"/>
  <c r="L2389" i="6"/>
  <c r="M2374" i="6"/>
  <c r="O2374" i="6" s="1"/>
  <c r="M2381" i="6"/>
  <c r="O2381" i="6" s="1"/>
  <c r="N2387" i="6"/>
  <c r="O2388" i="6"/>
  <c r="O2410" i="6"/>
  <c r="M2471" i="6"/>
  <c r="O2457" i="6"/>
  <c r="O2470" i="6"/>
  <c r="H2529" i="6"/>
  <c r="G2529" i="6" s="1"/>
  <c r="L2424" i="6"/>
  <c r="M2419" i="6"/>
  <c r="O2419" i="6" s="1"/>
  <c r="M2423" i="6"/>
  <c r="O2423" i="6" s="1"/>
  <c r="M2455" i="6"/>
  <c r="M2477" i="6"/>
  <c r="M2500" i="6"/>
  <c r="O2500" i="6" s="1"/>
  <c r="O2041" i="6" l="1"/>
  <c r="L223" i="6"/>
  <c r="I223" i="6" s="1"/>
  <c r="O1614" i="6"/>
  <c r="O648" i="6"/>
  <c r="O379" i="6"/>
  <c r="N1889" i="6"/>
  <c r="O1510" i="6"/>
  <c r="O585" i="6"/>
  <c r="F585" i="6"/>
  <c r="O529" i="6"/>
  <c r="O320" i="6"/>
  <c r="O2325" i="6"/>
  <c r="O1273" i="6"/>
  <c r="O1474" i="6"/>
  <c r="O1700" i="6"/>
  <c r="O2490" i="6"/>
  <c r="M2504" i="6"/>
  <c r="O2477" i="6"/>
  <c r="M2488" i="6"/>
  <c r="O2471" i="6"/>
  <c r="M2424" i="6"/>
  <c r="M2309" i="6"/>
  <c r="M2123" i="6"/>
  <c r="O2097" i="6"/>
  <c r="G2002" i="6"/>
  <c r="G1748" i="6"/>
  <c r="O2091" i="6"/>
  <c r="N2091" i="6"/>
  <c r="N2095" i="6" s="1"/>
  <c r="O1994" i="6"/>
  <c r="N1994" i="6"/>
  <c r="N2002" i="6" s="1"/>
  <c r="O1966" i="6"/>
  <c r="N1966" i="6"/>
  <c r="M2168" i="6"/>
  <c r="M2071" i="6"/>
  <c r="O1885" i="6"/>
  <c r="N1885" i="6"/>
  <c r="O1772" i="6"/>
  <c r="N1772" i="6"/>
  <c r="N1790" i="6" s="1"/>
  <c r="O1735" i="6"/>
  <c r="N1735" i="6"/>
  <c r="N1748" i="6" s="1"/>
  <c r="N2168" i="6"/>
  <c r="M2095" i="6"/>
  <c r="M2002" i="6"/>
  <c r="G1700" i="6"/>
  <c r="N1414" i="6"/>
  <c r="O1414" i="6"/>
  <c r="N1356" i="6"/>
  <c r="O1356" i="6"/>
  <c r="N1856" i="6"/>
  <c r="N1512" i="6"/>
  <c r="O1512" i="6"/>
  <c r="M1551" i="6"/>
  <c r="N1437" i="6"/>
  <c r="O1437" i="6"/>
  <c r="N1333" i="6"/>
  <c r="N1345" i="6" s="1"/>
  <c r="O1333" i="6"/>
  <c r="M1748" i="6"/>
  <c r="G1643" i="6"/>
  <c r="G1474" i="6"/>
  <c r="O1153" i="6"/>
  <c r="N1153" i="6"/>
  <c r="G1325" i="6"/>
  <c r="O893" i="6"/>
  <c r="N1201" i="6"/>
  <c r="O1201" i="6"/>
  <c r="N728" i="6"/>
  <c r="O728" i="6"/>
  <c r="N479" i="6"/>
  <c r="O479" i="6"/>
  <c r="N327" i="6"/>
  <c r="N346" i="6" s="1"/>
  <c r="O327" i="6"/>
  <c r="O845" i="6"/>
  <c r="N845" i="6"/>
  <c r="N1211" i="6"/>
  <c r="O1211" i="6"/>
  <c r="O1138" i="6"/>
  <c r="N1138" i="6"/>
  <c r="I1124" i="6"/>
  <c r="O1051" i="6"/>
  <c r="F1051" i="6"/>
  <c r="O861" i="6"/>
  <c r="N861" i="6"/>
  <c r="N893" i="6" s="1"/>
  <c r="F893" i="6" s="1"/>
  <c r="N789" i="6"/>
  <c r="O789" i="6"/>
  <c r="N750" i="6"/>
  <c r="O750" i="6"/>
  <c r="N702" i="6"/>
  <c r="O702" i="6"/>
  <c r="N657" i="6"/>
  <c r="O657" i="6"/>
  <c r="G562" i="6"/>
  <c r="M562" i="6"/>
  <c r="N472" i="6"/>
  <c r="N500" i="6" s="1"/>
  <c r="O472" i="6"/>
  <c r="M500" i="6"/>
  <c r="G442" i="6"/>
  <c r="M346" i="6"/>
  <c r="O322" i="6"/>
  <c r="O291" i="6"/>
  <c r="N291" i="6"/>
  <c r="O1144" i="6"/>
  <c r="N1144" i="6"/>
  <c r="O955" i="6"/>
  <c r="N955" i="6"/>
  <c r="G379" i="6"/>
  <c r="O2455" i="6"/>
  <c r="F2455" i="6"/>
  <c r="O2408" i="6"/>
  <c r="F2408" i="6"/>
  <c r="F1829" i="6"/>
  <c r="O1829" i="6"/>
  <c r="O1919" i="6"/>
  <c r="M1938" i="6"/>
  <c r="O1838" i="6"/>
  <c r="N1838" i="6"/>
  <c r="O2019" i="6"/>
  <c r="N2019" i="6"/>
  <c r="F1917" i="6"/>
  <c r="O1917" i="6"/>
  <c r="G1790" i="6"/>
  <c r="O2045" i="6"/>
  <c r="N2045" i="6"/>
  <c r="N1589" i="6"/>
  <c r="N1614" i="6" s="1"/>
  <c r="F1614" i="6" s="1"/>
  <c r="O1589" i="6"/>
  <c r="N1720" i="6"/>
  <c r="O1720" i="6"/>
  <c r="O1622" i="6"/>
  <c r="N1622" i="6"/>
  <c r="N1643" i="6" s="1"/>
  <c r="F1580" i="6"/>
  <c r="O1580" i="6"/>
  <c r="N1506" i="6"/>
  <c r="O1506" i="6"/>
  <c r="N1408" i="6"/>
  <c r="O1408" i="6"/>
  <c r="O2147" i="6"/>
  <c r="M1721" i="6"/>
  <c r="G1447" i="6"/>
  <c r="O1345" i="6"/>
  <c r="F1345" i="6"/>
  <c r="G1404" i="6"/>
  <c r="O1325" i="6"/>
  <c r="F1325" i="6"/>
  <c r="O1195" i="6"/>
  <c r="O1095" i="6"/>
  <c r="N1095" i="6"/>
  <c r="O1228" i="6"/>
  <c r="M1243" i="6"/>
  <c r="N1226" i="6"/>
  <c r="N1473" i="6"/>
  <c r="O1473" i="6"/>
  <c r="M1297" i="6"/>
  <c r="O1275" i="6"/>
  <c r="M851" i="6"/>
  <c r="O830" i="6"/>
  <c r="N830" i="6"/>
  <c r="N1258" i="6"/>
  <c r="O1258" i="6"/>
  <c r="O993" i="6"/>
  <c r="N993" i="6"/>
  <c r="N998" i="6" s="1"/>
  <c r="N672" i="6"/>
  <c r="O672" i="6"/>
  <c r="N1107" i="6"/>
  <c r="O1107" i="6"/>
  <c r="G320" i="6"/>
  <c r="O1347" i="6"/>
  <c r="M1369" i="6"/>
  <c r="G1273" i="6"/>
  <c r="O1090" i="6"/>
  <c r="N1090" i="6"/>
  <c r="M1124" i="6"/>
  <c r="N813" i="6"/>
  <c r="O813" i="6"/>
  <c r="N768" i="6"/>
  <c r="N786" i="6" s="1"/>
  <c r="M786" i="6"/>
  <c r="O768" i="6"/>
  <c r="N734" i="6"/>
  <c r="O734" i="6"/>
  <c r="G500" i="6"/>
  <c r="O414" i="6"/>
  <c r="N414" i="6"/>
  <c r="O392" i="6"/>
  <c r="N392" i="6"/>
  <c r="O315" i="6"/>
  <c r="N315" i="6"/>
  <c r="N1156" i="6"/>
  <c r="O1156" i="6"/>
  <c r="M998" i="6"/>
  <c r="G975" i="6"/>
  <c r="G893" i="6"/>
  <c r="O844" i="6"/>
  <c r="N844" i="6"/>
  <c r="M397" i="6"/>
  <c r="O2272" i="6"/>
  <c r="M2295" i="6"/>
  <c r="F1856" i="6"/>
  <c r="O1856" i="6"/>
  <c r="G1889" i="6"/>
  <c r="F2505" i="6"/>
  <c r="G2504" i="6"/>
  <c r="O2462" i="6"/>
  <c r="N2462" i="6"/>
  <c r="N2471" i="6" s="1"/>
  <c r="F2471" i="6" s="1"/>
  <c r="F2354" i="6"/>
  <c r="O2354" i="6"/>
  <c r="O2316" i="6"/>
  <c r="N2316" i="6"/>
  <c r="N2325" i="6" s="1"/>
  <c r="F2325" i="6" s="1"/>
  <c r="M2222" i="6"/>
  <c r="O2194" i="6"/>
  <c r="O2338" i="6"/>
  <c r="N2338" i="6"/>
  <c r="M1889" i="6"/>
  <c r="O1858" i="6"/>
  <c r="O2144" i="6"/>
  <c r="N2144" i="6"/>
  <c r="N1982" i="6"/>
  <c r="N2147" i="6"/>
  <c r="F2147" i="6" s="1"/>
  <c r="G1938" i="6"/>
  <c r="O1843" i="6"/>
  <c r="N1843" i="6"/>
  <c r="M1810" i="6"/>
  <c r="N2389" i="6"/>
  <c r="N1503" i="6"/>
  <c r="N1510" i="6" s="1"/>
  <c r="F1510" i="6" s="1"/>
  <c r="O1503" i="6"/>
  <c r="N1288" i="6"/>
  <c r="N1297" i="6" s="1"/>
  <c r="O1288" i="6"/>
  <c r="I2354" i="6"/>
  <c r="O1666" i="6"/>
  <c r="F1666" i="6"/>
  <c r="N1572" i="6"/>
  <c r="N1580" i="6" s="1"/>
  <c r="O1572" i="6"/>
  <c r="N1397" i="6"/>
  <c r="N1404" i="6" s="1"/>
  <c r="F1404" i="6" s="1"/>
  <c r="O1397" i="6"/>
  <c r="O1689" i="6"/>
  <c r="N1689" i="6"/>
  <c r="N1700" i="6" s="1"/>
  <c r="F1700" i="6" s="1"/>
  <c r="M1447" i="6"/>
  <c r="O1406" i="6"/>
  <c r="M1166" i="6"/>
  <c r="O1126" i="6"/>
  <c r="N1435" i="6"/>
  <c r="O1435" i="6"/>
  <c r="O1226" i="6"/>
  <c r="F1226" i="6"/>
  <c r="N694" i="6"/>
  <c r="O694" i="6"/>
  <c r="N653" i="6"/>
  <c r="M681" i="6"/>
  <c r="O653" i="6"/>
  <c r="N572" i="6"/>
  <c r="O572" i="6"/>
  <c r="N499" i="6"/>
  <c r="O499" i="6"/>
  <c r="M613" i="6"/>
  <c r="O587" i="6"/>
  <c r="I1166" i="6"/>
  <c r="M828" i="6"/>
  <c r="M758" i="6"/>
  <c r="N1246" i="6"/>
  <c r="O1246" i="6"/>
  <c r="N1189" i="6"/>
  <c r="N1195" i="6" s="1"/>
  <c r="F1195" i="6" s="1"/>
  <c r="O1189" i="6"/>
  <c r="O1145" i="6"/>
  <c r="N1145" i="6"/>
  <c r="O1099" i="6"/>
  <c r="N1099" i="6"/>
  <c r="N1124" i="6" s="1"/>
  <c r="O895" i="6"/>
  <c r="M927" i="6"/>
  <c r="O424" i="6"/>
  <c r="N424" i="6"/>
  <c r="N397" i="6"/>
  <c r="O364" i="6"/>
  <c r="N364" i="6"/>
  <c r="N379" i="6" s="1"/>
  <c r="F379" i="6" s="1"/>
  <c r="O306" i="6"/>
  <c r="N306" i="6"/>
  <c r="O951" i="6"/>
  <c r="N951" i="6"/>
  <c r="O929" i="6"/>
  <c r="M975" i="6"/>
  <c r="G758" i="6"/>
  <c r="G1982" i="6"/>
  <c r="M2389" i="6"/>
  <c r="O2367" i="6"/>
  <c r="O2481" i="6"/>
  <c r="N2481" i="6"/>
  <c r="N2488" i="6" s="1"/>
  <c r="M2529" i="6"/>
  <c r="G2354" i="6"/>
  <c r="O2196" i="6"/>
  <c r="N2196" i="6"/>
  <c r="N2222" i="6" s="1"/>
  <c r="G2325" i="6"/>
  <c r="G2147" i="6"/>
  <c r="F2270" i="6"/>
  <c r="O2270" i="6"/>
  <c r="O2018" i="6"/>
  <c r="N2018" i="6"/>
  <c r="O1968" i="6"/>
  <c r="N1968" i="6"/>
  <c r="M1982" i="6"/>
  <c r="O1922" i="6"/>
  <c r="N1922" i="6"/>
  <c r="N1938" i="6" s="1"/>
  <c r="M2192" i="6"/>
  <c r="O2170" i="6"/>
  <c r="M1790" i="6"/>
  <c r="O2014" i="6"/>
  <c r="F2014" i="6"/>
  <c r="M1643" i="6"/>
  <c r="N1541" i="6"/>
  <c r="O1541" i="6"/>
  <c r="O1404" i="6"/>
  <c r="N1248" i="6"/>
  <c r="O1248" i="6"/>
  <c r="O2337" i="6"/>
  <c r="N2337" i="6"/>
  <c r="N2354" i="6" s="1"/>
  <c r="F1962" i="6"/>
  <c r="O1962" i="6"/>
  <c r="O1708" i="6"/>
  <c r="N1708" i="6"/>
  <c r="N1458" i="6"/>
  <c r="N1474" i="6" s="1"/>
  <c r="F1474" i="6" s="1"/>
  <c r="O1458" i="6"/>
  <c r="N1354" i="6"/>
  <c r="N1369" i="6" s="1"/>
  <c r="O1354" i="6"/>
  <c r="O2050" i="6"/>
  <c r="N2050" i="6"/>
  <c r="O1694" i="6"/>
  <c r="N1694" i="6"/>
  <c r="O1157" i="6"/>
  <c r="N1157" i="6"/>
  <c r="G1124" i="6"/>
  <c r="N1787" i="6"/>
  <c r="O1787" i="6"/>
  <c r="G1166" i="6"/>
  <c r="G1510" i="6"/>
  <c r="N1550" i="6"/>
  <c r="O1550" i="6"/>
  <c r="G1226" i="6"/>
  <c r="F1029" i="6"/>
  <c r="O1029" i="6"/>
  <c r="N684" i="6"/>
  <c r="O684" i="6"/>
  <c r="N641" i="6"/>
  <c r="O641" i="6"/>
  <c r="N601" i="6"/>
  <c r="N613" i="6" s="1"/>
  <c r="O601" i="6"/>
  <c r="N567" i="6"/>
  <c r="N585" i="6" s="1"/>
  <c r="O567" i="6"/>
  <c r="N509" i="6"/>
  <c r="N529" i="6" s="1"/>
  <c r="F529" i="6" s="1"/>
  <c r="O509" i="6"/>
  <c r="O434" i="6"/>
  <c r="N434" i="6"/>
  <c r="N295" i="6"/>
  <c r="O295" i="6"/>
  <c r="N1127" i="6"/>
  <c r="O1127" i="6"/>
  <c r="O1085" i="6"/>
  <c r="F1085" i="6"/>
  <c r="N1426" i="6"/>
  <c r="O1426" i="6"/>
  <c r="I1273" i="6"/>
  <c r="O961" i="6"/>
  <c r="N961" i="6"/>
  <c r="N718" i="6"/>
  <c r="O718" i="6"/>
  <c r="N634" i="6"/>
  <c r="N648" i="6" s="1"/>
  <c r="F648" i="6" s="1"/>
  <c r="O634" i="6"/>
  <c r="N399" i="6"/>
  <c r="N442" i="6" s="1"/>
  <c r="O399" i="6"/>
  <c r="M442" i="6"/>
  <c r="N284" i="6"/>
  <c r="F284" i="6" s="1"/>
  <c r="G1666" i="6"/>
  <c r="O871" i="6"/>
  <c r="N871" i="6"/>
  <c r="M724" i="6"/>
  <c r="F470" i="6"/>
  <c r="O470" i="6"/>
  <c r="O442" i="6" l="1"/>
  <c r="F442" i="6"/>
  <c r="F828" i="6"/>
  <c r="O828" i="6"/>
  <c r="F1297" i="6"/>
  <c r="O1297" i="6"/>
  <c r="N1447" i="6"/>
  <c r="F1447" i="6" s="1"/>
  <c r="O346" i="6"/>
  <c r="F346" i="6"/>
  <c r="F1790" i="6"/>
  <c r="O1790" i="6"/>
  <c r="N2041" i="6"/>
  <c r="F2041" i="6" s="1"/>
  <c r="O681" i="6"/>
  <c r="F2295" i="6"/>
  <c r="O2295" i="6"/>
  <c r="N1721" i="6"/>
  <c r="F1643" i="6"/>
  <c r="O1643" i="6"/>
  <c r="F1982" i="6"/>
  <c r="O1982" i="6"/>
  <c r="O2529" i="6"/>
  <c r="F2529" i="6"/>
  <c r="O2389" i="6"/>
  <c r="F2389" i="6"/>
  <c r="N1273" i="6"/>
  <c r="F1273" i="6" s="1"/>
  <c r="N681" i="6"/>
  <c r="F681" i="6" s="1"/>
  <c r="O1166" i="6"/>
  <c r="F851" i="6"/>
  <c r="O851" i="6"/>
  <c r="F500" i="6"/>
  <c r="O500" i="6"/>
  <c r="N828" i="6"/>
  <c r="O2002" i="6"/>
  <c r="F2002" i="6"/>
  <c r="O2123" i="6"/>
  <c r="F2123" i="6"/>
  <c r="O998" i="6"/>
  <c r="F998" i="6"/>
  <c r="N851" i="6"/>
  <c r="O1938" i="6"/>
  <c r="F1938" i="6"/>
  <c r="N724" i="6"/>
  <c r="F1889" i="6"/>
  <c r="O1889" i="6"/>
  <c r="O724" i="6"/>
  <c r="F724" i="6"/>
  <c r="N1166" i="6"/>
  <c r="F1166" i="6" s="1"/>
  <c r="O2192" i="6"/>
  <c r="F2192" i="6"/>
  <c r="N975" i="6"/>
  <c r="F975" i="6" s="1"/>
  <c r="O758" i="6"/>
  <c r="F613" i="6"/>
  <c r="O613" i="6"/>
  <c r="F397" i="6"/>
  <c r="O397" i="6"/>
  <c r="N2071" i="6"/>
  <c r="F2071" i="6" s="1"/>
  <c r="N1551" i="6"/>
  <c r="F2095" i="6"/>
  <c r="O2095" i="6"/>
  <c r="O2071" i="6"/>
  <c r="O2309" i="6"/>
  <c r="F2309" i="6"/>
  <c r="F2488" i="6"/>
  <c r="O2488" i="6"/>
  <c r="F927" i="6"/>
  <c r="O927" i="6"/>
  <c r="F1243" i="6"/>
  <c r="O1243" i="6"/>
  <c r="O1721" i="6"/>
  <c r="F1721" i="6"/>
  <c r="N758" i="6"/>
  <c r="F758" i="6" s="1"/>
  <c r="F1748" i="6"/>
  <c r="O1748" i="6"/>
  <c r="O2168" i="6"/>
  <c r="F2168" i="6"/>
  <c r="F2424" i="6"/>
  <c r="O2424" i="6"/>
  <c r="O1447" i="6"/>
  <c r="O1810" i="6"/>
  <c r="F1810" i="6"/>
  <c r="O975" i="6"/>
  <c r="F2222" i="6"/>
  <c r="O2222" i="6"/>
  <c r="F786" i="6"/>
  <c r="O786" i="6"/>
  <c r="F1124" i="6"/>
  <c r="O1124" i="6"/>
  <c r="F1369" i="6"/>
  <c r="O1369" i="6"/>
  <c r="N320" i="6"/>
  <c r="F320" i="6" s="1"/>
  <c r="O562" i="6"/>
  <c r="F562" i="6"/>
  <c r="F1551" i="6"/>
  <c r="O1551" i="6"/>
  <c r="F2504" i="6"/>
  <c r="O2504" i="6"/>
  <c r="J3" i="5" l="1"/>
  <c r="J4" i="5"/>
  <c r="J5" i="5"/>
  <c r="J6" i="5"/>
  <c r="J9" i="5"/>
  <c r="J10" i="5"/>
  <c r="J11" i="5"/>
  <c r="J12" i="5"/>
  <c r="J14" i="5"/>
  <c r="J15" i="5"/>
  <c r="J16" i="5"/>
  <c r="J17" i="5"/>
  <c r="J18" i="5"/>
  <c r="J19" i="5"/>
  <c r="J20" i="5"/>
  <c r="J21" i="5"/>
  <c r="J25" i="5"/>
  <c r="J26" i="5"/>
  <c r="J27" i="5"/>
  <c r="J28" i="5"/>
  <c r="J30" i="5"/>
  <c r="J31" i="5"/>
  <c r="J32" i="5"/>
  <c r="J34" i="5"/>
  <c r="J35" i="5"/>
  <c r="J36" i="5"/>
  <c r="J37" i="5"/>
  <c r="J38" i="5"/>
  <c r="J39" i="5"/>
  <c r="J40" i="5"/>
  <c r="J42" i="5"/>
  <c r="J43" i="5"/>
  <c r="J44" i="5"/>
  <c r="J46" i="5"/>
  <c r="J47" i="5"/>
  <c r="J49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6" i="5"/>
  <c r="J67" i="5"/>
  <c r="J69" i="5"/>
  <c r="J72" i="5"/>
  <c r="J73" i="5"/>
  <c r="J76" i="5"/>
  <c r="J77" i="5"/>
  <c r="J78" i="5"/>
  <c r="J80" i="5"/>
  <c r="J81" i="5"/>
  <c r="J82" i="5"/>
  <c r="J83" i="5"/>
  <c r="J84" i="5"/>
  <c r="J86" i="5"/>
  <c r="J87" i="5"/>
  <c r="J89" i="5"/>
  <c r="J90" i="5"/>
  <c r="J93" i="5"/>
  <c r="J94" i="5"/>
  <c r="J95" i="5"/>
  <c r="J96" i="5"/>
  <c r="J100" i="5"/>
  <c r="J102" i="5"/>
  <c r="J103" i="5"/>
  <c r="J104" i="5"/>
  <c r="J105" i="5"/>
  <c r="J106" i="5"/>
  <c r="J108" i="5"/>
  <c r="J109" i="5"/>
  <c r="J110" i="5"/>
  <c r="J115" i="5"/>
  <c r="J116" i="5"/>
  <c r="J118" i="5"/>
  <c r="J119" i="5"/>
  <c r="J121" i="5"/>
  <c r="J123" i="5"/>
  <c r="J124" i="5"/>
  <c r="J127" i="5"/>
  <c r="J128" i="5"/>
  <c r="J130" i="5"/>
  <c r="J131" i="5"/>
  <c r="J132" i="5"/>
  <c r="J135" i="5"/>
  <c r="J137" i="5"/>
  <c r="J138" i="5"/>
  <c r="J141" i="5"/>
  <c r="J142" i="5"/>
  <c r="J144" i="5"/>
  <c r="J146" i="5"/>
  <c r="J147" i="5"/>
  <c r="J148" i="5"/>
  <c r="J150" i="5"/>
  <c r="J151" i="5"/>
  <c r="J152" i="5"/>
  <c r="J154" i="5"/>
  <c r="J155" i="5"/>
  <c r="J156" i="5"/>
  <c r="J157" i="5"/>
  <c r="J158" i="5"/>
  <c r="J161" i="5"/>
  <c r="J163" i="5"/>
  <c r="J167" i="5"/>
  <c r="J168" i="5"/>
  <c r="J169" i="5"/>
  <c r="J170" i="5"/>
  <c r="J171" i="5"/>
  <c r="J172" i="5"/>
  <c r="J173" i="5"/>
  <c r="J174" i="5"/>
  <c r="J175" i="5"/>
  <c r="J176" i="5"/>
  <c r="J178" i="5"/>
  <c r="J183" i="5"/>
  <c r="J185" i="5"/>
  <c r="J186" i="5"/>
  <c r="J187" i="5"/>
  <c r="J188" i="5"/>
  <c r="J192" i="5"/>
  <c r="J193" i="5"/>
  <c r="J194" i="5"/>
  <c r="J195" i="5"/>
  <c r="J196" i="5"/>
  <c r="J197" i="5"/>
  <c r="J198" i="5"/>
  <c r="J200" i="5"/>
  <c r="J201" i="5"/>
  <c r="J202" i="5"/>
  <c r="J203" i="5"/>
  <c r="J205" i="5"/>
  <c r="J206" i="5"/>
  <c r="J207" i="5"/>
  <c r="J208" i="5"/>
  <c r="J210" i="5"/>
  <c r="J211" i="5"/>
  <c r="J212" i="5"/>
  <c r="J214" i="5"/>
  <c r="J215" i="5"/>
  <c r="J216" i="5"/>
  <c r="J217" i="5"/>
  <c r="J218" i="5"/>
  <c r="J221" i="5"/>
  <c r="J222" i="5"/>
  <c r="J225" i="5"/>
  <c r="J226" i="5"/>
  <c r="J227" i="5"/>
  <c r="J228" i="5"/>
  <c r="J229" i="5"/>
  <c r="J230" i="5"/>
  <c r="J231" i="5"/>
  <c r="J232" i="5"/>
  <c r="J235" i="5"/>
  <c r="J236" i="5"/>
  <c r="J237" i="5"/>
  <c r="J238" i="5"/>
  <c r="J239" i="5"/>
  <c r="J241" i="5"/>
  <c r="J242" i="5"/>
  <c r="J243" i="5"/>
  <c r="J244" i="5"/>
  <c r="J246" i="5"/>
  <c r="J247" i="5"/>
  <c r="J249" i="5"/>
  <c r="J250" i="5"/>
  <c r="J251" i="5"/>
  <c r="J252" i="5"/>
  <c r="J253" i="5"/>
  <c r="J255" i="5"/>
  <c r="J256" i="5"/>
  <c r="J257" i="5"/>
  <c r="J258" i="5"/>
  <c r="J259" i="5"/>
  <c r="J262" i="5"/>
  <c r="J264" i="5"/>
  <c r="J265" i="5"/>
  <c r="J267" i="5"/>
  <c r="J270" i="5"/>
  <c r="J271" i="5"/>
  <c r="J272" i="5"/>
  <c r="J273" i="5"/>
  <c r="J274" i="5"/>
  <c r="J275" i="5"/>
  <c r="J276" i="5"/>
  <c r="J277" i="5"/>
  <c r="J278" i="5"/>
  <c r="J279" i="5"/>
  <c r="J281" i="5"/>
  <c r="J282" i="5"/>
  <c r="J283" i="5"/>
  <c r="J284" i="5"/>
  <c r="J285" i="5"/>
  <c r="J286" i="5"/>
  <c r="J288" i="5"/>
  <c r="J289" i="5"/>
  <c r="J290" i="5"/>
  <c r="J291" i="5"/>
  <c r="J292" i="5"/>
  <c r="J293" i="5"/>
  <c r="J295" i="5"/>
  <c r="J296" i="5"/>
  <c r="J297" i="5"/>
  <c r="J298" i="5"/>
  <c r="J300" i="5"/>
  <c r="J301" i="5"/>
  <c r="J302" i="5"/>
  <c r="J303" i="5"/>
  <c r="J304" i="5"/>
  <c r="J306" i="5"/>
  <c r="J307" i="5"/>
  <c r="J308" i="5"/>
  <c r="J309" i="5"/>
  <c r="J310" i="5"/>
  <c r="J311" i="5"/>
  <c r="J313" i="5"/>
  <c r="J315" i="5"/>
  <c r="J316" i="5"/>
  <c r="J317" i="5"/>
  <c r="J318" i="5"/>
  <c r="J319" i="5"/>
  <c r="J320" i="5"/>
  <c r="J322" i="5"/>
  <c r="J323" i="5"/>
  <c r="J324" i="5"/>
  <c r="J325" i="5"/>
  <c r="J328" i="5"/>
  <c r="J330" i="5"/>
  <c r="J331" i="5"/>
  <c r="J332" i="5"/>
  <c r="J333" i="5"/>
  <c r="J334" i="5"/>
  <c r="J336" i="5"/>
  <c r="J337" i="5"/>
  <c r="J338" i="5"/>
  <c r="J339" i="5"/>
  <c r="J340" i="5"/>
  <c r="J341" i="5"/>
  <c r="J343" i="5"/>
  <c r="J345" i="5"/>
  <c r="J346" i="5"/>
  <c r="J347" i="5"/>
  <c r="J348" i="5"/>
  <c r="J349" i="5"/>
  <c r="J350" i="5"/>
  <c r="J351" i="5"/>
  <c r="J352" i="5"/>
  <c r="J354" i="5"/>
  <c r="J356" i="5"/>
  <c r="J357" i="5"/>
  <c r="J358" i="5"/>
  <c r="J359" i="5"/>
  <c r="J360" i="5"/>
  <c r="J362" i="5"/>
  <c r="J363" i="5"/>
  <c r="J365" i="5"/>
  <c r="J366" i="5"/>
  <c r="J368" i="5"/>
  <c r="J369" i="5"/>
  <c r="J370" i="5"/>
  <c r="J371" i="5"/>
  <c r="J373" i="5"/>
  <c r="J374" i="5"/>
  <c r="J375" i="5"/>
  <c r="J376" i="5"/>
  <c r="J377" i="5"/>
  <c r="J378" i="5"/>
  <c r="J380" i="5"/>
  <c r="J382" i="5"/>
  <c r="J383" i="5"/>
  <c r="J385" i="5"/>
  <c r="J386" i="5"/>
  <c r="J387" i="5"/>
  <c r="J389" i="5"/>
  <c r="J392" i="5"/>
  <c r="J393" i="5"/>
  <c r="J394" i="5"/>
  <c r="J395" i="5"/>
  <c r="J396" i="5"/>
  <c r="J397" i="5"/>
  <c r="J398" i="5"/>
  <c r="J399" i="5"/>
  <c r="J400" i="5"/>
  <c r="J402" i="5"/>
  <c r="J404" i="5"/>
  <c r="J407" i="5"/>
  <c r="J408" i="5"/>
  <c r="J409" i="5"/>
  <c r="J410" i="5"/>
  <c r="J411" i="5"/>
  <c r="J412" i="5"/>
  <c r="J413" i="5"/>
  <c r="J414" i="5"/>
  <c r="J416" i="5"/>
  <c r="J417" i="5"/>
  <c r="J421" i="5"/>
  <c r="J422" i="5"/>
  <c r="J423" i="5"/>
  <c r="J424" i="5"/>
  <c r="J426" i="5"/>
  <c r="J428" i="5"/>
  <c r="J431" i="5"/>
  <c r="J432" i="5"/>
  <c r="J433" i="5"/>
  <c r="J434" i="5"/>
  <c r="J436" i="5"/>
  <c r="J437" i="5"/>
  <c r="J438" i="5"/>
  <c r="J439" i="5"/>
  <c r="J441" i="5"/>
  <c r="J442" i="5"/>
  <c r="J443" i="5"/>
  <c r="J444" i="5"/>
  <c r="J445" i="5"/>
  <c r="J447" i="5"/>
  <c r="J449" i="5"/>
  <c r="J450" i="5"/>
  <c r="J451" i="5"/>
  <c r="J452" i="5"/>
  <c r="J453" i="5"/>
  <c r="J454" i="5"/>
  <c r="J456" i="5"/>
  <c r="J457" i="5"/>
  <c r="J458" i="5"/>
  <c r="J459" i="5"/>
  <c r="J460" i="5"/>
  <c r="J461" i="5"/>
  <c r="J462" i="5"/>
  <c r="J466" i="5"/>
  <c r="J468" i="5"/>
  <c r="J469" i="5"/>
  <c r="J470" i="5"/>
  <c r="J471" i="5"/>
  <c r="J473" i="5"/>
  <c r="J474" i="5"/>
  <c r="J475" i="5"/>
  <c r="J477" i="5"/>
  <c r="J479" i="5"/>
  <c r="J480" i="5"/>
  <c r="J481" i="5"/>
  <c r="J482" i="5"/>
  <c r="J483" i="5"/>
  <c r="J484" i="5"/>
  <c r="J486" i="5"/>
  <c r="J487" i="5"/>
  <c r="J488" i="5"/>
  <c r="J489" i="5"/>
  <c r="J490" i="5"/>
  <c r="J491" i="5"/>
  <c r="J492" i="5"/>
  <c r="J496" i="5"/>
  <c r="J497" i="5"/>
  <c r="J498" i="5"/>
  <c r="J499" i="5"/>
  <c r="J500" i="5"/>
  <c r="J501" i="5"/>
  <c r="J503" i="5"/>
  <c r="J504" i="5"/>
  <c r="J505" i="5"/>
  <c r="J506" i="5"/>
  <c r="J507" i="5"/>
  <c r="J508" i="5"/>
  <c r="J511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3" i="5"/>
  <c r="J544" i="5"/>
  <c r="J546" i="5"/>
  <c r="J547" i="5"/>
  <c r="J548" i="5"/>
  <c r="J549" i="5"/>
  <c r="J550" i="5"/>
  <c r="J552" i="5"/>
  <c r="J554" i="5"/>
  <c r="J555" i="5"/>
  <c r="J556" i="5"/>
  <c r="J557" i="5"/>
  <c r="J558" i="5"/>
  <c r="J559" i="5"/>
  <c r="J560" i="5"/>
  <c r="J562" i="5"/>
  <c r="J564" i="5"/>
  <c r="J565" i="5"/>
  <c r="J566" i="5"/>
  <c r="J567" i="5"/>
  <c r="J572" i="5"/>
  <c r="J573" i="5"/>
  <c r="J574" i="5"/>
  <c r="J576" i="5"/>
  <c r="J577" i="5"/>
  <c r="J578" i="5"/>
  <c r="J579" i="5"/>
  <c r="J580" i="5"/>
  <c r="J581" i="5"/>
  <c r="J584" i="5"/>
  <c r="J585" i="5"/>
  <c r="J586" i="5"/>
  <c r="J588" i="5"/>
  <c r="J589" i="5"/>
  <c r="J590" i="5"/>
  <c r="J591" i="5"/>
  <c r="J593" i="5"/>
  <c r="J594" i="5"/>
  <c r="J595" i="5"/>
  <c r="J596" i="5"/>
  <c r="J598" i="5"/>
  <c r="J599" i="5"/>
  <c r="J600" i="5"/>
  <c r="J601" i="5"/>
  <c r="J602" i="5"/>
  <c r="J603" i="5"/>
  <c r="J604" i="5"/>
  <c r="J605" i="5"/>
  <c r="J606" i="5"/>
  <c r="J608" i="5"/>
  <c r="J609" i="5"/>
  <c r="J610" i="5"/>
  <c r="J611" i="5"/>
  <c r="J612" i="5"/>
  <c r="J613" i="5"/>
  <c r="J614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2" i="5"/>
  <c r="J633" i="5"/>
  <c r="J634" i="5"/>
  <c r="J635" i="5"/>
  <c r="J636" i="5"/>
  <c r="J637" i="5"/>
  <c r="J638" i="5"/>
  <c r="J639" i="5"/>
  <c r="J640" i="5"/>
  <c r="J641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3" i="5"/>
  <c r="J674" i="5"/>
  <c r="J676" i="5"/>
  <c r="J677" i="5"/>
  <c r="J678" i="5"/>
  <c r="J679" i="5"/>
  <c r="J680" i="5"/>
  <c r="J681" i="5"/>
  <c r="J682" i="5"/>
  <c r="J684" i="5"/>
  <c r="J685" i="5"/>
  <c r="J686" i="5"/>
  <c r="J688" i="5"/>
  <c r="J689" i="5"/>
  <c r="J690" i="5"/>
  <c r="J691" i="5"/>
  <c r="J692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8" i="5"/>
  <c r="J719" i="5"/>
  <c r="J720" i="5"/>
  <c r="J721" i="5"/>
  <c r="J722" i="5"/>
  <c r="J724" i="5"/>
  <c r="J725" i="5"/>
  <c r="J726" i="5"/>
  <c r="J727" i="5"/>
  <c r="J728" i="5"/>
  <c r="J729" i="5"/>
  <c r="J730" i="5"/>
  <c r="J731" i="5"/>
  <c r="J733" i="5"/>
  <c r="J734" i="5"/>
  <c r="J736" i="5"/>
  <c r="J738" i="5"/>
  <c r="J739" i="5"/>
  <c r="J740" i="5"/>
  <c r="J741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10" i="5"/>
  <c r="J811" i="5"/>
  <c r="J813" i="5"/>
  <c r="J814" i="5"/>
  <c r="J815" i="5"/>
  <c r="J816" i="5"/>
  <c r="J818" i="5"/>
  <c r="J820" i="5"/>
  <c r="J822" i="5"/>
  <c r="J823" i="5"/>
  <c r="J826" i="5"/>
  <c r="J827" i="5"/>
  <c r="J828" i="5"/>
  <c r="J830" i="5"/>
  <c r="J831" i="5"/>
  <c r="J832" i="5"/>
  <c r="J833" i="5"/>
  <c r="J834" i="5"/>
  <c r="J835" i="5"/>
  <c r="J836" i="5"/>
  <c r="J837" i="5"/>
  <c r="J838" i="5"/>
  <c r="J839" i="5"/>
  <c r="J841" i="5"/>
  <c r="J843" i="5"/>
  <c r="J845" i="5"/>
  <c r="J846" i="5"/>
  <c r="J848" i="5"/>
  <c r="J849" i="5"/>
  <c r="J850" i="5"/>
  <c r="J851" i="5"/>
  <c r="J852" i="5"/>
  <c r="J853" i="5"/>
  <c r="J854" i="5"/>
  <c r="J856" i="5"/>
  <c r="J857" i="5"/>
  <c r="J859" i="5"/>
  <c r="J861" i="5"/>
  <c r="J862" i="5"/>
  <c r="J863" i="5"/>
  <c r="J866" i="5"/>
  <c r="J867" i="5"/>
  <c r="J868" i="5"/>
  <c r="J869" i="5"/>
  <c r="J875" i="5"/>
  <c r="J878" i="5"/>
  <c r="J879" i="5"/>
  <c r="J880" i="5"/>
  <c r="J881" i="5"/>
  <c r="J882" i="5"/>
  <c r="J883" i="5"/>
  <c r="J884" i="5"/>
  <c r="J885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8" i="5"/>
  <c r="J909" i="5"/>
  <c r="J910" i="5"/>
  <c r="J911" i="5"/>
  <c r="J914" i="5"/>
  <c r="J915" i="5"/>
  <c r="J916" i="5"/>
  <c r="J919" i="5"/>
  <c r="J920" i="5"/>
  <c r="J922" i="5"/>
  <c r="J923" i="5"/>
  <c r="J924" i="5"/>
  <c r="J925" i="5"/>
  <c r="J926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9" i="5"/>
  <c r="J961" i="5"/>
  <c r="J962" i="5"/>
  <c r="J963" i="5"/>
  <c r="J964" i="5"/>
  <c r="J965" i="5"/>
  <c r="J967" i="5"/>
  <c r="J968" i="5"/>
  <c r="J969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9" i="5"/>
  <c r="J1000" i="5"/>
  <c r="J1001" i="5"/>
  <c r="J1002" i="5"/>
  <c r="J1003" i="5"/>
  <c r="J1004" i="5"/>
  <c r="J1005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9" i="5"/>
  <c r="J1061" i="5"/>
  <c r="J1062" i="5"/>
  <c r="J1063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100" i="5"/>
  <c r="J1101" i="5"/>
  <c r="J1103" i="5"/>
  <c r="J1104" i="5"/>
  <c r="J1105" i="5"/>
  <c r="J1106" i="5"/>
  <c r="J1107" i="5"/>
  <c r="J1109" i="5"/>
  <c r="J1110" i="5"/>
  <c r="J1111" i="5"/>
  <c r="J1112" i="5"/>
  <c r="J1113" i="5"/>
  <c r="J1115" i="5"/>
  <c r="J1116" i="5"/>
  <c r="J1117" i="5"/>
  <c r="J1118" i="5"/>
  <c r="J1119" i="5"/>
  <c r="J1121" i="5"/>
  <c r="J1122" i="5"/>
  <c r="J1123" i="5"/>
  <c r="J1124" i="5"/>
  <c r="J1125" i="5"/>
  <c r="J1128" i="5"/>
  <c r="J1129" i="5"/>
  <c r="J1130" i="5"/>
  <c r="J1131" i="5"/>
  <c r="J1132" i="5"/>
  <c r="J1133" i="5"/>
  <c r="J1134" i="5"/>
  <c r="J1136" i="5"/>
  <c r="J1138" i="5"/>
  <c r="J1139" i="5"/>
  <c r="J1140" i="5"/>
  <c r="J1141" i="5"/>
  <c r="J1142" i="5"/>
  <c r="J1143" i="5"/>
  <c r="J1144" i="5"/>
  <c r="J1145" i="5"/>
  <c r="J1148" i="5"/>
  <c r="J1149" i="5"/>
  <c r="J1150" i="5"/>
  <c r="J1151" i="5"/>
  <c r="J1152" i="5"/>
  <c r="J1153" i="5"/>
  <c r="J1154" i="5"/>
  <c r="J1155" i="5"/>
  <c r="J1158" i="5"/>
  <c r="J1159" i="5"/>
  <c r="J1160" i="5"/>
  <c r="J1161" i="5"/>
  <c r="J1162" i="5"/>
  <c r="J1163" i="5"/>
  <c r="J1164" i="5"/>
  <c r="J1166" i="5"/>
  <c r="J1168" i="5"/>
  <c r="J1169" i="5"/>
  <c r="J1173" i="5"/>
  <c r="J1174" i="5"/>
  <c r="J1175" i="5"/>
  <c r="J1176" i="5"/>
  <c r="J1177" i="5"/>
  <c r="J1179" i="5"/>
  <c r="J1180" i="5"/>
  <c r="J1181" i="5"/>
  <c r="J1183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201" i="5"/>
  <c r="J1204" i="5"/>
  <c r="J1205" i="5"/>
  <c r="J1207" i="5"/>
  <c r="J1208" i="5"/>
  <c r="J1210" i="5"/>
  <c r="J1211" i="5"/>
  <c r="J1212" i="5"/>
  <c r="J1213" i="5"/>
  <c r="J1214" i="5"/>
  <c r="J1215" i="5"/>
  <c r="J1216" i="5"/>
  <c r="J1217" i="5"/>
  <c r="J1218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6" i="5"/>
  <c r="J1237" i="5"/>
  <c r="J1239" i="5"/>
  <c r="J1241" i="5"/>
  <c r="J1242" i="5"/>
  <c r="J1243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300" i="5"/>
  <c r="J1301" i="5"/>
  <c r="J1302" i="5"/>
  <c r="J1303" i="5"/>
  <c r="J1306" i="5"/>
  <c r="J1308" i="5"/>
  <c r="J1309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2" i="5"/>
  <c r="J1333" i="5"/>
  <c r="J1334" i="5"/>
  <c r="J1336" i="5"/>
  <c r="J1337" i="5"/>
  <c r="J1338" i="5"/>
  <c r="J1339" i="5"/>
  <c r="J1340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4" i="5"/>
  <c r="J1375" i="5"/>
  <c r="J1376" i="5"/>
  <c r="J1377" i="5"/>
  <c r="J1379" i="5"/>
  <c r="J1380" i="5"/>
  <c r="J1381" i="5"/>
  <c r="J1382" i="5"/>
  <c r="J1383" i="5"/>
  <c r="J1384" i="5"/>
  <c r="J1385" i="5"/>
  <c r="J1386" i="5"/>
  <c r="J1387" i="5"/>
  <c r="J1388" i="5"/>
  <c r="J1389" i="5"/>
  <c r="J1391" i="5"/>
  <c r="J1392" i="5"/>
  <c r="J1393" i="5"/>
  <c r="J1395" i="5"/>
  <c r="J1396" i="5"/>
  <c r="J1397" i="5"/>
  <c r="J1398" i="5"/>
  <c r="J1399" i="5"/>
  <c r="J1400" i="5"/>
  <c r="J1401" i="5"/>
  <c r="J1403" i="5"/>
  <c r="J1404" i="5"/>
  <c r="J1405" i="5"/>
  <c r="J1406" i="5"/>
  <c r="J1407" i="5"/>
  <c r="J1408" i="5"/>
  <c r="J1410" i="5"/>
  <c r="J1411" i="5"/>
  <c r="J1413" i="5"/>
  <c r="J1414" i="5"/>
  <c r="J1416" i="5"/>
  <c r="J1419" i="5"/>
  <c r="J1420" i="5"/>
  <c r="J1421" i="5"/>
  <c r="J1422" i="5"/>
  <c r="J1423" i="5"/>
  <c r="J1424" i="5"/>
  <c r="J1425" i="5"/>
  <c r="J1426" i="5"/>
  <c r="J1428" i="5"/>
  <c r="J1429" i="5"/>
  <c r="J1430" i="5"/>
  <c r="J1431" i="5"/>
  <c r="J1432" i="5"/>
  <c r="J1433" i="5"/>
  <c r="J1434" i="5"/>
  <c r="J1436" i="5"/>
  <c r="J1437" i="5"/>
  <c r="J1438" i="5"/>
  <c r="J1439" i="5"/>
  <c r="J1440" i="5"/>
  <c r="J1441" i="5"/>
  <c r="J1442" i="5"/>
  <c r="J1443" i="5"/>
  <c r="J1445" i="5"/>
  <c r="J1446" i="5"/>
  <c r="J1447" i="5"/>
  <c r="J1448" i="5"/>
  <c r="J1449" i="5"/>
  <c r="J1451" i="5"/>
  <c r="J1452" i="5"/>
  <c r="J1453" i="5"/>
  <c r="J1454" i="5"/>
  <c r="J1455" i="5"/>
  <c r="J1456" i="5"/>
  <c r="J1458" i="5"/>
  <c r="J1459" i="5"/>
  <c r="J1460" i="5"/>
  <c r="J1461" i="5"/>
  <c r="J1462" i="5"/>
  <c r="J1463" i="5"/>
  <c r="J1464" i="5"/>
  <c r="J1466" i="5"/>
  <c r="J1467" i="5"/>
  <c r="J1468" i="5"/>
  <c r="J1469" i="5"/>
  <c r="J1470" i="5"/>
  <c r="J1471" i="5"/>
  <c r="J1475" i="5"/>
  <c r="J1476" i="5"/>
  <c r="J1477" i="5"/>
  <c r="J1478" i="5"/>
  <c r="J1480" i="5"/>
  <c r="J1481" i="5"/>
  <c r="J1482" i="5"/>
  <c r="J1483" i="5"/>
  <c r="J1484" i="5"/>
  <c r="J1485" i="5"/>
  <c r="J1486" i="5"/>
  <c r="J1487" i="5"/>
  <c r="J1488" i="5"/>
  <c r="J1489" i="5"/>
  <c r="J1490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7" i="5"/>
  <c r="J1508" i="5"/>
  <c r="J1509" i="5"/>
  <c r="J1511" i="5"/>
  <c r="J1512" i="5"/>
  <c r="J1513" i="5"/>
  <c r="J1514" i="5"/>
  <c r="J1516" i="5"/>
  <c r="J1517" i="5"/>
  <c r="J1518" i="5"/>
  <c r="J1519" i="5"/>
  <c r="J1520" i="5"/>
  <c r="J1521" i="5"/>
  <c r="J1522" i="5"/>
  <c r="J1523" i="5"/>
  <c r="J1524" i="5"/>
  <c r="J1527" i="5"/>
  <c r="J1528" i="5"/>
  <c r="J1529" i="5"/>
  <c r="J1530" i="5"/>
  <c r="J1531" i="5"/>
  <c r="J1532" i="5"/>
  <c r="J1533" i="5"/>
  <c r="J1534" i="5"/>
  <c r="J1535" i="5"/>
  <c r="J1536" i="5"/>
  <c r="J1538" i="5"/>
  <c r="J1539" i="5"/>
  <c r="J1540" i="5"/>
  <c r="J1541" i="5"/>
  <c r="J1543" i="5"/>
  <c r="J1545" i="5"/>
  <c r="J1546" i="5"/>
  <c r="J1547" i="5"/>
  <c r="J1548" i="5"/>
  <c r="J1549" i="5"/>
  <c r="J1550" i="5"/>
  <c r="J1551" i="5"/>
  <c r="J1552" i="5"/>
  <c r="J1553" i="5"/>
  <c r="J1554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3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7" i="5"/>
  <c r="J1629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50" i="5"/>
  <c r="J1651" i="5"/>
  <c r="J1652" i="5"/>
  <c r="J1653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6" i="5"/>
  <c r="J1677" i="5"/>
  <c r="J1678" i="5"/>
  <c r="J1679" i="5"/>
  <c r="J1680" i="5"/>
  <c r="J1681" i="5"/>
  <c r="J1682" i="5"/>
  <c r="J1683" i="5"/>
  <c r="J1684" i="5"/>
  <c r="J1685" i="5"/>
  <c r="J1686" i="5"/>
  <c r="J1689" i="5"/>
  <c r="J1690" i="5"/>
  <c r="J1691" i="5"/>
  <c r="J1692" i="5"/>
  <c r="J1694" i="5"/>
  <c r="J1695" i="5"/>
  <c r="J1696" i="5"/>
  <c r="J1697" i="5"/>
  <c r="J1698" i="5"/>
  <c r="J1700" i="5"/>
  <c r="J1701" i="5"/>
  <c r="J1702" i="5"/>
  <c r="J1703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4" i="5"/>
  <c r="J1785" i="5"/>
  <c r="J1786" i="5"/>
  <c r="J1787" i="5"/>
  <c r="J1788" i="5"/>
  <c r="J1789" i="5"/>
  <c r="J1790" i="5"/>
  <c r="J1791" i="5"/>
  <c r="J1793" i="5"/>
  <c r="J1794" i="5"/>
  <c r="J1795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3" i="5"/>
  <c r="J1824" i="5"/>
  <c r="J1825" i="5"/>
  <c r="J1826" i="5"/>
  <c r="J1827" i="5"/>
  <c r="J1828" i="5"/>
  <c r="J1829" i="5"/>
  <c r="J1830" i="5"/>
  <c r="J1832" i="5"/>
  <c r="J1833" i="5"/>
  <c r="J1835" i="5"/>
  <c r="J1836" i="5"/>
  <c r="J1837" i="5"/>
  <c r="J1839" i="5"/>
  <c r="J1840" i="5"/>
  <c r="J1841" i="5"/>
  <c r="J1842" i="5"/>
  <c r="J1843" i="5"/>
  <c r="J1844" i="5"/>
  <c r="J1845" i="5"/>
  <c r="J1846" i="5"/>
  <c r="J1847" i="5"/>
  <c r="J1848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9" i="5"/>
  <c r="J1890" i="5"/>
  <c r="J1891" i="5"/>
  <c r="J1892" i="5"/>
  <c r="J1893" i="5"/>
  <c r="J1894" i="5"/>
  <c r="J1895" i="5"/>
  <c r="J1896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4" i="5"/>
  <c r="J2045" i="5"/>
  <c r="J2046" i="5"/>
  <c r="J2047" i="5"/>
  <c r="J2048" i="5"/>
  <c r="J2049" i="5"/>
  <c r="J2050" i="5"/>
  <c r="J2051" i="5"/>
  <c r="J2052" i="5"/>
  <c r="J2053" i="5"/>
  <c r="J2054" i="5"/>
  <c r="J2056" i="5"/>
  <c r="J2057" i="5"/>
  <c r="J2058" i="5"/>
  <c r="J2059" i="5"/>
  <c r="J2060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1" i="5"/>
  <c r="J2082" i="5"/>
  <c r="J2083" i="5"/>
  <c r="J2084" i="5"/>
  <c r="J2085" i="5"/>
  <c r="J2086" i="5"/>
  <c r="J2089" i="5"/>
  <c r="J2090" i="5"/>
  <c r="J2091" i="5"/>
  <c r="J2092" i="5"/>
  <c r="J2093" i="5"/>
  <c r="J2094" i="5"/>
  <c r="J2095" i="5"/>
  <c r="J2096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40" i="5"/>
  <c r="M33" i="5"/>
  <c r="M2140" i="5"/>
  <c r="I2140" i="5"/>
  <c r="I2139" i="5"/>
  <c r="M2138" i="5"/>
  <c r="I2138" i="5"/>
  <c r="N2138" i="5" s="1"/>
  <c r="M2137" i="5"/>
  <c r="I2137" i="5"/>
  <c r="N2137" i="5" s="1"/>
  <c r="I2136" i="5"/>
  <c r="N2136" i="5" s="1"/>
  <c r="I2135" i="5"/>
  <c r="N2135" i="5" s="1"/>
  <c r="I2134" i="5"/>
  <c r="N2134" i="5" s="1"/>
  <c r="M2133" i="5"/>
  <c r="I2133" i="5"/>
  <c r="M2132" i="5"/>
  <c r="I2132" i="5"/>
  <c r="I2131" i="5"/>
  <c r="N2131" i="5" s="1"/>
  <c r="M2130" i="5"/>
  <c r="I2130" i="5"/>
  <c r="N2130" i="5" s="1"/>
  <c r="M2129" i="5"/>
  <c r="I2129" i="5"/>
  <c r="N2129" i="5" s="1"/>
  <c r="I2128" i="5"/>
  <c r="N2128" i="5" s="1"/>
  <c r="I2127" i="5"/>
  <c r="N2127" i="5" s="1"/>
  <c r="I2125" i="5"/>
  <c r="N2125" i="5" s="1"/>
  <c r="M2124" i="5"/>
  <c r="I2124" i="5"/>
  <c r="M2123" i="5"/>
  <c r="I2123" i="5"/>
  <c r="M2122" i="5"/>
  <c r="I2122" i="5"/>
  <c r="I2121" i="5"/>
  <c r="N2121" i="5" s="1"/>
  <c r="I2120" i="5"/>
  <c r="N2120" i="5" s="1"/>
  <c r="I2119" i="5"/>
  <c r="N2119" i="5" s="1"/>
  <c r="I2118" i="5"/>
  <c r="N2118" i="5" s="1"/>
  <c r="I2117" i="5"/>
  <c r="M2116" i="5"/>
  <c r="I2116" i="5"/>
  <c r="N2116" i="5" s="1"/>
  <c r="I2115" i="5"/>
  <c r="N2115" i="5" s="1"/>
  <c r="M2114" i="5"/>
  <c r="I2114" i="5"/>
  <c r="I2113" i="5"/>
  <c r="N2113" i="5" s="1"/>
  <c r="I2112" i="5"/>
  <c r="N2112" i="5" s="1"/>
  <c r="I2111" i="5"/>
  <c r="N2111" i="5" s="1"/>
  <c r="M2110" i="5"/>
  <c r="I2110" i="5"/>
  <c r="N2110" i="5" s="1"/>
  <c r="I2109" i="5"/>
  <c r="N2109" i="5" s="1"/>
  <c r="I2108" i="5"/>
  <c r="N2108" i="5" s="1"/>
  <c r="I2107" i="5"/>
  <c r="N2107" i="5" s="1"/>
  <c r="M2106" i="5"/>
  <c r="I2106" i="5"/>
  <c r="I2105" i="5"/>
  <c r="N2105" i="5" s="1"/>
  <c r="I2104" i="5"/>
  <c r="N2104" i="5" s="1"/>
  <c r="I2103" i="5"/>
  <c r="N2103" i="5" s="1"/>
  <c r="I2102" i="5"/>
  <c r="N2102" i="5" s="1"/>
  <c r="I2101" i="5"/>
  <c r="N2101" i="5" s="1"/>
  <c r="M2100" i="5"/>
  <c r="I2100" i="5"/>
  <c r="N2100" i="5" s="1"/>
  <c r="M2099" i="5"/>
  <c r="I2099" i="5"/>
  <c r="N2099" i="5" s="1"/>
  <c r="I2098" i="5"/>
  <c r="N2098" i="5" s="1"/>
  <c r="I2097" i="5"/>
  <c r="I2096" i="5"/>
  <c r="N2096" i="5" s="1"/>
  <c r="I2095" i="5"/>
  <c r="N2095" i="5" s="1"/>
  <c r="I2094" i="5"/>
  <c r="N2094" i="5" s="1"/>
  <c r="M2093" i="5"/>
  <c r="I2093" i="5"/>
  <c r="I2092" i="5"/>
  <c r="N2092" i="5" s="1"/>
  <c r="I2091" i="5"/>
  <c r="N2091" i="5" s="1"/>
  <c r="I2090" i="5"/>
  <c r="N2090" i="5" s="1"/>
  <c r="I2089" i="5"/>
  <c r="N2089" i="5" s="1"/>
  <c r="I2088" i="5"/>
  <c r="I2087" i="5"/>
  <c r="I2086" i="5"/>
  <c r="N2086" i="5" s="1"/>
  <c r="I2085" i="5"/>
  <c r="N2085" i="5" s="1"/>
  <c r="I2084" i="5"/>
  <c r="N2084" i="5" s="1"/>
  <c r="I2083" i="5"/>
  <c r="N2083" i="5" s="1"/>
  <c r="I2082" i="5"/>
  <c r="N2082" i="5" s="1"/>
  <c r="I2081" i="5"/>
  <c r="N2081" i="5" s="1"/>
  <c r="I2080" i="5"/>
  <c r="I2079" i="5"/>
  <c r="N2079" i="5" s="1"/>
  <c r="M2078" i="5"/>
  <c r="I2078" i="5"/>
  <c r="I2077" i="5"/>
  <c r="N2077" i="5" s="1"/>
  <c r="I2076" i="5"/>
  <c r="N2076" i="5" s="1"/>
  <c r="I2075" i="5"/>
  <c r="N2075" i="5" s="1"/>
  <c r="M2074" i="5"/>
  <c r="I2074" i="5"/>
  <c r="N2074" i="5" s="1"/>
  <c r="I2073" i="5"/>
  <c r="N2073" i="5" s="1"/>
  <c r="I2072" i="5"/>
  <c r="N2072" i="5" s="1"/>
  <c r="I2071" i="5"/>
  <c r="N2071" i="5" s="1"/>
  <c r="I2070" i="5"/>
  <c r="M2069" i="5"/>
  <c r="I2069" i="5"/>
  <c r="N2069" i="5" s="1"/>
  <c r="I2068" i="5"/>
  <c r="N2068" i="5" s="1"/>
  <c r="I2067" i="5"/>
  <c r="N2067" i="5" s="1"/>
  <c r="I2066" i="5"/>
  <c r="N2066" i="5" s="1"/>
  <c r="I2065" i="5"/>
  <c r="N2065" i="5" s="1"/>
  <c r="I2064" i="5"/>
  <c r="N2064" i="5" s="1"/>
  <c r="I2063" i="5"/>
  <c r="N2063" i="5" s="1"/>
  <c r="M2062" i="5"/>
  <c r="I2062" i="5"/>
  <c r="N2062" i="5" s="1"/>
  <c r="I2061" i="5"/>
  <c r="I2060" i="5"/>
  <c r="N2060" i="5" s="1"/>
  <c r="I2059" i="5"/>
  <c r="N2059" i="5" s="1"/>
  <c r="I2058" i="5"/>
  <c r="N2058" i="5" s="1"/>
  <c r="M2057" i="5"/>
  <c r="I2057" i="5"/>
  <c r="N2057" i="5" s="1"/>
  <c r="M2056" i="5"/>
  <c r="I2056" i="5"/>
  <c r="N2056" i="5" s="1"/>
  <c r="I2055" i="5"/>
  <c r="I2054" i="5"/>
  <c r="N2054" i="5" s="1"/>
  <c r="M2053" i="5"/>
  <c r="I2053" i="5"/>
  <c r="N2053" i="5" s="1"/>
  <c r="I2051" i="5"/>
  <c r="N2051" i="5" s="1"/>
  <c r="I2050" i="5"/>
  <c r="N2050" i="5" s="1"/>
  <c r="M2049" i="5"/>
  <c r="I2049" i="5"/>
  <c r="N2049" i="5" s="1"/>
  <c r="M2048" i="5"/>
  <c r="I2048" i="5"/>
  <c r="N2048" i="5" s="1"/>
  <c r="M2047" i="5"/>
  <c r="I2047" i="5"/>
  <c r="N2047" i="5" s="1"/>
  <c r="I2046" i="5"/>
  <c r="N2046" i="5" s="1"/>
  <c r="M2045" i="5"/>
  <c r="I2045" i="5"/>
  <c r="I2044" i="5"/>
  <c r="N2044" i="5" s="1"/>
  <c r="I2043" i="5"/>
  <c r="M2042" i="5"/>
  <c r="I2042" i="5"/>
  <c r="M2041" i="5"/>
  <c r="I2041" i="5"/>
  <c r="I2040" i="5"/>
  <c r="N2040" i="5" s="1"/>
  <c r="M2039" i="5"/>
  <c r="I2039" i="5"/>
  <c r="N2039" i="5" s="1"/>
  <c r="I2038" i="5"/>
  <c r="N2038" i="5" s="1"/>
  <c r="K2037" i="5"/>
  <c r="I2037" i="5"/>
  <c r="N2037" i="5" s="1"/>
  <c r="M2036" i="5"/>
  <c r="K2036" i="5"/>
  <c r="I2036" i="5"/>
  <c r="N2036" i="5" s="1"/>
  <c r="M2035" i="5"/>
  <c r="K2035" i="5"/>
  <c r="I2035" i="5"/>
  <c r="N2035" i="5" s="1"/>
  <c r="I2034" i="5"/>
  <c r="N2034" i="5" s="1"/>
  <c r="I2033" i="5"/>
  <c r="I2032" i="5"/>
  <c r="N2032" i="5" s="1"/>
  <c r="M2031" i="5"/>
  <c r="N2031" i="5" s="1"/>
  <c r="I2030" i="5"/>
  <c r="N2030" i="5" s="1"/>
  <c r="I2029" i="5"/>
  <c r="N2029" i="5" s="1"/>
  <c r="I2028" i="5"/>
  <c r="N2028" i="5" s="1"/>
  <c r="M2027" i="5"/>
  <c r="N2027" i="5" s="1"/>
  <c r="M2026" i="5"/>
  <c r="N2026" i="5" s="1"/>
  <c r="M2025" i="5"/>
  <c r="I2025" i="5"/>
  <c r="N2025" i="5" s="1"/>
  <c r="I2024" i="5"/>
  <c r="N2024" i="5" s="1"/>
  <c r="I2023" i="5"/>
  <c r="N2023" i="5" s="1"/>
  <c r="I2022" i="5"/>
  <c r="N2022" i="5" s="1"/>
  <c r="L2021" i="5"/>
  <c r="I2019" i="5"/>
  <c r="N2019" i="5" s="1"/>
  <c r="I2017" i="5"/>
  <c r="N2017" i="5" s="1"/>
  <c r="I2016" i="5"/>
  <c r="N2016" i="5" s="1"/>
  <c r="I2015" i="5"/>
  <c r="N2015" i="5" s="1"/>
  <c r="M2014" i="5"/>
  <c r="N2014" i="5" s="1"/>
  <c r="O2014" i="5" s="1"/>
  <c r="M2013" i="5"/>
  <c r="N2013" i="5" s="1"/>
  <c r="O2013" i="5" s="1"/>
  <c r="I2012" i="5"/>
  <c r="N2012" i="5" s="1"/>
  <c r="I2011" i="5"/>
  <c r="N2011" i="5" s="1"/>
  <c r="L2009" i="5"/>
  <c r="K2009" i="5"/>
  <c r="I2009" i="5"/>
  <c r="N2009" i="5" s="1"/>
  <c r="I2008" i="5"/>
  <c r="N2008" i="5" s="1"/>
  <c r="L2007" i="5"/>
  <c r="I2006" i="5"/>
  <c r="N2006" i="5" s="1"/>
  <c r="I2005" i="5"/>
  <c r="N2005" i="5" s="1"/>
  <c r="M2004" i="5"/>
  <c r="N2004" i="5" s="1"/>
  <c r="O2004" i="5" s="1"/>
  <c r="M2003" i="5"/>
  <c r="N2003" i="5" s="1"/>
  <c r="O2003" i="5" s="1"/>
  <c r="I2001" i="5"/>
  <c r="N2001" i="5" s="1"/>
  <c r="M2000" i="5"/>
  <c r="I2000" i="5"/>
  <c r="N2000" i="5" s="1"/>
  <c r="I1999" i="5"/>
  <c r="N1999" i="5" s="1"/>
  <c r="M1998" i="5"/>
  <c r="I1998" i="5"/>
  <c r="I1997" i="5"/>
  <c r="N1997" i="5" s="1"/>
  <c r="M1996" i="5"/>
  <c r="I1996" i="5"/>
  <c r="N1996" i="5" s="1"/>
  <c r="I1995" i="5"/>
  <c r="N1995" i="5" s="1"/>
  <c r="I1994" i="5"/>
  <c r="N1994" i="5" s="1"/>
  <c r="I1993" i="5"/>
  <c r="N1993" i="5" s="1"/>
  <c r="I1992" i="5"/>
  <c r="N1992" i="5" s="1"/>
  <c r="I1991" i="5"/>
  <c r="N1991" i="5" s="1"/>
  <c r="I1990" i="5"/>
  <c r="N1990" i="5" s="1"/>
  <c r="I1989" i="5"/>
  <c r="N1989" i="5" s="1"/>
  <c r="I1988" i="5"/>
  <c r="N1988" i="5" s="1"/>
  <c r="I1987" i="5"/>
  <c r="N1987" i="5" s="1"/>
  <c r="I1986" i="5"/>
  <c r="N1986" i="5" s="1"/>
  <c r="M1985" i="5"/>
  <c r="K1985" i="5"/>
  <c r="I1985" i="5"/>
  <c r="I1983" i="5"/>
  <c r="N1983" i="5" s="1"/>
  <c r="I1982" i="5"/>
  <c r="N1982" i="5" s="1"/>
  <c r="I1981" i="5"/>
  <c r="N1981" i="5" s="1"/>
  <c r="I1980" i="5"/>
  <c r="N1980" i="5" s="1"/>
  <c r="I1979" i="5"/>
  <c r="N1979" i="5" s="1"/>
  <c r="I1978" i="5"/>
  <c r="N1978" i="5" s="1"/>
  <c r="I1977" i="5"/>
  <c r="N1977" i="5" s="1"/>
  <c r="I1976" i="5"/>
  <c r="N1976" i="5" s="1"/>
  <c r="I1973" i="5"/>
  <c r="N1973" i="5" s="1"/>
  <c r="I1972" i="5"/>
  <c r="N1972" i="5" s="1"/>
  <c r="I1971" i="5"/>
  <c r="N1971" i="5" s="1"/>
  <c r="I1970" i="5"/>
  <c r="N1970" i="5" s="1"/>
  <c r="I1969" i="5"/>
  <c r="N1969" i="5" s="1"/>
  <c r="I1968" i="5"/>
  <c r="I1967" i="5"/>
  <c r="I1965" i="5"/>
  <c r="N1965" i="5" s="1"/>
  <c r="I1964" i="5"/>
  <c r="N1964" i="5" s="1"/>
  <c r="I1963" i="5"/>
  <c r="N1963" i="5" s="1"/>
  <c r="I1962" i="5"/>
  <c r="N1962" i="5" s="1"/>
  <c r="M1961" i="5"/>
  <c r="I1961" i="5"/>
  <c r="N1961" i="5" s="1"/>
  <c r="M1960" i="5"/>
  <c r="I1960" i="5"/>
  <c r="N1960" i="5" s="1"/>
  <c r="I1959" i="5"/>
  <c r="N1959" i="5" s="1"/>
  <c r="I1958" i="5"/>
  <c r="N1958" i="5" s="1"/>
  <c r="M1956" i="5"/>
  <c r="I1956" i="5"/>
  <c r="N1956" i="5" s="1"/>
  <c r="I1955" i="5"/>
  <c r="N1955" i="5" s="1"/>
  <c r="I1954" i="5"/>
  <c r="N1954" i="5" s="1"/>
  <c r="I1953" i="5"/>
  <c r="N1953" i="5" s="1"/>
  <c r="I1952" i="5"/>
  <c r="N1952" i="5" s="1"/>
  <c r="M1951" i="5"/>
  <c r="I1951" i="5"/>
  <c r="N1951" i="5" s="1"/>
  <c r="K1950" i="5"/>
  <c r="I1950" i="5"/>
  <c r="N1950" i="5" s="1"/>
  <c r="I1949" i="5"/>
  <c r="N1949" i="5" s="1"/>
  <c r="I1948" i="5"/>
  <c r="I1947" i="5"/>
  <c r="N1947" i="5" s="1"/>
  <c r="I1946" i="5"/>
  <c r="N1946" i="5" s="1"/>
  <c r="I1944" i="5"/>
  <c r="N1944" i="5" s="1"/>
  <c r="I1943" i="5"/>
  <c r="N1943" i="5" s="1"/>
  <c r="M1942" i="5"/>
  <c r="I1942" i="5"/>
  <c r="N1942" i="5" s="1"/>
  <c r="K1941" i="5"/>
  <c r="I1941" i="5"/>
  <c r="N1941" i="5" s="1"/>
  <c r="I1940" i="5"/>
  <c r="N1940" i="5" s="1"/>
  <c r="M1939" i="5"/>
  <c r="I1939" i="5"/>
  <c r="I1938" i="5"/>
  <c r="N1938" i="5" s="1"/>
  <c r="I1937" i="5"/>
  <c r="N1937" i="5" s="1"/>
  <c r="I1936" i="5"/>
  <c r="N1936" i="5" s="1"/>
  <c r="M1935" i="5"/>
  <c r="I1935" i="5"/>
  <c r="N1935" i="5" s="1"/>
  <c r="I1934" i="5"/>
  <c r="N1934" i="5" s="1"/>
  <c r="I1933" i="5"/>
  <c r="N1933" i="5" s="1"/>
  <c r="I1932" i="5"/>
  <c r="N1932" i="5" s="1"/>
  <c r="I1931" i="5"/>
  <c r="N1931" i="5" s="1"/>
  <c r="I1930" i="5"/>
  <c r="N1930" i="5" s="1"/>
  <c r="I1929" i="5"/>
  <c r="N1929" i="5" s="1"/>
  <c r="I1928" i="5"/>
  <c r="N1928" i="5" s="1"/>
  <c r="I1927" i="5"/>
  <c r="N1927" i="5" s="1"/>
  <c r="I1926" i="5"/>
  <c r="N1926" i="5" s="1"/>
  <c r="I1925" i="5"/>
  <c r="N1925" i="5" s="1"/>
  <c r="I1924" i="5"/>
  <c r="N1924" i="5" s="1"/>
  <c r="I1923" i="5"/>
  <c r="N1923" i="5" s="1"/>
  <c r="I1922" i="5"/>
  <c r="N1922" i="5" s="1"/>
  <c r="I1921" i="5"/>
  <c r="N1921" i="5" s="1"/>
  <c r="I1920" i="5"/>
  <c r="N1920" i="5" s="1"/>
  <c r="I1919" i="5"/>
  <c r="N1919" i="5" s="1"/>
  <c r="I1918" i="5"/>
  <c r="N1918" i="5" s="1"/>
  <c r="I1917" i="5"/>
  <c r="N1917" i="5" s="1"/>
  <c r="M1916" i="5"/>
  <c r="I1916" i="5"/>
  <c r="N1916" i="5" s="1"/>
  <c r="I1915" i="5"/>
  <c r="N1915" i="5" s="1"/>
  <c r="I1914" i="5"/>
  <c r="N1914" i="5" s="1"/>
  <c r="I1913" i="5"/>
  <c r="N1913" i="5" s="1"/>
  <c r="I1912" i="5"/>
  <c r="N1912" i="5" s="1"/>
  <c r="I1911" i="5"/>
  <c r="N1911" i="5" s="1"/>
  <c r="I1910" i="5"/>
  <c r="N1910" i="5" s="1"/>
  <c r="I1909" i="5"/>
  <c r="N1909" i="5" s="1"/>
  <c r="I1908" i="5"/>
  <c r="N1908" i="5" s="1"/>
  <c r="I1907" i="5"/>
  <c r="N1907" i="5" s="1"/>
  <c r="I1906" i="5"/>
  <c r="N1906" i="5" s="1"/>
  <c r="I1905" i="5"/>
  <c r="N1905" i="5" s="1"/>
  <c r="M1904" i="5"/>
  <c r="I1904" i="5"/>
  <c r="N1904" i="5" s="1"/>
  <c r="I1903" i="5"/>
  <c r="N1903" i="5" s="1"/>
  <c r="I1902" i="5"/>
  <c r="N1902" i="5" s="1"/>
  <c r="I1901" i="5"/>
  <c r="N1901" i="5" s="1"/>
  <c r="I1900" i="5"/>
  <c r="N1900" i="5" s="1"/>
  <c r="I1899" i="5"/>
  <c r="N1899" i="5" s="1"/>
  <c r="I1898" i="5"/>
  <c r="N1898" i="5" s="1"/>
  <c r="M1897" i="5"/>
  <c r="I1897" i="5"/>
  <c r="I1896" i="5"/>
  <c r="N1896" i="5" s="1"/>
  <c r="I1895" i="5"/>
  <c r="N1895" i="5" s="1"/>
  <c r="I1894" i="5"/>
  <c r="N1894" i="5" s="1"/>
  <c r="I1893" i="5"/>
  <c r="N1893" i="5" s="1"/>
  <c r="I1892" i="5"/>
  <c r="N1892" i="5" s="1"/>
  <c r="M1891" i="5"/>
  <c r="I1891" i="5"/>
  <c r="N1891" i="5" s="1"/>
  <c r="I1890" i="5"/>
  <c r="N1890" i="5" s="1"/>
  <c r="I1889" i="5"/>
  <c r="N1889" i="5" s="1"/>
  <c r="I1888" i="5"/>
  <c r="I1887" i="5"/>
  <c r="N1887" i="5" s="1"/>
  <c r="I1886" i="5"/>
  <c r="N1886" i="5" s="1"/>
  <c r="I1885" i="5"/>
  <c r="N1885" i="5" s="1"/>
  <c r="I1884" i="5"/>
  <c r="N1884" i="5" s="1"/>
  <c r="I1883" i="5"/>
  <c r="N1883" i="5" s="1"/>
  <c r="M1882" i="5"/>
  <c r="I1882" i="5"/>
  <c r="N1882" i="5" s="1"/>
  <c r="I1881" i="5"/>
  <c r="N1881" i="5" s="1"/>
  <c r="I1880" i="5"/>
  <c r="N1880" i="5" s="1"/>
  <c r="I1879" i="5"/>
  <c r="N1879" i="5" s="1"/>
  <c r="I1878" i="5"/>
  <c r="N1878" i="5" s="1"/>
  <c r="I1877" i="5"/>
  <c r="N1877" i="5" s="1"/>
  <c r="I1876" i="5"/>
  <c r="N1876" i="5" s="1"/>
  <c r="I1875" i="5"/>
  <c r="N1875" i="5" s="1"/>
  <c r="I1874" i="5"/>
  <c r="N1874" i="5" s="1"/>
  <c r="I1873" i="5"/>
  <c r="N1873" i="5" s="1"/>
  <c r="I1872" i="5"/>
  <c r="N1872" i="5" s="1"/>
  <c r="I1871" i="5"/>
  <c r="N1871" i="5" s="1"/>
  <c r="I1870" i="5"/>
  <c r="N1870" i="5" s="1"/>
  <c r="I1869" i="5"/>
  <c r="N1869" i="5" s="1"/>
  <c r="I1868" i="5"/>
  <c r="N1868" i="5" s="1"/>
  <c r="I1867" i="5"/>
  <c r="N1867" i="5" s="1"/>
  <c r="I1865" i="5"/>
  <c r="N1865" i="5" s="1"/>
  <c r="I1864" i="5"/>
  <c r="N1864" i="5" s="1"/>
  <c r="I1863" i="5"/>
  <c r="N1863" i="5" s="1"/>
  <c r="M1862" i="5"/>
  <c r="N1862" i="5" s="1"/>
  <c r="I1861" i="5"/>
  <c r="N1861" i="5" s="1"/>
  <c r="I1860" i="5"/>
  <c r="N1860" i="5" s="1"/>
  <c r="M1859" i="5"/>
  <c r="N1859" i="5" s="1"/>
  <c r="I1858" i="5"/>
  <c r="N1858" i="5" s="1"/>
  <c r="I1857" i="5"/>
  <c r="N1857" i="5" s="1"/>
  <c r="I1856" i="5"/>
  <c r="N1856" i="5" s="1"/>
  <c r="I1855" i="5"/>
  <c r="N1855" i="5" s="1"/>
  <c r="I1854" i="5"/>
  <c r="N1854" i="5" s="1"/>
  <c r="I1853" i="5"/>
  <c r="N1853" i="5" s="1"/>
  <c r="I1852" i="5"/>
  <c r="N1852" i="5" s="1"/>
  <c r="I1851" i="5"/>
  <c r="N1851" i="5" s="1"/>
  <c r="I1850" i="5"/>
  <c r="N1850" i="5" s="1"/>
  <c r="I1849" i="5"/>
  <c r="I1848" i="5"/>
  <c r="N1848" i="5" s="1"/>
  <c r="I1847" i="5"/>
  <c r="N1847" i="5" s="1"/>
  <c r="I1846" i="5"/>
  <c r="N1846" i="5" s="1"/>
  <c r="I1845" i="5"/>
  <c r="N1845" i="5" s="1"/>
  <c r="I1844" i="5"/>
  <c r="N1844" i="5" s="1"/>
  <c r="I1843" i="5"/>
  <c r="N1843" i="5" s="1"/>
  <c r="I1842" i="5"/>
  <c r="N1842" i="5" s="1"/>
  <c r="I1841" i="5"/>
  <c r="N1841" i="5" s="1"/>
  <c r="I1840" i="5"/>
  <c r="N1840" i="5" s="1"/>
  <c r="I1839" i="5"/>
  <c r="N1839" i="5" s="1"/>
  <c r="I1838" i="5"/>
  <c r="I1837" i="5"/>
  <c r="N1837" i="5" s="1"/>
  <c r="I1836" i="5"/>
  <c r="N1836" i="5" s="1"/>
  <c r="I1835" i="5"/>
  <c r="N1835" i="5" s="1"/>
  <c r="I1834" i="5"/>
  <c r="I1833" i="5"/>
  <c r="N1833" i="5" s="1"/>
  <c r="I1832" i="5"/>
  <c r="N1832" i="5" s="1"/>
  <c r="I1831" i="5"/>
  <c r="I1830" i="5"/>
  <c r="N1830" i="5" s="1"/>
  <c r="I1829" i="5"/>
  <c r="N1829" i="5" s="1"/>
  <c r="I1828" i="5"/>
  <c r="N1828" i="5" s="1"/>
  <c r="I1826" i="5"/>
  <c r="N1826" i="5" s="1"/>
  <c r="I1825" i="5"/>
  <c r="N1825" i="5" s="1"/>
  <c r="I1824" i="5"/>
  <c r="N1824" i="5" s="1"/>
  <c r="I1823" i="5"/>
  <c r="N1823" i="5" s="1"/>
  <c r="I1822" i="5"/>
  <c r="I1821" i="5"/>
  <c r="N1821" i="5" s="1"/>
  <c r="I1820" i="5"/>
  <c r="N1820" i="5" s="1"/>
  <c r="I1818" i="5"/>
  <c r="N1818" i="5" s="1"/>
  <c r="I1817" i="5"/>
  <c r="N1817" i="5" s="1"/>
  <c r="I1816" i="5"/>
  <c r="N1816" i="5" s="1"/>
  <c r="I1815" i="5"/>
  <c r="N1815" i="5" s="1"/>
  <c r="I1814" i="5"/>
  <c r="N1814" i="5" s="1"/>
  <c r="I1813" i="5"/>
  <c r="N1813" i="5" s="1"/>
  <c r="I1812" i="5"/>
  <c r="N1812" i="5" s="1"/>
  <c r="I1811" i="5"/>
  <c r="N1811" i="5" s="1"/>
  <c r="I1810" i="5"/>
  <c r="N1810" i="5" s="1"/>
  <c r="I1809" i="5"/>
  <c r="N1809" i="5" s="1"/>
  <c r="M1808" i="5"/>
  <c r="I1808" i="5"/>
  <c r="N1808" i="5" s="1"/>
  <c r="I1807" i="5"/>
  <c r="N1807" i="5" s="1"/>
  <c r="I1806" i="5"/>
  <c r="N1806" i="5" s="1"/>
  <c r="I1805" i="5"/>
  <c r="N1805" i="5" s="1"/>
  <c r="I1804" i="5"/>
  <c r="N1804" i="5" s="1"/>
  <c r="I1803" i="5"/>
  <c r="N1803" i="5" s="1"/>
  <c r="I1802" i="5"/>
  <c r="N1802" i="5" s="1"/>
  <c r="I1801" i="5"/>
  <c r="N1801" i="5" s="1"/>
  <c r="I1800" i="5"/>
  <c r="N1800" i="5" s="1"/>
  <c r="I1799" i="5"/>
  <c r="N1799" i="5" s="1"/>
  <c r="I1798" i="5"/>
  <c r="N1798" i="5" s="1"/>
  <c r="I1797" i="5"/>
  <c r="I1796" i="5"/>
  <c r="I1793" i="5"/>
  <c r="N1793" i="5" s="1"/>
  <c r="I1792" i="5"/>
  <c r="I1791" i="5"/>
  <c r="N1791" i="5" s="1"/>
  <c r="I1790" i="5"/>
  <c r="N1790" i="5" s="1"/>
  <c r="I1787" i="5"/>
  <c r="N1787" i="5" s="1"/>
  <c r="I1786" i="5"/>
  <c r="N1786" i="5" s="1"/>
  <c r="I1785" i="5"/>
  <c r="N1785" i="5" s="1"/>
  <c r="I1784" i="5"/>
  <c r="N1784" i="5" s="1"/>
  <c r="I1783" i="5"/>
  <c r="I1782" i="5"/>
  <c r="N1782" i="5" s="1"/>
  <c r="I1781" i="5"/>
  <c r="N1781" i="5" s="1"/>
  <c r="I1780" i="5"/>
  <c r="N1780" i="5" s="1"/>
  <c r="I1779" i="5"/>
  <c r="N1779" i="5" s="1"/>
  <c r="I1777" i="5"/>
  <c r="N1777" i="5" s="1"/>
  <c r="I1776" i="5"/>
  <c r="N1776" i="5" s="1"/>
  <c r="I1775" i="5"/>
  <c r="N1775" i="5" s="1"/>
  <c r="I1774" i="5"/>
  <c r="N1774" i="5" s="1"/>
  <c r="I1773" i="5"/>
  <c r="N1773" i="5" s="1"/>
  <c r="I1772" i="5"/>
  <c r="N1772" i="5" s="1"/>
  <c r="I1770" i="5"/>
  <c r="N1770" i="5" s="1"/>
  <c r="I1769" i="5"/>
  <c r="N1769" i="5" s="1"/>
  <c r="I1768" i="5"/>
  <c r="N1768" i="5" s="1"/>
  <c r="I1767" i="5"/>
  <c r="N1767" i="5" s="1"/>
  <c r="I1766" i="5"/>
  <c r="N1766" i="5" s="1"/>
  <c r="I1765" i="5"/>
  <c r="N1765" i="5" s="1"/>
  <c r="I1764" i="5"/>
  <c r="N1764" i="5" s="1"/>
  <c r="I1763" i="5"/>
  <c r="N1763" i="5" s="1"/>
  <c r="I1762" i="5"/>
  <c r="N1762" i="5" s="1"/>
  <c r="I1761" i="5"/>
  <c r="N1761" i="5" s="1"/>
  <c r="I1760" i="5"/>
  <c r="N1760" i="5" s="1"/>
  <c r="I1759" i="5"/>
  <c r="N1759" i="5" s="1"/>
  <c r="I1758" i="5"/>
  <c r="N1758" i="5" s="1"/>
  <c r="I1757" i="5"/>
  <c r="I1756" i="5"/>
  <c r="N1756" i="5" s="1"/>
  <c r="I1755" i="5"/>
  <c r="N1755" i="5" s="1"/>
  <c r="I1754" i="5"/>
  <c r="N1754" i="5" s="1"/>
  <c r="I1753" i="5"/>
  <c r="N1753" i="5" s="1"/>
  <c r="I1752" i="5"/>
  <c r="N1752" i="5" s="1"/>
  <c r="I1751" i="5"/>
  <c r="N1751" i="5" s="1"/>
  <c r="I1750" i="5"/>
  <c r="N1750" i="5" s="1"/>
  <c r="I1749" i="5"/>
  <c r="N1749" i="5" s="1"/>
  <c r="I1748" i="5"/>
  <c r="N1748" i="5" s="1"/>
  <c r="I1747" i="5"/>
  <c r="N1747" i="5" s="1"/>
  <c r="L1746" i="5"/>
  <c r="I1746" i="5"/>
  <c r="N1746" i="5" s="1"/>
  <c r="I1745" i="5"/>
  <c r="N1745" i="5" s="1"/>
  <c r="I1744" i="5"/>
  <c r="N1744" i="5" s="1"/>
  <c r="I1743" i="5"/>
  <c r="I1742" i="5"/>
  <c r="N1742" i="5" s="1"/>
  <c r="I1741" i="5"/>
  <c r="N1741" i="5" s="1"/>
  <c r="I1740" i="5"/>
  <c r="N1740" i="5" s="1"/>
  <c r="I1739" i="5"/>
  <c r="N1739" i="5" s="1"/>
  <c r="I1738" i="5"/>
  <c r="N1738" i="5" s="1"/>
  <c r="I1737" i="5"/>
  <c r="N1737" i="5" s="1"/>
  <c r="I1736" i="5"/>
  <c r="N1736" i="5" s="1"/>
  <c r="I1734" i="5"/>
  <c r="N1734" i="5" s="1"/>
  <c r="I1733" i="5"/>
  <c r="N1733" i="5" s="1"/>
  <c r="I1732" i="5"/>
  <c r="N1732" i="5" s="1"/>
  <c r="I1731" i="5"/>
  <c r="N1731" i="5" s="1"/>
  <c r="I1730" i="5"/>
  <c r="N1730" i="5" s="1"/>
  <c r="I1729" i="5"/>
  <c r="N1729" i="5" s="1"/>
  <c r="I1728" i="5"/>
  <c r="N1728" i="5" s="1"/>
  <c r="I1727" i="5"/>
  <c r="N1727" i="5" s="1"/>
  <c r="I1726" i="5"/>
  <c r="N1726" i="5" s="1"/>
  <c r="I1725" i="5"/>
  <c r="N1725" i="5" s="1"/>
  <c r="I1724" i="5"/>
  <c r="N1724" i="5" s="1"/>
  <c r="L1723" i="5"/>
  <c r="I1723" i="5"/>
  <c r="N1723" i="5" s="1"/>
  <c r="I1722" i="5"/>
  <c r="N1722" i="5" s="1"/>
  <c r="I1721" i="5"/>
  <c r="N1721" i="5" s="1"/>
  <c r="I1720" i="5"/>
  <c r="N1720" i="5" s="1"/>
  <c r="I1719" i="5"/>
  <c r="N1719" i="5" s="1"/>
  <c r="I1718" i="5"/>
  <c r="I1717" i="5"/>
  <c r="N1717" i="5" s="1"/>
  <c r="I1716" i="5"/>
  <c r="N1716" i="5" s="1"/>
  <c r="I1715" i="5"/>
  <c r="N1715" i="5" s="1"/>
  <c r="I1714" i="5"/>
  <c r="N1714" i="5" s="1"/>
  <c r="I1713" i="5"/>
  <c r="N1713" i="5" s="1"/>
  <c r="I1712" i="5"/>
  <c r="N1712" i="5" s="1"/>
  <c r="L1711" i="5"/>
  <c r="I1709" i="5"/>
  <c r="N1709" i="5" s="1"/>
  <c r="I1708" i="5"/>
  <c r="N1708" i="5" s="1"/>
  <c r="I1707" i="5"/>
  <c r="N1707" i="5" s="1"/>
  <c r="I1706" i="5"/>
  <c r="N1706" i="5" s="1"/>
  <c r="I1705" i="5"/>
  <c r="N1705" i="5" s="1"/>
  <c r="L1704" i="5"/>
  <c r="I1704" i="5"/>
  <c r="I1703" i="5"/>
  <c r="N1703" i="5" s="1"/>
  <c r="I1702" i="5"/>
  <c r="N1702" i="5" s="1"/>
  <c r="I1701" i="5"/>
  <c r="N1701" i="5" s="1"/>
  <c r="I1700" i="5"/>
  <c r="N1700" i="5" s="1"/>
  <c r="I1699" i="5"/>
  <c r="I1698" i="5"/>
  <c r="N1698" i="5" s="1"/>
  <c r="I1697" i="5"/>
  <c r="N1697" i="5" s="1"/>
  <c r="I1696" i="5"/>
  <c r="N1696" i="5" s="1"/>
  <c r="L1695" i="5"/>
  <c r="I1695" i="5"/>
  <c r="N1695" i="5" s="1"/>
  <c r="I1694" i="5"/>
  <c r="N1694" i="5" s="1"/>
  <c r="I1693" i="5"/>
  <c r="I1692" i="5"/>
  <c r="N1692" i="5" s="1"/>
  <c r="I1691" i="5"/>
  <c r="N1691" i="5" s="1"/>
  <c r="I1690" i="5"/>
  <c r="N1690" i="5" s="1"/>
  <c r="I1689" i="5"/>
  <c r="N1689" i="5" s="1"/>
  <c r="I1688" i="5"/>
  <c r="I1687" i="5"/>
  <c r="I1686" i="5"/>
  <c r="N1686" i="5" s="1"/>
  <c r="I1685" i="5"/>
  <c r="N1685" i="5" s="1"/>
  <c r="I1684" i="5"/>
  <c r="N1684" i="5" s="1"/>
  <c r="I1683" i="5"/>
  <c r="N1683" i="5" s="1"/>
  <c r="I1682" i="5"/>
  <c r="N1682" i="5" s="1"/>
  <c r="I1681" i="5"/>
  <c r="N1681" i="5" s="1"/>
  <c r="I1680" i="5"/>
  <c r="N1680" i="5" s="1"/>
  <c r="I1679" i="5"/>
  <c r="N1679" i="5" s="1"/>
  <c r="I1678" i="5"/>
  <c r="N1678" i="5" s="1"/>
  <c r="I1677" i="5"/>
  <c r="N1677" i="5" s="1"/>
  <c r="I1676" i="5"/>
  <c r="N1676" i="5" s="1"/>
  <c r="I1675" i="5"/>
  <c r="I1674" i="5"/>
  <c r="I1673" i="5"/>
  <c r="N1673" i="5" s="1"/>
  <c r="I1672" i="5"/>
  <c r="N1672" i="5" s="1"/>
  <c r="I1671" i="5"/>
  <c r="N1671" i="5" s="1"/>
  <c r="I1670" i="5"/>
  <c r="N1670" i="5" s="1"/>
  <c r="I1669" i="5"/>
  <c r="N1669" i="5" s="1"/>
  <c r="I1667" i="5"/>
  <c r="N1667" i="5" s="1"/>
  <c r="I1666" i="5"/>
  <c r="N1666" i="5" s="1"/>
  <c r="I1665" i="5"/>
  <c r="N1665" i="5" s="1"/>
  <c r="I1664" i="5"/>
  <c r="N1664" i="5" s="1"/>
  <c r="I1663" i="5"/>
  <c r="N1663" i="5" s="1"/>
  <c r="I1662" i="5"/>
  <c r="N1662" i="5" s="1"/>
  <c r="I1661" i="5"/>
  <c r="N1661" i="5" s="1"/>
  <c r="I1658" i="5"/>
  <c r="N1658" i="5" s="1"/>
  <c r="I1657" i="5"/>
  <c r="N1657" i="5" s="1"/>
  <c r="I1656" i="5"/>
  <c r="N1656" i="5" s="1"/>
  <c r="I1654" i="5"/>
  <c r="I1652" i="5"/>
  <c r="N1652" i="5" s="1"/>
  <c r="L1650" i="5"/>
  <c r="I1649" i="5"/>
  <c r="I1648" i="5"/>
  <c r="I1647" i="5"/>
  <c r="N1647" i="5" s="1"/>
  <c r="I1646" i="5"/>
  <c r="N1646" i="5" s="1"/>
  <c r="I1645" i="5"/>
  <c r="N1645" i="5" s="1"/>
  <c r="I1644" i="5"/>
  <c r="N1644" i="5" s="1"/>
  <c r="I1643" i="5"/>
  <c r="N1643" i="5" s="1"/>
  <c r="I1642" i="5"/>
  <c r="N1642" i="5" s="1"/>
  <c r="L1641" i="5"/>
  <c r="I1640" i="5"/>
  <c r="N1640" i="5" s="1"/>
  <c r="I1639" i="5"/>
  <c r="N1639" i="5" s="1"/>
  <c r="I1637" i="5"/>
  <c r="N1637" i="5" s="1"/>
  <c r="I1636" i="5"/>
  <c r="N1636" i="5" s="1"/>
  <c r="I1635" i="5"/>
  <c r="N1635" i="5" s="1"/>
  <c r="I1634" i="5"/>
  <c r="N1634" i="5" s="1"/>
  <c r="I1633" i="5"/>
  <c r="N1633" i="5" s="1"/>
  <c r="I1632" i="5"/>
  <c r="N1632" i="5" s="1"/>
  <c r="I1631" i="5"/>
  <c r="N1631" i="5" s="1"/>
  <c r="I1630" i="5"/>
  <c r="I1628" i="5"/>
  <c r="I1627" i="5"/>
  <c r="N1627" i="5" s="1"/>
  <c r="I1626" i="5"/>
  <c r="I1625" i="5"/>
  <c r="N1625" i="5" s="1"/>
  <c r="I1624" i="5"/>
  <c r="N1624" i="5" s="1"/>
  <c r="I1623" i="5"/>
  <c r="N1623" i="5" s="1"/>
  <c r="I1622" i="5"/>
  <c r="N1622" i="5" s="1"/>
  <c r="I1618" i="5"/>
  <c r="N1618" i="5" s="1"/>
  <c r="I1617" i="5"/>
  <c r="N1617" i="5" s="1"/>
  <c r="I1615" i="5"/>
  <c r="N1615" i="5" s="1"/>
  <c r="I1614" i="5"/>
  <c r="N1614" i="5" s="1"/>
  <c r="I1613" i="5"/>
  <c r="N1613" i="5" s="1"/>
  <c r="I1612" i="5"/>
  <c r="N1612" i="5" s="1"/>
  <c r="I1611" i="5"/>
  <c r="N1611" i="5" s="1"/>
  <c r="I1610" i="5"/>
  <c r="N1610" i="5" s="1"/>
  <c r="I1609" i="5"/>
  <c r="I1608" i="5"/>
  <c r="N1608" i="5" s="1"/>
  <c r="L1607" i="5"/>
  <c r="I1606" i="5"/>
  <c r="N1606" i="5" s="1"/>
  <c r="I1605" i="5"/>
  <c r="N1605" i="5" s="1"/>
  <c r="I1604" i="5"/>
  <c r="N1604" i="5" s="1"/>
  <c r="I1602" i="5"/>
  <c r="N1602" i="5" s="1"/>
  <c r="I1601" i="5"/>
  <c r="N1601" i="5" s="1"/>
  <c r="I1600" i="5"/>
  <c r="N1600" i="5" s="1"/>
  <c r="I1599" i="5"/>
  <c r="N1599" i="5" s="1"/>
  <c r="I1598" i="5"/>
  <c r="N1598" i="5" s="1"/>
  <c r="I1597" i="5"/>
  <c r="N1597" i="5" s="1"/>
  <c r="L1596" i="5"/>
  <c r="I1596" i="5"/>
  <c r="N1596" i="5" s="1"/>
  <c r="I1595" i="5"/>
  <c r="N1595" i="5" s="1"/>
  <c r="I1594" i="5"/>
  <c r="N1594" i="5" s="1"/>
  <c r="I1593" i="5"/>
  <c r="N1593" i="5" s="1"/>
  <c r="I1592" i="5"/>
  <c r="N1592" i="5" s="1"/>
  <c r="I1591" i="5"/>
  <c r="N1591" i="5" s="1"/>
  <c r="I1590" i="5"/>
  <c r="N1590" i="5" s="1"/>
  <c r="I1589" i="5"/>
  <c r="I1588" i="5"/>
  <c r="I1587" i="5"/>
  <c r="N1587" i="5" s="1"/>
  <c r="I1586" i="5"/>
  <c r="N1586" i="5" s="1"/>
  <c r="I1585" i="5"/>
  <c r="N1585" i="5" s="1"/>
  <c r="I1584" i="5"/>
  <c r="N1584" i="5" s="1"/>
  <c r="I1583" i="5"/>
  <c r="N1583" i="5" s="1"/>
  <c r="I1582" i="5"/>
  <c r="N1582" i="5" s="1"/>
  <c r="I1581" i="5"/>
  <c r="N1581" i="5" s="1"/>
  <c r="I1580" i="5"/>
  <c r="N1580" i="5" s="1"/>
  <c r="I1579" i="5"/>
  <c r="N1579" i="5" s="1"/>
  <c r="L1578" i="5"/>
  <c r="I1578" i="5"/>
  <c r="N1578" i="5" s="1"/>
  <c r="I1577" i="5"/>
  <c r="N1577" i="5" s="1"/>
  <c r="I1576" i="5"/>
  <c r="N1576" i="5" s="1"/>
  <c r="I1575" i="5"/>
  <c r="I1574" i="5"/>
  <c r="I1573" i="5"/>
  <c r="N1573" i="5" s="1"/>
  <c r="I1572" i="5"/>
  <c r="I1571" i="5"/>
  <c r="N1571" i="5" s="1"/>
  <c r="I1570" i="5"/>
  <c r="N1570" i="5" s="1"/>
  <c r="I1569" i="5"/>
  <c r="N1569" i="5" s="1"/>
  <c r="I1568" i="5"/>
  <c r="N1568" i="5" s="1"/>
  <c r="I1567" i="5"/>
  <c r="N1567" i="5" s="1"/>
  <c r="I1566" i="5"/>
  <c r="N1566" i="5" s="1"/>
  <c r="I1565" i="5"/>
  <c r="N1565" i="5" s="1"/>
  <c r="I1564" i="5"/>
  <c r="N1564" i="5" s="1"/>
  <c r="I1563" i="5"/>
  <c r="N1563" i="5" s="1"/>
  <c r="I1562" i="5"/>
  <c r="N1562" i="5" s="1"/>
  <c r="I1561" i="5"/>
  <c r="N1561" i="5" s="1"/>
  <c r="I1560" i="5"/>
  <c r="N1560" i="5" s="1"/>
  <c r="I1559" i="5"/>
  <c r="N1559" i="5" s="1"/>
  <c r="I1558" i="5"/>
  <c r="N1558" i="5" s="1"/>
  <c r="I1557" i="5"/>
  <c r="N1557" i="5" s="1"/>
  <c r="I1556" i="5"/>
  <c r="N1556" i="5" s="1"/>
  <c r="I1555" i="5"/>
  <c r="I1554" i="5"/>
  <c r="N1554" i="5" s="1"/>
  <c r="I1553" i="5"/>
  <c r="N1553" i="5" s="1"/>
  <c r="I1552" i="5"/>
  <c r="N1552" i="5" s="1"/>
  <c r="I1551" i="5"/>
  <c r="N1551" i="5" s="1"/>
  <c r="I1550" i="5"/>
  <c r="N1550" i="5" s="1"/>
  <c r="I1549" i="5"/>
  <c r="N1549" i="5" s="1"/>
  <c r="I1548" i="5"/>
  <c r="N1548" i="5" s="1"/>
  <c r="I1547" i="5"/>
  <c r="N1547" i="5" s="1"/>
  <c r="I1546" i="5"/>
  <c r="N1546" i="5" s="1"/>
  <c r="I1545" i="5"/>
  <c r="N1545" i="5" s="1"/>
  <c r="I1544" i="5"/>
  <c r="I1543" i="5"/>
  <c r="N1543" i="5" s="1"/>
  <c r="I1542" i="5"/>
  <c r="I1541" i="5"/>
  <c r="N1541" i="5" s="1"/>
  <c r="I1540" i="5"/>
  <c r="N1540" i="5" s="1"/>
  <c r="I1539" i="5"/>
  <c r="N1539" i="5" s="1"/>
  <c r="I1538" i="5"/>
  <c r="N1538" i="5" s="1"/>
  <c r="I1537" i="5"/>
  <c r="I1536" i="5"/>
  <c r="N1536" i="5" s="1"/>
  <c r="I1535" i="5"/>
  <c r="N1535" i="5" s="1"/>
  <c r="I1534" i="5"/>
  <c r="N1534" i="5" s="1"/>
  <c r="I1533" i="5"/>
  <c r="N1533" i="5" s="1"/>
  <c r="I1532" i="5"/>
  <c r="N1532" i="5" s="1"/>
  <c r="I1531" i="5"/>
  <c r="N1531" i="5" s="1"/>
  <c r="I1530" i="5"/>
  <c r="N1530" i="5" s="1"/>
  <c r="I1529" i="5"/>
  <c r="N1529" i="5" s="1"/>
  <c r="L1528" i="5"/>
  <c r="I1528" i="5"/>
  <c r="N1528" i="5" s="1"/>
  <c r="I1527" i="5"/>
  <c r="N1527" i="5" s="1"/>
  <c r="I1526" i="5"/>
  <c r="I1525" i="5"/>
  <c r="I1524" i="5"/>
  <c r="N1524" i="5" s="1"/>
  <c r="I1523" i="5"/>
  <c r="N1523" i="5" s="1"/>
  <c r="I1522" i="5"/>
  <c r="N1522" i="5" s="1"/>
  <c r="I1521" i="5"/>
  <c r="N1521" i="5" s="1"/>
  <c r="I1520" i="5"/>
  <c r="N1520" i="5" s="1"/>
  <c r="L1519" i="5"/>
  <c r="I1519" i="5"/>
  <c r="N1519" i="5" s="1"/>
  <c r="I1518" i="5"/>
  <c r="N1518" i="5" s="1"/>
  <c r="I1517" i="5"/>
  <c r="N1517" i="5" s="1"/>
  <c r="I1516" i="5"/>
  <c r="N1516" i="5" s="1"/>
  <c r="I1515" i="5"/>
  <c r="I1514" i="5"/>
  <c r="N1514" i="5" s="1"/>
  <c r="I1513" i="5"/>
  <c r="N1513" i="5" s="1"/>
  <c r="I1512" i="5"/>
  <c r="N1512" i="5" s="1"/>
  <c r="I1511" i="5"/>
  <c r="N1511" i="5" s="1"/>
  <c r="I1510" i="5"/>
  <c r="I1509" i="5"/>
  <c r="N1509" i="5" s="1"/>
  <c r="I1508" i="5"/>
  <c r="N1508" i="5" s="1"/>
  <c r="I1507" i="5"/>
  <c r="N1507" i="5" s="1"/>
  <c r="I1506" i="5"/>
  <c r="I1505" i="5"/>
  <c r="N1505" i="5" s="1"/>
  <c r="I1504" i="5"/>
  <c r="N1504" i="5" s="1"/>
  <c r="I1503" i="5"/>
  <c r="N1503" i="5" s="1"/>
  <c r="I1502" i="5"/>
  <c r="N1502" i="5" s="1"/>
  <c r="I1501" i="5"/>
  <c r="N1501" i="5" s="1"/>
  <c r="I1500" i="5"/>
  <c r="N1500" i="5" s="1"/>
  <c r="I1498" i="5"/>
  <c r="N1498" i="5" s="1"/>
  <c r="I1497" i="5"/>
  <c r="N1497" i="5" s="1"/>
  <c r="I1496" i="5"/>
  <c r="N1496" i="5" s="1"/>
  <c r="I1495" i="5"/>
  <c r="N1495" i="5" s="1"/>
  <c r="I1494" i="5"/>
  <c r="N1494" i="5" s="1"/>
  <c r="I1493" i="5"/>
  <c r="N1493" i="5" s="1"/>
  <c r="I1492" i="5"/>
  <c r="N1492" i="5" s="1"/>
  <c r="I1491" i="5"/>
  <c r="I1490" i="5"/>
  <c r="N1490" i="5" s="1"/>
  <c r="I1489" i="5"/>
  <c r="N1489" i="5" s="1"/>
  <c r="I1488" i="5"/>
  <c r="N1488" i="5" s="1"/>
  <c r="I1487" i="5"/>
  <c r="N1487" i="5" s="1"/>
  <c r="I1486" i="5"/>
  <c r="N1486" i="5" s="1"/>
  <c r="I1484" i="5"/>
  <c r="N1484" i="5" s="1"/>
  <c r="I1482" i="5"/>
  <c r="N1482" i="5" s="1"/>
  <c r="I1481" i="5"/>
  <c r="N1481" i="5" s="1"/>
  <c r="I1480" i="5"/>
  <c r="N1480" i="5" s="1"/>
  <c r="I1479" i="5"/>
  <c r="I1477" i="5"/>
  <c r="N1477" i="5" s="1"/>
  <c r="I1476" i="5"/>
  <c r="N1476" i="5" s="1"/>
  <c r="L1475" i="5"/>
  <c r="I1475" i="5"/>
  <c r="N1475" i="5" s="1"/>
  <c r="I1474" i="5"/>
  <c r="I1473" i="5"/>
  <c r="I1472" i="5"/>
  <c r="I1471" i="5"/>
  <c r="N1471" i="5" s="1"/>
  <c r="I1469" i="5"/>
  <c r="N1469" i="5" s="1"/>
  <c r="I1468" i="5"/>
  <c r="N1468" i="5" s="1"/>
  <c r="I1467" i="5"/>
  <c r="N1467" i="5" s="1"/>
  <c r="I1466" i="5"/>
  <c r="N1466" i="5" s="1"/>
  <c r="I1465" i="5"/>
  <c r="I1464" i="5"/>
  <c r="N1464" i="5" s="1"/>
  <c r="I1463" i="5"/>
  <c r="N1463" i="5" s="1"/>
  <c r="I1462" i="5"/>
  <c r="N1462" i="5" s="1"/>
  <c r="I1461" i="5"/>
  <c r="N1461" i="5" s="1"/>
  <c r="I1460" i="5"/>
  <c r="N1460" i="5" s="1"/>
  <c r="L1459" i="5"/>
  <c r="I1459" i="5"/>
  <c r="N1459" i="5" s="1"/>
  <c r="I1458" i="5"/>
  <c r="N1458" i="5" s="1"/>
  <c r="I1457" i="5"/>
  <c r="I1456" i="5"/>
  <c r="N1456" i="5" s="1"/>
  <c r="I1455" i="5"/>
  <c r="N1455" i="5" s="1"/>
  <c r="I1454" i="5"/>
  <c r="N1454" i="5" s="1"/>
  <c r="I1453" i="5"/>
  <c r="N1453" i="5" s="1"/>
  <c r="I1452" i="5"/>
  <c r="N1452" i="5" s="1"/>
  <c r="I1451" i="5"/>
  <c r="N1451" i="5" s="1"/>
  <c r="I1450" i="5"/>
  <c r="I1449" i="5"/>
  <c r="N1449" i="5" s="1"/>
  <c r="I1448" i="5"/>
  <c r="N1448" i="5" s="1"/>
  <c r="I1447" i="5"/>
  <c r="N1447" i="5" s="1"/>
  <c r="I1446" i="5"/>
  <c r="N1446" i="5" s="1"/>
  <c r="I1445" i="5"/>
  <c r="N1445" i="5" s="1"/>
  <c r="I1444" i="5"/>
  <c r="I1443" i="5"/>
  <c r="N1443" i="5" s="1"/>
  <c r="I1442" i="5"/>
  <c r="N1442" i="5" s="1"/>
  <c r="I1441" i="5"/>
  <c r="N1441" i="5" s="1"/>
  <c r="I1440" i="5"/>
  <c r="N1440" i="5" s="1"/>
  <c r="I1439" i="5"/>
  <c r="N1439" i="5" s="1"/>
  <c r="I1438" i="5"/>
  <c r="N1438" i="5" s="1"/>
  <c r="L1437" i="5"/>
  <c r="I1437" i="5"/>
  <c r="N1437" i="5" s="1"/>
  <c r="I1436" i="5"/>
  <c r="N1436" i="5" s="1"/>
  <c r="I1435" i="5"/>
  <c r="I1434" i="5"/>
  <c r="N1434" i="5" s="1"/>
  <c r="I1433" i="5"/>
  <c r="N1433" i="5" s="1"/>
  <c r="I1432" i="5"/>
  <c r="N1432" i="5" s="1"/>
  <c r="I1431" i="5"/>
  <c r="N1431" i="5" s="1"/>
  <c r="I1430" i="5"/>
  <c r="N1430" i="5" s="1"/>
  <c r="I1429" i="5"/>
  <c r="N1429" i="5" s="1"/>
  <c r="I1428" i="5"/>
  <c r="N1428" i="5" s="1"/>
  <c r="I1427" i="5"/>
  <c r="I1426" i="5"/>
  <c r="N1426" i="5" s="1"/>
  <c r="M1425" i="5"/>
  <c r="I1425" i="5"/>
  <c r="I1423" i="5"/>
  <c r="N1423" i="5" s="1"/>
  <c r="I1422" i="5"/>
  <c r="N1422" i="5" s="1"/>
  <c r="I1421" i="5"/>
  <c r="N1421" i="5" s="1"/>
  <c r="I1420" i="5"/>
  <c r="N1420" i="5" s="1"/>
  <c r="I1419" i="5"/>
  <c r="N1419" i="5" s="1"/>
  <c r="I1418" i="5"/>
  <c r="I1417" i="5"/>
  <c r="I1416" i="5"/>
  <c r="N1416" i="5" s="1"/>
  <c r="I1415" i="5"/>
  <c r="I1414" i="5"/>
  <c r="N1414" i="5" s="1"/>
  <c r="I1413" i="5"/>
  <c r="N1413" i="5" s="1"/>
  <c r="I1412" i="5"/>
  <c r="I1411" i="5"/>
  <c r="N1411" i="5" s="1"/>
  <c r="I1410" i="5"/>
  <c r="N1410" i="5" s="1"/>
  <c r="I1409" i="5"/>
  <c r="I1408" i="5"/>
  <c r="N1408" i="5" s="1"/>
  <c r="I1407" i="5"/>
  <c r="N1407" i="5" s="1"/>
  <c r="M1406" i="5"/>
  <c r="I1406" i="5"/>
  <c r="N1406" i="5" s="1"/>
  <c r="I1405" i="5"/>
  <c r="N1405" i="5" s="1"/>
  <c r="I1404" i="5"/>
  <c r="N1404" i="5" s="1"/>
  <c r="I1403" i="5"/>
  <c r="N1403" i="5" s="1"/>
  <c r="I1402" i="5"/>
  <c r="I1401" i="5"/>
  <c r="N1401" i="5" s="1"/>
  <c r="I1399" i="5"/>
  <c r="N1399" i="5" s="1"/>
  <c r="I1398" i="5"/>
  <c r="N1398" i="5" s="1"/>
  <c r="I1397" i="5"/>
  <c r="N1397" i="5" s="1"/>
  <c r="I1396" i="5"/>
  <c r="N1396" i="5" s="1"/>
  <c r="I1395" i="5"/>
  <c r="N1395" i="5" s="1"/>
  <c r="I1394" i="5"/>
  <c r="I1393" i="5"/>
  <c r="N1393" i="5" s="1"/>
  <c r="I1392" i="5"/>
  <c r="N1392" i="5" s="1"/>
  <c r="I1391" i="5"/>
  <c r="N1391" i="5" s="1"/>
  <c r="I1390" i="5"/>
  <c r="I1389" i="5"/>
  <c r="N1389" i="5" s="1"/>
  <c r="I1388" i="5"/>
  <c r="N1388" i="5" s="1"/>
  <c r="I1387" i="5"/>
  <c r="N1387" i="5" s="1"/>
  <c r="L1384" i="5"/>
  <c r="I1384" i="5"/>
  <c r="N1384" i="5" s="1"/>
  <c r="I1383" i="5"/>
  <c r="N1383" i="5" s="1"/>
  <c r="I1382" i="5"/>
  <c r="N1382" i="5" s="1"/>
  <c r="I1381" i="5"/>
  <c r="N1381" i="5" s="1"/>
  <c r="I1380" i="5"/>
  <c r="N1380" i="5" s="1"/>
  <c r="I1379" i="5"/>
  <c r="N1379" i="5" s="1"/>
  <c r="I1378" i="5"/>
  <c r="I1377" i="5"/>
  <c r="N1377" i="5" s="1"/>
  <c r="I1376" i="5"/>
  <c r="N1376" i="5" s="1"/>
  <c r="I1375" i="5"/>
  <c r="N1375" i="5" s="1"/>
  <c r="I1374" i="5"/>
  <c r="N1374" i="5" s="1"/>
  <c r="I1373" i="5"/>
  <c r="I1371" i="5"/>
  <c r="N1371" i="5" s="1"/>
  <c r="I1370" i="5"/>
  <c r="N1370" i="5" s="1"/>
  <c r="I1369" i="5"/>
  <c r="N1369" i="5" s="1"/>
  <c r="I1368" i="5"/>
  <c r="N1368" i="5" s="1"/>
  <c r="I1367" i="5"/>
  <c r="N1367" i="5" s="1"/>
  <c r="I1366" i="5"/>
  <c r="N1366" i="5" s="1"/>
  <c r="I1365" i="5"/>
  <c r="N1365" i="5" s="1"/>
  <c r="L1364" i="5"/>
  <c r="I1364" i="5"/>
  <c r="N1364" i="5" s="1"/>
  <c r="I1363" i="5"/>
  <c r="N1363" i="5" s="1"/>
  <c r="L1362" i="5"/>
  <c r="I1362" i="5"/>
  <c r="N1362" i="5" s="1"/>
  <c r="I1360" i="5"/>
  <c r="N1360" i="5" s="1"/>
  <c r="I1359" i="5"/>
  <c r="N1359" i="5" s="1"/>
  <c r="I1358" i="5"/>
  <c r="N1358" i="5" s="1"/>
  <c r="I1357" i="5"/>
  <c r="N1357" i="5" s="1"/>
  <c r="I1356" i="5"/>
  <c r="N1356" i="5" s="1"/>
  <c r="I1355" i="5"/>
  <c r="N1355" i="5" s="1"/>
  <c r="I1354" i="5"/>
  <c r="N1354" i="5" s="1"/>
  <c r="I1353" i="5"/>
  <c r="N1353" i="5" s="1"/>
  <c r="I1352" i="5"/>
  <c r="N1352" i="5" s="1"/>
  <c r="I1351" i="5"/>
  <c r="N1351" i="5" s="1"/>
  <c r="I1350" i="5"/>
  <c r="N1350" i="5" s="1"/>
  <c r="I1349" i="5"/>
  <c r="N1349" i="5" s="1"/>
  <c r="I1348" i="5"/>
  <c r="N1348" i="5" s="1"/>
  <c r="I1347" i="5"/>
  <c r="N1347" i="5" s="1"/>
  <c r="I1346" i="5"/>
  <c r="N1346" i="5" s="1"/>
  <c r="I1345" i="5"/>
  <c r="N1345" i="5" s="1"/>
  <c r="I1344" i="5"/>
  <c r="N1344" i="5" s="1"/>
  <c r="I1343" i="5"/>
  <c r="N1343" i="5" s="1"/>
  <c r="I1342" i="5"/>
  <c r="N1342" i="5" s="1"/>
  <c r="I1341" i="5"/>
  <c r="I1340" i="5"/>
  <c r="N1340" i="5" s="1"/>
  <c r="I1339" i="5"/>
  <c r="N1339" i="5" s="1"/>
  <c r="I1338" i="5"/>
  <c r="N1338" i="5" s="1"/>
  <c r="I1337" i="5"/>
  <c r="N1337" i="5" s="1"/>
  <c r="I1336" i="5"/>
  <c r="N1336" i="5" s="1"/>
  <c r="I1335" i="5"/>
  <c r="I1334" i="5"/>
  <c r="N1334" i="5" s="1"/>
  <c r="I1333" i="5"/>
  <c r="N1333" i="5" s="1"/>
  <c r="I1332" i="5"/>
  <c r="N1332" i="5" s="1"/>
  <c r="I1331" i="5"/>
  <c r="I1330" i="5"/>
  <c r="I1329" i="5"/>
  <c r="N1329" i="5" s="1"/>
  <c r="I1327" i="5"/>
  <c r="N1327" i="5" s="1"/>
  <c r="I1326" i="5"/>
  <c r="N1326" i="5" s="1"/>
  <c r="I1325" i="5"/>
  <c r="N1325" i="5" s="1"/>
  <c r="I1324" i="5"/>
  <c r="N1324" i="5" s="1"/>
  <c r="I1323" i="5"/>
  <c r="N1323" i="5" s="1"/>
  <c r="I1322" i="5"/>
  <c r="N1322" i="5" s="1"/>
  <c r="I1321" i="5"/>
  <c r="N1321" i="5" s="1"/>
  <c r="I1320" i="5"/>
  <c r="N1320" i="5" s="1"/>
  <c r="I1319" i="5"/>
  <c r="N1319" i="5" s="1"/>
  <c r="I1317" i="5"/>
  <c r="N1317" i="5" s="1"/>
  <c r="I1316" i="5"/>
  <c r="N1316" i="5" s="1"/>
  <c r="I1315" i="5"/>
  <c r="N1315" i="5" s="1"/>
  <c r="I1314" i="5"/>
  <c r="N1314" i="5" s="1"/>
  <c r="I1313" i="5"/>
  <c r="N1313" i="5" s="1"/>
  <c r="I1312" i="5"/>
  <c r="I1311" i="5"/>
  <c r="I1310" i="5"/>
  <c r="I1309" i="5"/>
  <c r="N1309" i="5" s="1"/>
  <c r="I1308" i="5"/>
  <c r="N1308" i="5" s="1"/>
  <c r="I1307" i="5"/>
  <c r="I1306" i="5"/>
  <c r="N1306" i="5" s="1"/>
  <c r="I1305" i="5"/>
  <c r="I1304" i="5"/>
  <c r="I1303" i="5"/>
  <c r="N1303" i="5" s="1"/>
  <c r="I1302" i="5"/>
  <c r="N1302" i="5" s="1"/>
  <c r="I1301" i="5"/>
  <c r="N1301" i="5" s="1"/>
  <c r="I1300" i="5"/>
  <c r="N1300" i="5" s="1"/>
  <c r="I1299" i="5"/>
  <c r="I1298" i="5"/>
  <c r="I1297" i="5"/>
  <c r="N1297" i="5" s="1"/>
  <c r="I1296" i="5"/>
  <c r="N1296" i="5" s="1"/>
  <c r="I1295" i="5"/>
  <c r="N1295" i="5" s="1"/>
  <c r="I1294" i="5"/>
  <c r="N1294" i="5" s="1"/>
  <c r="I1293" i="5"/>
  <c r="N1293" i="5" s="1"/>
  <c r="I1292" i="5"/>
  <c r="N1292" i="5" s="1"/>
  <c r="I1291" i="5"/>
  <c r="N1291" i="5" s="1"/>
  <c r="I1290" i="5"/>
  <c r="N1290" i="5" s="1"/>
  <c r="I1289" i="5"/>
  <c r="N1289" i="5" s="1"/>
  <c r="I1288" i="5"/>
  <c r="N1288" i="5" s="1"/>
  <c r="I1287" i="5"/>
  <c r="N1287" i="5" s="1"/>
  <c r="I1286" i="5"/>
  <c r="N1286" i="5" s="1"/>
  <c r="I1285" i="5"/>
  <c r="N1285" i="5" s="1"/>
  <c r="I1284" i="5"/>
  <c r="N1284" i="5" s="1"/>
  <c r="I1283" i="5"/>
  <c r="N1283" i="5" s="1"/>
  <c r="I1281" i="5"/>
  <c r="N1281" i="5" s="1"/>
  <c r="I1280" i="5"/>
  <c r="N1280" i="5" s="1"/>
  <c r="I1279" i="5"/>
  <c r="I1278" i="5"/>
  <c r="N1278" i="5" s="1"/>
  <c r="I1277" i="5"/>
  <c r="N1277" i="5" s="1"/>
  <c r="I1276" i="5"/>
  <c r="N1276" i="5" s="1"/>
  <c r="I1275" i="5"/>
  <c r="N1275" i="5" s="1"/>
  <c r="I1274" i="5"/>
  <c r="N1274" i="5" s="1"/>
  <c r="I1273" i="5"/>
  <c r="N1273" i="5" s="1"/>
  <c r="I1272" i="5"/>
  <c r="N1272" i="5" s="1"/>
  <c r="I1271" i="5"/>
  <c r="N1271" i="5" s="1"/>
  <c r="I1270" i="5"/>
  <c r="N1270" i="5" s="1"/>
  <c r="I1269" i="5"/>
  <c r="N1269" i="5" s="1"/>
  <c r="I1268" i="5"/>
  <c r="N1268" i="5" s="1"/>
  <c r="I1267" i="5"/>
  <c r="N1267" i="5" s="1"/>
  <c r="I1265" i="5"/>
  <c r="N1265" i="5" s="1"/>
  <c r="I1264" i="5"/>
  <c r="I1263" i="5"/>
  <c r="N1263" i="5" s="1"/>
  <c r="I1262" i="5"/>
  <c r="N1262" i="5" s="1"/>
  <c r="I1261" i="5"/>
  <c r="N1261" i="5" s="1"/>
  <c r="I1260" i="5"/>
  <c r="N1260" i="5" s="1"/>
  <c r="I1259" i="5"/>
  <c r="N1259" i="5" s="1"/>
  <c r="I1258" i="5"/>
  <c r="N1258" i="5" s="1"/>
  <c r="I1257" i="5"/>
  <c r="N1257" i="5" s="1"/>
  <c r="I1255" i="5"/>
  <c r="N1255" i="5" s="1"/>
  <c r="I1254" i="5"/>
  <c r="N1254" i="5" s="1"/>
  <c r="I1253" i="5"/>
  <c r="N1253" i="5" s="1"/>
  <c r="I1252" i="5"/>
  <c r="N1252" i="5" s="1"/>
  <c r="I1251" i="5"/>
  <c r="N1251" i="5" s="1"/>
  <c r="I1249" i="5"/>
  <c r="N1249" i="5" s="1"/>
  <c r="I1248" i="5"/>
  <c r="N1248" i="5" s="1"/>
  <c r="I1247" i="5"/>
  <c r="N1247" i="5" s="1"/>
  <c r="I1246" i="5"/>
  <c r="N1246" i="5" s="1"/>
  <c r="I1245" i="5"/>
  <c r="I1244" i="5"/>
  <c r="I1243" i="5"/>
  <c r="N1243" i="5" s="1"/>
  <c r="I1242" i="5"/>
  <c r="N1242" i="5" s="1"/>
  <c r="L1241" i="5"/>
  <c r="I1241" i="5"/>
  <c r="N1241" i="5" s="1"/>
  <c r="I1240" i="5"/>
  <c r="I1239" i="5"/>
  <c r="N1239" i="5" s="1"/>
  <c r="I1238" i="5"/>
  <c r="I1237" i="5"/>
  <c r="N1237" i="5" s="1"/>
  <c r="I1236" i="5"/>
  <c r="N1236" i="5" s="1"/>
  <c r="I1235" i="5"/>
  <c r="I1234" i="5"/>
  <c r="N1234" i="5" s="1"/>
  <c r="I1233" i="5"/>
  <c r="N1233" i="5" s="1"/>
  <c r="I1232" i="5"/>
  <c r="N1232" i="5" s="1"/>
  <c r="I1231" i="5"/>
  <c r="N1231" i="5" s="1"/>
  <c r="I1230" i="5"/>
  <c r="N1230" i="5" s="1"/>
  <c r="I1228" i="5"/>
  <c r="N1228" i="5" s="1"/>
  <c r="I1227" i="5"/>
  <c r="N1227" i="5" s="1"/>
  <c r="I1226" i="5"/>
  <c r="N1226" i="5" s="1"/>
  <c r="I1225" i="5"/>
  <c r="N1225" i="5" s="1"/>
  <c r="I1224" i="5"/>
  <c r="N1224" i="5" s="1"/>
  <c r="I1223" i="5"/>
  <c r="N1223" i="5" s="1"/>
  <c r="I1222" i="5"/>
  <c r="N1222" i="5" s="1"/>
  <c r="I1221" i="5"/>
  <c r="N1221" i="5" s="1"/>
  <c r="I1220" i="5"/>
  <c r="N1220" i="5" s="1"/>
  <c r="I1219" i="5"/>
  <c r="I1218" i="5"/>
  <c r="N1218" i="5" s="1"/>
  <c r="I1217" i="5"/>
  <c r="N1217" i="5" s="1"/>
  <c r="I1216" i="5"/>
  <c r="N1216" i="5" s="1"/>
  <c r="I1215" i="5"/>
  <c r="N1215" i="5" s="1"/>
  <c r="I1214" i="5"/>
  <c r="N1214" i="5" s="1"/>
  <c r="I1213" i="5"/>
  <c r="N1213" i="5" s="1"/>
  <c r="I1212" i="5"/>
  <c r="N1212" i="5" s="1"/>
  <c r="I1211" i="5"/>
  <c r="N1211" i="5" s="1"/>
  <c r="I1210" i="5"/>
  <c r="N1210" i="5" s="1"/>
  <c r="I1209" i="5"/>
  <c r="I1208" i="5"/>
  <c r="N1208" i="5" s="1"/>
  <c r="I1207" i="5"/>
  <c r="N1207" i="5" s="1"/>
  <c r="I1206" i="5"/>
  <c r="I1205" i="5"/>
  <c r="N1205" i="5" s="1"/>
  <c r="I1204" i="5"/>
  <c r="N1204" i="5" s="1"/>
  <c r="I1203" i="5"/>
  <c r="I1202" i="5"/>
  <c r="I1200" i="5"/>
  <c r="I1199" i="5"/>
  <c r="I1198" i="5"/>
  <c r="N1198" i="5" s="1"/>
  <c r="I1197" i="5"/>
  <c r="N1197" i="5" s="1"/>
  <c r="I1196" i="5"/>
  <c r="N1196" i="5" s="1"/>
  <c r="I1195" i="5"/>
  <c r="N1195" i="5" s="1"/>
  <c r="I1194" i="5"/>
  <c r="N1194" i="5" s="1"/>
  <c r="I1193" i="5"/>
  <c r="N1193" i="5" s="1"/>
  <c r="I1192" i="5"/>
  <c r="N1192" i="5" s="1"/>
  <c r="I1191" i="5"/>
  <c r="N1191" i="5" s="1"/>
  <c r="I1190" i="5"/>
  <c r="N1190" i="5" s="1"/>
  <c r="I1189" i="5"/>
  <c r="N1189" i="5" s="1"/>
  <c r="I1188" i="5"/>
  <c r="N1188" i="5" s="1"/>
  <c r="I1187" i="5"/>
  <c r="N1187" i="5" s="1"/>
  <c r="I1186" i="5"/>
  <c r="N1186" i="5" s="1"/>
  <c r="I1185" i="5"/>
  <c r="N1185" i="5" s="1"/>
  <c r="I1184" i="5"/>
  <c r="I1183" i="5"/>
  <c r="N1183" i="5" s="1"/>
  <c r="I1182" i="5"/>
  <c r="I1181" i="5"/>
  <c r="N1181" i="5" s="1"/>
  <c r="I1180" i="5"/>
  <c r="N1180" i="5" s="1"/>
  <c r="I1179" i="5"/>
  <c r="N1179" i="5" s="1"/>
  <c r="I1178" i="5"/>
  <c r="I1177" i="5"/>
  <c r="N1177" i="5" s="1"/>
  <c r="I1176" i="5"/>
  <c r="N1176" i="5" s="1"/>
  <c r="I1175" i="5"/>
  <c r="N1175" i="5" s="1"/>
  <c r="I1174" i="5"/>
  <c r="N1174" i="5" s="1"/>
  <c r="I1173" i="5"/>
  <c r="N1173" i="5" s="1"/>
  <c r="I1172" i="5"/>
  <c r="I1171" i="5"/>
  <c r="I1170" i="5"/>
  <c r="L1169" i="5"/>
  <c r="I1169" i="5"/>
  <c r="N1169" i="5" s="1"/>
  <c r="I1168" i="5"/>
  <c r="N1168" i="5" s="1"/>
  <c r="I1167" i="5"/>
  <c r="I1166" i="5"/>
  <c r="N1166" i="5" s="1"/>
  <c r="I1165" i="5"/>
  <c r="I1164" i="5"/>
  <c r="N1164" i="5" s="1"/>
  <c r="I1163" i="5"/>
  <c r="N1163" i="5" s="1"/>
  <c r="I1162" i="5"/>
  <c r="N1162" i="5" s="1"/>
  <c r="I1161" i="5"/>
  <c r="N1161" i="5" s="1"/>
  <c r="I1160" i="5"/>
  <c r="N1160" i="5" s="1"/>
  <c r="I1159" i="5"/>
  <c r="N1159" i="5" s="1"/>
  <c r="I1158" i="5"/>
  <c r="N1158" i="5" s="1"/>
  <c r="I1157" i="5"/>
  <c r="I1156" i="5"/>
  <c r="I1155" i="5"/>
  <c r="N1155" i="5" s="1"/>
  <c r="I1154" i="5"/>
  <c r="N1154" i="5" s="1"/>
  <c r="I1153" i="5"/>
  <c r="N1153" i="5" s="1"/>
  <c r="I1152" i="5"/>
  <c r="N1152" i="5" s="1"/>
  <c r="I1151" i="5"/>
  <c r="N1151" i="5" s="1"/>
  <c r="I1150" i="5"/>
  <c r="N1150" i="5" s="1"/>
  <c r="I1149" i="5"/>
  <c r="N1149" i="5" s="1"/>
  <c r="I1148" i="5"/>
  <c r="N1148" i="5" s="1"/>
  <c r="I1147" i="5"/>
  <c r="I1146" i="5"/>
  <c r="I1145" i="5"/>
  <c r="N1145" i="5" s="1"/>
  <c r="I1144" i="5"/>
  <c r="N1144" i="5" s="1"/>
  <c r="I1143" i="5"/>
  <c r="N1143" i="5" s="1"/>
  <c r="I1142" i="5"/>
  <c r="N1142" i="5" s="1"/>
  <c r="I1141" i="5"/>
  <c r="N1141" i="5" s="1"/>
  <c r="I1140" i="5"/>
  <c r="N1140" i="5" s="1"/>
  <c r="I1138" i="5"/>
  <c r="N1138" i="5" s="1"/>
  <c r="I1137" i="5"/>
  <c r="I1136" i="5"/>
  <c r="N1136" i="5" s="1"/>
  <c r="I1135" i="5"/>
  <c r="I1133" i="5"/>
  <c r="N1133" i="5" s="1"/>
  <c r="I1132" i="5"/>
  <c r="N1132" i="5" s="1"/>
  <c r="I1131" i="5"/>
  <c r="N1131" i="5" s="1"/>
  <c r="I1130" i="5"/>
  <c r="N1130" i="5" s="1"/>
  <c r="I1129" i="5"/>
  <c r="N1129" i="5" s="1"/>
  <c r="I1128" i="5"/>
  <c r="N1128" i="5" s="1"/>
  <c r="I1127" i="5"/>
  <c r="I1126" i="5"/>
  <c r="I1125" i="5"/>
  <c r="N1125" i="5" s="1"/>
  <c r="I1124" i="5"/>
  <c r="N1124" i="5" s="1"/>
  <c r="I1123" i="5"/>
  <c r="N1123" i="5" s="1"/>
  <c r="I1122" i="5"/>
  <c r="N1122" i="5" s="1"/>
  <c r="I1121" i="5"/>
  <c r="N1121" i="5" s="1"/>
  <c r="I1120" i="5"/>
  <c r="I1119" i="5"/>
  <c r="N1119" i="5" s="1"/>
  <c r="I1118" i="5"/>
  <c r="N1118" i="5" s="1"/>
  <c r="I1117" i="5"/>
  <c r="N1117" i="5" s="1"/>
  <c r="I1116" i="5"/>
  <c r="N1116" i="5" s="1"/>
  <c r="I1115" i="5"/>
  <c r="N1115" i="5" s="1"/>
  <c r="I1114" i="5"/>
  <c r="I1113" i="5"/>
  <c r="N1113" i="5" s="1"/>
  <c r="I1112" i="5"/>
  <c r="N1112" i="5" s="1"/>
  <c r="I1111" i="5"/>
  <c r="N1111" i="5" s="1"/>
  <c r="I1110" i="5"/>
  <c r="N1110" i="5" s="1"/>
  <c r="I1109" i="5"/>
  <c r="N1109" i="5" s="1"/>
  <c r="I1108" i="5"/>
  <c r="I1107" i="5"/>
  <c r="N1107" i="5" s="1"/>
  <c r="I1106" i="5"/>
  <c r="N1106" i="5" s="1"/>
  <c r="I1104" i="5"/>
  <c r="N1104" i="5" s="1"/>
  <c r="I1103" i="5"/>
  <c r="N1103" i="5" s="1"/>
  <c r="I1102" i="5"/>
  <c r="I1101" i="5"/>
  <c r="N1101" i="5" s="1"/>
  <c r="I1100" i="5"/>
  <c r="N1100" i="5" s="1"/>
  <c r="I1099" i="5"/>
  <c r="I1098" i="5"/>
  <c r="N1098" i="5" s="1"/>
  <c r="I1097" i="5"/>
  <c r="N1097" i="5" s="1"/>
  <c r="I1096" i="5"/>
  <c r="N1096" i="5" s="1"/>
  <c r="I1095" i="5"/>
  <c r="N1095" i="5" s="1"/>
  <c r="I1094" i="5"/>
  <c r="N1094" i="5" s="1"/>
  <c r="I1093" i="5"/>
  <c r="N1093" i="5" s="1"/>
  <c r="I1092" i="5"/>
  <c r="N1092" i="5" s="1"/>
  <c r="I1091" i="5"/>
  <c r="N1091" i="5" s="1"/>
  <c r="I1090" i="5"/>
  <c r="N1090" i="5" s="1"/>
  <c r="L1089" i="5"/>
  <c r="I1089" i="5"/>
  <c r="N1089" i="5" s="1"/>
  <c r="I1088" i="5"/>
  <c r="N1088" i="5" s="1"/>
  <c r="I1087" i="5"/>
  <c r="N1087" i="5" s="1"/>
  <c r="I1086" i="5"/>
  <c r="N1086" i="5" s="1"/>
  <c r="I1085" i="5"/>
  <c r="N1085" i="5" s="1"/>
  <c r="I1084" i="5"/>
  <c r="N1084" i="5" s="1"/>
  <c r="I1083" i="5"/>
  <c r="I1082" i="5"/>
  <c r="N1082" i="5" s="1"/>
  <c r="I1081" i="5"/>
  <c r="N1081" i="5" s="1"/>
  <c r="I1080" i="5"/>
  <c r="N1080" i="5" s="1"/>
  <c r="I1079" i="5"/>
  <c r="N1079" i="5" s="1"/>
  <c r="I1078" i="5"/>
  <c r="N1078" i="5" s="1"/>
  <c r="I1077" i="5"/>
  <c r="N1077" i="5" s="1"/>
  <c r="I1076" i="5"/>
  <c r="N1076" i="5" s="1"/>
  <c r="I1075" i="5"/>
  <c r="N1075" i="5" s="1"/>
  <c r="I1074" i="5"/>
  <c r="N1074" i="5" s="1"/>
  <c r="I1073" i="5"/>
  <c r="N1073" i="5" s="1"/>
  <c r="I1072" i="5"/>
  <c r="N1072" i="5" s="1"/>
  <c r="I1071" i="5"/>
  <c r="N1071" i="5" s="1"/>
  <c r="I1070" i="5"/>
  <c r="N1070" i="5" s="1"/>
  <c r="I1069" i="5"/>
  <c r="N1069" i="5" s="1"/>
  <c r="I1068" i="5"/>
  <c r="N1068" i="5" s="1"/>
  <c r="I1067" i="5"/>
  <c r="N1067" i="5" s="1"/>
  <c r="I1066" i="5"/>
  <c r="N1066" i="5" s="1"/>
  <c r="I1065" i="5"/>
  <c r="I1064" i="5"/>
  <c r="I1063" i="5"/>
  <c r="N1063" i="5" s="1"/>
  <c r="I1062" i="5"/>
  <c r="N1062" i="5" s="1"/>
  <c r="I1061" i="5"/>
  <c r="N1061" i="5" s="1"/>
  <c r="I1060" i="5"/>
  <c r="I1059" i="5"/>
  <c r="N1059" i="5" s="1"/>
  <c r="I1058" i="5"/>
  <c r="I1057" i="5"/>
  <c r="N1057" i="5" s="1"/>
  <c r="I1056" i="5"/>
  <c r="N1056" i="5" s="1"/>
  <c r="I1055" i="5"/>
  <c r="N1055" i="5" s="1"/>
  <c r="I1054" i="5"/>
  <c r="N1054" i="5" s="1"/>
  <c r="I1052" i="5"/>
  <c r="N1052" i="5" s="1"/>
  <c r="I1051" i="5"/>
  <c r="N1051" i="5" s="1"/>
  <c r="I1050" i="5"/>
  <c r="N1050" i="5" s="1"/>
  <c r="I1049" i="5"/>
  <c r="N1049" i="5" s="1"/>
  <c r="L1048" i="5"/>
  <c r="I1048" i="5"/>
  <c r="N1048" i="5" s="1"/>
  <c r="L1047" i="5"/>
  <c r="I1047" i="5"/>
  <c r="N1047" i="5" s="1"/>
  <c r="I1046" i="5"/>
  <c r="N1046" i="5" s="1"/>
  <c r="I1045" i="5"/>
  <c r="N1045" i="5" s="1"/>
  <c r="I1044" i="5"/>
  <c r="N1044" i="5" s="1"/>
  <c r="I1043" i="5"/>
  <c r="N1043" i="5" s="1"/>
  <c r="I1042" i="5"/>
  <c r="N1042" i="5" s="1"/>
  <c r="I1041" i="5"/>
  <c r="N1041" i="5" s="1"/>
  <c r="I1040" i="5"/>
  <c r="I1039" i="5"/>
  <c r="I1038" i="5"/>
  <c r="N1038" i="5" s="1"/>
  <c r="I1037" i="5"/>
  <c r="N1037" i="5" s="1"/>
  <c r="I1036" i="5"/>
  <c r="N1036" i="5" s="1"/>
  <c r="I1035" i="5"/>
  <c r="N1035" i="5" s="1"/>
  <c r="I1034" i="5"/>
  <c r="N1034" i="5" s="1"/>
  <c r="I1033" i="5"/>
  <c r="N1033" i="5" s="1"/>
  <c r="I1031" i="5"/>
  <c r="N1031" i="5" s="1"/>
  <c r="I1030" i="5"/>
  <c r="N1030" i="5" s="1"/>
  <c r="I1029" i="5"/>
  <c r="N1029" i="5" s="1"/>
  <c r="I1028" i="5"/>
  <c r="N1028" i="5" s="1"/>
  <c r="I1027" i="5"/>
  <c r="N1027" i="5" s="1"/>
  <c r="I1026" i="5"/>
  <c r="N1026" i="5" s="1"/>
  <c r="I1025" i="5"/>
  <c r="N1025" i="5" s="1"/>
  <c r="I1024" i="5"/>
  <c r="N1024" i="5" s="1"/>
  <c r="I1023" i="5"/>
  <c r="N1023" i="5" s="1"/>
  <c r="I1022" i="5"/>
  <c r="N1022" i="5" s="1"/>
  <c r="K1021" i="5"/>
  <c r="I1021" i="5"/>
  <c r="N1021" i="5" s="1"/>
  <c r="I1020" i="5"/>
  <c r="N1020" i="5" s="1"/>
  <c r="I1019" i="5"/>
  <c r="N1019" i="5" s="1"/>
  <c r="I1018" i="5"/>
  <c r="N1018" i="5" s="1"/>
  <c r="I1017" i="5"/>
  <c r="N1017" i="5" s="1"/>
  <c r="I1016" i="5"/>
  <c r="N1016" i="5" s="1"/>
  <c r="I1015" i="5"/>
  <c r="N1015" i="5" s="1"/>
  <c r="I1014" i="5"/>
  <c r="N1014" i="5" s="1"/>
  <c r="I1013" i="5"/>
  <c r="N1013" i="5" s="1"/>
  <c r="I1012" i="5"/>
  <c r="N1012" i="5" s="1"/>
  <c r="I1010" i="5"/>
  <c r="N1010" i="5" s="1"/>
  <c r="I1009" i="5"/>
  <c r="N1009" i="5" s="1"/>
  <c r="I1008" i="5"/>
  <c r="I1007" i="5"/>
  <c r="I1006" i="5"/>
  <c r="I1005" i="5"/>
  <c r="N1005" i="5" s="1"/>
  <c r="I1004" i="5"/>
  <c r="N1004" i="5" s="1"/>
  <c r="I1003" i="5"/>
  <c r="N1003" i="5" s="1"/>
  <c r="I1002" i="5"/>
  <c r="N1002" i="5" s="1"/>
  <c r="I1001" i="5"/>
  <c r="N1001" i="5" s="1"/>
  <c r="I1000" i="5"/>
  <c r="N1000" i="5" s="1"/>
  <c r="I999" i="5"/>
  <c r="N999" i="5" s="1"/>
  <c r="I998" i="5"/>
  <c r="I997" i="5"/>
  <c r="N997" i="5" s="1"/>
  <c r="I996" i="5"/>
  <c r="N996" i="5" s="1"/>
  <c r="I995" i="5"/>
  <c r="N995" i="5" s="1"/>
  <c r="I994" i="5"/>
  <c r="N994" i="5" s="1"/>
  <c r="I992" i="5"/>
  <c r="N992" i="5" s="1"/>
  <c r="I991" i="5"/>
  <c r="N991" i="5" s="1"/>
  <c r="I990" i="5"/>
  <c r="N990" i="5" s="1"/>
  <c r="I989" i="5"/>
  <c r="N989" i="5" s="1"/>
  <c r="I988" i="5"/>
  <c r="N988" i="5" s="1"/>
  <c r="I987" i="5"/>
  <c r="N987" i="5" s="1"/>
  <c r="I986" i="5"/>
  <c r="N986" i="5" s="1"/>
  <c r="I985" i="5"/>
  <c r="N985" i="5" s="1"/>
  <c r="L984" i="5"/>
  <c r="I984" i="5"/>
  <c r="N984" i="5" s="1"/>
  <c r="I983" i="5"/>
  <c r="N983" i="5" s="1"/>
  <c r="I982" i="5"/>
  <c r="N982" i="5" s="1"/>
  <c r="I981" i="5"/>
  <c r="N981" i="5" s="1"/>
  <c r="I980" i="5"/>
  <c r="N980" i="5" s="1"/>
  <c r="I979" i="5"/>
  <c r="N979" i="5" s="1"/>
  <c r="I978" i="5"/>
  <c r="N978" i="5" s="1"/>
  <c r="I977" i="5"/>
  <c r="N977" i="5" s="1"/>
  <c r="I976" i="5"/>
  <c r="N976" i="5" s="1"/>
  <c r="I975" i="5"/>
  <c r="N975" i="5" s="1"/>
  <c r="I974" i="5"/>
  <c r="N974" i="5" s="1"/>
  <c r="I973" i="5"/>
  <c r="N973" i="5" s="1"/>
  <c r="I972" i="5"/>
  <c r="N972" i="5" s="1"/>
  <c r="I971" i="5"/>
  <c r="N971" i="5" s="1"/>
  <c r="I970" i="5"/>
  <c r="I969" i="5"/>
  <c r="N969" i="5" s="1"/>
  <c r="I968" i="5"/>
  <c r="N968" i="5" s="1"/>
  <c r="I967" i="5"/>
  <c r="N967" i="5" s="1"/>
  <c r="I966" i="5"/>
  <c r="I965" i="5"/>
  <c r="N965" i="5" s="1"/>
  <c r="I964" i="5"/>
  <c r="N964" i="5" s="1"/>
  <c r="I963" i="5"/>
  <c r="N963" i="5" s="1"/>
  <c r="I962" i="5"/>
  <c r="N962" i="5" s="1"/>
  <c r="I961" i="5"/>
  <c r="N961" i="5" s="1"/>
  <c r="I960" i="5"/>
  <c r="I959" i="5"/>
  <c r="N959" i="5" s="1"/>
  <c r="I958" i="5"/>
  <c r="I957" i="5"/>
  <c r="N957" i="5" s="1"/>
  <c r="I956" i="5"/>
  <c r="N956" i="5" s="1"/>
  <c r="I955" i="5"/>
  <c r="N955" i="5" s="1"/>
  <c r="I954" i="5"/>
  <c r="N954" i="5" s="1"/>
  <c r="I953" i="5"/>
  <c r="N953" i="5" s="1"/>
  <c r="I952" i="5"/>
  <c r="N952" i="5" s="1"/>
  <c r="I951" i="5"/>
  <c r="N951" i="5" s="1"/>
  <c r="I950" i="5"/>
  <c r="N950" i="5" s="1"/>
  <c r="I949" i="5"/>
  <c r="N949" i="5" s="1"/>
  <c r="I948" i="5"/>
  <c r="N948" i="5" s="1"/>
  <c r="I947" i="5"/>
  <c r="N947" i="5" s="1"/>
  <c r="I946" i="5"/>
  <c r="N946" i="5" s="1"/>
  <c r="I945" i="5"/>
  <c r="N945" i="5" s="1"/>
  <c r="I944" i="5"/>
  <c r="N944" i="5" s="1"/>
  <c r="I943" i="5"/>
  <c r="N943" i="5" s="1"/>
  <c r="I942" i="5"/>
  <c r="N942" i="5" s="1"/>
  <c r="I941" i="5"/>
  <c r="N941" i="5" s="1"/>
  <c r="I940" i="5"/>
  <c r="N940" i="5" s="1"/>
  <c r="I938" i="5"/>
  <c r="N938" i="5" s="1"/>
  <c r="I937" i="5"/>
  <c r="N937" i="5" s="1"/>
  <c r="I936" i="5"/>
  <c r="N936" i="5" s="1"/>
  <c r="I935" i="5"/>
  <c r="N935" i="5" s="1"/>
  <c r="I934" i="5"/>
  <c r="N934" i="5" s="1"/>
  <c r="I933" i="5"/>
  <c r="N933" i="5" s="1"/>
  <c r="I932" i="5"/>
  <c r="N932" i="5" s="1"/>
  <c r="I931" i="5"/>
  <c r="N931" i="5" s="1"/>
  <c r="I930" i="5"/>
  <c r="N930" i="5" s="1"/>
  <c r="I929" i="5"/>
  <c r="N929" i="5" s="1"/>
  <c r="I928" i="5"/>
  <c r="N928" i="5" s="1"/>
  <c r="I927" i="5"/>
  <c r="I926" i="5"/>
  <c r="N926" i="5" s="1"/>
  <c r="I925" i="5"/>
  <c r="N925" i="5" s="1"/>
  <c r="I924" i="5"/>
  <c r="N924" i="5" s="1"/>
  <c r="I922" i="5"/>
  <c r="N922" i="5" s="1"/>
  <c r="I921" i="5"/>
  <c r="I920" i="5"/>
  <c r="N920" i="5" s="1"/>
  <c r="L919" i="5"/>
  <c r="I919" i="5"/>
  <c r="N919" i="5" s="1"/>
  <c r="I918" i="5"/>
  <c r="I917" i="5"/>
  <c r="I916" i="5"/>
  <c r="N916" i="5" s="1"/>
  <c r="I915" i="5"/>
  <c r="N915" i="5" s="1"/>
  <c r="I914" i="5"/>
  <c r="N914" i="5" s="1"/>
  <c r="I913" i="5"/>
  <c r="I912" i="5"/>
  <c r="I911" i="5"/>
  <c r="N911" i="5" s="1"/>
  <c r="I910" i="5"/>
  <c r="N910" i="5" s="1"/>
  <c r="I909" i="5"/>
  <c r="N909" i="5" s="1"/>
  <c r="I908" i="5"/>
  <c r="N908" i="5" s="1"/>
  <c r="I907" i="5"/>
  <c r="I906" i="5"/>
  <c r="N906" i="5" s="1"/>
  <c r="I905" i="5"/>
  <c r="N905" i="5" s="1"/>
  <c r="I904" i="5"/>
  <c r="N904" i="5" s="1"/>
  <c r="I903" i="5"/>
  <c r="N903" i="5" s="1"/>
  <c r="I902" i="5"/>
  <c r="N902" i="5" s="1"/>
  <c r="I901" i="5"/>
  <c r="N901" i="5" s="1"/>
  <c r="I900" i="5"/>
  <c r="N900" i="5" s="1"/>
  <c r="I899" i="5"/>
  <c r="N899" i="5" s="1"/>
  <c r="I898" i="5"/>
  <c r="N898" i="5" s="1"/>
  <c r="I897" i="5"/>
  <c r="N897" i="5" s="1"/>
  <c r="I896" i="5"/>
  <c r="N896" i="5" s="1"/>
  <c r="I895" i="5"/>
  <c r="N895" i="5" s="1"/>
  <c r="I894" i="5"/>
  <c r="N894" i="5" s="1"/>
  <c r="L893" i="5"/>
  <c r="I893" i="5"/>
  <c r="N893" i="5" s="1"/>
  <c r="I892" i="5"/>
  <c r="N892" i="5" s="1"/>
  <c r="I891" i="5"/>
  <c r="N891" i="5" s="1"/>
  <c r="I890" i="5"/>
  <c r="N890" i="5" s="1"/>
  <c r="I889" i="5"/>
  <c r="N889" i="5" s="1"/>
  <c r="I888" i="5"/>
  <c r="N888" i="5" s="1"/>
  <c r="I887" i="5"/>
  <c r="N887" i="5" s="1"/>
  <c r="I886" i="5"/>
  <c r="I885" i="5"/>
  <c r="N885" i="5" s="1"/>
  <c r="I884" i="5"/>
  <c r="N884" i="5" s="1"/>
  <c r="I883" i="5"/>
  <c r="N883" i="5" s="1"/>
  <c r="I882" i="5"/>
  <c r="N882" i="5" s="1"/>
  <c r="I881" i="5"/>
  <c r="N881" i="5" s="1"/>
  <c r="I880" i="5"/>
  <c r="N880" i="5" s="1"/>
  <c r="I879" i="5"/>
  <c r="N879" i="5" s="1"/>
  <c r="I878" i="5"/>
  <c r="N878" i="5" s="1"/>
  <c r="I877" i="5"/>
  <c r="I876" i="5"/>
  <c r="I875" i="5"/>
  <c r="N875" i="5" s="1"/>
  <c r="I874" i="5"/>
  <c r="I873" i="5"/>
  <c r="I872" i="5"/>
  <c r="I871" i="5"/>
  <c r="I870" i="5"/>
  <c r="I869" i="5"/>
  <c r="N869" i="5" s="1"/>
  <c r="I868" i="5"/>
  <c r="N868" i="5" s="1"/>
  <c r="I867" i="5"/>
  <c r="N867" i="5" s="1"/>
  <c r="I866" i="5"/>
  <c r="N866" i="5" s="1"/>
  <c r="I865" i="5"/>
  <c r="I864" i="5"/>
  <c r="I863" i="5"/>
  <c r="N863" i="5" s="1"/>
  <c r="I862" i="5"/>
  <c r="N862" i="5" s="1"/>
  <c r="L861" i="5"/>
  <c r="I861" i="5"/>
  <c r="N861" i="5" s="1"/>
  <c r="I860" i="5"/>
  <c r="I859" i="5"/>
  <c r="N859" i="5" s="1"/>
  <c r="I858" i="5"/>
  <c r="I857" i="5"/>
  <c r="N857" i="5" s="1"/>
  <c r="I856" i="5"/>
  <c r="N856" i="5" s="1"/>
  <c r="I855" i="5"/>
  <c r="I854" i="5"/>
  <c r="N854" i="5" s="1"/>
  <c r="L853" i="5"/>
  <c r="I853" i="5"/>
  <c r="N853" i="5" s="1"/>
  <c r="I852" i="5"/>
  <c r="N852" i="5" s="1"/>
  <c r="L851" i="5"/>
  <c r="I850" i="5"/>
  <c r="N850" i="5" s="1"/>
  <c r="I849" i="5"/>
  <c r="N849" i="5" s="1"/>
  <c r="I848" i="5"/>
  <c r="N848" i="5" s="1"/>
  <c r="I847" i="5"/>
  <c r="I846" i="5"/>
  <c r="N846" i="5" s="1"/>
  <c r="I845" i="5"/>
  <c r="N845" i="5" s="1"/>
  <c r="I844" i="5"/>
  <c r="I843" i="5"/>
  <c r="N843" i="5" s="1"/>
  <c r="I842" i="5"/>
  <c r="I841" i="5"/>
  <c r="N841" i="5" s="1"/>
  <c r="I840" i="5"/>
  <c r="I839" i="5"/>
  <c r="N839" i="5" s="1"/>
  <c r="I838" i="5"/>
  <c r="N838" i="5" s="1"/>
  <c r="I837" i="5"/>
  <c r="N837" i="5" s="1"/>
  <c r="I836" i="5"/>
  <c r="N836" i="5" s="1"/>
  <c r="I835" i="5"/>
  <c r="N835" i="5" s="1"/>
  <c r="I833" i="5"/>
  <c r="N833" i="5" s="1"/>
  <c r="I832" i="5"/>
  <c r="N832" i="5" s="1"/>
  <c r="I831" i="5"/>
  <c r="N831" i="5" s="1"/>
  <c r="L830" i="5"/>
  <c r="I830" i="5"/>
  <c r="N830" i="5" s="1"/>
  <c r="I829" i="5"/>
  <c r="I828" i="5"/>
  <c r="N828" i="5" s="1"/>
  <c r="I827" i="5"/>
  <c r="N827" i="5" s="1"/>
  <c r="I826" i="5"/>
  <c r="N826" i="5" s="1"/>
  <c r="I825" i="5"/>
  <c r="I824" i="5"/>
  <c r="I823" i="5"/>
  <c r="N823" i="5" s="1"/>
  <c r="I822" i="5"/>
  <c r="N822" i="5" s="1"/>
  <c r="I821" i="5"/>
  <c r="I820" i="5"/>
  <c r="N820" i="5" s="1"/>
  <c r="I819" i="5"/>
  <c r="I818" i="5"/>
  <c r="N818" i="5" s="1"/>
  <c r="I817" i="5"/>
  <c r="I816" i="5"/>
  <c r="N816" i="5" s="1"/>
  <c r="I815" i="5"/>
  <c r="N815" i="5" s="1"/>
  <c r="I814" i="5"/>
  <c r="N814" i="5" s="1"/>
  <c r="I813" i="5"/>
  <c r="N813" i="5" s="1"/>
  <c r="I812" i="5"/>
  <c r="I811" i="5"/>
  <c r="N811" i="5" s="1"/>
  <c r="I810" i="5"/>
  <c r="N810" i="5" s="1"/>
  <c r="I809" i="5"/>
  <c r="I808" i="5"/>
  <c r="N808" i="5" s="1"/>
  <c r="I807" i="5"/>
  <c r="N807" i="5" s="1"/>
  <c r="I806" i="5"/>
  <c r="N806" i="5" s="1"/>
  <c r="I805" i="5"/>
  <c r="N805" i="5" s="1"/>
  <c r="I804" i="5"/>
  <c r="N804" i="5" s="1"/>
  <c r="I803" i="5"/>
  <c r="N803" i="5" s="1"/>
  <c r="I802" i="5"/>
  <c r="N802" i="5" s="1"/>
  <c r="I801" i="5"/>
  <c r="N801" i="5" s="1"/>
  <c r="I800" i="5"/>
  <c r="N800" i="5" s="1"/>
  <c r="I799" i="5"/>
  <c r="N799" i="5" s="1"/>
  <c r="I798" i="5"/>
  <c r="N798" i="5" s="1"/>
  <c r="I797" i="5"/>
  <c r="N797" i="5" s="1"/>
  <c r="I796" i="5"/>
  <c r="N796" i="5" s="1"/>
  <c r="I795" i="5"/>
  <c r="N795" i="5" s="1"/>
  <c r="I794" i="5"/>
  <c r="N794" i="5" s="1"/>
  <c r="I793" i="5"/>
  <c r="N793" i="5" s="1"/>
  <c r="I792" i="5"/>
  <c r="N792" i="5" s="1"/>
  <c r="I791" i="5"/>
  <c r="N791" i="5" s="1"/>
  <c r="I790" i="5"/>
  <c r="N790" i="5" s="1"/>
  <c r="I789" i="5"/>
  <c r="N789" i="5" s="1"/>
  <c r="I788" i="5"/>
  <c r="N788" i="5" s="1"/>
  <c r="I787" i="5"/>
  <c r="N787" i="5" s="1"/>
  <c r="I786" i="5"/>
  <c r="N786" i="5" s="1"/>
  <c r="I785" i="5"/>
  <c r="N785" i="5" s="1"/>
  <c r="I784" i="5"/>
  <c r="N784" i="5" s="1"/>
  <c r="I783" i="5"/>
  <c r="N783" i="5" s="1"/>
  <c r="I782" i="5"/>
  <c r="N782" i="5" s="1"/>
  <c r="I781" i="5"/>
  <c r="N781" i="5" s="1"/>
  <c r="I780" i="5"/>
  <c r="N780" i="5" s="1"/>
  <c r="I779" i="5"/>
  <c r="N779" i="5" s="1"/>
  <c r="I778" i="5"/>
  <c r="N778" i="5" s="1"/>
  <c r="I777" i="5"/>
  <c r="N777" i="5" s="1"/>
  <c r="L776" i="5"/>
  <c r="I776" i="5"/>
  <c r="N776" i="5" s="1"/>
  <c r="I775" i="5"/>
  <c r="N775" i="5" s="1"/>
  <c r="I774" i="5"/>
  <c r="N774" i="5" s="1"/>
  <c r="I773" i="5"/>
  <c r="N773" i="5" s="1"/>
  <c r="I772" i="5"/>
  <c r="N772" i="5" s="1"/>
  <c r="I771" i="5"/>
  <c r="N771" i="5" s="1"/>
  <c r="I770" i="5"/>
  <c r="N770" i="5" s="1"/>
  <c r="I769" i="5"/>
  <c r="N769" i="5" s="1"/>
  <c r="I768" i="5"/>
  <c r="I767" i="5"/>
  <c r="I766" i="5"/>
  <c r="I765" i="5"/>
  <c r="N765" i="5" s="1"/>
  <c r="I764" i="5"/>
  <c r="N764" i="5" s="1"/>
  <c r="I763" i="5"/>
  <c r="N763" i="5" s="1"/>
  <c r="I762" i="5"/>
  <c r="N762" i="5" s="1"/>
  <c r="I761" i="5"/>
  <c r="N761" i="5" s="1"/>
  <c r="L760" i="5"/>
  <c r="I760" i="5"/>
  <c r="N760" i="5" s="1"/>
  <c r="I759" i="5"/>
  <c r="N759" i="5" s="1"/>
  <c r="I758" i="5"/>
  <c r="N758" i="5" s="1"/>
  <c r="I757" i="5"/>
  <c r="N757" i="5" s="1"/>
  <c r="I756" i="5"/>
  <c r="N756" i="5" s="1"/>
  <c r="I755" i="5"/>
  <c r="N755" i="5" s="1"/>
  <c r="I754" i="5"/>
  <c r="N754" i="5" s="1"/>
  <c r="I753" i="5"/>
  <c r="N753" i="5" s="1"/>
  <c r="I752" i="5"/>
  <c r="N752" i="5" s="1"/>
  <c r="I751" i="5"/>
  <c r="N751" i="5" s="1"/>
  <c r="I750" i="5"/>
  <c r="N750" i="5" s="1"/>
  <c r="I749" i="5"/>
  <c r="N749" i="5" s="1"/>
  <c r="I748" i="5"/>
  <c r="N748" i="5" s="1"/>
  <c r="I747" i="5"/>
  <c r="N747" i="5" s="1"/>
  <c r="I746" i="5"/>
  <c r="N746" i="5" s="1"/>
  <c r="I745" i="5"/>
  <c r="N745" i="5" s="1"/>
  <c r="I744" i="5"/>
  <c r="N744" i="5" s="1"/>
  <c r="I743" i="5"/>
  <c r="N743" i="5" s="1"/>
  <c r="I742" i="5"/>
  <c r="I741" i="5"/>
  <c r="N741" i="5" s="1"/>
  <c r="I740" i="5"/>
  <c r="N740" i="5" s="1"/>
  <c r="I739" i="5"/>
  <c r="N739" i="5" s="1"/>
  <c r="I738" i="5"/>
  <c r="N738" i="5" s="1"/>
  <c r="I737" i="5"/>
  <c r="I736" i="5"/>
  <c r="N736" i="5" s="1"/>
  <c r="I735" i="5"/>
  <c r="I734" i="5"/>
  <c r="N734" i="5" s="1"/>
  <c r="I733" i="5"/>
  <c r="N733" i="5" s="1"/>
  <c r="I732" i="5"/>
  <c r="I731" i="5"/>
  <c r="N731" i="5" s="1"/>
  <c r="I730" i="5"/>
  <c r="N730" i="5" s="1"/>
  <c r="I729" i="5"/>
  <c r="N729" i="5" s="1"/>
  <c r="L728" i="5"/>
  <c r="I728" i="5"/>
  <c r="N728" i="5" s="1"/>
  <c r="I727" i="5"/>
  <c r="N727" i="5" s="1"/>
  <c r="I726" i="5"/>
  <c r="N726" i="5" s="1"/>
  <c r="I725" i="5"/>
  <c r="N725" i="5" s="1"/>
  <c r="I724" i="5"/>
  <c r="N724" i="5" s="1"/>
  <c r="I723" i="5"/>
  <c r="I721" i="5"/>
  <c r="N721" i="5" s="1"/>
  <c r="I720" i="5"/>
  <c r="N720" i="5" s="1"/>
  <c r="I719" i="5"/>
  <c r="N719" i="5" s="1"/>
  <c r="I718" i="5"/>
  <c r="N718" i="5" s="1"/>
  <c r="I717" i="5"/>
  <c r="I716" i="5"/>
  <c r="N716" i="5" s="1"/>
  <c r="I715" i="5"/>
  <c r="N715" i="5" s="1"/>
  <c r="I713" i="5"/>
  <c r="N713" i="5" s="1"/>
  <c r="I712" i="5"/>
  <c r="N712" i="5" s="1"/>
  <c r="I711" i="5"/>
  <c r="N711" i="5" s="1"/>
  <c r="I710" i="5"/>
  <c r="N710" i="5" s="1"/>
  <c r="I709" i="5"/>
  <c r="N709" i="5" s="1"/>
  <c r="I708" i="5"/>
  <c r="N708" i="5" s="1"/>
  <c r="I707" i="5"/>
  <c r="N707" i="5" s="1"/>
  <c r="L706" i="5"/>
  <c r="I706" i="5"/>
  <c r="N706" i="5" s="1"/>
  <c r="I705" i="5"/>
  <c r="N705" i="5" s="1"/>
  <c r="I704" i="5"/>
  <c r="N704" i="5" s="1"/>
  <c r="I703" i="5"/>
  <c r="N703" i="5" s="1"/>
  <c r="I702" i="5"/>
  <c r="N702" i="5" s="1"/>
  <c r="I701" i="5"/>
  <c r="N701" i="5" s="1"/>
  <c r="K700" i="5"/>
  <c r="I700" i="5"/>
  <c r="N700" i="5" s="1"/>
  <c r="I699" i="5"/>
  <c r="N699" i="5" s="1"/>
  <c r="I698" i="5"/>
  <c r="N698" i="5" s="1"/>
  <c r="I697" i="5"/>
  <c r="N697" i="5" s="1"/>
  <c r="I696" i="5"/>
  <c r="N696" i="5" s="1"/>
  <c r="I695" i="5"/>
  <c r="N695" i="5" s="1"/>
  <c r="I694" i="5"/>
  <c r="N694" i="5" s="1"/>
  <c r="I693" i="5"/>
  <c r="I692" i="5"/>
  <c r="N692" i="5" s="1"/>
  <c r="I691" i="5"/>
  <c r="N691" i="5" s="1"/>
  <c r="I690" i="5"/>
  <c r="N690" i="5" s="1"/>
  <c r="I689" i="5"/>
  <c r="N689" i="5" s="1"/>
  <c r="I688" i="5"/>
  <c r="N688" i="5" s="1"/>
  <c r="I687" i="5"/>
  <c r="L686" i="5"/>
  <c r="I686" i="5"/>
  <c r="N686" i="5" s="1"/>
  <c r="L685" i="5"/>
  <c r="I685" i="5"/>
  <c r="N685" i="5" s="1"/>
  <c r="I684" i="5"/>
  <c r="N684" i="5" s="1"/>
  <c r="I683" i="5"/>
  <c r="I682" i="5"/>
  <c r="N682" i="5" s="1"/>
  <c r="I681" i="5"/>
  <c r="N681" i="5" s="1"/>
  <c r="I680" i="5"/>
  <c r="N680" i="5" s="1"/>
  <c r="I679" i="5"/>
  <c r="N679" i="5" s="1"/>
  <c r="I678" i="5"/>
  <c r="N678" i="5" s="1"/>
  <c r="I677" i="5"/>
  <c r="N677" i="5" s="1"/>
  <c r="I676" i="5"/>
  <c r="N676" i="5" s="1"/>
  <c r="I675" i="5"/>
  <c r="I674" i="5"/>
  <c r="N674" i="5" s="1"/>
  <c r="I673" i="5"/>
  <c r="N673" i="5" s="1"/>
  <c r="I672" i="5"/>
  <c r="I671" i="5"/>
  <c r="I670" i="5"/>
  <c r="N670" i="5" s="1"/>
  <c r="I669" i="5"/>
  <c r="N669" i="5" s="1"/>
  <c r="I668" i="5"/>
  <c r="N668" i="5" s="1"/>
  <c r="I667" i="5"/>
  <c r="N667" i="5" s="1"/>
  <c r="I666" i="5"/>
  <c r="N666" i="5" s="1"/>
  <c r="I665" i="5"/>
  <c r="N665" i="5" s="1"/>
  <c r="I664" i="5"/>
  <c r="N664" i="5" s="1"/>
  <c r="I663" i="5"/>
  <c r="N663" i="5" s="1"/>
  <c r="I662" i="5"/>
  <c r="N662" i="5" s="1"/>
  <c r="I661" i="5"/>
  <c r="N661" i="5" s="1"/>
  <c r="I660" i="5"/>
  <c r="N660" i="5" s="1"/>
  <c r="I659" i="5"/>
  <c r="N659" i="5" s="1"/>
  <c r="I658" i="5"/>
  <c r="N658" i="5" s="1"/>
  <c r="I657" i="5"/>
  <c r="N657" i="5" s="1"/>
  <c r="I656" i="5"/>
  <c r="N656" i="5" s="1"/>
  <c r="I655" i="5"/>
  <c r="N655" i="5" s="1"/>
  <c r="I654" i="5"/>
  <c r="N654" i="5" s="1"/>
  <c r="I653" i="5"/>
  <c r="N653" i="5" s="1"/>
  <c r="I652" i="5"/>
  <c r="N652" i="5" s="1"/>
  <c r="I651" i="5"/>
  <c r="N651" i="5" s="1"/>
  <c r="I650" i="5"/>
  <c r="N650" i="5" s="1"/>
  <c r="I649" i="5"/>
  <c r="N649" i="5" s="1"/>
  <c r="I648" i="5"/>
  <c r="N648" i="5" s="1"/>
  <c r="I647" i="5"/>
  <c r="N647" i="5" s="1"/>
  <c r="I646" i="5"/>
  <c r="N646" i="5" s="1"/>
  <c r="I645" i="5"/>
  <c r="N645" i="5" s="1"/>
  <c r="I644" i="5"/>
  <c r="N644" i="5" s="1"/>
  <c r="I643" i="5"/>
  <c r="N643" i="5" s="1"/>
  <c r="I642" i="5"/>
  <c r="I641" i="5"/>
  <c r="N641" i="5" s="1"/>
  <c r="L640" i="5"/>
  <c r="I640" i="5"/>
  <c r="N640" i="5" s="1"/>
  <c r="I639" i="5"/>
  <c r="N639" i="5" s="1"/>
  <c r="I638" i="5"/>
  <c r="N638" i="5" s="1"/>
  <c r="I637" i="5"/>
  <c r="N637" i="5" s="1"/>
  <c r="I636" i="5"/>
  <c r="N636" i="5" s="1"/>
  <c r="I635" i="5"/>
  <c r="N635" i="5" s="1"/>
  <c r="I634" i="5"/>
  <c r="N634" i="5" s="1"/>
  <c r="I633" i="5"/>
  <c r="N633" i="5" s="1"/>
  <c r="I632" i="5"/>
  <c r="N632" i="5" s="1"/>
  <c r="I631" i="5"/>
  <c r="I630" i="5"/>
  <c r="N630" i="5" s="1"/>
  <c r="I629" i="5"/>
  <c r="N629" i="5" s="1"/>
  <c r="I628" i="5"/>
  <c r="N628" i="5" s="1"/>
  <c r="I627" i="5"/>
  <c r="N627" i="5" s="1"/>
  <c r="I626" i="5"/>
  <c r="N626" i="5" s="1"/>
  <c r="I625" i="5"/>
  <c r="N625" i="5" s="1"/>
  <c r="I624" i="5"/>
  <c r="N624" i="5" s="1"/>
  <c r="I623" i="5"/>
  <c r="N623" i="5" s="1"/>
  <c r="I622" i="5"/>
  <c r="N622" i="5" s="1"/>
  <c r="I621" i="5"/>
  <c r="N621" i="5" s="1"/>
  <c r="L620" i="5"/>
  <c r="I620" i="5"/>
  <c r="N620" i="5" s="1"/>
  <c r="I619" i="5"/>
  <c r="N619" i="5" s="1"/>
  <c r="I618" i="5"/>
  <c r="N618" i="5" s="1"/>
  <c r="I617" i="5"/>
  <c r="N617" i="5" s="1"/>
  <c r="I616" i="5"/>
  <c r="N616" i="5" s="1"/>
  <c r="I615" i="5"/>
  <c r="I614" i="5"/>
  <c r="N614" i="5" s="1"/>
  <c r="I613" i="5"/>
  <c r="N613" i="5" s="1"/>
  <c r="I612" i="5"/>
  <c r="N612" i="5" s="1"/>
  <c r="I611" i="5"/>
  <c r="N611" i="5" s="1"/>
  <c r="I610" i="5"/>
  <c r="N610" i="5" s="1"/>
  <c r="I609" i="5"/>
  <c r="N609" i="5" s="1"/>
  <c r="I608" i="5"/>
  <c r="N608" i="5" s="1"/>
  <c r="I607" i="5"/>
  <c r="I606" i="5"/>
  <c r="N606" i="5" s="1"/>
  <c r="I605" i="5"/>
  <c r="N605" i="5" s="1"/>
  <c r="I604" i="5"/>
  <c r="N604" i="5" s="1"/>
  <c r="I603" i="5"/>
  <c r="N603" i="5" s="1"/>
  <c r="I602" i="5"/>
  <c r="N602" i="5" s="1"/>
  <c r="I601" i="5"/>
  <c r="N601" i="5" s="1"/>
  <c r="I600" i="5"/>
  <c r="N600" i="5" s="1"/>
  <c r="I599" i="5"/>
  <c r="N599" i="5" s="1"/>
  <c r="I598" i="5"/>
  <c r="N598" i="5" s="1"/>
  <c r="I597" i="5"/>
  <c r="I596" i="5"/>
  <c r="N596" i="5" s="1"/>
  <c r="I595" i="5"/>
  <c r="N595" i="5" s="1"/>
  <c r="L594" i="5"/>
  <c r="I594" i="5"/>
  <c r="N594" i="5" s="1"/>
  <c r="I593" i="5"/>
  <c r="N593" i="5" s="1"/>
  <c r="I592" i="5"/>
  <c r="I591" i="5"/>
  <c r="N591" i="5" s="1"/>
  <c r="I590" i="5"/>
  <c r="N590" i="5" s="1"/>
  <c r="I589" i="5"/>
  <c r="N589" i="5" s="1"/>
  <c r="I588" i="5"/>
  <c r="N588" i="5" s="1"/>
  <c r="I587" i="5"/>
  <c r="I586" i="5"/>
  <c r="N586" i="5" s="1"/>
  <c r="I585" i="5"/>
  <c r="N585" i="5" s="1"/>
  <c r="I584" i="5"/>
  <c r="N584" i="5" s="1"/>
  <c r="I583" i="5"/>
  <c r="I582" i="5"/>
  <c r="I581" i="5"/>
  <c r="N581" i="5" s="1"/>
  <c r="L580" i="5"/>
  <c r="I580" i="5"/>
  <c r="N580" i="5" s="1"/>
  <c r="I579" i="5"/>
  <c r="N579" i="5" s="1"/>
  <c r="I578" i="5"/>
  <c r="N578" i="5" s="1"/>
  <c r="I577" i="5"/>
  <c r="N577" i="5" s="1"/>
  <c r="I576" i="5"/>
  <c r="N576" i="5" s="1"/>
  <c r="I575" i="5"/>
  <c r="I574" i="5"/>
  <c r="N574" i="5" s="1"/>
  <c r="I573" i="5"/>
  <c r="N573" i="5" s="1"/>
  <c r="L572" i="5"/>
  <c r="I572" i="5"/>
  <c r="N572" i="5" s="1"/>
  <c r="I571" i="5"/>
  <c r="I570" i="5"/>
  <c r="I569" i="5"/>
  <c r="I568" i="5"/>
  <c r="I567" i="5"/>
  <c r="N567" i="5" s="1"/>
  <c r="I566" i="5"/>
  <c r="N566" i="5" s="1"/>
  <c r="I565" i="5"/>
  <c r="N565" i="5" s="1"/>
  <c r="I564" i="5"/>
  <c r="N564" i="5" s="1"/>
  <c r="I563" i="5"/>
  <c r="I562" i="5"/>
  <c r="N562" i="5" s="1"/>
  <c r="I561" i="5"/>
  <c r="I560" i="5"/>
  <c r="N560" i="5" s="1"/>
  <c r="I559" i="5"/>
  <c r="N559" i="5" s="1"/>
  <c r="I558" i="5"/>
  <c r="N558" i="5" s="1"/>
  <c r="I557" i="5"/>
  <c r="N557" i="5" s="1"/>
  <c r="I556" i="5"/>
  <c r="N556" i="5" s="1"/>
  <c r="I555" i="5"/>
  <c r="N555" i="5" s="1"/>
  <c r="I554" i="5"/>
  <c r="N554" i="5" s="1"/>
  <c r="I553" i="5"/>
  <c r="I552" i="5"/>
  <c r="N552" i="5" s="1"/>
  <c r="I551" i="5"/>
  <c r="I550" i="5"/>
  <c r="N550" i="5" s="1"/>
  <c r="I549" i="5"/>
  <c r="N549" i="5" s="1"/>
  <c r="I548" i="5"/>
  <c r="N548" i="5" s="1"/>
  <c r="I547" i="5"/>
  <c r="N547" i="5" s="1"/>
  <c r="I546" i="5"/>
  <c r="N546" i="5" s="1"/>
  <c r="I545" i="5"/>
  <c r="I544" i="5"/>
  <c r="N544" i="5" s="1"/>
  <c r="I543" i="5"/>
  <c r="N543" i="5" s="1"/>
  <c r="I542" i="5"/>
  <c r="I541" i="5"/>
  <c r="N541" i="5" s="1"/>
  <c r="I540" i="5"/>
  <c r="N540" i="5" s="1"/>
  <c r="I539" i="5"/>
  <c r="N539" i="5" s="1"/>
  <c r="I538" i="5"/>
  <c r="N538" i="5" s="1"/>
  <c r="I537" i="5"/>
  <c r="N537" i="5" s="1"/>
  <c r="I536" i="5"/>
  <c r="N536" i="5" s="1"/>
  <c r="I535" i="5"/>
  <c r="N535" i="5" s="1"/>
  <c r="I534" i="5"/>
  <c r="N534" i="5" s="1"/>
  <c r="I533" i="5"/>
  <c r="N533" i="5" s="1"/>
  <c r="I532" i="5"/>
  <c r="N532" i="5" s="1"/>
  <c r="I531" i="5"/>
  <c r="N531" i="5" s="1"/>
  <c r="I530" i="5"/>
  <c r="N530" i="5" s="1"/>
  <c r="I529" i="5"/>
  <c r="I528" i="5"/>
  <c r="N528" i="5" s="1"/>
  <c r="I527" i="5"/>
  <c r="N527" i="5" s="1"/>
  <c r="L526" i="5"/>
  <c r="I526" i="5"/>
  <c r="N526" i="5" s="1"/>
  <c r="I525" i="5"/>
  <c r="N525" i="5" s="1"/>
  <c r="I524" i="5"/>
  <c r="N524" i="5" s="1"/>
  <c r="I523" i="5"/>
  <c r="N523" i="5" s="1"/>
  <c r="I522" i="5"/>
  <c r="N522" i="5" s="1"/>
  <c r="I521" i="5"/>
  <c r="N521" i="5" s="1"/>
  <c r="I520" i="5"/>
  <c r="N520" i="5" s="1"/>
  <c r="I519" i="5"/>
  <c r="N519" i="5" s="1"/>
  <c r="I518" i="5"/>
  <c r="N518" i="5" s="1"/>
  <c r="I517" i="5"/>
  <c r="N517" i="5" s="1"/>
  <c r="I516" i="5"/>
  <c r="N516" i="5" s="1"/>
  <c r="I515" i="5"/>
  <c r="N515" i="5" s="1"/>
  <c r="I514" i="5"/>
  <c r="N514" i="5" s="1"/>
  <c r="I513" i="5"/>
  <c r="N513" i="5" s="1"/>
  <c r="I512" i="5"/>
  <c r="I511" i="5"/>
  <c r="N511" i="5" s="1"/>
  <c r="I510" i="5"/>
  <c r="I509" i="5"/>
  <c r="I508" i="5"/>
  <c r="N508" i="5" s="1"/>
  <c r="I507" i="5"/>
  <c r="N507" i="5" s="1"/>
  <c r="I506" i="5"/>
  <c r="N506" i="5" s="1"/>
  <c r="I505" i="5"/>
  <c r="N505" i="5" s="1"/>
  <c r="I504" i="5"/>
  <c r="N504" i="5" s="1"/>
  <c r="I503" i="5"/>
  <c r="N503" i="5" s="1"/>
  <c r="I502" i="5"/>
  <c r="I501" i="5"/>
  <c r="N501" i="5" s="1"/>
  <c r="I500" i="5"/>
  <c r="N500" i="5" s="1"/>
  <c r="I499" i="5"/>
  <c r="N499" i="5" s="1"/>
  <c r="I498" i="5"/>
  <c r="N498" i="5" s="1"/>
  <c r="I497" i="5"/>
  <c r="N497" i="5" s="1"/>
  <c r="I496" i="5"/>
  <c r="N496" i="5" s="1"/>
  <c r="I495" i="5"/>
  <c r="I494" i="5"/>
  <c r="I493" i="5"/>
  <c r="I492" i="5"/>
  <c r="N492" i="5" s="1"/>
  <c r="I491" i="5"/>
  <c r="N491" i="5" s="1"/>
  <c r="I490" i="5"/>
  <c r="N490" i="5" s="1"/>
  <c r="I489" i="5"/>
  <c r="N489" i="5" s="1"/>
  <c r="I488" i="5"/>
  <c r="N488" i="5" s="1"/>
  <c r="I487" i="5"/>
  <c r="N487" i="5" s="1"/>
  <c r="I486" i="5"/>
  <c r="N486" i="5" s="1"/>
  <c r="I485" i="5"/>
  <c r="I484" i="5"/>
  <c r="N484" i="5" s="1"/>
  <c r="I483" i="5"/>
  <c r="N483" i="5" s="1"/>
  <c r="I482" i="5"/>
  <c r="N482" i="5" s="1"/>
  <c r="I481" i="5"/>
  <c r="N481" i="5" s="1"/>
  <c r="I480" i="5"/>
  <c r="N480" i="5" s="1"/>
  <c r="I479" i="5"/>
  <c r="N479" i="5" s="1"/>
  <c r="I478" i="5"/>
  <c r="I477" i="5"/>
  <c r="N477" i="5" s="1"/>
  <c r="I476" i="5"/>
  <c r="I475" i="5"/>
  <c r="N475" i="5" s="1"/>
  <c r="I474" i="5"/>
  <c r="N474" i="5" s="1"/>
  <c r="I473" i="5"/>
  <c r="N473" i="5" s="1"/>
  <c r="I472" i="5"/>
  <c r="I471" i="5"/>
  <c r="N471" i="5" s="1"/>
  <c r="I470" i="5"/>
  <c r="N470" i="5" s="1"/>
  <c r="I469" i="5"/>
  <c r="N469" i="5" s="1"/>
  <c r="I468" i="5"/>
  <c r="N468" i="5" s="1"/>
  <c r="I467" i="5"/>
  <c r="I466" i="5"/>
  <c r="N466" i="5" s="1"/>
  <c r="I465" i="5"/>
  <c r="I464" i="5"/>
  <c r="I463" i="5"/>
  <c r="I462" i="5"/>
  <c r="N462" i="5" s="1"/>
  <c r="I461" i="5"/>
  <c r="N461" i="5" s="1"/>
  <c r="I460" i="5"/>
  <c r="N460" i="5" s="1"/>
  <c r="I459" i="5"/>
  <c r="N459" i="5" s="1"/>
  <c r="I458" i="5"/>
  <c r="N458" i="5" s="1"/>
  <c r="I457" i="5"/>
  <c r="N457" i="5" s="1"/>
  <c r="I456" i="5"/>
  <c r="N456" i="5" s="1"/>
  <c r="I455" i="5"/>
  <c r="I454" i="5"/>
  <c r="N454" i="5" s="1"/>
  <c r="I453" i="5"/>
  <c r="N453" i="5" s="1"/>
  <c r="I452" i="5"/>
  <c r="N452" i="5" s="1"/>
  <c r="I451" i="5"/>
  <c r="N451" i="5" s="1"/>
  <c r="I450" i="5"/>
  <c r="N450" i="5" s="1"/>
  <c r="I449" i="5"/>
  <c r="N449" i="5" s="1"/>
  <c r="I448" i="5"/>
  <c r="I447" i="5"/>
  <c r="N447" i="5" s="1"/>
  <c r="I446" i="5"/>
  <c r="I445" i="5"/>
  <c r="N445" i="5" s="1"/>
  <c r="I444" i="5"/>
  <c r="N444" i="5" s="1"/>
  <c r="I443" i="5"/>
  <c r="N443" i="5" s="1"/>
  <c r="I442" i="5"/>
  <c r="N442" i="5" s="1"/>
  <c r="I441" i="5"/>
  <c r="N441" i="5" s="1"/>
  <c r="I440" i="5"/>
  <c r="L439" i="5"/>
  <c r="I439" i="5"/>
  <c r="N439" i="5" s="1"/>
  <c r="L438" i="5"/>
  <c r="I438" i="5"/>
  <c r="N438" i="5" s="1"/>
  <c r="I437" i="5"/>
  <c r="N437" i="5" s="1"/>
  <c r="I436" i="5"/>
  <c r="N436" i="5" s="1"/>
  <c r="I435" i="5"/>
  <c r="I434" i="5"/>
  <c r="N434" i="5" s="1"/>
  <c r="I433" i="5"/>
  <c r="N433" i="5" s="1"/>
  <c r="I432" i="5"/>
  <c r="N432" i="5" s="1"/>
  <c r="I431" i="5"/>
  <c r="N431" i="5" s="1"/>
  <c r="I430" i="5"/>
  <c r="I429" i="5"/>
  <c r="I428" i="5"/>
  <c r="N428" i="5" s="1"/>
  <c r="I427" i="5"/>
  <c r="I426" i="5"/>
  <c r="N426" i="5" s="1"/>
  <c r="I425" i="5"/>
  <c r="I424" i="5"/>
  <c r="N424" i="5" s="1"/>
  <c r="I423" i="5"/>
  <c r="N423" i="5" s="1"/>
  <c r="I422" i="5"/>
  <c r="N422" i="5" s="1"/>
  <c r="I421" i="5"/>
  <c r="N421" i="5" s="1"/>
  <c r="I420" i="5"/>
  <c r="I419" i="5"/>
  <c r="I418" i="5"/>
  <c r="I417" i="5"/>
  <c r="N417" i="5" s="1"/>
  <c r="I416" i="5"/>
  <c r="N416" i="5" s="1"/>
  <c r="I415" i="5"/>
  <c r="L414" i="5"/>
  <c r="I414" i="5"/>
  <c r="N414" i="5" s="1"/>
  <c r="I413" i="5"/>
  <c r="N413" i="5" s="1"/>
  <c r="I412" i="5"/>
  <c r="N412" i="5" s="1"/>
  <c r="I411" i="5"/>
  <c r="N411" i="5" s="1"/>
  <c r="I410" i="5"/>
  <c r="N410" i="5" s="1"/>
  <c r="I409" i="5"/>
  <c r="N409" i="5" s="1"/>
  <c r="I408" i="5"/>
  <c r="N408" i="5" s="1"/>
  <c r="I407" i="5"/>
  <c r="N407" i="5" s="1"/>
  <c r="I406" i="5"/>
  <c r="I405" i="5"/>
  <c r="I404" i="5"/>
  <c r="N404" i="5" s="1"/>
  <c r="I403" i="5"/>
  <c r="I402" i="5"/>
  <c r="N402" i="5" s="1"/>
  <c r="I401" i="5"/>
  <c r="I400" i="5"/>
  <c r="N400" i="5" s="1"/>
  <c r="I399" i="5"/>
  <c r="N399" i="5" s="1"/>
  <c r="I398" i="5"/>
  <c r="N398" i="5" s="1"/>
  <c r="I397" i="5"/>
  <c r="N397" i="5" s="1"/>
  <c r="I396" i="5"/>
  <c r="N396" i="5" s="1"/>
  <c r="I395" i="5"/>
  <c r="N395" i="5" s="1"/>
  <c r="I394" i="5"/>
  <c r="N394" i="5" s="1"/>
  <c r="I393" i="5"/>
  <c r="N393" i="5" s="1"/>
  <c r="I392" i="5"/>
  <c r="N392" i="5" s="1"/>
  <c r="I391" i="5"/>
  <c r="I390" i="5"/>
  <c r="I389" i="5"/>
  <c r="N389" i="5" s="1"/>
  <c r="I388" i="5"/>
  <c r="L387" i="5"/>
  <c r="I387" i="5"/>
  <c r="N387" i="5" s="1"/>
  <c r="I386" i="5"/>
  <c r="N386" i="5" s="1"/>
  <c r="I385" i="5"/>
  <c r="N385" i="5" s="1"/>
  <c r="I384" i="5"/>
  <c r="I383" i="5"/>
  <c r="N383" i="5" s="1"/>
  <c r="I382" i="5"/>
  <c r="N382" i="5" s="1"/>
  <c r="I381" i="5"/>
  <c r="I380" i="5"/>
  <c r="N380" i="5" s="1"/>
  <c r="I379" i="5"/>
  <c r="I378" i="5"/>
  <c r="N378" i="5" s="1"/>
  <c r="I377" i="5"/>
  <c r="N377" i="5" s="1"/>
  <c r="I376" i="5"/>
  <c r="N376" i="5" s="1"/>
  <c r="I375" i="5"/>
  <c r="N375" i="5" s="1"/>
  <c r="I374" i="5"/>
  <c r="N374" i="5" s="1"/>
  <c r="I373" i="5"/>
  <c r="N373" i="5" s="1"/>
  <c r="I372" i="5"/>
  <c r="I371" i="5"/>
  <c r="N371" i="5" s="1"/>
  <c r="I370" i="5"/>
  <c r="N370" i="5" s="1"/>
  <c r="I369" i="5"/>
  <c r="N369" i="5" s="1"/>
  <c r="I368" i="5"/>
  <c r="N368" i="5" s="1"/>
  <c r="I367" i="5"/>
  <c r="I366" i="5"/>
  <c r="N366" i="5" s="1"/>
  <c r="I365" i="5"/>
  <c r="N365" i="5" s="1"/>
  <c r="I364" i="5"/>
  <c r="I363" i="5"/>
  <c r="N363" i="5" s="1"/>
  <c r="I362" i="5"/>
  <c r="N362" i="5" s="1"/>
  <c r="I361" i="5"/>
  <c r="I360" i="5"/>
  <c r="N360" i="5" s="1"/>
  <c r="L359" i="5"/>
  <c r="I359" i="5"/>
  <c r="N359" i="5" s="1"/>
  <c r="I358" i="5"/>
  <c r="N358" i="5" s="1"/>
  <c r="I357" i="5"/>
  <c r="N357" i="5" s="1"/>
  <c r="I356" i="5"/>
  <c r="N356" i="5" s="1"/>
  <c r="I355" i="5"/>
  <c r="I354" i="5"/>
  <c r="N354" i="5" s="1"/>
  <c r="I353" i="5"/>
  <c r="I352" i="5"/>
  <c r="N352" i="5" s="1"/>
  <c r="L351" i="5"/>
  <c r="I351" i="5"/>
  <c r="N351" i="5" s="1"/>
  <c r="I350" i="5"/>
  <c r="N350" i="5" s="1"/>
  <c r="I349" i="5"/>
  <c r="N349" i="5" s="1"/>
  <c r="L348" i="5"/>
  <c r="I348" i="5"/>
  <c r="N348" i="5" s="1"/>
  <c r="I347" i="5"/>
  <c r="N347" i="5" s="1"/>
  <c r="I346" i="5"/>
  <c r="N346" i="5" s="1"/>
  <c r="I345" i="5"/>
  <c r="N345" i="5" s="1"/>
  <c r="I344" i="5"/>
  <c r="I343" i="5"/>
  <c r="N343" i="5" s="1"/>
  <c r="I342" i="5"/>
  <c r="I341" i="5"/>
  <c r="N341" i="5" s="1"/>
  <c r="I340" i="5"/>
  <c r="N340" i="5" s="1"/>
  <c r="I339" i="5"/>
  <c r="N339" i="5" s="1"/>
  <c r="I338" i="5"/>
  <c r="N338" i="5" s="1"/>
  <c r="I337" i="5"/>
  <c r="N337" i="5" s="1"/>
  <c r="I336" i="5"/>
  <c r="N336" i="5" s="1"/>
  <c r="I335" i="5"/>
  <c r="K334" i="5"/>
  <c r="I334" i="5"/>
  <c r="N334" i="5" s="1"/>
  <c r="K333" i="5"/>
  <c r="I333" i="5"/>
  <c r="N333" i="5" s="1"/>
  <c r="I332" i="5"/>
  <c r="N332" i="5" s="1"/>
  <c r="I331" i="5"/>
  <c r="N331" i="5" s="1"/>
  <c r="I330" i="5"/>
  <c r="N330" i="5" s="1"/>
  <c r="I329" i="5"/>
  <c r="I328" i="5"/>
  <c r="N328" i="5" s="1"/>
  <c r="I327" i="5"/>
  <c r="I326" i="5"/>
  <c r="I325" i="5"/>
  <c r="N325" i="5" s="1"/>
  <c r="M324" i="5"/>
  <c r="I324" i="5"/>
  <c r="N324" i="5" s="1"/>
  <c r="I323" i="5"/>
  <c r="N323" i="5" s="1"/>
  <c r="I322" i="5"/>
  <c r="N322" i="5" s="1"/>
  <c r="I321" i="5"/>
  <c r="I320" i="5"/>
  <c r="N320" i="5" s="1"/>
  <c r="I319" i="5"/>
  <c r="N319" i="5" s="1"/>
  <c r="I318" i="5"/>
  <c r="N318" i="5" s="1"/>
  <c r="I317" i="5"/>
  <c r="N317" i="5" s="1"/>
  <c r="L316" i="5"/>
  <c r="I316" i="5"/>
  <c r="N316" i="5" s="1"/>
  <c r="I315" i="5"/>
  <c r="N315" i="5" s="1"/>
  <c r="I314" i="5"/>
  <c r="I313" i="5"/>
  <c r="N313" i="5" s="1"/>
  <c r="I312" i="5"/>
  <c r="I311" i="5"/>
  <c r="N311" i="5" s="1"/>
  <c r="I310" i="5"/>
  <c r="N310" i="5" s="1"/>
  <c r="I309" i="5"/>
  <c r="N309" i="5" s="1"/>
  <c r="I308" i="5"/>
  <c r="N308" i="5" s="1"/>
  <c r="L307" i="5"/>
  <c r="I307" i="5"/>
  <c r="N307" i="5" s="1"/>
  <c r="I306" i="5"/>
  <c r="N306" i="5" s="1"/>
  <c r="I305" i="5"/>
  <c r="M304" i="5"/>
  <c r="I304" i="5"/>
  <c r="N304" i="5" s="1"/>
  <c r="I303" i="5"/>
  <c r="N303" i="5" s="1"/>
  <c r="I302" i="5"/>
  <c r="N302" i="5" s="1"/>
  <c r="I301" i="5"/>
  <c r="N301" i="5" s="1"/>
  <c r="I300" i="5"/>
  <c r="N300" i="5" s="1"/>
  <c r="I299" i="5"/>
  <c r="I298" i="5"/>
  <c r="N298" i="5" s="1"/>
  <c r="I297" i="5"/>
  <c r="N297" i="5" s="1"/>
  <c r="I296" i="5"/>
  <c r="N296" i="5" s="1"/>
  <c r="I295" i="5"/>
  <c r="N295" i="5" s="1"/>
  <c r="I294" i="5"/>
  <c r="L293" i="5"/>
  <c r="I293" i="5"/>
  <c r="N293" i="5" s="1"/>
  <c r="I292" i="5"/>
  <c r="N292" i="5" s="1"/>
  <c r="L291" i="5"/>
  <c r="K291" i="5"/>
  <c r="I291" i="5"/>
  <c r="N291" i="5" s="1"/>
  <c r="I290" i="5"/>
  <c r="N290" i="5" s="1"/>
  <c r="I289" i="5"/>
  <c r="N289" i="5" s="1"/>
  <c r="M288" i="5"/>
  <c r="I288" i="5"/>
  <c r="N288" i="5" s="1"/>
  <c r="I287" i="5"/>
  <c r="I286" i="5"/>
  <c r="N286" i="5" s="1"/>
  <c r="L285" i="5"/>
  <c r="I285" i="5"/>
  <c r="N285" i="5" s="1"/>
  <c r="L284" i="5"/>
  <c r="K284" i="5"/>
  <c r="I284" i="5"/>
  <c r="N284" i="5" s="1"/>
  <c r="I283" i="5"/>
  <c r="N283" i="5" s="1"/>
  <c r="I282" i="5"/>
  <c r="N282" i="5" s="1"/>
  <c r="I281" i="5"/>
  <c r="N281" i="5" s="1"/>
  <c r="I280" i="5"/>
  <c r="I279" i="5"/>
  <c r="N279" i="5" s="1"/>
  <c r="I278" i="5"/>
  <c r="N278" i="5" s="1"/>
  <c r="I277" i="5"/>
  <c r="N277" i="5" s="1"/>
  <c r="I276" i="5"/>
  <c r="N276" i="5" s="1"/>
  <c r="I275" i="5"/>
  <c r="N275" i="5" s="1"/>
  <c r="I274" i="5"/>
  <c r="N274" i="5" s="1"/>
  <c r="I273" i="5"/>
  <c r="N273" i="5" s="1"/>
  <c r="K272" i="5"/>
  <c r="I272" i="5"/>
  <c r="N272" i="5" s="1"/>
  <c r="L271" i="5"/>
  <c r="K271" i="5"/>
  <c r="I271" i="5"/>
  <c r="N271" i="5" s="1"/>
  <c r="K270" i="5"/>
  <c r="I270" i="5"/>
  <c r="N270" i="5" s="1"/>
  <c r="I269" i="5"/>
  <c r="I268" i="5"/>
  <c r="I267" i="5"/>
  <c r="N267" i="5" s="1"/>
  <c r="I266" i="5"/>
  <c r="L265" i="5"/>
  <c r="I264" i="5"/>
  <c r="N264" i="5" s="1"/>
  <c r="I263" i="5"/>
  <c r="I262" i="5"/>
  <c r="N262" i="5" s="1"/>
  <c r="I261" i="5"/>
  <c r="I260" i="5"/>
  <c r="I259" i="5"/>
  <c r="N259" i="5" s="1"/>
  <c r="L258" i="5"/>
  <c r="K258" i="5"/>
  <c r="I258" i="5"/>
  <c r="N258" i="5" s="1"/>
  <c r="L257" i="5"/>
  <c r="K257" i="5"/>
  <c r="I257" i="5"/>
  <c r="N257" i="5" s="1"/>
  <c r="L256" i="5"/>
  <c r="I256" i="5"/>
  <c r="N256" i="5" s="1"/>
  <c r="I255" i="5"/>
  <c r="N255" i="5" s="1"/>
  <c r="I254" i="5"/>
  <c r="I253" i="5"/>
  <c r="N253" i="5" s="1"/>
  <c r="I252" i="5"/>
  <c r="N252" i="5" s="1"/>
  <c r="I251" i="5"/>
  <c r="N251" i="5" s="1"/>
  <c r="I250" i="5"/>
  <c r="N250" i="5" s="1"/>
  <c r="I249" i="5"/>
  <c r="N249" i="5" s="1"/>
  <c r="I248" i="5"/>
  <c r="I247" i="5"/>
  <c r="N247" i="5" s="1"/>
  <c r="I246" i="5"/>
  <c r="N246" i="5" s="1"/>
  <c r="I245" i="5"/>
  <c r="I244" i="5"/>
  <c r="N244" i="5" s="1"/>
  <c r="L243" i="5"/>
  <c r="I243" i="5"/>
  <c r="N243" i="5" s="1"/>
  <c r="I242" i="5"/>
  <c r="N242" i="5" s="1"/>
  <c r="I241" i="5"/>
  <c r="N241" i="5" s="1"/>
  <c r="I240" i="5"/>
  <c r="I239" i="5"/>
  <c r="N239" i="5" s="1"/>
  <c r="I238" i="5"/>
  <c r="N238" i="5" s="1"/>
  <c r="I237" i="5"/>
  <c r="N237" i="5" s="1"/>
  <c r="I236" i="5"/>
  <c r="N236" i="5" s="1"/>
  <c r="I235" i="5"/>
  <c r="N235" i="5" s="1"/>
  <c r="I234" i="5"/>
  <c r="I233" i="5"/>
  <c r="I232" i="5"/>
  <c r="N232" i="5" s="1"/>
  <c r="I231" i="5"/>
  <c r="N231" i="5" s="1"/>
  <c r="I230" i="5"/>
  <c r="N230" i="5" s="1"/>
  <c r="I229" i="5"/>
  <c r="N229" i="5" s="1"/>
  <c r="I228" i="5"/>
  <c r="N228" i="5" s="1"/>
  <c r="K227" i="5"/>
  <c r="I227" i="5"/>
  <c r="N227" i="5" s="1"/>
  <c r="K226" i="5"/>
  <c r="I226" i="5"/>
  <c r="N226" i="5" s="1"/>
  <c r="I225" i="5"/>
  <c r="N225" i="5" s="1"/>
  <c r="I224" i="5"/>
  <c r="I223" i="5"/>
  <c r="I222" i="5"/>
  <c r="N222" i="5" s="1"/>
  <c r="I221" i="5"/>
  <c r="N221" i="5" s="1"/>
  <c r="I220" i="5"/>
  <c r="I219" i="5"/>
  <c r="I218" i="5"/>
  <c r="N218" i="5" s="1"/>
  <c r="I217" i="5"/>
  <c r="N217" i="5" s="1"/>
  <c r="I216" i="5"/>
  <c r="N216" i="5" s="1"/>
  <c r="I215" i="5"/>
  <c r="N215" i="5" s="1"/>
  <c r="I214" i="5"/>
  <c r="N214" i="5" s="1"/>
  <c r="I213" i="5"/>
  <c r="I212" i="5"/>
  <c r="N212" i="5" s="1"/>
  <c r="I211" i="5"/>
  <c r="N211" i="5" s="1"/>
  <c r="I210" i="5"/>
  <c r="N210" i="5" s="1"/>
  <c r="I209" i="5"/>
  <c r="I208" i="5"/>
  <c r="N208" i="5" s="1"/>
  <c r="I207" i="5"/>
  <c r="N207" i="5" s="1"/>
  <c r="I206" i="5"/>
  <c r="N206" i="5" s="1"/>
  <c r="I205" i="5"/>
  <c r="N205" i="5" s="1"/>
  <c r="I204" i="5"/>
  <c r="I203" i="5"/>
  <c r="N203" i="5" s="1"/>
  <c r="I202" i="5"/>
  <c r="I201" i="5"/>
  <c r="I200" i="5"/>
  <c r="I199" i="5"/>
  <c r="I198" i="5"/>
  <c r="N198" i="5" s="1"/>
  <c r="I197" i="5"/>
  <c r="N197" i="5" s="1"/>
  <c r="I196" i="5"/>
  <c r="N196" i="5" s="1"/>
  <c r="I195" i="5"/>
  <c r="N195" i="5" s="1"/>
  <c r="I194" i="5"/>
  <c r="N194" i="5" s="1"/>
  <c r="I193" i="5"/>
  <c r="N193" i="5" s="1"/>
  <c r="I192" i="5"/>
  <c r="N192" i="5" s="1"/>
  <c r="I191" i="5"/>
  <c r="I190" i="5"/>
  <c r="I189" i="5"/>
  <c r="I188" i="5"/>
  <c r="N188" i="5" s="1"/>
  <c r="I187" i="5"/>
  <c r="N187" i="5" s="1"/>
  <c r="I186" i="5"/>
  <c r="N186" i="5" s="1"/>
  <c r="I185" i="5"/>
  <c r="N185" i="5" s="1"/>
  <c r="I184" i="5"/>
  <c r="I183" i="5"/>
  <c r="N183" i="5" s="1"/>
  <c r="I182" i="5"/>
  <c r="I181" i="5"/>
  <c r="I180" i="5"/>
  <c r="I179" i="5"/>
  <c r="I178" i="5"/>
  <c r="N178" i="5" s="1"/>
  <c r="I177" i="5"/>
  <c r="I176" i="5"/>
  <c r="N176" i="5" s="1"/>
  <c r="I175" i="5"/>
  <c r="N175" i="5" s="1"/>
  <c r="I174" i="5"/>
  <c r="N174" i="5" s="1"/>
  <c r="I173" i="5"/>
  <c r="N173" i="5" s="1"/>
  <c r="I172" i="5"/>
  <c r="N172" i="5" s="1"/>
  <c r="I171" i="5"/>
  <c r="N171" i="5" s="1"/>
  <c r="I170" i="5"/>
  <c r="N170" i="5" s="1"/>
  <c r="I169" i="5"/>
  <c r="N169" i="5" s="1"/>
  <c r="I168" i="5"/>
  <c r="N168" i="5" s="1"/>
  <c r="I167" i="5"/>
  <c r="N167" i="5" s="1"/>
  <c r="I166" i="5"/>
  <c r="I165" i="5"/>
  <c r="I164" i="5"/>
  <c r="I163" i="5"/>
  <c r="N163" i="5" s="1"/>
  <c r="I162" i="5"/>
  <c r="I161" i="5"/>
  <c r="N161" i="5" s="1"/>
  <c r="I160" i="5"/>
  <c r="I159" i="5"/>
  <c r="I158" i="5"/>
  <c r="N158" i="5" s="1"/>
  <c r="I157" i="5"/>
  <c r="N157" i="5" s="1"/>
  <c r="I156" i="5"/>
  <c r="N156" i="5" s="1"/>
  <c r="I155" i="5"/>
  <c r="N155" i="5" s="1"/>
  <c r="K154" i="5"/>
  <c r="I154" i="5"/>
  <c r="N154" i="5" s="1"/>
  <c r="I153" i="5"/>
  <c r="I152" i="5"/>
  <c r="N152" i="5" s="1"/>
  <c r="I151" i="5"/>
  <c r="N151" i="5" s="1"/>
  <c r="I150" i="5"/>
  <c r="N150" i="5" s="1"/>
  <c r="I149" i="5"/>
  <c r="I148" i="5"/>
  <c r="N148" i="5" s="1"/>
  <c r="I147" i="5"/>
  <c r="N147" i="5" s="1"/>
  <c r="I146" i="5"/>
  <c r="N146" i="5" s="1"/>
  <c r="I145" i="5"/>
  <c r="I144" i="5"/>
  <c r="N144" i="5" s="1"/>
  <c r="I143" i="5"/>
  <c r="I142" i="5"/>
  <c r="N142" i="5" s="1"/>
  <c r="I141" i="5"/>
  <c r="N141" i="5" s="1"/>
  <c r="I140" i="5"/>
  <c r="I139" i="5"/>
  <c r="I138" i="5"/>
  <c r="N138" i="5" s="1"/>
  <c r="M137" i="5"/>
  <c r="I137" i="5"/>
  <c r="N137" i="5" s="1"/>
  <c r="I136" i="5"/>
  <c r="I135" i="5"/>
  <c r="N135" i="5" s="1"/>
  <c r="I134" i="5"/>
  <c r="I133" i="5"/>
  <c r="I132" i="5"/>
  <c r="N132" i="5" s="1"/>
  <c r="I131" i="5"/>
  <c r="N131" i="5" s="1"/>
  <c r="I130" i="5"/>
  <c r="N130" i="5" s="1"/>
  <c r="I129" i="5"/>
  <c r="I128" i="5"/>
  <c r="N128" i="5" s="1"/>
  <c r="I127" i="5"/>
  <c r="N127" i="5" s="1"/>
  <c r="I126" i="5"/>
  <c r="I125" i="5"/>
  <c r="I124" i="5"/>
  <c r="N124" i="5" s="1"/>
  <c r="I123" i="5"/>
  <c r="N123" i="5" s="1"/>
  <c r="I122" i="5"/>
  <c r="I121" i="5"/>
  <c r="N121" i="5" s="1"/>
  <c r="I120" i="5"/>
  <c r="I119" i="5"/>
  <c r="N119" i="5" s="1"/>
  <c r="I118" i="5"/>
  <c r="N118" i="5" s="1"/>
  <c r="I117" i="5"/>
  <c r="I116" i="5"/>
  <c r="N116" i="5" s="1"/>
  <c r="I115" i="5"/>
  <c r="N115" i="5" s="1"/>
  <c r="I114" i="5"/>
  <c r="I113" i="5"/>
  <c r="I112" i="5"/>
  <c r="I111" i="5"/>
  <c r="I110" i="5"/>
  <c r="N110" i="5" s="1"/>
  <c r="I109" i="5"/>
  <c r="N109" i="5" s="1"/>
  <c r="I108" i="5"/>
  <c r="N108" i="5" s="1"/>
  <c r="I107" i="5"/>
  <c r="I106" i="5"/>
  <c r="N106" i="5" s="1"/>
  <c r="I105" i="5"/>
  <c r="N105" i="5" s="1"/>
  <c r="I104" i="5"/>
  <c r="N104" i="5" s="1"/>
  <c r="I103" i="5"/>
  <c r="N103" i="5" s="1"/>
  <c r="I102" i="5"/>
  <c r="N102" i="5" s="1"/>
  <c r="I101" i="5"/>
  <c r="M100" i="5"/>
  <c r="I100" i="5"/>
  <c r="N100" i="5" s="1"/>
  <c r="I99" i="5"/>
  <c r="I98" i="5"/>
  <c r="I97" i="5"/>
  <c r="I96" i="5"/>
  <c r="N96" i="5" s="1"/>
  <c r="I95" i="5"/>
  <c r="N95" i="5" s="1"/>
  <c r="I94" i="5"/>
  <c r="N94" i="5" s="1"/>
  <c r="I93" i="5"/>
  <c r="N93" i="5" s="1"/>
  <c r="I92" i="5"/>
  <c r="I91" i="5"/>
  <c r="I90" i="5"/>
  <c r="N90" i="5" s="1"/>
  <c r="I89" i="5"/>
  <c r="N89" i="5" s="1"/>
  <c r="I88" i="5"/>
  <c r="I87" i="5"/>
  <c r="N87" i="5" s="1"/>
  <c r="M86" i="5"/>
  <c r="I86" i="5"/>
  <c r="N86" i="5" s="1"/>
  <c r="I85" i="5"/>
  <c r="I84" i="5"/>
  <c r="N84" i="5" s="1"/>
  <c r="I83" i="5"/>
  <c r="N83" i="5" s="1"/>
  <c r="I82" i="5"/>
  <c r="N82" i="5" s="1"/>
  <c r="I81" i="5"/>
  <c r="N81" i="5" s="1"/>
  <c r="I80" i="5"/>
  <c r="N80" i="5" s="1"/>
  <c r="I79" i="5"/>
  <c r="I78" i="5"/>
  <c r="N78" i="5" s="1"/>
  <c r="I77" i="5"/>
  <c r="N77" i="5" s="1"/>
  <c r="I76" i="5"/>
  <c r="N76" i="5" s="1"/>
  <c r="I75" i="5"/>
  <c r="I74" i="5"/>
  <c r="M73" i="5"/>
  <c r="I73" i="5"/>
  <c r="I72" i="5"/>
  <c r="N72" i="5" s="1"/>
  <c r="I71" i="5"/>
  <c r="I70" i="5"/>
  <c r="I69" i="5"/>
  <c r="N69" i="5" s="1"/>
  <c r="I68" i="5"/>
  <c r="I67" i="5"/>
  <c r="N67" i="5" s="1"/>
  <c r="I66" i="5"/>
  <c r="N66" i="5" s="1"/>
  <c r="I65" i="5"/>
  <c r="I64" i="5"/>
  <c r="K63" i="5"/>
  <c r="I63" i="5"/>
  <c r="N63" i="5" s="1"/>
  <c r="K62" i="5"/>
  <c r="I62" i="5"/>
  <c r="N62" i="5" s="1"/>
  <c r="K61" i="5"/>
  <c r="I61" i="5"/>
  <c r="N61" i="5" s="1"/>
  <c r="I60" i="5"/>
  <c r="N60" i="5" s="1"/>
  <c r="I59" i="5"/>
  <c r="N59" i="5" s="1"/>
  <c r="K58" i="5"/>
  <c r="I58" i="5"/>
  <c r="N58" i="5" s="1"/>
  <c r="K57" i="5"/>
  <c r="I57" i="5"/>
  <c r="N57" i="5" s="1"/>
  <c r="I56" i="5"/>
  <c r="N56" i="5" s="1"/>
  <c r="I55" i="5"/>
  <c r="N55" i="5" s="1"/>
  <c r="I54" i="5"/>
  <c r="N54" i="5" s="1"/>
  <c r="I53" i="5"/>
  <c r="N53" i="5" s="1"/>
  <c r="I52" i="5"/>
  <c r="N52" i="5" s="1"/>
  <c r="I51" i="5"/>
  <c r="N51" i="5" s="1"/>
  <c r="I50" i="5"/>
  <c r="I49" i="5"/>
  <c r="N49" i="5" s="1"/>
  <c r="I48" i="5"/>
  <c r="I47" i="5"/>
  <c r="N47" i="5" s="1"/>
  <c r="I46" i="5"/>
  <c r="N46" i="5" s="1"/>
  <c r="I45" i="5"/>
  <c r="I44" i="5"/>
  <c r="N44" i="5" s="1"/>
  <c r="I43" i="5"/>
  <c r="N43" i="5" s="1"/>
  <c r="I42" i="5"/>
  <c r="N42" i="5" s="1"/>
  <c r="I41" i="5"/>
  <c r="I40" i="5"/>
  <c r="N40" i="5" s="1"/>
  <c r="I39" i="5"/>
  <c r="N39" i="5" s="1"/>
  <c r="I38" i="5"/>
  <c r="N38" i="5" s="1"/>
  <c r="M37" i="5"/>
  <c r="I37" i="5"/>
  <c r="N37" i="5" s="1"/>
  <c r="I36" i="5"/>
  <c r="N36" i="5" s="1"/>
  <c r="M35" i="5"/>
  <c r="I35" i="5"/>
  <c r="N35" i="5" s="1"/>
  <c r="I34" i="5"/>
  <c r="N34" i="5" s="1"/>
  <c r="I33" i="5"/>
  <c r="I32" i="5"/>
  <c r="N32" i="5" s="1"/>
  <c r="I31" i="5"/>
  <c r="N31" i="5" s="1"/>
  <c r="I30" i="5"/>
  <c r="N30" i="5" s="1"/>
  <c r="I29" i="5"/>
  <c r="I28" i="5"/>
  <c r="N28" i="5" s="1"/>
  <c r="I27" i="5"/>
  <c r="N27" i="5" s="1"/>
  <c r="I26" i="5"/>
  <c r="N26" i="5" s="1"/>
  <c r="I25" i="5"/>
  <c r="N25" i="5" s="1"/>
  <c r="I24" i="5"/>
  <c r="I23" i="5"/>
  <c r="I22" i="5"/>
  <c r="I21" i="5"/>
  <c r="N21" i="5" s="1"/>
  <c r="I20" i="5"/>
  <c r="N20" i="5" s="1"/>
  <c r="I19" i="5"/>
  <c r="N19" i="5" s="1"/>
  <c r="I18" i="5"/>
  <c r="N18" i="5" s="1"/>
  <c r="I17" i="5"/>
  <c r="N17" i="5" s="1"/>
  <c r="I16" i="5"/>
  <c r="N16" i="5" s="1"/>
  <c r="I15" i="5"/>
  <c r="N15" i="5" s="1"/>
  <c r="I14" i="5"/>
  <c r="N14" i="5" s="1"/>
  <c r="I13" i="5"/>
  <c r="I12" i="5"/>
  <c r="N12" i="5" s="1"/>
  <c r="I11" i="5"/>
  <c r="N11" i="5" s="1"/>
  <c r="I10" i="5"/>
  <c r="N10" i="5" s="1"/>
  <c r="I9" i="5"/>
  <c r="N9" i="5" s="1"/>
  <c r="I8" i="5"/>
  <c r="I7" i="5"/>
  <c r="I6" i="5"/>
  <c r="N6" i="5" s="1"/>
  <c r="I5" i="5"/>
  <c r="N5" i="5" s="1"/>
  <c r="I4" i="5"/>
  <c r="N4" i="5" s="1"/>
  <c r="I3" i="5"/>
  <c r="N3" i="5" s="1"/>
  <c r="I2" i="5"/>
  <c r="N2" i="5" s="1"/>
  <c r="N2041" i="5" l="1"/>
  <c r="N2078" i="5"/>
  <c r="N2093" i="5"/>
  <c r="N2106" i="5"/>
  <c r="N2122" i="5"/>
  <c r="N2124" i="5"/>
  <c r="N2133" i="5"/>
  <c r="N73" i="5"/>
  <c r="N1425" i="5"/>
  <c r="N1939" i="5"/>
  <c r="N1985" i="5"/>
  <c r="N1998" i="5"/>
  <c r="N2042" i="5"/>
  <c r="N2045" i="5"/>
  <c r="N2114" i="5"/>
  <c r="N2123" i="5"/>
  <c r="N2132" i="5"/>
  <c r="N2140" i="5"/>
  <c r="J70" i="5"/>
  <c r="N70" i="5"/>
  <c r="O70" i="5" s="1"/>
  <c r="J85" i="5"/>
  <c r="N85" i="5"/>
  <c r="O85" i="5" s="1"/>
  <c r="J107" i="5"/>
  <c r="N107" i="5"/>
  <c r="O107" i="5" s="1"/>
  <c r="J165" i="5"/>
  <c r="N165" i="5"/>
  <c r="O165" i="5" s="1"/>
  <c r="J254" i="5"/>
  <c r="N254" i="5"/>
  <c r="O254" i="5" s="1"/>
  <c r="J261" i="5"/>
  <c r="N261" i="5"/>
  <c r="O261" i="5" s="1"/>
  <c r="J312" i="5"/>
  <c r="N312" i="5"/>
  <c r="O312" i="5" s="1"/>
  <c r="J22" i="5"/>
  <c r="N22" i="5"/>
  <c r="O22" i="5" s="1"/>
  <c r="J48" i="5"/>
  <c r="N48" i="5"/>
  <c r="O48" i="5" s="1"/>
  <c r="J71" i="5"/>
  <c r="N71" i="5"/>
  <c r="O71" i="5" s="1"/>
  <c r="J74" i="5"/>
  <c r="N74" i="5"/>
  <c r="O74" i="5" s="1"/>
  <c r="J97" i="5"/>
  <c r="N97" i="5"/>
  <c r="O97" i="5" s="1"/>
  <c r="J112" i="5"/>
  <c r="N112" i="5"/>
  <c r="O112" i="5" s="1"/>
  <c r="J120" i="5"/>
  <c r="N120" i="5"/>
  <c r="O120" i="5" s="1"/>
  <c r="J136" i="5"/>
  <c r="N136" i="5"/>
  <c r="O136" i="5" s="1"/>
  <c r="J139" i="5"/>
  <c r="N139" i="5"/>
  <c r="O139" i="5" s="1"/>
  <c r="J143" i="5"/>
  <c r="N143" i="5"/>
  <c r="O143" i="5" s="1"/>
  <c r="J162" i="5"/>
  <c r="N162" i="5"/>
  <c r="O162" i="5" s="1"/>
  <c r="J166" i="5"/>
  <c r="N166" i="5"/>
  <c r="O166" i="5" s="1"/>
  <c r="J182" i="5"/>
  <c r="N182" i="5"/>
  <c r="O182" i="5" s="1"/>
  <c r="J190" i="5"/>
  <c r="N190" i="5"/>
  <c r="O190" i="5" s="1"/>
  <c r="K202" i="5"/>
  <c r="N202" i="5"/>
  <c r="J240" i="5"/>
  <c r="N240" i="5"/>
  <c r="O240" i="5" s="1"/>
  <c r="J266" i="5"/>
  <c r="N266" i="5"/>
  <c r="O266" i="5" s="1"/>
  <c r="J287" i="5"/>
  <c r="N287" i="5"/>
  <c r="O287" i="5" s="1"/>
  <c r="J299" i="5"/>
  <c r="N299" i="5"/>
  <c r="O299" i="5" s="1"/>
  <c r="J327" i="5"/>
  <c r="N327" i="5"/>
  <c r="O327" i="5" s="1"/>
  <c r="J355" i="5"/>
  <c r="N355" i="5"/>
  <c r="O355" i="5" s="1"/>
  <c r="J401" i="5"/>
  <c r="N401" i="5"/>
  <c r="O401" i="5" s="1"/>
  <c r="J405" i="5"/>
  <c r="N405" i="5"/>
  <c r="O405" i="5" s="1"/>
  <c r="J420" i="5"/>
  <c r="N420" i="5"/>
  <c r="O420" i="5" s="1"/>
  <c r="J446" i="5"/>
  <c r="N446" i="5"/>
  <c r="O446" i="5" s="1"/>
  <c r="J478" i="5"/>
  <c r="N478" i="5"/>
  <c r="O478" i="5" s="1"/>
  <c r="J494" i="5"/>
  <c r="N494" i="5"/>
  <c r="O494" i="5" s="1"/>
  <c r="J502" i="5"/>
  <c r="N502" i="5"/>
  <c r="O502" i="5" s="1"/>
  <c r="J510" i="5"/>
  <c r="N510" i="5"/>
  <c r="O510" i="5" s="1"/>
  <c r="J529" i="5"/>
  <c r="N529" i="5"/>
  <c r="O529" i="5" s="1"/>
  <c r="J545" i="5"/>
  <c r="N545" i="5"/>
  <c r="O545" i="5" s="1"/>
  <c r="J553" i="5"/>
  <c r="N553" i="5"/>
  <c r="O553" i="5" s="1"/>
  <c r="J561" i="5"/>
  <c r="N561" i="5"/>
  <c r="O561" i="5" s="1"/>
  <c r="J569" i="5"/>
  <c r="N569" i="5"/>
  <c r="O569" i="5" s="1"/>
  <c r="J583" i="5"/>
  <c r="N583" i="5"/>
  <c r="O583" i="5" s="1"/>
  <c r="J587" i="5"/>
  <c r="N587" i="5"/>
  <c r="O587" i="5" s="1"/>
  <c r="J672" i="5"/>
  <c r="N672" i="5"/>
  <c r="O672" i="5" s="1"/>
  <c r="J717" i="5"/>
  <c r="N717" i="5"/>
  <c r="O717" i="5" s="1"/>
  <c r="J737" i="5"/>
  <c r="N737" i="5"/>
  <c r="O737" i="5" s="1"/>
  <c r="J768" i="5"/>
  <c r="N768" i="5"/>
  <c r="O768" i="5" s="1"/>
  <c r="J819" i="5"/>
  <c r="N819" i="5"/>
  <c r="O819" i="5" s="1"/>
  <c r="J847" i="5"/>
  <c r="N847" i="5"/>
  <c r="O847" i="5" s="1"/>
  <c r="J858" i="5"/>
  <c r="N858" i="5"/>
  <c r="O858" i="5" s="1"/>
  <c r="J865" i="5"/>
  <c r="N865" i="5"/>
  <c r="O865" i="5" s="1"/>
  <c r="J873" i="5"/>
  <c r="N873" i="5"/>
  <c r="O873" i="5" s="1"/>
  <c r="J877" i="5"/>
  <c r="N877" i="5"/>
  <c r="O877" i="5" s="1"/>
  <c r="J912" i="5"/>
  <c r="N912" i="5"/>
  <c r="O912" i="5" s="1"/>
  <c r="J1065" i="5"/>
  <c r="N1065" i="5"/>
  <c r="O1065" i="5" s="1"/>
  <c r="J1147" i="5"/>
  <c r="N1147" i="5"/>
  <c r="O1147" i="5" s="1"/>
  <c r="J1167" i="5"/>
  <c r="N1167" i="5"/>
  <c r="O1167" i="5" s="1"/>
  <c r="J1170" i="5"/>
  <c r="N1170" i="5"/>
  <c r="O1170" i="5" s="1"/>
  <c r="J1178" i="5"/>
  <c r="N1178" i="5"/>
  <c r="O1178" i="5" s="1"/>
  <c r="J1182" i="5"/>
  <c r="N1182" i="5"/>
  <c r="O1182" i="5" s="1"/>
  <c r="J1203" i="5"/>
  <c r="N1203" i="5"/>
  <c r="O1203" i="5" s="1"/>
  <c r="J1219" i="5"/>
  <c r="N1219" i="5"/>
  <c r="O1219" i="5" s="1"/>
  <c r="J1240" i="5"/>
  <c r="N1240" i="5"/>
  <c r="O1240" i="5" s="1"/>
  <c r="J1299" i="5"/>
  <c r="N1299" i="5"/>
  <c r="O1299" i="5" s="1"/>
  <c r="J1307" i="5"/>
  <c r="N1307" i="5"/>
  <c r="O1307" i="5" s="1"/>
  <c r="J1311" i="5"/>
  <c r="N1311" i="5"/>
  <c r="O1311" i="5" s="1"/>
  <c r="J1341" i="5"/>
  <c r="N1341" i="5"/>
  <c r="O1341" i="5" s="1"/>
  <c r="J1373" i="5"/>
  <c r="N1373" i="5"/>
  <c r="O1373" i="5" s="1"/>
  <c r="J1390" i="5"/>
  <c r="N1390" i="5"/>
  <c r="O1390" i="5" s="1"/>
  <c r="J1394" i="5"/>
  <c r="N1394" i="5"/>
  <c r="O1394" i="5" s="1"/>
  <c r="J1418" i="5"/>
  <c r="N1418" i="5"/>
  <c r="O1418" i="5" s="1"/>
  <c r="J1457" i="5"/>
  <c r="N1457" i="5"/>
  <c r="O1457" i="5" s="1"/>
  <c r="J1473" i="5"/>
  <c r="N1473" i="5"/>
  <c r="O1473" i="5" s="1"/>
  <c r="J1491" i="5"/>
  <c r="N1491" i="5"/>
  <c r="O1491" i="5" s="1"/>
  <c r="J1542" i="5"/>
  <c r="N1542" i="5"/>
  <c r="O1542" i="5" s="1"/>
  <c r="J1574" i="5"/>
  <c r="N1574" i="5"/>
  <c r="O1574" i="5" s="1"/>
  <c r="J1589" i="5"/>
  <c r="N1589" i="5"/>
  <c r="O1589" i="5" s="1"/>
  <c r="J1609" i="5"/>
  <c r="N1609" i="5"/>
  <c r="O1609" i="5" s="1"/>
  <c r="J1630" i="5"/>
  <c r="N1630" i="5"/>
  <c r="O1630" i="5" s="1"/>
  <c r="J1693" i="5"/>
  <c r="N1693" i="5"/>
  <c r="O1693" i="5" s="1"/>
  <c r="J1704" i="5"/>
  <c r="N1704" i="5"/>
  <c r="O1704" i="5" s="1"/>
  <c r="J1797" i="5"/>
  <c r="N1797" i="5"/>
  <c r="O1797" i="5" s="1"/>
  <c r="J1834" i="5"/>
  <c r="N1834" i="5"/>
  <c r="O1834" i="5" s="1"/>
  <c r="J1838" i="5"/>
  <c r="N1838" i="5"/>
  <c r="O1838" i="5" s="1"/>
  <c r="J1897" i="5"/>
  <c r="N1897" i="5"/>
  <c r="O1897" i="5" s="1"/>
  <c r="J1968" i="5"/>
  <c r="N1968" i="5"/>
  <c r="O1968" i="5" s="1"/>
  <c r="J2043" i="5"/>
  <c r="N2043" i="5"/>
  <c r="O2043" i="5" s="1"/>
  <c r="J2055" i="5"/>
  <c r="N2055" i="5"/>
  <c r="O2055" i="5" s="1"/>
  <c r="J2061" i="5"/>
  <c r="N2061" i="5"/>
  <c r="O2061" i="5" s="1"/>
  <c r="J33" i="5"/>
  <c r="N33" i="5"/>
  <c r="O33" i="5" s="1"/>
  <c r="J88" i="5"/>
  <c r="N88" i="5"/>
  <c r="O88" i="5" s="1"/>
  <c r="J177" i="5"/>
  <c r="N177" i="5"/>
  <c r="O177" i="5" s="1"/>
  <c r="J181" i="5"/>
  <c r="N181" i="5"/>
  <c r="O181" i="5" s="1"/>
  <c r="J189" i="5"/>
  <c r="N189" i="5"/>
  <c r="O189" i="5" s="1"/>
  <c r="J209" i="5"/>
  <c r="N209" i="5"/>
  <c r="O209" i="5" s="1"/>
  <c r="J213" i="5"/>
  <c r="N213" i="5"/>
  <c r="O213" i="5" s="1"/>
  <c r="J269" i="5"/>
  <c r="N269" i="5"/>
  <c r="O269" i="5" s="1"/>
  <c r="J305" i="5"/>
  <c r="N305" i="5"/>
  <c r="O305" i="5" s="1"/>
  <c r="J7" i="5"/>
  <c r="N7" i="5"/>
  <c r="O7" i="5" s="1"/>
  <c r="J23" i="5"/>
  <c r="N23" i="5"/>
  <c r="O23" i="5" s="1"/>
  <c r="J41" i="5"/>
  <c r="N41" i="5"/>
  <c r="O41" i="5" s="1"/>
  <c r="J45" i="5"/>
  <c r="N45" i="5"/>
  <c r="O45" i="5" s="1"/>
  <c r="J64" i="5"/>
  <c r="N64" i="5"/>
  <c r="O64" i="5" s="1"/>
  <c r="J68" i="5"/>
  <c r="N68" i="5"/>
  <c r="O68" i="5" s="1"/>
  <c r="J75" i="5"/>
  <c r="N75" i="5"/>
  <c r="O75" i="5" s="1"/>
  <c r="J79" i="5"/>
  <c r="N79" i="5"/>
  <c r="O79" i="5" s="1"/>
  <c r="J98" i="5"/>
  <c r="N98" i="5"/>
  <c r="O98" i="5" s="1"/>
  <c r="J101" i="5"/>
  <c r="N101" i="5"/>
  <c r="O101" i="5" s="1"/>
  <c r="J113" i="5"/>
  <c r="N113" i="5"/>
  <c r="O113" i="5" s="1"/>
  <c r="J117" i="5"/>
  <c r="N117" i="5"/>
  <c r="O117" i="5" s="1"/>
  <c r="J125" i="5"/>
  <c r="N125" i="5"/>
  <c r="O125" i="5" s="1"/>
  <c r="J129" i="5"/>
  <c r="N129" i="5"/>
  <c r="O129" i="5" s="1"/>
  <c r="J133" i="5"/>
  <c r="N133" i="5"/>
  <c r="O133" i="5" s="1"/>
  <c r="J140" i="5"/>
  <c r="N140" i="5"/>
  <c r="O140" i="5" s="1"/>
  <c r="J159" i="5"/>
  <c r="N159" i="5"/>
  <c r="O159" i="5" s="1"/>
  <c r="J179" i="5"/>
  <c r="N179" i="5"/>
  <c r="O179" i="5" s="1"/>
  <c r="J191" i="5"/>
  <c r="N191" i="5"/>
  <c r="O191" i="5" s="1"/>
  <c r="J199" i="5"/>
  <c r="N199" i="5"/>
  <c r="O199" i="5" s="1"/>
  <c r="J219" i="5"/>
  <c r="N219" i="5"/>
  <c r="O219" i="5" s="1"/>
  <c r="J223" i="5"/>
  <c r="N223" i="5"/>
  <c r="O223" i="5" s="1"/>
  <c r="J233" i="5"/>
  <c r="N233" i="5"/>
  <c r="O233" i="5" s="1"/>
  <c r="J248" i="5"/>
  <c r="N248" i="5"/>
  <c r="O248" i="5" s="1"/>
  <c r="J263" i="5"/>
  <c r="N263" i="5"/>
  <c r="O263" i="5" s="1"/>
  <c r="J314" i="5"/>
  <c r="N314" i="5"/>
  <c r="O314" i="5" s="1"/>
  <c r="J321" i="5"/>
  <c r="N321" i="5"/>
  <c r="O321" i="5" s="1"/>
  <c r="J342" i="5"/>
  <c r="N342" i="5"/>
  <c r="O342" i="5" s="1"/>
  <c r="J367" i="5"/>
  <c r="N367" i="5"/>
  <c r="O367" i="5" s="1"/>
  <c r="J379" i="5"/>
  <c r="N379" i="5"/>
  <c r="O379" i="5" s="1"/>
  <c r="J390" i="5"/>
  <c r="N390" i="5"/>
  <c r="O390" i="5" s="1"/>
  <c r="J406" i="5"/>
  <c r="N406" i="5"/>
  <c r="O406" i="5" s="1"/>
  <c r="J425" i="5"/>
  <c r="N425" i="5"/>
  <c r="O425" i="5" s="1"/>
  <c r="J429" i="5"/>
  <c r="N429" i="5"/>
  <c r="O429" i="5" s="1"/>
  <c r="J455" i="5"/>
  <c r="N455" i="5"/>
  <c r="O455" i="5" s="1"/>
  <c r="J463" i="5"/>
  <c r="N463" i="5"/>
  <c r="O463" i="5" s="1"/>
  <c r="J467" i="5"/>
  <c r="N467" i="5"/>
  <c r="O467" i="5" s="1"/>
  <c r="J495" i="5"/>
  <c r="N495" i="5"/>
  <c r="O495" i="5" s="1"/>
  <c r="J542" i="5"/>
  <c r="N542" i="5"/>
  <c r="O542" i="5" s="1"/>
  <c r="J570" i="5"/>
  <c r="N570" i="5"/>
  <c r="O570" i="5" s="1"/>
  <c r="J592" i="5"/>
  <c r="N592" i="5"/>
  <c r="O592" i="5" s="1"/>
  <c r="J607" i="5"/>
  <c r="N607" i="5"/>
  <c r="O607" i="5" s="1"/>
  <c r="J615" i="5"/>
  <c r="N615" i="5"/>
  <c r="O615" i="5" s="1"/>
  <c r="J687" i="5"/>
  <c r="N687" i="5"/>
  <c r="O687" i="5" s="1"/>
  <c r="J723" i="5"/>
  <c r="N723" i="5"/>
  <c r="O723" i="5" s="1"/>
  <c r="J742" i="5"/>
  <c r="N742" i="5"/>
  <c r="O742" i="5" s="1"/>
  <c r="J812" i="5"/>
  <c r="N812" i="5"/>
  <c r="O812" i="5" s="1"/>
  <c r="J824" i="5"/>
  <c r="N824" i="5"/>
  <c r="O824" i="5" s="1"/>
  <c r="J840" i="5"/>
  <c r="N840" i="5"/>
  <c r="O840" i="5" s="1"/>
  <c r="J844" i="5"/>
  <c r="N844" i="5"/>
  <c r="O844" i="5" s="1"/>
  <c r="J855" i="5"/>
  <c r="N855" i="5"/>
  <c r="O855" i="5" s="1"/>
  <c r="J870" i="5"/>
  <c r="N870" i="5"/>
  <c r="O870" i="5" s="1"/>
  <c r="J874" i="5"/>
  <c r="N874" i="5"/>
  <c r="O874" i="5" s="1"/>
  <c r="J886" i="5"/>
  <c r="N886" i="5"/>
  <c r="O886" i="5" s="1"/>
  <c r="J913" i="5"/>
  <c r="N913" i="5"/>
  <c r="O913" i="5" s="1"/>
  <c r="J917" i="5"/>
  <c r="N917" i="5"/>
  <c r="O917" i="5" s="1"/>
  <c r="J958" i="5"/>
  <c r="N958" i="5"/>
  <c r="O958" i="5" s="1"/>
  <c r="J966" i="5"/>
  <c r="N966" i="5"/>
  <c r="O966" i="5" s="1"/>
  <c r="J970" i="5"/>
  <c r="N970" i="5"/>
  <c r="O970" i="5" s="1"/>
  <c r="J998" i="5"/>
  <c r="N998" i="5"/>
  <c r="O998" i="5" s="1"/>
  <c r="J1006" i="5"/>
  <c r="N1006" i="5"/>
  <c r="O1006" i="5" s="1"/>
  <c r="J1039" i="5"/>
  <c r="N1039" i="5"/>
  <c r="O1039" i="5" s="1"/>
  <c r="J1058" i="5"/>
  <c r="N1058" i="5"/>
  <c r="O1058" i="5" s="1"/>
  <c r="J1114" i="5"/>
  <c r="N1114" i="5"/>
  <c r="O1114" i="5" s="1"/>
  <c r="J1126" i="5"/>
  <c r="N1126" i="5"/>
  <c r="O1126" i="5" s="1"/>
  <c r="J1135" i="5"/>
  <c r="N1135" i="5"/>
  <c r="O1135" i="5" s="1"/>
  <c r="J1156" i="5"/>
  <c r="N1156" i="5"/>
  <c r="O1156" i="5" s="1"/>
  <c r="J1171" i="5"/>
  <c r="N1171" i="5"/>
  <c r="O1171" i="5" s="1"/>
  <c r="J1199" i="5"/>
  <c r="N1199" i="5"/>
  <c r="O1199" i="5" s="1"/>
  <c r="J1244" i="5"/>
  <c r="N1244" i="5"/>
  <c r="O1244" i="5" s="1"/>
  <c r="J1279" i="5"/>
  <c r="N1279" i="5"/>
  <c r="O1279" i="5" s="1"/>
  <c r="J1304" i="5"/>
  <c r="N1304" i="5"/>
  <c r="O1304" i="5" s="1"/>
  <c r="J1312" i="5"/>
  <c r="N1312" i="5"/>
  <c r="O1312" i="5" s="1"/>
  <c r="J1330" i="5"/>
  <c r="N1330" i="5"/>
  <c r="O1330" i="5" s="1"/>
  <c r="J1378" i="5"/>
  <c r="N1378" i="5"/>
  <c r="O1378" i="5" s="1"/>
  <c r="J1415" i="5"/>
  <c r="N1415" i="5"/>
  <c r="O1415" i="5" s="1"/>
  <c r="J1427" i="5"/>
  <c r="N1427" i="5"/>
  <c r="O1427" i="5" s="1"/>
  <c r="J1435" i="5"/>
  <c r="N1435" i="5"/>
  <c r="O1435" i="5" s="1"/>
  <c r="J1450" i="5"/>
  <c r="N1450" i="5"/>
  <c r="O1450" i="5" s="1"/>
  <c r="J1465" i="5"/>
  <c r="N1465" i="5"/>
  <c r="O1465" i="5" s="1"/>
  <c r="J1474" i="5"/>
  <c r="N1474" i="5"/>
  <c r="O1474" i="5" s="1"/>
  <c r="J1555" i="5"/>
  <c r="N1555" i="5"/>
  <c r="O1555" i="5" s="1"/>
  <c r="J1575" i="5"/>
  <c r="N1575" i="5"/>
  <c r="O1575" i="5" s="1"/>
  <c r="J1626" i="5"/>
  <c r="N1626" i="5"/>
  <c r="O1626" i="5" s="1"/>
  <c r="J1648" i="5"/>
  <c r="N1648" i="5"/>
  <c r="O1648" i="5" s="1"/>
  <c r="J1654" i="5"/>
  <c r="N1654" i="5"/>
  <c r="O1654" i="5" s="1"/>
  <c r="J1674" i="5"/>
  <c r="N1674" i="5"/>
  <c r="O1674" i="5" s="1"/>
  <c r="J1792" i="5"/>
  <c r="N1792" i="5"/>
  <c r="O1792" i="5" s="1"/>
  <c r="J1822" i="5"/>
  <c r="N1822" i="5"/>
  <c r="O1822" i="5" s="1"/>
  <c r="J1831" i="5"/>
  <c r="N1831" i="5"/>
  <c r="O1831" i="5" s="1"/>
  <c r="J1948" i="5"/>
  <c r="N1948" i="5"/>
  <c r="O1948" i="5" s="1"/>
  <c r="J2097" i="5"/>
  <c r="N2097" i="5"/>
  <c r="O2097" i="5" s="1"/>
  <c r="J2139" i="5"/>
  <c r="N2139" i="5"/>
  <c r="O2139" i="5" s="1"/>
  <c r="J29" i="5"/>
  <c r="N29" i="5"/>
  <c r="O29" i="5" s="1"/>
  <c r="J8" i="5"/>
  <c r="N8" i="5"/>
  <c r="O8" i="5" s="1"/>
  <c r="J24" i="5"/>
  <c r="N24" i="5"/>
  <c r="O24" i="5" s="1"/>
  <c r="J50" i="5"/>
  <c r="N50" i="5"/>
  <c r="O50" i="5" s="1"/>
  <c r="J65" i="5"/>
  <c r="N65" i="5"/>
  <c r="O65" i="5" s="1"/>
  <c r="J91" i="5"/>
  <c r="N91" i="5"/>
  <c r="O91" i="5" s="1"/>
  <c r="J99" i="5"/>
  <c r="N99" i="5"/>
  <c r="O99" i="5" s="1"/>
  <c r="J114" i="5"/>
  <c r="N114" i="5"/>
  <c r="O114" i="5" s="1"/>
  <c r="J122" i="5"/>
  <c r="N122" i="5"/>
  <c r="O122" i="5" s="1"/>
  <c r="J126" i="5"/>
  <c r="N126" i="5"/>
  <c r="O126" i="5" s="1"/>
  <c r="J134" i="5"/>
  <c r="N134" i="5"/>
  <c r="O134" i="5" s="1"/>
  <c r="J145" i="5"/>
  <c r="N145" i="5"/>
  <c r="O145" i="5" s="1"/>
  <c r="J149" i="5"/>
  <c r="N149" i="5"/>
  <c r="O149" i="5" s="1"/>
  <c r="J153" i="5"/>
  <c r="N153" i="5"/>
  <c r="O153" i="5" s="1"/>
  <c r="J160" i="5"/>
  <c r="N160" i="5"/>
  <c r="O160" i="5" s="1"/>
  <c r="J164" i="5"/>
  <c r="N164" i="5"/>
  <c r="O164" i="5" s="1"/>
  <c r="J180" i="5"/>
  <c r="N180" i="5"/>
  <c r="O180" i="5" s="1"/>
  <c r="J184" i="5"/>
  <c r="N184" i="5"/>
  <c r="O184" i="5" s="1"/>
  <c r="K200" i="5"/>
  <c r="N200" i="5"/>
  <c r="J204" i="5"/>
  <c r="N204" i="5"/>
  <c r="O204" i="5" s="1"/>
  <c r="J220" i="5"/>
  <c r="N220" i="5"/>
  <c r="O220" i="5" s="1"/>
  <c r="J224" i="5"/>
  <c r="N224" i="5"/>
  <c r="O224" i="5" s="1"/>
  <c r="J234" i="5"/>
  <c r="N234" i="5"/>
  <c r="O234" i="5" s="1"/>
  <c r="J245" i="5"/>
  <c r="N245" i="5"/>
  <c r="O245" i="5" s="1"/>
  <c r="J260" i="5"/>
  <c r="N260" i="5"/>
  <c r="O260" i="5" s="1"/>
  <c r="J268" i="5"/>
  <c r="N268" i="5"/>
  <c r="O268" i="5" s="1"/>
  <c r="J280" i="5"/>
  <c r="N280" i="5"/>
  <c r="O280" i="5" s="1"/>
  <c r="J329" i="5"/>
  <c r="N329" i="5"/>
  <c r="O329" i="5" s="1"/>
  <c r="J335" i="5"/>
  <c r="N335" i="5"/>
  <c r="O335" i="5" s="1"/>
  <c r="J353" i="5"/>
  <c r="N353" i="5"/>
  <c r="O353" i="5" s="1"/>
  <c r="J364" i="5"/>
  <c r="N364" i="5"/>
  <c r="O364" i="5" s="1"/>
  <c r="J372" i="5"/>
  <c r="N372" i="5"/>
  <c r="O372" i="5" s="1"/>
  <c r="J384" i="5"/>
  <c r="N384" i="5"/>
  <c r="O384" i="5" s="1"/>
  <c r="J391" i="5"/>
  <c r="N391" i="5"/>
  <c r="O391" i="5" s="1"/>
  <c r="J403" i="5"/>
  <c r="N403" i="5"/>
  <c r="O403" i="5" s="1"/>
  <c r="J418" i="5"/>
  <c r="N418" i="5"/>
  <c r="O418" i="5" s="1"/>
  <c r="J430" i="5"/>
  <c r="N430" i="5"/>
  <c r="O430" i="5" s="1"/>
  <c r="J440" i="5"/>
  <c r="N440" i="5"/>
  <c r="O440" i="5" s="1"/>
  <c r="J448" i="5"/>
  <c r="N448" i="5"/>
  <c r="O448" i="5" s="1"/>
  <c r="J464" i="5"/>
  <c r="N464" i="5"/>
  <c r="O464" i="5" s="1"/>
  <c r="J472" i="5"/>
  <c r="N472" i="5"/>
  <c r="O472" i="5" s="1"/>
  <c r="J476" i="5"/>
  <c r="N476" i="5"/>
  <c r="O476" i="5" s="1"/>
  <c r="J512" i="5"/>
  <c r="N512" i="5"/>
  <c r="O512" i="5" s="1"/>
  <c r="J551" i="5"/>
  <c r="N551" i="5"/>
  <c r="O551" i="5" s="1"/>
  <c r="J563" i="5"/>
  <c r="N563" i="5"/>
  <c r="O563" i="5" s="1"/>
  <c r="J571" i="5"/>
  <c r="N571" i="5"/>
  <c r="O571" i="5" s="1"/>
  <c r="J631" i="5"/>
  <c r="N631" i="5"/>
  <c r="O631" i="5" s="1"/>
  <c r="J642" i="5"/>
  <c r="N642" i="5"/>
  <c r="O642" i="5" s="1"/>
  <c r="J735" i="5"/>
  <c r="N735" i="5"/>
  <c r="O735" i="5" s="1"/>
  <c r="J766" i="5"/>
  <c r="N766" i="5"/>
  <c r="O766" i="5" s="1"/>
  <c r="J809" i="5"/>
  <c r="N809" i="5"/>
  <c r="O809" i="5" s="1"/>
  <c r="J817" i="5"/>
  <c r="N817" i="5"/>
  <c r="O817" i="5" s="1"/>
  <c r="J821" i="5"/>
  <c r="N821" i="5"/>
  <c r="O821" i="5" s="1"/>
  <c r="J825" i="5"/>
  <c r="N825" i="5"/>
  <c r="O825" i="5" s="1"/>
  <c r="J829" i="5"/>
  <c r="N829" i="5"/>
  <c r="O829" i="5" s="1"/>
  <c r="J860" i="5"/>
  <c r="N860" i="5"/>
  <c r="O860" i="5" s="1"/>
  <c r="J871" i="5"/>
  <c r="N871" i="5"/>
  <c r="O871" i="5" s="1"/>
  <c r="J918" i="5"/>
  <c r="N918" i="5"/>
  <c r="O918" i="5" s="1"/>
  <c r="J921" i="5"/>
  <c r="N921" i="5"/>
  <c r="O921" i="5" s="1"/>
  <c r="J1007" i="5"/>
  <c r="N1007" i="5"/>
  <c r="O1007" i="5" s="1"/>
  <c r="J1040" i="5"/>
  <c r="N1040" i="5"/>
  <c r="O1040" i="5" s="1"/>
  <c r="J1083" i="5"/>
  <c r="N1083" i="5"/>
  <c r="O1083" i="5" s="1"/>
  <c r="J1102" i="5"/>
  <c r="N1102" i="5"/>
  <c r="O1102" i="5" s="1"/>
  <c r="J1127" i="5"/>
  <c r="N1127" i="5"/>
  <c r="O1127" i="5" s="1"/>
  <c r="J1157" i="5"/>
  <c r="N1157" i="5"/>
  <c r="O1157" i="5" s="1"/>
  <c r="J1165" i="5"/>
  <c r="N1165" i="5"/>
  <c r="O1165" i="5" s="1"/>
  <c r="J1172" i="5"/>
  <c r="N1172" i="5"/>
  <c r="O1172" i="5" s="1"/>
  <c r="J1184" i="5"/>
  <c r="N1184" i="5"/>
  <c r="O1184" i="5" s="1"/>
  <c r="J1200" i="5"/>
  <c r="N1200" i="5"/>
  <c r="O1200" i="5" s="1"/>
  <c r="J1209" i="5"/>
  <c r="N1209" i="5"/>
  <c r="O1209" i="5" s="1"/>
  <c r="J1238" i="5"/>
  <c r="N1238" i="5"/>
  <c r="O1238" i="5" s="1"/>
  <c r="J1245" i="5"/>
  <c r="N1245" i="5"/>
  <c r="O1245" i="5" s="1"/>
  <c r="J1305" i="5"/>
  <c r="N1305" i="5"/>
  <c r="O1305" i="5" s="1"/>
  <c r="J1331" i="5"/>
  <c r="N1331" i="5"/>
  <c r="O1331" i="5" s="1"/>
  <c r="J1335" i="5"/>
  <c r="N1335" i="5"/>
  <c r="O1335" i="5" s="1"/>
  <c r="J1412" i="5"/>
  <c r="N1412" i="5"/>
  <c r="O1412" i="5" s="1"/>
  <c r="J1479" i="5"/>
  <c r="N1479" i="5"/>
  <c r="O1479" i="5" s="1"/>
  <c r="J1506" i="5"/>
  <c r="N1506" i="5"/>
  <c r="O1506" i="5" s="1"/>
  <c r="J1510" i="5"/>
  <c r="N1510" i="5"/>
  <c r="O1510" i="5" s="1"/>
  <c r="J1525" i="5"/>
  <c r="N1525" i="5"/>
  <c r="O1525" i="5" s="1"/>
  <c r="J1544" i="5"/>
  <c r="N1544" i="5"/>
  <c r="O1544" i="5" s="1"/>
  <c r="J1572" i="5"/>
  <c r="N1572" i="5"/>
  <c r="O1572" i="5" s="1"/>
  <c r="J1649" i="5"/>
  <c r="N1649" i="5"/>
  <c r="O1649" i="5" s="1"/>
  <c r="J1675" i="5"/>
  <c r="N1675" i="5"/>
  <c r="O1675" i="5" s="1"/>
  <c r="J1687" i="5"/>
  <c r="N1687" i="5"/>
  <c r="O1687" i="5" s="1"/>
  <c r="J1718" i="5"/>
  <c r="N1718" i="5"/>
  <c r="O1718" i="5" s="1"/>
  <c r="J1757" i="5"/>
  <c r="N1757" i="5"/>
  <c r="O1757" i="5" s="1"/>
  <c r="J1783" i="5"/>
  <c r="N1783" i="5"/>
  <c r="O1783" i="5" s="1"/>
  <c r="J1888" i="5"/>
  <c r="N1888" i="5"/>
  <c r="O1888" i="5" s="1"/>
  <c r="J2087" i="5"/>
  <c r="N2087" i="5"/>
  <c r="O2087" i="5" s="1"/>
  <c r="J13" i="5"/>
  <c r="N13" i="5"/>
  <c r="O13" i="5" s="1"/>
  <c r="J92" i="5"/>
  <c r="N92" i="5"/>
  <c r="O92" i="5" s="1"/>
  <c r="J111" i="5"/>
  <c r="N111" i="5"/>
  <c r="O111" i="5" s="1"/>
  <c r="K201" i="5"/>
  <c r="N201" i="5"/>
  <c r="J294" i="5"/>
  <c r="N294" i="5"/>
  <c r="O294" i="5" s="1"/>
  <c r="J326" i="5"/>
  <c r="N326" i="5"/>
  <c r="O326" i="5" s="1"/>
  <c r="J344" i="5"/>
  <c r="N344" i="5"/>
  <c r="O344" i="5" s="1"/>
  <c r="J361" i="5"/>
  <c r="N361" i="5"/>
  <c r="O361" i="5" s="1"/>
  <c r="J381" i="5"/>
  <c r="N381" i="5"/>
  <c r="O381" i="5" s="1"/>
  <c r="J388" i="5"/>
  <c r="N388" i="5"/>
  <c r="O388" i="5" s="1"/>
  <c r="J415" i="5"/>
  <c r="N415" i="5"/>
  <c r="O415" i="5" s="1"/>
  <c r="J419" i="5"/>
  <c r="N419" i="5"/>
  <c r="O419" i="5" s="1"/>
  <c r="J427" i="5"/>
  <c r="N427" i="5"/>
  <c r="O427" i="5" s="1"/>
  <c r="J435" i="5"/>
  <c r="N435" i="5"/>
  <c r="O435" i="5" s="1"/>
  <c r="J465" i="5"/>
  <c r="N465" i="5"/>
  <c r="O465" i="5" s="1"/>
  <c r="J485" i="5"/>
  <c r="N485" i="5"/>
  <c r="O485" i="5" s="1"/>
  <c r="J493" i="5"/>
  <c r="N493" i="5"/>
  <c r="O493" i="5" s="1"/>
  <c r="J509" i="5"/>
  <c r="N509" i="5"/>
  <c r="O509" i="5" s="1"/>
  <c r="J568" i="5"/>
  <c r="N568" i="5"/>
  <c r="O568" i="5" s="1"/>
  <c r="J575" i="5"/>
  <c r="N575" i="5"/>
  <c r="O575" i="5" s="1"/>
  <c r="J582" i="5"/>
  <c r="N582" i="5"/>
  <c r="O582" i="5" s="1"/>
  <c r="J597" i="5"/>
  <c r="N597" i="5"/>
  <c r="O597" i="5" s="1"/>
  <c r="J671" i="5"/>
  <c r="N671" i="5"/>
  <c r="O671" i="5" s="1"/>
  <c r="J675" i="5"/>
  <c r="N675" i="5"/>
  <c r="O675" i="5" s="1"/>
  <c r="J683" i="5"/>
  <c r="N683" i="5"/>
  <c r="O683" i="5" s="1"/>
  <c r="J693" i="5"/>
  <c r="N693" i="5"/>
  <c r="O693" i="5" s="1"/>
  <c r="J732" i="5"/>
  <c r="N732" i="5"/>
  <c r="O732" i="5" s="1"/>
  <c r="J767" i="5"/>
  <c r="N767" i="5"/>
  <c r="O767" i="5" s="1"/>
  <c r="J842" i="5"/>
  <c r="N842" i="5"/>
  <c r="O842" i="5" s="1"/>
  <c r="J864" i="5"/>
  <c r="N864" i="5"/>
  <c r="O864" i="5" s="1"/>
  <c r="J872" i="5"/>
  <c r="N872" i="5"/>
  <c r="O872" i="5" s="1"/>
  <c r="J876" i="5"/>
  <c r="N876" i="5"/>
  <c r="O876" i="5" s="1"/>
  <c r="J907" i="5"/>
  <c r="N907" i="5"/>
  <c r="O907" i="5" s="1"/>
  <c r="J927" i="5"/>
  <c r="N927" i="5"/>
  <c r="O927" i="5" s="1"/>
  <c r="J960" i="5"/>
  <c r="N960" i="5"/>
  <c r="O960" i="5" s="1"/>
  <c r="J1008" i="5"/>
  <c r="N1008" i="5"/>
  <c r="O1008" i="5" s="1"/>
  <c r="J1060" i="5"/>
  <c r="N1060" i="5"/>
  <c r="O1060" i="5" s="1"/>
  <c r="J1064" i="5"/>
  <c r="N1064" i="5"/>
  <c r="O1064" i="5" s="1"/>
  <c r="J1099" i="5"/>
  <c r="N1099" i="5"/>
  <c r="O1099" i="5" s="1"/>
  <c r="J1108" i="5"/>
  <c r="N1108" i="5"/>
  <c r="O1108" i="5" s="1"/>
  <c r="J1120" i="5"/>
  <c r="N1120" i="5"/>
  <c r="O1120" i="5" s="1"/>
  <c r="J1137" i="5"/>
  <c r="N1137" i="5"/>
  <c r="O1137" i="5" s="1"/>
  <c r="J1146" i="5"/>
  <c r="N1146" i="5"/>
  <c r="O1146" i="5" s="1"/>
  <c r="J1202" i="5"/>
  <c r="N1202" i="5"/>
  <c r="O1202" i="5" s="1"/>
  <c r="J1206" i="5"/>
  <c r="N1206" i="5"/>
  <c r="O1206" i="5" s="1"/>
  <c r="J1235" i="5"/>
  <c r="N1235" i="5"/>
  <c r="O1235" i="5" s="1"/>
  <c r="J1264" i="5"/>
  <c r="N1264" i="5"/>
  <c r="O1264" i="5" s="1"/>
  <c r="J1298" i="5"/>
  <c r="N1298" i="5"/>
  <c r="O1298" i="5" s="1"/>
  <c r="J1310" i="5"/>
  <c r="N1310" i="5"/>
  <c r="O1310" i="5" s="1"/>
  <c r="J1402" i="5"/>
  <c r="N1402" i="5"/>
  <c r="O1402" i="5" s="1"/>
  <c r="J1409" i="5"/>
  <c r="N1409" i="5"/>
  <c r="O1409" i="5" s="1"/>
  <c r="J1417" i="5"/>
  <c r="N1417" i="5"/>
  <c r="O1417" i="5" s="1"/>
  <c r="J1444" i="5"/>
  <c r="N1444" i="5"/>
  <c r="O1444" i="5" s="1"/>
  <c r="J1472" i="5"/>
  <c r="N1472" i="5"/>
  <c r="O1472" i="5" s="1"/>
  <c r="J1515" i="5"/>
  <c r="N1515" i="5"/>
  <c r="O1515" i="5" s="1"/>
  <c r="J1526" i="5"/>
  <c r="N1526" i="5"/>
  <c r="O1526" i="5" s="1"/>
  <c r="J1537" i="5"/>
  <c r="N1537" i="5"/>
  <c r="O1537" i="5" s="1"/>
  <c r="J1588" i="5"/>
  <c r="N1588" i="5"/>
  <c r="O1588" i="5" s="1"/>
  <c r="J1628" i="5"/>
  <c r="N1628" i="5"/>
  <c r="O1628" i="5" s="1"/>
  <c r="J1688" i="5"/>
  <c r="N1688" i="5"/>
  <c r="O1688" i="5" s="1"/>
  <c r="J1699" i="5"/>
  <c r="N1699" i="5"/>
  <c r="O1699" i="5" s="1"/>
  <c r="J1743" i="5"/>
  <c r="N1743" i="5"/>
  <c r="O1743" i="5" s="1"/>
  <c r="J1796" i="5"/>
  <c r="N1796" i="5"/>
  <c r="O1796" i="5" s="1"/>
  <c r="J1849" i="5"/>
  <c r="N1849" i="5"/>
  <c r="O1849" i="5" s="1"/>
  <c r="J1967" i="5"/>
  <c r="N1967" i="5"/>
  <c r="O1967" i="5" s="1"/>
  <c r="M2070" i="5"/>
  <c r="N2070" i="5"/>
  <c r="J2080" i="5"/>
  <c r="N2080" i="5"/>
  <c r="O2080" i="5" s="1"/>
  <c r="J2088" i="5"/>
  <c r="N2088" i="5"/>
  <c r="O2088" i="5" s="1"/>
  <c r="J2117" i="5"/>
  <c r="N2117" i="5"/>
  <c r="O2117" i="5" s="1"/>
  <c r="K174" i="5"/>
  <c r="K176" i="5"/>
  <c r="K173" i="5"/>
  <c r="K175" i="5"/>
  <c r="M2033" i="5"/>
  <c r="N2033" i="5" s="1"/>
  <c r="G2" i="3" l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AG69" i="3"/>
  <c r="AG67" i="3"/>
  <c r="AG68" i="3"/>
  <c r="F985" i="1"/>
  <c r="G985" i="1"/>
  <c r="H14" i="3"/>
  <c r="J97" i="3"/>
  <c r="I97" i="3"/>
  <c r="M14" i="3"/>
  <c r="H15" i="3"/>
  <c r="M15" i="3" s="1"/>
  <c r="H96" i="3"/>
  <c r="M96" i="3" s="1"/>
  <c r="H95" i="3"/>
  <c r="M95" i="3" s="1"/>
  <c r="H94" i="3"/>
  <c r="M94" i="3" s="1"/>
  <c r="H93" i="3"/>
  <c r="M93" i="3" s="1"/>
  <c r="H92" i="3"/>
  <c r="M92" i="3" s="1"/>
  <c r="H91" i="3"/>
  <c r="M91" i="3" s="1"/>
  <c r="H90" i="3"/>
  <c r="M90" i="3" s="1"/>
  <c r="H89" i="3"/>
  <c r="M89" i="3" s="1"/>
  <c r="H88" i="3"/>
  <c r="M88" i="3" s="1"/>
  <c r="H87" i="3"/>
  <c r="M87" i="3" s="1"/>
  <c r="H86" i="3"/>
  <c r="M86" i="3" s="1"/>
  <c r="H85" i="3"/>
  <c r="M85" i="3" s="1"/>
  <c r="H84" i="3"/>
  <c r="M84" i="3" s="1"/>
  <c r="H83" i="3"/>
  <c r="M83" i="3" s="1"/>
  <c r="H82" i="3"/>
  <c r="M82" i="3" s="1"/>
  <c r="H81" i="3"/>
  <c r="M81" i="3" s="1"/>
  <c r="H80" i="3"/>
  <c r="M80" i="3" s="1"/>
  <c r="H79" i="3"/>
  <c r="M79" i="3" s="1"/>
  <c r="H78" i="3"/>
  <c r="M78" i="3" s="1"/>
  <c r="H77" i="3"/>
  <c r="M77" i="3" s="1"/>
  <c r="H76" i="3"/>
  <c r="M76" i="3" s="1"/>
  <c r="H75" i="3"/>
  <c r="M75" i="3" s="1"/>
  <c r="H74" i="3"/>
  <c r="M74" i="3" s="1"/>
  <c r="H73" i="3"/>
  <c r="M73" i="3" s="1"/>
  <c r="H72" i="3"/>
  <c r="M72" i="3" s="1"/>
  <c r="H71" i="3"/>
  <c r="M71" i="3" s="1"/>
  <c r="H70" i="3"/>
  <c r="M70" i="3" s="1"/>
  <c r="H69" i="3"/>
  <c r="M69" i="3" s="1"/>
  <c r="H68" i="3"/>
  <c r="M68" i="3" s="1"/>
  <c r="H67" i="3"/>
  <c r="M67" i="3" s="1"/>
  <c r="H66" i="3"/>
  <c r="M66" i="3" s="1"/>
  <c r="H65" i="3"/>
  <c r="M65" i="3" s="1"/>
  <c r="H64" i="3"/>
  <c r="M64" i="3" s="1"/>
  <c r="H63" i="3"/>
  <c r="M63" i="3" s="1"/>
  <c r="H62" i="3"/>
  <c r="M62" i="3" s="1"/>
  <c r="H61" i="3"/>
  <c r="M61" i="3" s="1"/>
  <c r="H60" i="3"/>
  <c r="M60" i="3" s="1"/>
  <c r="H59" i="3"/>
  <c r="M59" i="3" s="1"/>
  <c r="H58" i="3"/>
  <c r="M58" i="3" s="1"/>
  <c r="H57" i="3"/>
  <c r="M57" i="3" s="1"/>
  <c r="H56" i="3"/>
  <c r="M56" i="3" s="1"/>
  <c r="H55" i="3"/>
  <c r="M55" i="3" s="1"/>
  <c r="H54" i="3"/>
  <c r="M54" i="3" s="1"/>
  <c r="H53" i="3"/>
  <c r="M53" i="3" s="1"/>
  <c r="H52" i="3"/>
  <c r="M52" i="3" s="1"/>
  <c r="H51" i="3"/>
  <c r="M51" i="3" s="1"/>
  <c r="H50" i="3"/>
  <c r="M50" i="3" s="1"/>
  <c r="H49" i="3"/>
  <c r="M49" i="3" s="1"/>
  <c r="H48" i="3"/>
  <c r="M48" i="3" s="1"/>
  <c r="H47" i="3"/>
  <c r="M47" i="3" s="1"/>
  <c r="H46" i="3"/>
  <c r="M46" i="3" s="1"/>
  <c r="H45" i="3"/>
  <c r="M45" i="3" s="1"/>
  <c r="H44" i="3"/>
  <c r="M44" i="3" s="1"/>
  <c r="H43" i="3"/>
  <c r="M43" i="3" s="1"/>
  <c r="H42" i="3"/>
  <c r="M42" i="3" s="1"/>
  <c r="H41" i="3"/>
  <c r="M41" i="3" s="1"/>
  <c r="H40" i="3"/>
  <c r="M40" i="3" s="1"/>
  <c r="H39" i="3"/>
  <c r="M39" i="3" s="1"/>
  <c r="H38" i="3"/>
  <c r="M38" i="3" s="1"/>
  <c r="H37" i="3"/>
  <c r="M37" i="3" s="1"/>
  <c r="H36" i="3"/>
  <c r="M36" i="3" s="1"/>
  <c r="H35" i="3"/>
  <c r="M35" i="3" s="1"/>
  <c r="H34" i="3"/>
  <c r="M34" i="3" s="1"/>
  <c r="H33" i="3"/>
  <c r="M33" i="3" s="1"/>
  <c r="H32" i="3"/>
  <c r="M32" i="3" s="1"/>
  <c r="H31" i="3"/>
  <c r="M31" i="3" s="1"/>
  <c r="H30" i="3"/>
  <c r="M30" i="3" s="1"/>
  <c r="H29" i="3"/>
  <c r="M29" i="3" s="1"/>
  <c r="H28" i="3"/>
  <c r="M28" i="3" s="1"/>
  <c r="H27" i="3"/>
  <c r="M27" i="3" s="1"/>
  <c r="H26" i="3"/>
  <c r="M26" i="3" s="1"/>
  <c r="H25" i="3"/>
  <c r="M25" i="3" s="1"/>
  <c r="H24" i="3"/>
  <c r="M24" i="3" s="1"/>
  <c r="H23" i="3"/>
  <c r="M23" i="3" s="1"/>
  <c r="H22" i="3"/>
  <c r="M22" i="3" s="1"/>
  <c r="H21" i="3"/>
  <c r="M21" i="3" s="1"/>
  <c r="H20" i="3"/>
  <c r="M20" i="3" s="1"/>
  <c r="H19" i="3"/>
  <c r="M19" i="3" s="1"/>
  <c r="H18" i="3"/>
  <c r="M18" i="3" s="1"/>
  <c r="H17" i="3"/>
  <c r="M17" i="3" s="1"/>
  <c r="H16" i="3"/>
  <c r="M16" i="3" s="1"/>
  <c r="H13" i="3"/>
  <c r="M13" i="3" s="1"/>
  <c r="H12" i="3"/>
  <c r="M12" i="3" s="1"/>
  <c r="H11" i="3"/>
  <c r="M11" i="3" s="1"/>
  <c r="H10" i="3"/>
  <c r="M10" i="3" s="1"/>
  <c r="H9" i="3"/>
  <c r="M9" i="3" s="1"/>
  <c r="H8" i="3"/>
  <c r="M8" i="3" s="1"/>
  <c r="H7" i="3"/>
  <c r="M7" i="3" s="1"/>
  <c r="H6" i="3"/>
  <c r="M6" i="3" s="1"/>
  <c r="H5" i="3"/>
  <c r="M5" i="3" s="1"/>
  <c r="H4" i="3"/>
  <c r="M4" i="3" s="1"/>
  <c r="H2" i="3"/>
  <c r="M2" i="3" s="1"/>
  <c r="H3" i="3"/>
  <c r="M3" i="3" s="1"/>
  <c r="E257" i="2"/>
  <c r="E222" i="2"/>
  <c r="E195" i="2"/>
  <c r="E183" i="2"/>
  <c r="E155" i="2"/>
  <c r="E133" i="2"/>
  <c r="E115" i="2"/>
  <c r="E99" i="2"/>
  <c r="E76" i="2"/>
  <c r="E53" i="2"/>
  <c r="E36" i="2"/>
  <c r="E18" i="2"/>
  <c r="E238" i="2"/>
  <c r="F2246" i="1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D96" i="3"/>
  <c r="L96" i="3" s="1"/>
  <c r="D95" i="3"/>
  <c r="L95" i="3" s="1"/>
  <c r="D94" i="3"/>
  <c r="L94" i="3" s="1"/>
  <c r="D93" i="3"/>
  <c r="L93" i="3" s="1"/>
  <c r="D92" i="3"/>
  <c r="L92" i="3" s="1"/>
  <c r="D91" i="3"/>
  <c r="L91" i="3" s="1"/>
  <c r="D90" i="3"/>
  <c r="L90" i="3" s="1"/>
  <c r="D89" i="3"/>
  <c r="L89" i="3" s="1"/>
  <c r="D88" i="3"/>
  <c r="L88" i="3" s="1"/>
  <c r="D87" i="3"/>
  <c r="L87" i="3" s="1"/>
  <c r="D86" i="3"/>
  <c r="L86" i="3" s="1"/>
  <c r="D85" i="3"/>
  <c r="L85" i="3" s="1"/>
  <c r="D84" i="3"/>
  <c r="L84" i="3" s="1"/>
  <c r="D83" i="3"/>
  <c r="L83" i="3" s="1"/>
  <c r="D82" i="3"/>
  <c r="L82" i="3" s="1"/>
  <c r="D81" i="3"/>
  <c r="L81" i="3" s="1"/>
  <c r="D80" i="3"/>
  <c r="L80" i="3" s="1"/>
  <c r="D79" i="3"/>
  <c r="L79" i="3" s="1"/>
  <c r="D78" i="3"/>
  <c r="L78" i="3" s="1"/>
  <c r="D77" i="3"/>
  <c r="L77" i="3" s="1"/>
  <c r="D76" i="3"/>
  <c r="L76" i="3" s="1"/>
  <c r="D75" i="3"/>
  <c r="L75" i="3" s="1"/>
  <c r="D74" i="3"/>
  <c r="L74" i="3" s="1"/>
  <c r="D73" i="3"/>
  <c r="L73" i="3" s="1"/>
  <c r="D72" i="3"/>
  <c r="L72" i="3" s="1"/>
  <c r="D71" i="3"/>
  <c r="L71" i="3" s="1"/>
  <c r="D70" i="3"/>
  <c r="L70" i="3" s="1"/>
  <c r="D69" i="3"/>
  <c r="L69" i="3" s="1"/>
  <c r="D68" i="3"/>
  <c r="L68" i="3" s="1"/>
  <c r="D67" i="3"/>
  <c r="L67" i="3" s="1"/>
  <c r="D66" i="3"/>
  <c r="L66" i="3" s="1"/>
  <c r="D64" i="3"/>
  <c r="L64" i="3" s="1"/>
  <c r="D63" i="3"/>
  <c r="L63" i="3" s="1"/>
  <c r="D62" i="3"/>
  <c r="L62" i="3" s="1"/>
  <c r="D61" i="3"/>
  <c r="L61" i="3" s="1"/>
  <c r="D65" i="3"/>
  <c r="L65" i="3" s="1"/>
  <c r="D60" i="3"/>
  <c r="L60" i="3" s="1"/>
  <c r="D59" i="3"/>
  <c r="L59" i="3" s="1"/>
  <c r="D58" i="3"/>
  <c r="L58" i="3" s="1"/>
  <c r="D57" i="3"/>
  <c r="L57" i="3" s="1"/>
  <c r="D56" i="3"/>
  <c r="L56" i="3" s="1"/>
  <c r="D55" i="3"/>
  <c r="L55" i="3" s="1"/>
  <c r="D54" i="3"/>
  <c r="L54" i="3" s="1"/>
  <c r="D53" i="3"/>
  <c r="L53" i="3" s="1"/>
  <c r="D52" i="3"/>
  <c r="L52" i="3" s="1"/>
  <c r="D51" i="3"/>
  <c r="L51" i="3" s="1"/>
  <c r="D50" i="3"/>
  <c r="L50" i="3" s="1"/>
  <c r="D49" i="3"/>
  <c r="L49" i="3" s="1"/>
  <c r="D48" i="3"/>
  <c r="L48" i="3" s="1"/>
  <c r="D47" i="3"/>
  <c r="L47" i="3" s="1"/>
  <c r="D46" i="3"/>
  <c r="L46" i="3" s="1"/>
  <c r="D45" i="3"/>
  <c r="L45" i="3" s="1"/>
  <c r="D44" i="3"/>
  <c r="L44" i="3" s="1"/>
  <c r="D43" i="3"/>
  <c r="L43" i="3" s="1"/>
  <c r="D42" i="3"/>
  <c r="L42" i="3" s="1"/>
  <c r="D41" i="3"/>
  <c r="L41" i="3" s="1"/>
  <c r="D40" i="3"/>
  <c r="L40" i="3" s="1"/>
  <c r="D39" i="3"/>
  <c r="L39" i="3" s="1"/>
  <c r="D38" i="3"/>
  <c r="L38" i="3" s="1"/>
  <c r="D37" i="3"/>
  <c r="L37" i="3" s="1"/>
  <c r="D36" i="3"/>
  <c r="L36" i="3" s="1"/>
  <c r="D35" i="3"/>
  <c r="L35" i="3" s="1"/>
  <c r="D34" i="3"/>
  <c r="L34" i="3" s="1"/>
  <c r="D33" i="3"/>
  <c r="L33" i="3" s="1"/>
  <c r="D32" i="3"/>
  <c r="L32" i="3" s="1"/>
  <c r="D31" i="3"/>
  <c r="L31" i="3" s="1"/>
  <c r="D30" i="3"/>
  <c r="L30" i="3" s="1"/>
  <c r="D29" i="3"/>
  <c r="L29" i="3" s="1"/>
  <c r="D28" i="3"/>
  <c r="L28" i="3" s="1"/>
  <c r="D27" i="3"/>
  <c r="L27" i="3" s="1"/>
  <c r="D26" i="3"/>
  <c r="L26" i="3" s="1"/>
  <c r="D25" i="3"/>
  <c r="L25" i="3" s="1"/>
  <c r="D24" i="3"/>
  <c r="L24" i="3" s="1"/>
  <c r="D23" i="3"/>
  <c r="L23" i="3" s="1"/>
  <c r="D22" i="3"/>
  <c r="L22" i="3" s="1"/>
  <c r="D21" i="3"/>
  <c r="L21" i="3" s="1"/>
  <c r="D20" i="3"/>
  <c r="L20" i="3" s="1"/>
  <c r="D19" i="3"/>
  <c r="L19" i="3" s="1"/>
  <c r="D18" i="3"/>
  <c r="L18" i="3" s="1"/>
  <c r="D17" i="3"/>
  <c r="L17" i="3" s="1"/>
  <c r="D16" i="3"/>
  <c r="L16" i="3" s="1"/>
  <c r="D15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B13" i="3"/>
  <c r="F13" i="3" s="1"/>
  <c r="K13" i="3" s="1"/>
  <c r="B12" i="3"/>
  <c r="F12" i="3" s="1"/>
  <c r="K12" i="3" s="1"/>
  <c r="B11" i="3"/>
  <c r="F11" i="3" s="1"/>
  <c r="K11" i="3" s="1"/>
  <c r="B10" i="3"/>
  <c r="F10" i="3" s="1"/>
  <c r="K10" i="3" s="1"/>
  <c r="B9" i="3"/>
  <c r="F9" i="3" s="1"/>
  <c r="K9" i="3" s="1"/>
  <c r="B8" i="3"/>
  <c r="F8" i="3" s="1"/>
  <c r="K8" i="3" s="1"/>
  <c r="B7" i="3"/>
  <c r="F7" i="3" s="1"/>
  <c r="K7" i="3" s="1"/>
  <c r="B6" i="3"/>
  <c r="F6" i="3" s="1"/>
  <c r="K6" i="3" s="1"/>
  <c r="B5" i="3"/>
  <c r="F5" i="3" s="1"/>
  <c r="K5" i="3" s="1"/>
  <c r="B4" i="3"/>
  <c r="F4" i="3" s="1"/>
  <c r="K4" i="3" s="1"/>
  <c r="B3" i="3"/>
  <c r="F3" i="3" s="1"/>
  <c r="K3" i="3" s="1"/>
  <c r="B14" i="3"/>
  <c r="F14" i="3" s="1"/>
  <c r="K14" i="3" s="1"/>
  <c r="B2" i="3"/>
  <c r="H2" i="2"/>
  <c r="I2" i="2"/>
  <c r="H3" i="2"/>
  <c r="I3" i="2"/>
  <c r="H4" i="2"/>
  <c r="I4" i="2"/>
  <c r="H5" i="2"/>
  <c r="I5" i="2"/>
  <c r="H6" i="2"/>
  <c r="I6" i="2"/>
  <c r="H7" i="2"/>
  <c r="I7" i="2"/>
  <c r="H8" i="2"/>
  <c r="I8" i="2"/>
  <c r="H9" i="2"/>
  <c r="I9" i="2"/>
  <c r="H10" i="2"/>
  <c r="I10" i="2"/>
  <c r="H11" i="2"/>
  <c r="I11" i="2"/>
  <c r="H12" i="2"/>
  <c r="I12" i="2"/>
  <c r="H13" i="2"/>
  <c r="I13" i="2"/>
  <c r="H14" i="2"/>
  <c r="I14" i="2"/>
  <c r="H15" i="2"/>
  <c r="I15" i="2"/>
  <c r="H16" i="2"/>
  <c r="I16" i="2"/>
  <c r="H17" i="2"/>
  <c r="I17" i="2"/>
  <c r="H18" i="2"/>
  <c r="I18" i="2"/>
  <c r="I20" i="2"/>
  <c r="H21" i="2"/>
  <c r="I21" i="2"/>
  <c r="H22" i="2"/>
  <c r="I22" i="2"/>
  <c r="H23" i="2"/>
  <c r="I23" i="2"/>
  <c r="H24" i="2"/>
  <c r="I24" i="2"/>
  <c r="H25" i="2"/>
  <c r="H26" i="2"/>
  <c r="I26" i="2"/>
  <c r="H27" i="2"/>
  <c r="I27" i="2"/>
  <c r="H28" i="2"/>
  <c r="I28" i="2"/>
  <c r="I29" i="2"/>
  <c r="H30" i="2"/>
  <c r="H31" i="2"/>
  <c r="I31" i="2"/>
  <c r="H32" i="2"/>
  <c r="I32" i="2"/>
  <c r="I33" i="2"/>
  <c r="I34" i="2"/>
  <c r="H35" i="2"/>
  <c r="H38" i="2"/>
  <c r="I38" i="2"/>
  <c r="H39" i="2"/>
  <c r="I39" i="2"/>
  <c r="H40" i="2"/>
  <c r="I40" i="2"/>
  <c r="H41" i="2"/>
  <c r="H42" i="2"/>
  <c r="I42" i="2"/>
  <c r="H43" i="2"/>
  <c r="H44" i="2"/>
  <c r="H45" i="2"/>
  <c r="H46" i="2"/>
  <c r="I46" i="2"/>
  <c r="H47" i="2"/>
  <c r="H48" i="2"/>
  <c r="I48" i="2"/>
  <c r="H49" i="2"/>
  <c r="I49" i="2"/>
  <c r="H50" i="2"/>
  <c r="I50" i="2"/>
  <c r="H51" i="2"/>
  <c r="H52" i="2"/>
  <c r="H55" i="2"/>
  <c r="I55" i="2"/>
  <c r="H56" i="2"/>
  <c r="I56" i="2"/>
  <c r="H57" i="2"/>
  <c r="I57" i="2"/>
  <c r="H58" i="2"/>
  <c r="I58" i="2"/>
  <c r="H59" i="2"/>
  <c r="I59" i="2"/>
  <c r="H60" i="2"/>
  <c r="I60" i="2"/>
  <c r="H61" i="2"/>
  <c r="I61" i="2"/>
  <c r="H62" i="2"/>
  <c r="H63" i="2"/>
  <c r="I63" i="2"/>
  <c r="H64" i="2"/>
  <c r="H65" i="2"/>
  <c r="H66" i="2"/>
  <c r="H67" i="2"/>
  <c r="H68" i="2"/>
  <c r="I68" i="2"/>
  <c r="H69" i="2"/>
  <c r="H70" i="2"/>
  <c r="I70" i="2"/>
  <c r="H71" i="2"/>
  <c r="H72" i="2"/>
  <c r="I72" i="2"/>
  <c r="H73" i="2"/>
  <c r="I73" i="2"/>
  <c r="H74" i="2"/>
  <c r="H75" i="2"/>
  <c r="I75" i="2"/>
  <c r="H78" i="2"/>
  <c r="H79" i="2"/>
  <c r="I79" i="2"/>
  <c r="H80" i="2"/>
  <c r="I80" i="2"/>
  <c r="H82" i="2"/>
  <c r="H83" i="2"/>
  <c r="H84" i="2"/>
  <c r="H85" i="2"/>
  <c r="H86" i="2"/>
  <c r="H87" i="2"/>
  <c r="H88" i="2"/>
  <c r="I88" i="2"/>
  <c r="H89" i="2"/>
  <c r="I89" i="2"/>
  <c r="H90" i="2"/>
  <c r="H91" i="2"/>
  <c r="I91" i="2"/>
  <c r="H92" i="2"/>
  <c r="I92" i="2"/>
  <c r="H93" i="2"/>
  <c r="I93" i="2"/>
  <c r="H94" i="2"/>
  <c r="I94" i="2"/>
  <c r="H95" i="2"/>
  <c r="I95" i="2"/>
  <c r="H96" i="2"/>
  <c r="H97" i="2"/>
  <c r="H98" i="2"/>
  <c r="H101" i="2"/>
  <c r="H102" i="2"/>
  <c r="I102" i="2"/>
  <c r="H103" i="2"/>
  <c r="H104" i="2"/>
  <c r="H105" i="2"/>
  <c r="I105" i="2"/>
  <c r="H106" i="2"/>
  <c r="I106" i="2"/>
  <c r="H107" i="2"/>
  <c r="H108" i="2"/>
  <c r="I108" i="2"/>
  <c r="H109" i="2"/>
  <c r="I109" i="2"/>
  <c r="H110" i="2"/>
  <c r="I110" i="2"/>
  <c r="H111" i="2"/>
  <c r="H112" i="2"/>
  <c r="H113" i="2"/>
  <c r="H114" i="2"/>
  <c r="I114" i="2"/>
  <c r="H117" i="2"/>
  <c r="H118" i="2"/>
  <c r="I118" i="2"/>
  <c r="H119" i="2"/>
  <c r="I119" i="2"/>
  <c r="H120" i="2"/>
  <c r="H121" i="2"/>
  <c r="I121" i="2"/>
  <c r="H122" i="2"/>
  <c r="H123" i="2"/>
  <c r="H124" i="2"/>
  <c r="H125" i="2"/>
  <c r="I125" i="2"/>
  <c r="H126" i="2"/>
  <c r="I126" i="2"/>
  <c r="H127" i="2"/>
  <c r="H128" i="2"/>
  <c r="I128" i="2"/>
  <c r="H129" i="2"/>
  <c r="I129" i="2"/>
  <c r="H130" i="2"/>
  <c r="I130" i="2"/>
  <c r="H131" i="2"/>
  <c r="I131" i="2"/>
  <c r="H132" i="2"/>
  <c r="I132" i="2"/>
  <c r="H135" i="2"/>
  <c r="H136" i="2"/>
  <c r="I136" i="2"/>
  <c r="H137" i="2"/>
  <c r="I137" i="2"/>
  <c r="H138" i="2"/>
  <c r="I138" i="2"/>
  <c r="H139" i="2"/>
  <c r="H140" i="2"/>
  <c r="I140" i="2"/>
  <c r="H141" i="2"/>
  <c r="H142" i="2"/>
  <c r="I142" i="2"/>
  <c r="H143" i="2"/>
  <c r="H144" i="2"/>
  <c r="I144" i="2"/>
  <c r="H145" i="2"/>
  <c r="H146" i="2"/>
  <c r="H147" i="2"/>
  <c r="I147" i="2"/>
  <c r="H148" i="2"/>
  <c r="I148" i="2"/>
  <c r="H149" i="2"/>
  <c r="I149" i="2"/>
  <c r="H150" i="2"/>
  <c r="I150" i="2"/>
  <c r="H151" i="2"/>
  <c r="I151" i="2"/>
  <c r="H152" i="2"/>
  <c r="H153" i="2"/>
  <c r="H154" i="2"/>
  <c r="I154" i="2"/>
  <c r="H157" i="2"/>
  <c r="H158" i="2"/>
  <c r="H159" i="2"/>
  <c r="H160" i="2"/>
  <c r="H161" i="2"/>
  <c r="H162" i="2"/>
  <c r="H163" i="2"/>
  <c r="H164" i="2"/>
  <c r="H165" i="2"/>
  <c r="H166" i="2"/>
  <c r="I166" i="2"/>
  <c r="H167" i="2"/>
  <c r="I167" i="2"/>
  <c r="H168" i="2"/>
  <c r="H169" i="2"/>
  <c r="I169" i="2"/>
  <c r="H170" i="2"/>
  <c r="H171" i="2"/>
  <c r="H172" i="2"/>
  <c r="H173" i="2"/>
  <c r="H174" i="2"/>
  <c r="H175" i="2"/>
  <c r="H176" i="2"/>
  <c r="H177" i="2"/>
  <c r="H178" i="2"/>
  <c r="I178" i="2"/>
  <c r="H179" i="2"/>
  <c r="H180" i="2"/>
  <c r="H181" i="2"/>
  <c r="I181" i="2"/>
  <c r="H185" i="2"/>
  <c r="H186" i="2"/>
  <c r="H187" i="2"/>
  <c r="H188" i="2"/>
  <c r="I188" i="2"/>
  <c r="H189" i="2"/>
  <c r="H190" i="2"/>
  <c r="H191" i="2"/>
  <c r="I191" i="2"/>
  <c r="H192" i="2"/>
  <c r="I192" i="2"/>
  <c r="H193" i="2"/>
  <c r="I193" i="2"/>
  <c r="H194" i="2"/>
  <c r="I194" i="2"/>
  <c r="H197" i="2"/>
  <c r="H198" i="2"/>
  <c r="H199" i="2"/>
  <c r="H200" i="2"/>
  <c r="H201" i="2"/>
  <c r="H202" i="2"/>
  <c r="H203" i="2"/>
  <c r="I203" i="2"/>
  <c r="H204" i="2"/>
  <c r="H205" i="2"/>
  <c r="I205" i="2"/>
  <c r="H206" i="2"/>
  <c r="I206" i="2"/>
  <c r="H207" i="2"/>
  <c r="I207" i="2"/>
  <c r="H208" i="2"/>
  <c r="I208" i="2"/>
  <c r="H209" i="2"/>
  <c r="I209" i="2"/>
  <c r="H210" i="2"/>
  <c r="I210" i="2"/>
  <c r="H211" i="2"/>
  <c r="H212" i="2"/>
  <c r="H213" i="2"/>
  <c r="I213" i="2"/>
  <c r="H214" i="2"/>
  <c r="H215" i="2"/>
  <c r="H216" i="2"/>
  <c r="I216" i="2"/>
  <c r="H217" i="2"/>
  <c r="I217" i="2"/>
  <c r="H218" i="2"/>
  <c r="H219" i="2"/>
  <c r="H220" i="2"/>
  <c r="I220" i="2"/>
  <c r="H221" i="2"/>
  <c r="I221" i="2"/>
  <c r="H224" i="2"/>
  <c r="H225" i="2"/>
  <c r="H226" i="2"/>
  <c r="H227" i="2"/>
  <c r="H228" i="2"/>
  <c r="I228" i="2"/>
  <c r="H229" i="2"/>
  <c r="I229" i="2"/>
  <c r="H230" i="2"/>
  <c r="H231" i="2"/>
  <c r="H232" i="2"/>
  <c r="H233" i="2"/>
  <c r="H234" i="2"/>
  <c r="I234" i="2"/>
  <c r="H235" i="2"/>
  <c r="H236" i="2"/>
  <c r="H237" i="2"/>
  <c r="H240" i="2"/>
  <c r="H241" i="2"/>
  <c r="H242" i="2"/>
  <c r="H243" i="2"/>
  <c r="H244" i="2"/>
  <c r="H245" i="2"/>
  <c r="I245" i="2"/>
  <c r="H246" i="2"/>
  <c r="I246" i="2"/>
  <c r="H247" i="2"/>
  <c r="I247" i="2"/>
  <c r="H248" i="2"/>
  <c r="H249" i="2"/>
  <c r="H250" i="2"/>
  <c r="H251" i="2"/>
  <c r="H252" i="2"/>
  <c r="I252" i="2"/>
  <c r="H253" i="2"/>
  <c r="H254" i="2"/>
  <c r="H255" i="2"/>
  <c r="H256" i="2"/>
  <c r="I256" i="2"/>
  <c r="I2283" i="1"/>
  <c r="J2283" i="1"/>
  <c r="K2283" i="1"/>
  <c r="L2283" i="1"/>
  <c r="M2283" i="1"/>
  <c r="N2283" i="1"/>
  <c r="H2283" i="1"/>
  <c r="J2274" i="1"/>
  <c r="K2274" i="1"/>
  <c r="J2246" i="1"/>
  <c r="K2246" i="1"/>
  <c r="J2230" i="1"/>
  <c r="K2230" i="1"/>
  <c r="J2213" i="1"/>
  <c r="K2213" i="1"/>
  <c r="E2197" i="1"/>
  <c r="J2197" i="1"/>
  <c r="K2197" i="1"/>
  <c r="K2166" i="1"/>
  <c r="I2150" i="1"/>
  <c r="C90" i="3" s="1"/>
  <c r="J2150" i="1"/>
  <c r="N2150" i="1"/>
  <c r="K2107" i="1"/>
  <c r="J2096" i="1"/>
  <c r="K2096" i="1"/>
  <c r="K2067" i="1"/>
  <c r="I2051" i="1"/>
  <c r="C85" i="3" s="1"/>
  <c r="K2051" i="1"/>
  <c r="N2051" i="1"/>
  <c r="I2037" i="1"/>
  <c r="C84" i="3" s="1"/>
  <c r="J2037" i="1"/>
  <c r="K2037" i="1"/>
  <c r="N2037" i="1"/>
  <c r="J2012" i="1"/>
  <c r="K2012" i="1"/>
  <c r="I1986" i="1"/>
  <c r="C82" i="3" s="1"/>
  <c r="J1986" i="1"/>
  <c r="K1986" i="1"/>
  <c r="N1986" i="1"/>
  <c r="J1964" i="1"/>
  <c r="K1964" i="1"/>
  <c r="J1934" i="1"/>
  <c r="K1934" i="1"/>
  <c r="L1934" i="1"/>
  <c r="J1910" i="1"/>
  <c r="K1910" i="1"/>
  <c r="J1889" i="1"/>
  <c r="K1889" i="1"/>
  <c r="L1889" i="1"/>
  <c r="J1865" i="1"/>
  <c r="K1865" i="1"/>
  <c r="L1865" i="1"/>
  <c r="J1837" i="1"/>
  <c r="L1837" i="1"/>
  <c r="J1813" i="1"/>
  <c r="L1813" i="1"/>
  <c r="J1783" i="1"/>
  <c r="L1783" i="1"/>
  <c r="I1756" i="1"/>
  <c r="C73" i="3" s="1"/>
  <c r="J1756" i="1"/>
  <c r="K1756" i="1"/>
  <c r="L1756" i="1"/>
  <c r="N1756" i="1"/>
  <c r="J1744" i="1"/>
  <c r="L1744" i="1"/>
  <c r="J1724" i="1"/>
  <c r="L1724" i="1"/>
  <c r="J1704" i="1"/>
  <c r="L1704" i="1"/>
  <c r="J1680" i="1"/>
  <c r="L1680" i="1"/>
  <c r="J1659" i="1"/>
  <c r="L1659" i="1"/>
  <c r="J1631" i="1"/>
  <c r="L1631" i="1"/>
  <c r="J1598" i="1"/>
  <c r="L1598" i="1"/>
  <c r="J1571" i="1"/>
  <c r="K1571" i="1"/>
  <c r="L1571" i="1"/>
  <c r="J1552" i="1"/>
  <c r="L1552" i="1"/>
  <c r="J1532" i="1"/>
  <c r="L1532" i="1"/>
  <c r="J1490" i="1"/>
  <c r="K1490" i="1"/>
  <c r="J1463" i="1"/>
  <c r="L1463" i="1"/>
  <c r="J1442" i="1"/>
  <c r="L1442" i="1"/>
  <c r="J1408" i="1"/>
  <c r="K1408" i="1"/>
  <c r="L1408" i="1"/>
  <c r="J1385" i="1"/>
  <c r="K1385" i="1"/>
  <c r="L1385" i="1"/>
  <c r="J1356" i="1"/>
  <c r="K1356" i="1"/>
  <c r="L1356" i="1"/>
  <c r="J1322" i="1"/>
  <c r="K1322" i="1"/>
  <c r="L1322" i="1"/>
  <c r="J1293" i="1"/>
  <c r="L1293" i="1"/>
  <c r="J1252" i="1"/>
  <c r="K1252" i="1"/>
  <c r="L1252" i="1"/>
  <c r="J1216" i="1"/>
  <c r="L1216" i="1"/>
  <c r="J1189" i="1"/>
  <c r="K1189" i="1"/>
  <c r="L1189" i="1"/>
  <c r="J1146" i="1"/>
  <c r="L1146" i="1"/>
  <c r="J1111" i="1"/>
  <c r="K1111" i="1"/>
  <c r="L1111" i="1"/>
  <c r="J1087" i="1"/>
  <c r="L1087" i="1"/>
  <c r="K1067" i="1"/>
  <c r="L1067" i="1"/>
  <c r="J1039" i="1"/>
  <c r="K1039" i="1"/>
  <c r="L1039" i="1"/>
  <c r="J1015" i="1"/>
  <c r="L1015" i="1"/>
  <c r="I985" i="1"/>
  <c r="C45" i="3" s="1"/>
  <c r="J985" i="1"/>
  <c r="K985" i="1"/>
  <c r="L985" i="1"/>
  <c r="N985" i="1"/>
  <c r="J968" i="1"/>
  <c r="L968" i="1"/>
  <c r="J937" i="1"/>
  <c r="L937" i="1"/>
  <c r="J908" i="1"/>
  <c r="L908" i="1"/>
  <c r="J866" i="1"/>
  <c r="L866" i="1"/>
  <c r="I827" i="1"/>
  <c r="C40" i="3" s="1"/>
  <c r="J827" i="1"/>
  <c r="K827" i="1"/>
  <c r="L827" i="1"/>
  <c r="N827" i="1"/>
  <c r="J793" i="1"/>
  <c r="L793" i="1"/>
  <c r="J771" i="1"/>
  <c r="L771" i="1"/>
  <c r="J740" i="1"/>
  <c r="K740" i="1"/>
  <c r="L740" i="1"/>
  <c r="L717" i="1"/>
  <c r="J669" i="1"/>
  <c r="L669" i="1"/>
  <c r="J635" i="1"/>
  <c r="L635" i="1"/>
  <c r="J593" i="1"/>
  <c r="L593" i="1"/>
  <c r="J570" i="1"/>
  <c r="K570" i="1"/>
  <c r="L570" i="1"/>
  <c r="J528" i="1"/>
  <c r="L528" i="1"/>
  <c r="J500" i="1"/>
  <c r="K500" i="1"/>
  <c r="L500" i="1"/>
  <c r="J466" i="1"/>
  <c r="L466" i="1"/>
  <c r="J423" i="1"/>
  <c r="L423" i="1"/>
  <c r="J390" i="1"/>
  <c r="L390" i="1"/>
  <c r="J355" i="1"/>
  <c r="L355" i="1"/>
  <c r="K327" i="1"/>
  <c r="L272" i="1"/>
  <c r="L243" i="1"/>
  <c r="K213" i="1"/>
  <c r="L213" i="1"/>
  <c r="K185" i="1"/>
  <c r="L185" i="1"/>
  <c r="K140" i="1"/>
  <c r="L140" i="1"/>
  <c r="J122" i="1"/>
  <c r="K122" i="1"/>
  <c r="J89" i="1"/>
  <c r="K89" i="1"/>
  <c r="K63" i="1"/>
  <c r="M97" i="3" l="1"/>
  <c r="F2" i="3"/>
  <c r="K2" i="3" s="1"/>
  <c r="L14" i="3"/>
  <c r="L3" i="3"/>
  <c r="L4" i="3"/>
  <c r="L5" i="3"/>
  <c r="L6" i="3"/>
  <c r="L7" i="3"/>
  <c r="L8" i="3"/>
  <c r="L9" i="3"/>
  <c r="L10" i="3"/>
  <c r="L11" i="3"/>
  <c r="L12" i="3"/>
  <c r="L13" i="3"/>
  <c r="L15" i="3"/>
  <c r="D97" i="3"/>
  <c r="E97" i="3"/>
  <c r="H97" i="3"/>
  <c r="H257" i="2"/>
  <c r="I257" i="2"/>
  <c r="H238" i="2"/>
  <c r="I238" i="2"/>
  <c r="H222" i="2"/>
  <c r="I222" i="2"/>
  <c r="H195" i="2"/>
  <c r="I195" i="2"/>
  <c r="H183" i="2"/>
  <c r="I183" i="2"/>
  <c r="H155" i="2"/>
  <c r="I155" i="2"/>
  <c r="H133" i="2"/>
  <c r="I133" i="2"/>
  <c r="H115" i="2"/>
  <c r="G18" i="2"/>
  <c r="I115" i="2"/>
  <c r="H99" i="2"/>
  <c r="I99" i="2"/>
  <c r="H76" i="2"/>
  <c r="I76" i="2"/>
  <c r="H53" i="2"/>
  <c r="I53" i="2"/>
  <c r="H36" i="2"/>
  <c r="I36" i="2"/>
  <c r="G2283" i="1"/>
  <c r="F2283" i="1"/>
  <c r="K27" i="1"/>
  <c r="N13" i="3" l="1"/>
  <c r="N12" i="3"/>
  <c r="N11" i="3"/>
  <c r="N10" i="3"/>
  <c r="N9" i="3"/>
  <c r="N8" i="3"/>
  <c r="N7" i="3"/>
  <c r="N6" i="3"/>
  <c r="N5" i="3"/>
  <c r="N4" i="3"/>
  <c r="N3" i="3"/>
  <c r="N14" i="3"/>
  <c r="L2" i="3"/>
  <c r="L97" i="3" s="1"/>
  <c r="G257" i="2"/>
  <c r="G238" i="2"/>
  <c r="G222" i="2"/>
  <c r="G195" i="2"/>
  <c r="G183" i="2"/>
  <c r="G155" i="2"/>
  <c r="G133" i="2"/>
  <c r="G36" i="2"/>
  <c r="G115" i="2"/>
  <c r="G99" i="2"/>
  <c r="G76" i="2"/>
  <c r="G53" i="2"/>
  <c r="L2270" i="1"/>
  <c r="H2270" i="1"/>
  <c r="H2269" i="1"/>
  <c r="M2269" i="1" s="1"/>
  <c r="O2269" i="1" s="1"/>
  <c r="L2268" i="1"/>
  <c r="H2268" i="1"/>
  <c r="H2266" i="1"/>
  <c r="M2266" i="1" s="1"/>
  <c r="O2266" i="1" s="1"/>
  <c r="H2267" i="1"/>
  <c r="H2265" i="1"/>
  <c r="M2265" i="1" s="1"/>
  <c r="O2265" i="1" s="1"/>
  <c r="H2264" i="1"/>
  <c r="M2264" i="1" s="1"/>
  <c r="O2264" i="1" s="1"/>
  <c r="L2263" i="1"/>
  <c r="H2263" i="1"/>
  <c r="L2262" i="1"/>
  <c r="H2262" i="1"/>
  <c r="L2260" i="1"/>
  <c r="H2260" i="1"/>
  <c r="H2261" i="1"/>
  <c r="M2261" i="1" s="1"/>
  <c r="O2261" i="1" s="1"/>
  <c r="H2259" i="1"/>
  <c r="H2258" i="1"/>
  <c r="M2258" i="1" s="1"/>
  <c r="O2258" i="1" s="1"/>
  <c r="H2257" i="1"/>
  <c r="M2257" i="1" s="1"/>
  <c r="O2257" i="1" s="1"/>
  <c r="M2256" i="1"/>
  <c r="O2256" i="1" s="1"/>
  <c r="H2255" i="1"/>
  <c r="M2255" i="1" s="1"/>
  <c r="O2255" i="1" s="1"/>
  <c r="L2254" i="1"/>
  <c r="H2254" i="1"/>
  <c r="H2253" i="1"/>
  <c r="L2252" i="1"/>
  <c r="H2252" i="1"/>
  <c r="H2251" i="1"/>
  <c r="M2251" i="1" s="1"/>
  <c r="O2251" i="1" s="1"/>
  <c r="H2249" i="1"/>
  <c r="M2249" i="1" s="1"/>
  <c r="O2249" i="1" s="1"/>
  <c r="H2250" i="1"/>
  <c r="M2250" i="1" s="1"/>
  <c r="O2250" i="1" s="1"/>
  <c r="L2253" i="1"/>
  <c r="H2248" i="1"/>
  <c r="L2244" i="1"/>
  <c r="H2245" i="1"/>
  <c r="I2245" i="1" s="1"/>
  <c r="I2246" i="1" s="1"/>
  <c r="C95" i="3" s="1"/>
  <c r="H2244" i="1"/>
  <c r="H2243" i="1"/>
  <c r="M2243" i="1" s="1"/>
  <c r="O2243" i="1" s="1"/>
  <c r="L2242" i="1"/>
  <c r="H2242" i="1"/>
  <c r="H2241" i="1"/>
  <c r="M2241" i="1" s="1"/>
  <c r="O2241" i="1" s="1"/>
  <c r="H2240" i="1"/>
  <c r="M2240" i="1" s="1"/>
  <c r="O2240" i="1" s="1"/>
  <c r="L2259" i="1"/>
  <c r="L2267" i="1"/>
  <c r="H2239" i="1"/>
  <c r="M2239" i="1" s="1"/>
  <c r="O2239" i="1" s="1"/>
  <c r="L2238" i="1"/>
  <c r="H2238" i="1"/>
  <c r="H2237" i="1"/>
  <c r="M2237" i="1" s="1"/>
  <c r="O2237" i="1" s="1"/>
  <c r="H2235" i="1"/>
  <c r="M2235" i="1" s="1"/>
  <c r="O2235" i="1" s="1"/>
  <c r="H2236" i="1"/>
  <c r="M2236" i="1" s="1"/>
  <c r="O2236" i="1" s="1"/>
  <c r="L2234" i="1"/>
  <c r="H2234" i="1"/>
  <c r="H2233" i="1"/>
  <c r="M2233" i="1" s="1"/>
  <c r="O2233" i="1" s="1"/>
  <c r="H2232" i="1"/>
  <c r="H2229" i="1"/>
  <c r="M2229" i="1" s="1"/>
  <c r="O2229" i="1" s="1"/>
  <c r="H2228" i="1"/>
  <c r="M2228" i="1" s="1"/>
  <c r="O2228" i="1" s="1"/>
  <c r="H2227" i="1"/>
  <c r="M2227" i="1" s="1"/>
  <c r="O2227" i="1" s="1"/>
  <c r="L2226" i="1"/>
  <c r="H2226" i="1"/>
  <c r="L2225" i="1"/>
  <c r="H2225" i="1"/>
  <c r="H2224" i="1"/>
  <c r="M2224" i="1" s="1"/>
  <c r="O2224" i="1" s="1"/>
  <c r="H2223" i="1"/>
  <c r="I2223" i="1" s="1"/>
  <c r="I2230" i="1" s="1"/>
  <c r="C94" i="3" s="1"/>
  <c r="H2222" i="1"/>
  <c r="M2222" i="1" s="1"/>
  <c r="O2222" i="1" s="1"/>
  <c r="H2221" i="1"/>
  <c r="M2221" i="1" s="1"/>
  <c r="O2221" i="1" s="1"/>
  <c r="H2220" i="1"/>
  <c r="M2220" i="1" s="1"/>
  <c r="O2220" i="1" s="1"/>
  <c r="L2219" i="1"/>
  <c r="H2219" i="1"/>
  <c r="H2218" i="1"/>
  <c r="M2218" i="1" s="1"/>
  <c r="O2218" i="1" s="1"/>
  <c r="H2217" i="1"/>
  <c r="M2217" i="1" s="1"/>
  <c r="O2217" i="1" s="1"/>
  <c r="H2216" i="1"/>
  <c r="M2216" i="1" s="1"/>
  <c r="O2216" i="1" s="1"/>
  <c r="H2215" i="1"/>
  <c r="H2211" i="1"/>
  <c r="I2211" i="1" s="1"/>
  <c r="H2212" i="1"/>
  <c r="I2212" i="1" s="1"/>
  <c r="H2210" i="1"/>
  <c r="M2210" i="1" s="1"/>
  <c r="O2210" i="1" s="1"/>
  <c r="H2208" i="1"/>
  <c r="M2208" i="1" s="1"/>
  <c r="O2208" i="1" s="1"/>
  <c r="H2209" i="1"/>
  <c r="M2209" i="1" s="1"/>
  <c r="O2209" i="1" s="1"/>
  <c r="H2207" i="1"/>
  <c r="M2207" i="1" s="1"/>
  <c r="O2207" i="1" s="1"/>
  <c r="H2206" i="1"/>
  <c r="M2206" i="1" s="1"/>
  <c r="O2206" i="1" s="1"/>
  <c r="H2205" i="1"/>
  <c r="M2205" i="1" s="1"/>
  <c r="O2205" i="1" s="1"/>
  <c r="H2204" i="1"/>
  <c r="M2204" i="1" s="1"/>
  <c r="N2204" i="1" s="1"/>
  <c r="H2203" i="1"/>
  <c r="M2203" i="1" s="1"/>
  <c r="O2203" i="1" s="1"/>
  <c r="H2202" i="1"/>
  <c r="H2201" i="1"/>
  <c r="M2201" i="1" s="1"/>
  <c r="O2201" i="1" s="1"/>
  <c r="H2200" i="1"/>
  <c r="M2200" i="1" s="1"/>
  <c r="O2200" i="1" s="1"/>
  <c r="H2199" i="1"/>
  <c r="L2202" i="1"/>
  <c r="L2213" i="1" s="1"/>
  <c r="H2196" i="1"/>
  <c r="H2192" i="1"/>
  <c r="L2192" i="1" s="1"/>
  <c r="M2192" i="1" s="1"/>
  <c r="O2192" i="1" s="1"/>
  <c r="H2193" i="1"/>
  <c r="M2193" i="1" s="1"/>
  <c r="O2193" i="1" s="1"/>
  <c r="H2194" i="1"/>
  <c r="M2194" i="1" s="1"/>
  <c r="O2194" i="1" s="1"/>
  <c r="H2195" i="1"/>
  <c r="M2195" i="1" s="1"/>
  <c r="O2195" i="1" s="1"/>
  <c r="L2191" i="1"/>
  <c r="H2191" i="1"/>
  <c r="H2188" i="1"/>
  <c r="M2188" i="1" s="1"/>
  <c r="O2188" i="1" s="1"/>
  <c r="H2190" i="1"/>
  <c r="M2190" i="1" s="1"/>
  <c r="O2190" i="1" s="1"/>
  <c r="H2189" i="1"/>
  <c r="M2189" i="1" s="1"/>
  <c r="O2189" i="1" s="1"/>
  <c r="H2186" i="1"/>
  <c r="M2186" i="1" s="1"/>
  <c r="O2186" i="1" s="1"/>
  <c r="H2187" i="1"/>
  <c r="M2187" i="1" s="1"/>
  <c r="O2187" i="1" s="1"/>
  <c r="L2184" i="1"/>
  <c r="H2185" i="1"/>
  <c r="M2185" i="1" s="1"/>
  <c r="O2185" i="1" s="1"/>
  <c r="H2184" i="1"/>
  <c r="H2183" i="1"/>
  <c r="M2183" i="1" s="1"/>
  <c r="H2182" i="1"/>
  <c r="M2182" i="1" s="1"/>
  <c r="O2182" i="1" s="1"/>
  <c r="H2181" i="1"/>
  <c r="M2181" i="1" s="1"/>
  <c r="O2181" i="1" s="1"/>
  <c r="H2180" i="1"/>
  <c r="M2180" i="1" s="1"/>
  <c r="O2180" i="1" s="1"/>
  <c r="L2179" i="1"/>
  <c r="H2179" i="1"/>
  <c r="L2178" i="1"/>
  <c r="H2178" i="1"/>
  <c r="H2177" i="1"/>
  <c r="M2177" i="1" s="1"/>
  <c r="O2177" i="1" s="1"/>
  <c r="L2196" i="1"/>
  <c r="H2176" i="1"/>
  <c r="M2176" i="1" s="1"/>
  <c r="O2176" i="1" s="1"/>
  <c r="L2175" i="1"/>
  <c r="H2175" i="1"/>
  <c r="M2174" i="1"/>
  <c r="O2174" i="1" s="1"/>
  <c r="H2173" i="1"/>
  <c r="M2173" i="1" s="1"/>
  <c r="O2173" i="1" s="1"/>
  <c r="H2172" i="1"/>
  <c r="M2172" i="1" s="1"/>
  <c r="O2172" i="1" s="1"/>
  <c r="L2171" i="1"/>
  <c r="H2171" i="1"/>
  <c r="L2170" i="1"/>
  <c r="L2169" i="1"/>
  <c r="H2169" i="1"/>
  <c r="H2170" i="1"/>
  <c r="H2168" i="1"/>
  <c r="L2165" i="1"/>
  <c r="H2165" i="1"/>
  <c r="H2164" i="1"/>
  <c r="M2164" i="1" s="1"/>
  <c r="O2164" i="1" s="1"/>
  <c r="H2163" i="1"/>
  <c r="M2163" i="1" s="1"/>
  <c r="L2162" i="1"/>
  <c r="H2162" i="1"/>
  <c r="L2161" i="1"/>
  <c r="H2161" i="1"/>
  <c r="H2160" i="1"/>
  <c r="M2160" i="1" s="1"/>
  <c r="O2160" i="1" s="1"/>
  <c r="L2159" i="1"/>
  <c r="H2159" i="1"/>
  <c r="H2158" i="1"/>
  <c r="M2158" i="1" s="1"/>
  <c r="O2158" i="1" s="1"/>
  <c r="H2155" i="1"/>
  <c r="H2156" i="1"/>
  <c r="H2157" i="1"/>
  <c r="H2154" i="1"/>
  <c r="M2154" i="1" s="1"/>
  <c r="O2154" i="1" s="1"/>
  <c r="H2152" i="1"/>
  <c r="H2153" i="1"/>
  <c r="L2153" i="1" s="1"/>
  <c r="H2147" i="1"/>
  <c r="M2147" i="1" s="1"/>
  <c r="O2147" i="1" s="1"/>
  <c r="H2148" i="1"/>
  <c r="M2148" i="1" s="1"/>
  <c r="O2148" i="1" s="1"/>
  <c r="H2146" i="1"/>
  <c r="M2146" i="1" s="1"/>
  <c r="O2146" i="1" s="1"/>
  <c r="L2149" i="1"/>
  <c r="M2149" i="1" s="1"/>
  <c r="O2149" i="1" s="1"/>
  <c r="L2145" i="1"/>
  <c r="M2145" i="1" s="1"/>
  <c r="O2145" i="1" s="1"/>
  <c r="L2143" i="1"/>
  <c r="H2143" i="1"/>
  <c r="H2141" i="1"/>
  <c r="M2141" i="1" s="1"/>
  <c r="O2141" i="1" s="1"/>
  <c r="H2142" i="1"/>
  <c r="M2142" i="1" s="1"/>
  <c r="O2142" i="1" s="1"/>
  <c r="H2140" i="1"/>
  <c r="M2140" i="1" s="1"/>
  <c r="L2144" i="1"/>
  <c r="M2144" i="1" s="1"/>
  <c r="O2144" i="1" s="1"/>
  <c r="M2138" i="1"/>
  <c r="O2138" i="1" s="1"/>
  <c r="H2137" i="1"/>
  <c r="M2137" i="1" s="1"/>
  <c r="O2137" i="1" s="1"/>
  <c r="M2136" i="1"/>
  <c r="O2136" i="1" s="1"/>
  <c r="H2135" i="1"/>
  <c r="M2135" i="1" s="1"/>
  <c r="O2135" i="1" s="1"/>
  <c r="H2134" i="1"/>
  <c r="M2134" i="1" s="1"/>
  <c r="O2134" i="1" s="1"/>
  <c r="H2133" i="1"/>
  <c r="I2130" i="1"/>
  <c r="I2129" i="1"/>
  <c r="M2126" i="1"/>
  <c r="O2126" i="1" s="1"/>
  <c r="H2128" i="1"/>
  <c r="M2128" i="1" s="1"/>
  <c r="O2128" i="1" s="1"/>
  <c r="H2127" i="1"/>
  <c r="M2127" i="1" s="1"/>
  <c r="O2127" i="1" s="1"/>
  <c r="L2129" i="1"/>
  <c r="M2129" i="1" s="1"/>
  <c r="N2129" i="1" s="1"/>
  <c r="L2130" i="1"/>
  <c r="M2130" i="1" s="1"/>
  <c r="O2130" i="1" s="1"/>
  <c r="K2139" i="1"/>
  <c r="J2157" i="1"/>
  <c r="J2155" i="1"/>
  <c r="L2155" i="1"/>
  <c r="L2156" i="1"/>
  <c r="J2156" i="1"/>
  <c r="H2125" i="1"/>
  <c r="H2124" i="1"/>
  <c r="M2124" i="1" s="1"/>
  <c r="O2124" i="1" s="1"/>
  <c r="K2123" i="1"/>
  <c r="I2120" i="1"/>
  <c r="I2119" i="1"/>
  <c r="L2120" i="1"/>
  <c r="M2120" i="1" s="1"/>
  <c r="O2120" i="1" s="1"/>
  <c r="L2119" i="1"/>
  <c r="M2119" i="1" s="1"/>
  <c r="O2119" i="1" s="1"/>
  <c r="H2122" i="1"/>
  <c r="M2122" i="1" s="1"/>
  <c r="O2122" i="1" s="1"/>
  <c r="H2121" i="1"/>
  <c r="M2121" i="1" s="1"/>
  <c r="O2121" i="1" s="1"/>
  <c r="M2118" i="1"/>
  <c r="O2118" i="1" s="1"/>
  <c r="L2116" i="1"/>
  <c r="H2117" i="1"/>
  <c r="M2117" i="1" s="1"/>
  <c r="O2117" i="1" s="1"/>
  <c r="H2116" i="1"/>
  <c r="H2115" i="1"/>
  <c r="M2115" i="1" s="1"/>
  <c r="O2115" i="1" s="1"/>
  <c r="L2114" i="1"/>
  <c r="H2114" i="1"/>
  <c r="H2113" i="1"/>
  <c r="M2113" i="1" s="1"/>
  <c r="O2113" i="1" s="1"/>
  <c r="L2112" i="1"/>
  <c r="H2112" i="1"/>
  <c r="H2111" i="1"/>
  <c r="M2111" i="1" s="1"/>
  <c r="O2111" i="1" s="1"/>
  <c r="H2110" i="1"/>
  <c r="M2110" i="1" s="1"/>
  <c r="O2110" i="1" s="1"/>
  <c r="H2109" i="1"/>
  <c r="J2125" i="1"/>
  <c r="J2131" i="1" s="1"/>
  <c r="K2125" i="1"/>
  <c r="H2106" i="1"/>
  <c r="M2106" i="1" s="1"/>
  <c r="O2106" i="1" s="1"/>
  <c r="H2105" i="1"/>
  <c r="M2105" i="1" s="1"/>
  <c r="O2105" i="1" s="1"/>
  <c r="H2104" i="1"/>
  <c r="M2104" i="1" s="1"/>
  <c r="O2104" i="1" s="1"/>
  <c r="H2103" i="1"/>
  <c r="M2103" i="1" s="1"/>
  <c r="O2103" i="1" s="1"/>
  <c r="H2102" i="1"/>
  <c r="M2102" i="1" s="1"/>
  <c r="O2102" i="1" s="1"/>
  <c r="H2101" i="1"/>
  <c r="M2101" i="1" s="1"/>
  <c r="O2101" i="1" s="1"/>
  <c r="H2100" i="1"/>
  <c r="M2100" i="1" s="1"/>
  <c r="O2100" i="1" s="1"/>
  <c r="H2099" i="1"/>
  <c r="M2098" i="1"/>
  <c r="I2098" i="1"/>
  <c r="I2107" i="1" s="1"/>
  <c r="C88" i="3" s="1"/>
  <c r="H2094" i="1"/>
  <c r="M2094" i="1" s="1"/>
  <c r="O2094" i="1" s="1"/>
  <c r="H2095" i="1"/>
  <c r="M2095" i="1" s="1"/>
  <c r="O2095" i="1" s="1"/>
  <c r="H2093" i="1"/>
  <c r="M2093" i="1" s="1"/>
  <c r="O2093" i="1" s="1"/>
  <c r="H2092" i="1"/>
  <c r="M2092" i="1" s="1"/>
  <c r="O2092" i="1" s="1"/>
  <c r="H2091" i="1"/>
  <c r="M2091" i="1" s="1"/>
  <c r="O2091" i="1" s="1"/>
  <c r="H2090" i="1"/>
  <c r="M2090" i="1" s="1"/>
  <c r="O2090" i="1" s="1"/>
  <c r="H2089" i="1"/>
  <c r="M2089" i="1" s="1"/>
  <c r="O2089" i="1" s="1"/>
  <c r="H2088" i="1"/>
  <c r="M2088" i="1" s="1"/>
  <c r="O2088" i="1" s="1"/>
  <c r="I2087" i="1"/>
  <c r="M2087" i="1"/>
  <c r="O2087" i="1" s="1"/>
  <c r="M2086" i="1"/>
  <c r="O2086" i="1" s="1"/>
  <c r="H2085" i="1"/>
  <c r="M2085" i="1" s="1"/>
  <c r="O2085" i="1" s="1"/>
  <c r="H2084" i="1"/>
  <c r="M2084" i="1" s="1"/>
  <c r="O2084" i="1" s="1"/>
  <c r="H2083" i="1"/>
  <c r="M2083" i="1" s="1"/>
  <c r="O2083" i="1" s="1"/>
  <c r="H2082" i="1"/>
  <c r="M2082" i="1" s="1"/>
  <c r="O2082" i="1" s="1"/>
  <c r="H2081" i="1"/>
  <c r="M2081" i="1" s="1"/>
  <c r="O2081" i="1" s="1"/>
  <c r="H2080" i="1"/>
  <c r="I2080" i="1" s="1"/>
  <c r="H2079" i="1"/>
  <c r="I2079" i="1" s="1"/>
  <c r="M2078" i="1"/>
  <c r="O2078" i="1" s="1"/>
  <c r="H2077" i="1"/>
  <c r="M2077" i="1" s="1"/>
  <c r="O2077" i="1" s="1"/>
  <c r="H2075" i="1"/>
  <c r="M2075" i="1" s="1"/>
  <c r="O2075" i="1" s="1"/>
  <c r="H2076" i="1"/>
  <c r="M2076" i="1" s="1"/>
  <c r="O2076" i="1" s="1"/>
  <c r="H2074" i="1"/>
  <c r="M2074" i="1" s="1"/>
  <c r="O2074" i="1" s="1"/>
  <c r="L2073" i="1"/>
  <c r="L2072" i="1"/>
  <c r="H2072" i="1"/>
  <c r="H2073" i="1"/>
  <c r="H2071" i="1"/>
  <c r="M2071" i="1" s="1"/>
  <c r="O2071" i="1" s="1"/>
  <c r="H2070" i="1"/>
  <c r="M2069" i="1"/>
  <c r="H2066" i="1"/>
  <c r="H2065" i="1"/>
  <c r="M2065" i="1" s="1"/>
  <c r="O2065" i="1" s="1"/>
  <c r="H2062" i="1"/>
  <c r="M2062" i="1" s="1"/>
  <c r="O2062" i="1" s="1"/>
  <c r="H2063" i="1"/>
  <c r="M2063" i="1" s="1"/>
  <c r="O2063" i="1" s="1"/>
  <c r="H2064" i="1"/>
  <c r="M2064" i="1" s="1"/>
  <c r="O2064" i="1" s="1"/>
  <c r="L2061" i="1"/>
  <c r="H2061" i="1"/>
  <c r="H2060" i="1"/>
  <c r="H2059" i="1"/>
  <c r="M2059" i="1" s="1"/>
  <c r="O2059" i="1" s="1"/>
  <c r="H2058" i="1"/>
  <c r="M2058" i="1" s="1"/>
  <c r="O2058" i="1" s="1"/>
  <c r="J2099" i="1"/>
  <c r="J2107" i="1" s="1"/>
  <c r="L2099" i="1"/>
  <c r="L2107" i="1" s="1"/>
  <c r="H2057" i="1"/>
  <c r="M2057" i="1" s="1"/>
  <c r="O2057" i="1" s="1"/>
  <c r="H2056" i="1"/>
  <c r="M2056" i="1" s="1"/>
  <c r="O2056" i="1" s="1"/>
  <c r="M2055" i="1"/>
  <c r="O2055" i="1" s="1"/>
  <c r="H2054" i="1"/>
  <c r="M2054" i="1" s="1"/>
  <c r="O2054" i="1" s="1"/>
  <c r="H2053" i="1"/>
  <c r="L2050" i="1"/>
  <c r="H2050" i="1"/>
  <c r="H2049" i="1"/>
  <c r="H2048" i="1"/>
  <c r="M2048" i="1" s="1"/>
  <c r="O2048" i="1" s="1"/>
  <c r="H2047" i="1"/>
  <c r="N2" i="3" l="1"/>
  <c r="G97" i="3"/>
  <c r="L2274" i="1"/>
  <c r="M2248" i="1"/>
  <c r="H2274" i="1"/>
  <c r="B96" i="3" s="1"/>
  <c r="L2230" i="1"/>
  <c r="L2246" i="1"/>
  <c r="M2232" i="1"/>
  <c r="H2246" i="1"/>
  <c r="M2215" i="1"/>
  <c r="H2230" i="1"/>
  <c r="M2199" i="1"/>
  <c r="H2213" i="1"/>
  <c r="B93" i="3" s="1"/>
  <c r="M2168" i="1"/>
  <c r="H2197" i="1"/>
  <c r="B92" i="3" s="1"/>
  <c r="L2197" i="1"/>
  <c r="J2166" i="1"/>
  <c r="H2166" i="1"/>
  <c r="B91" i="3" s="1"/>
  <c r="L2131" i="1"/>
  <c r="M2153" i="1"/>
  <c r="O2153" i="1" s="1"/>
  <c r="L2166" i="1"/>
  <c r="I2096" i="1"/>
  <c r="C87" i="3" s="1"/>
  <c r="L2150" i="1"/>
  <c r="M2139" i="1"/>
  <c r="O2139" i="1" s="1"/>
  <c r="K2150" i="1"/>
  <c r="M2133" i="1"/>
  <c r="H2150" i="1"/>
  <c r="I2131" i="1"/>
  <c r="C89" i="3" s="1"/>
  <c r="M2109" i="1"/>
  <c r="H2131" i="1"/>
  <c r="B89" i="3" s="1"/>
  <c r="F89" i="3" s="1"/>
  <c r="K89" i="3" s="1"/>
  <c r="M2123" i="1"/>
  <c r="O2123" i="1" s="1"/>
  <c r="K2131" i="1"/>
  <c r="H2107" i="1"/>
  <c r="N2098" i="1"/>
  <c r="N2107" i="1" s="1"/>
  <c r="L2096" i="1"/>
  <c r="O2069" i="1"/>
  <c r="M2070" i="1"/>
  <c r="O2070" i="1" s="1"/>
  <c r="H2096" i="1"/>
  <c r="M2053" i="1"/>
  <c r="H2067" i="1"/>
  <c r="B86" i="3" s="1"/>
  <c r="M2270" i="1"/>
  <c r="O2270" i="1" s="1"/>
  <c r="N2269" i="1"/>
  <c r="N2274" i="1" s="1"/>
  <c r="I2269" i="1"/>
  <c r="I2274" i="1" s="1"/>
  <c r="C96" i="3" s="1"/>
  <c r="M2268" i="1"/>
  <c r="O2268" i="1" s="1"/>
  <c r="M2267" i="1"/>
  <c r="O2267" i="1" s="1"/>
  <c r="M2262" i="1"/>
  <c r="O2262" i="1" s="1"/>
  <c r="M2263" i="1"/>
  <c r="O2263" i="1" s="1"/>
  <c r="M2260" i="1"/>
  <c r="O2260" i="1" s="1"/>
  <c r="M2259" i="1"/>
  <c r="O2259" i="1" s="1"/>
  <c r="M2254" i="1"/>
  <c r="O2254" i="1" s="1"/>
  <c r="M2252" i="1"/>
  <c r="M2253" i="1"/>
  <c r="O2253" i="1" s="1"/>
  <c r="M2244" i="1"/>
  <c r="O2244" i="1" s="1"/>
  <c r="M2245" i="1"/>
  <c r="M2242" i="1"/>
  <c r="O2242" i="1" s="1"/>
  <c r="M2238" i="1"/>
  <c r="O2238" i="1" s="1"/>
  <c r="M2234" i="1"/>
  <c r="O2234" i="1" s="1"/>
  <c r="M2226" i="1"/>
  <c r="O2226" i="1" s="1"/>
  <c r="M2225" i="1"/>
  <c r="O2225" i="1" s="1"/>
  <c r="M2223" i="1"/>
  <c r="M2219" i="1"/>
  <c r="O2219" i="1" s="1"/>
  <c r="M2212" i="1"/>
  <c r="N2212" i="1" s="1"/>
  <c r="M2211" i="1"/>
  <c r="O2211" i="1" s="1"/>
  <c r="I2204" i="1"/>
  <c r="I2213" i="1" s="1"/>
  <c r="C93" i="3" s="1"/>
  <c r="O2204" i="1"/>
  <c r="M2202" i="1"/>
  <c r="O2202" i="1" s="1"/>
  <c r="M2196" i="1"/>
  <c r="O2196" i="1" s="1"/>
  <c r="M2191" i="1"/>
  <c r="O2191" i="1" s="1"/>
  <c r="M2184" i="1"/>
  <c r="O2184" i="1" s="1"/>
  <c r="O2183" i="1"/>
  <c r="N2183" i="1"/>
  <c r="I2183" i="1"/>
  <c r="I2177" i="1"/>
  <c r="M2178" i="1"/>
  <c r="O2178" i="1" s="1"/>
  <c r="N2177" i="1"/>
  <c r="N2197" i="1" s="1"/>
  <c r="M2179" i="1"/>
  <c r="O2179" i="1" s="1"/>
  <c r="M2175" i="1"/>
  <c r="O2175" i="1" s="1"/>
  <c r="M2171" i="1"/>
  <c r="O2171" i="1" s="1"/>
  <c r="M2170" i="1"/>
  <c r="O2170" i="1" s="1"/>
  <c r="M2169" i="1"/>
  <c r="O2169" i="1" s="1"/>
  <c r="M2165" i="1"/>
  <c r="O2165" i="1" s="1"/>
  <c r="I2163" i="1"/>
  <c r="I2166" i="1" s="1"/>
  <c r="C91" i="3" s="1"/>
  <c r="M2161" i="1"/>
  <c r="O2161" i="1" s="1"/>
  <c r="O2163" i="1"/>
  <c r="N2163" i="1"/>
  <c r="N2166" i="1" s="1"/>
  <c r="M2162" i="1"/>
  <c r="O2162" i="1" s="1"/>
  <c r="M2155" i="1"/>
  <c r="O2155" i="1" s="1"/>
  <c r="M2159" i="1"/>
  <c r="O2159" i="1" s="1"/>
  <c r="M2156" i="1"/>
  <c r="O2156" i="1" s="1"/>
  <c r="M2157" i="1"/>
  <c r="O2157" i="1" s="1"/>
  <c r="M2152" i="1"/>
  <c r="M2143" i="1"/>
  <c r="O2143" i="1" s="1"/>
  <c r="O2140" i="1"/>
  <c r="O2129" i="1"/>
  <c r="N2130" i="1"/>
  <c r="M2125" i="1"/>
  <c r="O2125" i="1" s="1"/>
  <c r="N2119" i="1"/>
  <c r="N2120" i="1"/>
  <c r="M2116" i="1"/>
  <c r="O2116" i="1" s="1"/>
  <c r="M2112" i="1"/>
  <c r="O2112" i="1" s="1"/>
  <c r="M2114" i="1"/>
  <c r="O2114" i="1" s="1"/>
  <c r="M2079" i="1"/>
  <c r="N2079" i="1" s="1"/>
  <c r="M2080" i="1"/>
  <c r="M2099" i="1"/>
  <c r="O2099" i="1" s="1"/>
  <c r="O2098" i="1"/>
  <c r="N2087" i="1"/>
  <c r="M2072" i="1"/>
  <c r="O2072" i="1" s="1"/>
  <c r="M2073" i="1"/>
  <c r="O2073" i="1" s="1"/>
  <c r="M2061" i="1"/>
  <c r="O2061" i="1" s="1"/>
  <c r="I2058" i="1"/>
  <c r="I2067" i="1" s="1"/>
  <c r="C86" i="3" s="1"/>
  <c r="N2058" i="1"/>
  <c r="N2067" i="1" s="1"/>
  <c r="M2050" i="1"/>
  <c r="O2050" i="1" s="1"/>
  <c r="H2046" i="1"/>
  <c r="M2046" i="1" s="1"/>
  <c r="O2046" i="1" s="1"/>
  <c r="H2045" i="1"/>
  <c r="M2045" i="1" s="1"/>
  <c r="O2045" i="1" s="1"/>
  <c r="H2044" i="1"/>
  <c r="M2044" i="1" s="1"/>
  <c r="O2044" i="1" s="1"/>
  <c r="L2066" i="1"/>
  <c r="L2067" i="1" s="1"/>
  <c r="L2043" i="1"/>
  <c r="H2043" i="1"/>
  <c r="H2042" i="1"/>
  <c r="M2042" i="1" s="1"/>
  <c r="O2042" i="1" s="1"/>
  <c r="H2041" i="1"/>
  <c r="M2041" i="1" s="1"/>
  <c r="O2041" i="1" s="1"/>
  <c r="J2060" i="1"/>
  <c r="J2067" i="1" s="1"/>
  <c r="H2040" i="1"/>
  <c r="M2040" i="1" s="1"/>
  <c r="O2040" i="1" s="1"/>
  <c r="H2039" i="1"/>
  <c r="J2049" i="1"/>
  <c r="J2051" i="1" s="1"/>
  <c r="H2036" i="1"/>
  <c r="M2036" i="1" s="1"/>
  <c r="O2036" i="1" s="1"/>
  <c r="H2035" i="1"/>
  <c r="M2035" i="1" s="1"/>
  <c r="O2035" i="1" s="1"/>
  <c r="H2031" i="1"/>
  <c r="M2031" i="1" s="1"/>
  <c r="O2031" i="1" s="1"/>
  <c r="H2033" i="1"/>
  <c r="M2033" i="1" s="1"/>
  <c r="O2033" i="1" s="1"/>
  <c r="H2034" i="1"/>
  <c r="M2034" i="1" s="1"/>
  <c r="O2034" i="1" s="1"/>
  <c r="H2032" i="1"/>
  <c r="M2032" i="1" s="1"/>
  <c r="O2032" i="1" s="1"/>
  <c r="H2030" i="1"/>
  <c r="M2030" i="1" s="1"/>
  <c r="O2030" i="1" s="1"/>
  <c r="H2028" i="1"/>
  <c r="H2029" i="1"/>
  <c r="M2029" i="1" s="1"/>
  <c r="O2029" i="1" s="1"/>
  <c r="H2026" i="1"/>
  <c r="M2026" i="1" s="1"/>
  <c r="O2026" i="1" s="1"/>
  <c r="H2027" i="1"/>
  <c r="M2027" i="1" s="1"/>
  <c r="O2027" i="1" s="1"/>
  <c r="H2025" i="1"/>
  <c r="M2025" i="1" s="1"/>
  <c r="O2025" i="1" s="1"/>
  <c r="H2024" i="1"/>
  <c r="M2024" i="1" s="1"/>
  <c r="O2024" i="1" s="1"/>
  <c r="L2047" i="1"/>
  <c r="M2047" i="1" s="1"/>
  <c r="O2047" i="1" s="1"/>
  <c r="H2018" i="1"/>
  <c r="M2018" i="1" s="1"/>
  <c r="O2018" i="1" s="1"/>
  <c r="L2022" i="1"/>
  <c r="L2037" i="1" s="1"/>
  <c r="H2023" i="1"/>
  <c r="M2023" i="1" s="1"/>
  <c r="O2023" i="1" s="1"/>
  <c r="H2022" i="1"/>
  <c r="H2021" i="1"/>
  <c r="M2021" i="1" s="1"/>
  <c r="O2021" i="1" s="1"/>
  <c r="H2020" i="1"/>
  <c r="M2020" i="1" s="1"/>
  <c r="O2020" i="1" s="1"/>
  <c r="H2019" i="1"/>
  <c r="M2019" i="1" s="1"/>
  <c r="O2019" i="1" s="1"/>
  <c r="H2016" i="1"/>
  <c r="M2016" i="1" s="1"/>
  <c r="O2016" i="1" s="1"/>
  <c r="H2017" i="1"/>
  <c r="M2017" i="1" s="1"/>
  <c r="O2017" i="1" s="1"/>
  <c r="H2015" i="1"/>
  <c r="M2015" i="1" s="1"/>
  <c r="O2015" i="1" s="1"/>
  <c r="H2014" i="1"/>
  <c r="H2011" i="1"/>
  <c r="M2011" i="1" s="1"/>
  <c r="O2011" i="1" s="1"/>
  <c r="H2009" i="1"/>
  <c r="M2009" i="1" s="1"/>
  <c r="O2009" i="1" s="1"/>
  <c r="H2007" i="1"/>
  <c r="M2007" i="1" s="1"/>
  <c r="O2007" i="1" s="1"/>
  <c r="H2010" i="1"/>
  <c r="M2010" i="1" s="1"/>
  <c r="O2010" i="1" s="1"/>
  <c r="H2008" i="1"/>
  <c r="H2006" i="1"/>
  <c r="M2006" i="1" s="1"/>
  <c r="O2006" i="1" s="1"/>
  <c r="H2005" i="1"/>
  <c r="M2005" i="1" s="1"/>
  <c r="O2005" i="1" s="1"/>
  <c r="H2004" i="1"/>
  <c r="M2004" i="1" s="1"/>
  <c r="O2004" i="1" s="1"/>
  <c r="H2003" i="1"/>
  <c r="M2003" i="1" s="1"/>
  <c r="O2003" i="1" s="1"/>
  <c r="H2002" i="1"/>
  <c r="M2002" i="1" s="1"/>
  <c r="O2002" i="1" s="1"/>
  <c r="L2001" i="1"/>
  <c r="H2000" i="1"/>
  <c r="M2000" i="1" s="1"/>
  <c r="O2000" i="1" s="1"/>
  <c r="H2001" i="1"/>
  <c r="I2001" i="1" s="1"/>
  <c r="H1999" i="1"/>
  <c r="M1999" i="1" s="1"/>
  <c r="O1999" i="1" s="1"/>
  <c r="H1998" i="1"/>
  <c r="M1998" i="1" s="1"/>
  <c r="O1998" i="1" s="1"/>
  <c r="H1997" i="1"/>
  <c r="M1997" i="1" s="1"/>
  <c r="O1997" i="1" s="1"/>
  <c r="H1996" i="1"/>
  <c r="M1996" i="1" s="1"/>
  <c r="O1996" i="1" s="1"/>
  <c r="H1995" i="1"/>
  <c r="H1994" i="1"/>
  <c r="M1994" i="1" s="1"/>
  <c r="O1994" i="1" s="1"/>
  <c r="H1993" i="1"/>
  <c r="M1993" i="1" s="1"/>
  <c r="O1993" i="1" s="1"/>
  <c r="H1992" i="1"/>
  <c r="I1992" i="1" s="1"/>
  <c r="I2012" i="1" s="1"/>
  <c r="C83" i="3" s="1"/>
  <c r="H1991" i="1"/>
  <c r="M1991" i="1" s="1"/>
  <c r="O1991" i="1" s="1"/>
  <c r="H1989" i="1"/>
  <c r="M1989" i="1" s="1"/>
  <c r="O1989" i="1" s="1"/>
  <c r="H1990" i="1"/>
  <c r="M1990" i="1" s="1"/>
  <c r="O1990" i="1" s="1"/>
  <c r="H1988" i="1"/>
  <c r="H1985" i="1"/>
  <c r="M1985" i="1" s="1"/>
  <c r="O1985" i="1" s="1"/>
  <c r="L2008" i="1"/>
  <c r="H1984" i="1"/>
  <c r="N89" i="3" l="1"/>
  <c r="F86" i="3"/>
  <c r="K86" i="3" s="1"/>
  <c r="F91" i="3"/>
  <c r="K91" i="3" s="1"/>
  <c r="F93" i="3"/>
  <c r="K93" i="3" s="1"/>
  <c r="F96" i="3"/>
  <c r="K96" i="3" s="1"/>
  <c r="G2096" i="1"/>
  <c r="B87" i="3"/>
  <c r="F87" i="3" s="1"/>
  <c r="K87" i="3" s="1"/>
  <c r="G2107" i="1"/>
  <c r="B88" i="3"/>
  <c r="F88" i="3" s="1"/>
  <c r="K88" i="3" s="1"/>
  <c r="G2246" i="1"/>
  <c r="B95" i="3"/>
  <c r="F95" i="3" s="1"/>
  <c r="K95" i="3" s="1"/>
  <c r="G2150" i="1"/>
  <c r="B90" i="3"/>
  <c r="F90" i="3" s="1"/>
  <c r="K90" i="3" s="1"/>
  <c r="G2230" i="1"/>
  <c r="B94" i="3"/>
  <c r="F94" i="3" s="1"/>
  <c r="K94" i="3" s="1"/>
  <c r="G2274" i="1"/>
  <c r="O2248" i="1"/>
  <c r="M2274" i="1"/>
  <c r="O2232" i="1"/>
  <c r="M2246" i="1"/>
  <c r="O2215" i="1"/>
  <c r="M2230" i="1"/>
  <c r="G2166" i="1"/>
  <c r="G2213" i="1"/>
  <c r="O2199" i="1"/>
  <c r="M2213" i="1"/>
  <c r="I2197" i="1"/>
  <c r="O2168" i="1"/>
  <c r="M2197" i="1"/>
  <c r="O2152" i="1"/>
  <c r="M2166" i="1"/>
  <c r="G2131" i="1"/>
  <c r="O2133" i="1"/>
  <c r="M2150" i="1"/>
  <c r="N2131" i="1"/>
  <c r="O2109" i="1"/>
  <c r="M2131" i="1"/>
  <c r="M2107" i="1"/>
  <c r="M2096" i="1"/>
  <c r="H2051" i="1"/>
  <c r="G2067" i="1"/>
  <c r="O2053" i="1"/>
  <c r="L2051" i="1"/>
  <c r="M2014" i="1"/>
  <c r="H2037" i="1"/>
  <c r="M1988" i="1"/>
  <c r="H2012" i="1"/>
  <c r="O2252" i="1"/>
  <c r="O2245" i="1"/>
  <c r="N2245" i="1"/>
  <c r="N2246" i="1" s="1"/>
  <c r="O2212" i="1"/>
  <c r="O2223" i="1"/>
  <c r="N2223" i="1"/>
  <c r="N2230" i="1" s="1"/>
  <c r="N2211" i="1"/>
  <c r="N2213" i="1" s="1"/>
  <c r="N2080" i="1"/>
  <c r="N2096" i="1" s="1"/>
  <c r="O2079" i="1"/>
  <c r="O2080" i="1"/>
  <c r="M2066" i="1"/>
  <c r="O2066" i="1" s="1"/>
  <c r="M2060" i="1"/>
  <c r="M2043" i="1"/>
  <c r="O2043" i="1" s="1"/>
  <c r="M2049" i="1"/>
  <c r="O2049" i="1" s="1"/>
  <c r="M2039" i="1"/>
  <c r="M2028" i="1"/>
  <c r="O2028" i="1" s="1"/>
  <c r="M2022" i="1"/>
  <c r="O2022" i="1" s="1"/>
  <c r="M2008" i="1"/>
  <c r="O2008" i="1" s="1"/>
  <c r="M2001" i="1"/>
  <c r="M1992" i="1"/>
  <c r="H1983" i="1"/>
  <c r="M1983" i="1" s="1"/>
  <c r="O1983" i="1" s="1"/>
  <c r="H1982" i="1"/>
  <c r="M1982" i="1" s="1"/>
  <c r="O1982" i="1" s="1"/>
  <c r="H1981" i="1"/>
  <c r="M1981" i="1" s="1"/>
  <c r="O1981" i="1" s="1"/>
  <c r="H1980" i="1"/>
  <c r="M1980" i="1" s="1"/>
  <c r="O1980" i="1" s="1"/>
  <c r="H1979" i="1"/>
  <c r="M1979" i="1" s="1"/>
  <c r="O1979" i="1" s="1"/>
  <c r="H1978" i="1"/>
  <c r="M1978" i="1" s="1"/>
  <c r="O1978" i="1" s="1"/>
  <c r="H1977" i="1"/>
  <c r="M1977" i="1" s="1"/>
  <c r="O1977" i="1" s="1"/>
  <c r="H1976" i="1"/>
  <c r="M1976" i="1" s="1"/>
  <c r="O1976" i="1" s="1"/>
  <c r="H1970" i="1"/>
  <c r="M1970" i="1" s="1"/>
  <c r="O1970" i="1" s="1"/>
  <c r="H1975" i="1"/>
  <c r="M1975" i="1" s="1"/>
  <c r="O1975" i="1" s="1"/>
  <c r="H1974" i="1"/>
  <c r="M1974" i="1" s="1"/>
  <c r="O1974" i="1" s="1"/>
  <c r="H1973" i="1"/>
  <c r="M1973" i="1" s="1"/>
  <c r="O1973" i="1" s="1"/>
  <c r="H1972" i="1"/>
  <c r="M1972" i="1" s="1"/>
  <c r="O1972" i="1" s="1"/>
  <c r="M1968" i="1"/>
  <c r="O1968" i="1" s="1"/>
  <c r="H1971" i="1"/>
  <c r="M1971" i="1" s="1"/>
  <c r="O1971" i="1" s="1"/>
  <c r="H1969" i="1"/>
  <c r="M1969" i="1" s="1"/>
  <c r="O1969" i="1" s="1"/>
  <c r="L1995" i="1"/>
  <c r="L2012" i="1" s="1"/>
  <c r="L1984" i="1"/>
  <c r="H1967" i="1"/>
  <c r="M1967" i="1" s="1"/>
  <c r="O1967" i="1" s="1"/>
  <c r="H1966" i="1"/>
  <c r="H1963" i="1"/>
  <c r="M1963" i="1" s="1"/>
  <c r="O1963" i="1" s="1"/>
  <c r="L1962" i="1"/>
  <c r="M1962" i="1" s="1"/>
  <c r="O1962" i="1" s="1"/>
  <c r="L1959" i="1"/>
  <c r="H1961" i="1"/>
  <c r="M1961" i="1" s="1"/>
  <c r="O1961" i="1" s="1"/>
  <c r="H1960" i="1"/>
  <c r="M1960" i="1" s="1"/>
  <c r="O1960" i="1" s="1"/>
  <c r="N94" i="3" l="1"/>
  <c r="N90" i="3"/>
  <c r="N95" i="3"/>
  <c r="N88" i="3"/>
  <c r="N87" i="3"/>
  <c r="N96" i="3"/>
  <c r="N93" i="3"/>
  <c r="N91" i="3"/>
  <c r="N86" i="3"/>
  <c r="G2197" i="1"/>
  <c r="C92" i="3"/>
  <c r="F92" i="3" s="1"/>
  <c r="K92" i="3" s="1"/>
  <c r="G2012" i="1"/>
  <c r="B83" i="3"/>
  <c r="F83" i="3" s="1"/>
  <c r="K83" i="3" s="1"/>
  <c r="G2037" i="1"/>
  <c r="B84" i="3"/>
  <c r="F84" i="3" s="1"/>
  <c r="K84" i="3" s="1"/>
  <c r="G2051" i="1"/>
  <c r="B85" i="3"/>
  <c r="F85" i="3" s="1"/>
  <c r="K85" i="3" s="1"/>
  <c r="F2274" i="1"/>
  <c r="O2274" i="1"/>
  <c r="O2246" i="1"/>
  <c r="F2230" i="1"/>
  <c r="O2230" i="1"/>
  <c r="F2213" i="1"/>
  <c r="O2213" i="1"/>
  <c r="F2197" i="1"/>
  <c r="O2197" i="1"/>
  <c r="F2166" i="1"/>
  <c r="O2166" i="1"/>
  <c r="F2150" i="1"/>
  <c r="O2150" i="1"/>
  <c r="F2131" i="1"/>
  <c r="O2131" i="1"/>
  <c r="F2107" i="1"/>
  <c r="O2107" i="1"/>
  <c r="F2096" i="1"/>
  <c r="O2096" i="1"/>
  <c r="M2067" i="1"/>
  <c r="M2051" i="1"/>
  <c r="O2014" i="1"/>
  <c r="M2037" i="1"/>
  <c r="O1988" i="1"/>
  <c r="M1984" i="1"/>
  <c r="O1984" i="1" s="1"/>
  <c r="L1986" i="1"/>
  <c r="M1966" i="1"/>
  <c r="H1986" i="1"/>
  <c r="L1964" i="1"/>
  <c r="O2060" i="1"/>
  <c r="O2039" i="1"/>
  <c r="M1995" i="1"/>
  <c r="O1995" i="1" s="1"/>
  <c r="O2001" i="1"/>
  <c r="N2001" i="1"/>
  <c r="N1992" i="1"/>
  <c r="O1992" i="1"/>
  <c r="N85" i="3" l="1"/>
  <c r="N84" i="3"/>
  <c r="N83" i="3"/>
  <c r="N92" i="3"/>
  <c r="G1986" i="1"/>
  <c r="B82" i="3"/>
  <c r="F82" i="3" s="1"/>
  <c r="K82" i="3" s="1"/>
  <c r="F2067" i="1"/>
  <c r="O2067" i="1"/>
  <c r="F2051" i="1"/>
  <c r="O2051" i="1"/>
  <c r="F2037" i="1"/>
  <c r="O2037" i="1"/>
  <c r="M2012" i="1"/>
  <c r="N2012" i="1"/>
  <c r="O1966" i="1"/>
  <c r="M1986" i="1"/>
  <c r="N82" i="3" l="1"/>
  <c r="F2012" i="1"/>
  <c r="O2012" i="1"/>
  <c r="F1986" i="1"/>
  <c r="O1986" i="1"/>
  <c r="M1959" i="1"/>
  <c r="O1959" i="1" s="1"/>
  <c r="H1955" i="1"/>
  <c r="M1955" i="1" s="1"/>
  <c r="O1955" i="1" s="1"/>
  <c r="H1956" i="1"/>
  <c r="M1956" i="1" s="1"/>
  <c r="O1956" i="1" s="1"/>
  <c r="H1957" i="1"/>
  <c r="M1957" i="1" s="1"/>
  <c r="O1957" i="1" s="1"/>
  <c r="H1958" i="1"/>
  <c r="M1958" i="1" s="1"/>
  <c r="O1958" i="1" s="1"/>
  <c r="H1952" i="1"/>
  <c r="M1952" i="1" s="1"/>
  <c r="O1952" i="1" s="1"/>
  <c r="H1953" i="1"/>
  <c r="M1953" i="1" s="1"/>
  <c r="O1953" i="1" s="1"/>
  <c r="H1954" i="1"/>
  <c r="M1954" i="1" s="1"/>
  <c r="O1954" i="1" s="1"/>
  <c r="H1949" i="1"/>
  <c r="H1950" i="1"/>
  <c r="M1950" i="1" s="1"/>
  <c r="O1950" i="1" s="1"/>
  <c r="H1951" i="1"/>
  <c r="M1951" i="1" s="1"/>
  <c r="O1951" i="1" s="1"/>
  <c r="H1948" i="1"/>
  <c r="M1948" i="1" s="1"/>
  <c r="O1948" i="1" s="1"/>
  <c r="H1947" i="1"/>
  <c r="M1947" i="1" s="1"/>
  <c r="O1947" i="1" s="1"/>
  <c r="H1946" i="1"/>
  <c r="H1943" i="1"/>
  <c r="M1943" i="1" s="1"/>
  <c r="O1943" i="1" s="1"/>
  <c r="H1942" i="1"/>
  <c r="M1942" i="1" s="1"/>
  <c r="O1942" i="1" s="1"/>
  <c r="H1944" i="1"/>
  <c r="M1944" i="1" s="1"/>
  <c r="O1944" i="1" s="1"/>
  <c r="H1945" i="1"/>
  <c r="M1945" i="1" s="1"/>
  <c r="O1945" i="1" s="1"/>
  <c r="H1940" i="1"/>
  <c r="M1940" i="1" s="1"/>
  <c r="O1940" i="1" s="1"/>
  <c r="H1941" i="1"/>
  <c r="M1941" i="1" s="1"/>
  <c r="O1941" i="1" s="1"/>
  <c r="H1939" i="1"/>
  <c r="M1939" i="1" s="1"/>
  <c r="O1939" i="1" s="1"/>
  <c r="H1938" i="1"/>
  <c r="M1938" i="1" s="1"/>
  <c r="H1937" i="1"/>
  <c r="M1937" i="1" s="1"/>
  <c r="O1937" i="1" s="1"/>
  <c r="H1936" i="1"/>
  <c r="H1933" i="1"/>
  <c r="M1933" i="1" s="1"/>
  <c r="O1933" i="1" s="1"/>
  <c r="H1931" i="1"/>
  <c r="M1931" i="1" s="1"/>
  <c r="O1931" i="1" s="1"/>
  <c r="H1932" i="1"/>
  <c r="M1932" i="1" s="1"/>
  <c r="O1932" i="1" s="1"/>
  <c r="H1930" i="1"/>
  <c r="M1930" i="1" s="1"/>
  <c r="O1930" i="1" s="1"/>
  <c r="H1929" i="1"/>
  <c r="M1929" i="1" s="1"/>
  <c r="O1929" i="1" s="1"/>
  <c r="H1928" i="1"/>
  <c r="M1928" i="1" s="1"/>
  <c r="O1928" i="1" s="1"/>
  <c r="H1927" i="1"/>
  <c r="M1927" i="1" s="1"/>
  <c r="O1927" i="1" s="1"/>
  <c r="H1926" i="1"/>
  <c r="M1926" i="1" s="1"/>
  <c r="O1926" i="1" s="1"/>
  <c r="M1925" i="1"/>
  <c r="O1925" i="1" s="1"/>
  <c r="H1924" i="1"/>
  <c r="M1924" i="1" s="1"/>
  <c r="O1924" i="1" s="1"/>
  <c r="H1923" i="1"/>
  <c r="M1923" i="1" s="1"/>
  <c r="O1923" i="1" s="1"/>
  <c r="H1921" i="1"/>
  <c r="M1921" i="1" s="1"/>
  <c r="O1921" i="1" s="1"/>
  <c r="H1922" i="1"/>
  <c r="M1922" i="1" s="1"/>
  <c r="O1922" i="1" s="1"/>
  <c r="H1920" i="1"/>
  <c r="I1920" i="1" s="1"/>
  <c r="H1919" i="1"/>
  <c r="M1919" i="1" s="1"/>
  <c r="O1919" i="1" s="1"/>
  <c r="H1918" i="1"/>
  <c r="M1918" i="1" s="1"/>
  <c r="O1918" i="1" s="1"/>
  <c r="M1917" i="1"/>
  <c r="O1917" i="1" s="1"/>
  <c r="H1916" i="1"/>
  <c r="M1916" i="1" s="1"/>
  <c r="O1916" i="1" s="1"/>
  <c r="H1915" i="1"/>
  <c r="M1915" i="1" s="1"/>
  <c r="O1915" i="1" s="1"/>
  <c r="H1913" i="1"/>
  <c r="M1913" i="1" s="1"/>
  <c r="O1913" i="1" s="1"/>
  <c r="H1914" i="1"/>
  <c r="M1914" i="1" s="1"/>
  <c r="O1914" i="1" s="1"/>
  <c r="H1912" i="1"/>
  <c r="H1909" i="1"/>
  <c r="M1909" i="1" s="1"/>
  <c r="O1909" i="1" s="1"/>
  <c r="H1964" i="1" l="1"/>
  <c r="B81" i="3" s="1"/>
  <c r="M1912" i="1"/>
  <c r="H1934" i="1"/>
  <c r="B80" i="3" s="1"/>
  <c r="M1936" i="1"/>
  <c r="M1946" i="1"/>
  <c r="I1949" i="1"/>
  <c r="M1949" i="1"/>
  <c r="I1938" i="1"/>
  <c r="O1938" i="1"/>
  <c r="N1938" i="1"/>
  <c r="I1932" i="1"/>
  <c r="N1932" i="1"/>
  <c r="I1929" i="1"/>
  <c r="N1929" i="1"/>
  <c r="M1920" i="1"/>
  <c r="O1920" i="1" s="1"/>
  <c r="H1908" i="1"/>
  <c r="M1908" i="1" s="1"/>
  <c r="O1908" i="1" s="1"/>
  <c r="H1907" i="1"/>
  <c r="M1907" i="1" s="1"/>
  <c r="O1907" i="1" s="1"/>
  <c r="H1906" i="1"/>
  <c r="M1906" i="1" s="1"/>
  <c r="O1906" i="1" s="1"/>
  <c r="H1904" i="1"/>
  <c r="H1905" i="1"/>
  <c r="M1905" i="1" s="1"/>
  <c r="O1905" i="1" s="1"/>
  <c r="L1904" i="1"/>
  <c r="L1910" i="1" s="1"/>
  <c r="H1903" i="1"/>
  <c r="M1903" i="1" s="1"/>
  <c r="O1903" i="1" s="1"/>
  <c r="H1902" i="1"/>
  <c r="M1902" i="1" s="1"/>
  <c r="O1902" i="1" s="1"/>
  <c r="H1901" i="1"/>
  <c r="M1901" i="1" s="1"/>
  <c r="O1901" i="1" s="1"/>
  <c r="H1899" i="1"/>
  <c r="M1899" i="1" s="1"/>
  <c r="O1899" i="1" s="1"/>
  <c r="H1900" i="1"/>
  <c r="M1900" i="1" s="1"/>
  <c r="O1900" i="1" s="1"/>
  <c r="H1898" i="1"/>
  <c r="M1898" i="1" s="1"/>
  <c r="O1898" i="1" s="1"/>
  <c r="H1896" i="1"/>
  <c r="M1896" i="1" s="1"/>
  <c r="O1896" i="1" s="1"/>
  <c r="H1897" i="1"/>
  <c r="M1897" i="1" s="1"/>
  <c r="O1897" i="1" s="1"/>
  <c r="H1895" i="1"/>
  <c r="M1895" i="1" s="1"/>
  <c r="O1895" i="1" s="1"/>
  <c r="H1894" i="1"/>
  <c r="M1894" i="1" s="1"/>
  <c r="O1894" i="1" s="1"/>
  <c r="H1893" i="1"/>
  <c r="M1893" i="1" s="1"/>
  <c r="M1891" i="1"/>
  <c r="H1892" i="1"/>
  <c r="M1888" i="1"/>
  <c r="O1888" i="1" s="1"/>
  <c r="H1887" i="1"/>
  <c r="M1887" i="1" s="1"/>
  <c r="O1887" i="1" s="1"/>
  <c r="H1886" i="1"/>
  <c r="I1886" i="1" s="1"/>
  <c r="H1885" i="1"/>
  <c r="M1885" i="1" s="1"/>
  <c r="O1885" i="1" s="1"/>
  <c r="H1884" i="1"/>
  <c r="M1884" i="1" s="1"/>
  <c r="O1884" i="1" s="1"/>
  <c r="H1881" i="1"/>
  <c r="H1880" i="1"/>
  <c r="M1880" i="1" s="1"/>
  <c r="O1880" i="1" s="1"/>
  <c r="H1879" i="1"/>
  <c r="M1879" i="1" s="1"/>
  <c r="O1879" i="1" s="1"/>
  <c r="H1878" i="1"/>
  <c r="M1878" i="1" s="1"/>
  <c r="O1878" i="1" s="1"/>
  <c r="H1875" i="1"/>
  <c r="M1875" i="1" s="1"/>
  <c r="O1875" i="1" s="1"/>
  <c r="H1876" i="1"/>
  <c r="M1876" i="1" s="1"/>
  <c r="O1876" i="1" s="1"/>
  <c r="H1877" i="1"/>
  <c r="M1877" i="1" s="1"/>
  <c r="H1874" i="1"/>
  <c r="M1874" i="1" s="1"/>
  <c r="O1874" i="1" s="1"/>
  <c r="H1873" i="1"/>
  <c r="M1873" i="1" s="1"/>
  <c r="O1873" i="1" s="1"/>
  <c r="M1872" i="1"/>
  <c r="O1872" i="1" s="1"/>
  <c r="H1871" i="1"/>
  <c r="M1871" i="1" s="1"/>
  <c r="O1871" i="1" s="1"/>
  <c r="H1869" i="1"/>
  <c r="M1869" i="1" s="1"/>
  <c r="O1869" i="1" s="1"/>
  <c r="H1870" i="1"/>
  <c r="M1870" i="1" s="1"/>
  <c r="O1870" i="1" s="1"/>
  <c r="H1868" i="1"/>
  <c r="M1868" i="1" s="1"/>
  <c r="O1868" i="1" s="1"/>
  <c r="H1867" i="1"/>
  <c r="H1864" i="1"/>
  <c r="M1864" i="1" s="1"/>
  <c r="O1864" i="1" s="1"/>
  <c r="H1862" i="1"/>
  <c r="M1862" i="1" s="1"/>
  <c r="O1862" i="1" s="1"/>
  <c r="M1863" i="1"/>
  <c r="O1863" i="1" s="1"/>
  <c r="H1861" i="1"/>
  <c r="M1861" i="1" s="1"/>
  <c r="O1861" i="1" s="1"/>
  <c r="H1860" i="1"/>
  <c r="M1860" i="1" s="1"/>
  <c r="O1860" i="1" s="1"/>
  <c r="H1859" i="1"/>
  <c r="M1859" i="1" s="1"/>
  <c r="O1859" i="1" s="1"/>
  <c r="H1858" i="1"/>
  <c r="M1858" i="1" s="1"/>
  <c r="O1858" i="1" s="1"/>
  <c r="H1857" i="1"/>
  <c r="M1857" i="1" s="1"/>
  <c r="O1857" i="1" s="1"/>
  <c r="H1856" i="1"/>
  <c r="M1856" i="1" s="1"/>
  <c r="O1856" i="1" s="1"/>
  <c r="I1964" i="1" l="1"/>
  <c r="M1964" i="1"/>
  <c r="I1934" i="1"/>
  <c r="O1912" i="1"/>
  <c r="M1934" i="1"/>
  <c r="O1891" i="1"/>
  <c r="H1910" i="1"/>
  <c r="B79" i="3" s="1"/>
  <c r="M1867" i="1"/>
  <c r="H1889" i="1"/>
  <c r="B78" i="3" s="1"/>
  <c r="O1936" i="1"/>
  <c r="O1946" i="1"/>
  <c r="O1949" i="1"/>
  <c r="N1949" i="1"/>
  <c r="N1964" i="1" s="1"/>
  <c r="N1920" i="1"/>
  <c r="N1934" i="1" s="1"/>
  <c r="I1892" i="1"/>
  <c r="M1904" i="1"/>
  <c r="O1904" i="1" s="1"/>
  <c r="I1893" i="1"/>
  <c r="N1893" i="1"/>
  <c r="O1893" i="1"/>
  <c r="M1892" i="1"/>
  <c r="O1892" i="1" s="1"/>
  <c r="M1886" i="1"/>
  <c r="N1886" i="1" s="1"/>
  <c r="O1877" i="1"/>
  <c r="N1877" i="1"/>
  <c r="I1877" i="1"/>
  <c r="I1889" i="1" s="1"/>
  <c r="C78" i="3" s="1"/>
  <c r="H1855" i="1"/>
  <c r="M1855" i="1" s="1"/>
  <c r="O1855" i="1" s="1"/>
  <c r="H1853" i="1"/>
  <c r="M1853" i="1" s="1"/>
  <c r="O1853" i="1" s="1"/>
  <c r="H1854" i="1"/>
  <c r="M1854" i="1" s="1"/>
  <c r="O1854" i="1" s="1"/>
  <c r="H1852" i="1"/>
  <c r="M1852" i="1" s="1"/>
  <c r="O1852" i="1" s="1"/>
  <c r="H1851" i="1"/>
  <c r="M1851" i="1" s="1"/>
  <c r="O1851" i="1" s="1"/>
  <c r="H1850" i="1"/>
  <c r="M1850" i="1" s="1"/>
  <c r="O1850" i="1" s="1"/>
  <c r="H1849" i="1"/>
  <c r="I1849" i="1" s="1"/>
  <c r="I1865" i="1" s="1"/>
  <c r="C77" i="3" s="1"/>
  <c r="H1848" i="1"/>
  <c r="M1848" i="1" s="1"/>
  <c r="O1848" i="1" s="1"/>
  <c r="H1847" i="1"/>
  <c r="M1847" i="1" s="1"/>
  <c r="O1847" i="1" s="1"/>
  <c r="H1845" i="1"/>
  <c r="M1845" i="1" s="1"/>
  <c r="O1845" i="1" s="1"/>
  <c r="H1846" i="1"/>
  <c r="M1846" i="1" s="1"/>
  <c r="O1846" i="1" s="1"/>
  <c r="H1843" i="1"/>
  <c r="M1843" i="1" s="1"/>
  <c r="O1843" i="1" s="1"/>
  <c r="H1844" i="1"/>
  <c r="M1844" i="1" s="1"/>
  <c r="O1844" i="1" s="1"/>
  <c r="H1841" i="1"/>
  <c r="M1841" i="1" s="1"/>
  <c r="O1841" i="1" s="1"/>
  <c r="H1842" i="1"/>
  <c r="M1842" i="1" s="1"/>
  <c r="O1842" i="1" s="1"/>
  <c r="H1840" i="1"/>
  <c r="M1840" i="1" s="1"/>
  <c r="O1840" i="1" s="1"/>
  <c r="H1839" i="1"/>
  <c r="H1835" i="1"/>
  <c r="M1835" i="1" s="1"/>
  <c r="O1835" i="1" s="1"/>
  <c r="H1834" i="1"/>
  <c r="M1834" i="1" s="1"/>
  <c r="O1834" i="1" s="1"/>
  <c r="H1833" i="1"/>
  <c r="I1833" i="1" s="1"/>
  <c r="I1837" i="1" s="1"/>
  <c r="C76" i="3" s="1"/>
  <c r="H1832" i="1"/>
  <c r="M1832" i="1" s="1"/>
  <c r="O1832" i="1" s="1"/>
  <c r="H1831" i="1"/>
  <c r="M1831" i="1" s="1"/>
  <c r="O1831" i="1" s="1"/>
  <c r="H1830" i="1"/>
  <c r="M1830" i="1" s="1"/>
  <c r="O1830" i="1" s="1"/>
  <c r="H1829" i="1"/>
  <c r="M1829" i="1" s="1"/>
  <c r="O1829" i="1" s="1"/>
  <c r="H1828" i="1"/>
  <c r="M1828" i="1" s="1"/>
  <c r="O1828" i="1" s="1"/>
  <c r="H1827" i="1"/>
  <c r="M1827" i="1" s="1"/>
  <c r="O1827" i="1" s="1"/>
  <c r="H1836" i="1"/>
  <c r="H1824" i="1"/>
  <c r="M1824" i="1" s="1"/>
  <c r="O1824" i="1" s="1"/>
  <c r="M1825" i="1"/>
  <c r="O1825" i="1" s="1"/>
  <c r="H1826" i="1"/>
  <c r="M1826" i="1" s="1"/>
  <c r="O1826" i="1" s="1"/>
  <c r="H1823" i="1"/>
  <c r="M1823" i="1" s="1"/>
  <c r="O1823" i="1" s="1"/>
  <c r="H1822" i="1"/>
  <c r="M1822" i="1" s="1"/>
  <c r="O1822" i="1" s="1"/>
  <c r="H1821" i="1"/>
  <c r="M1821" i="1" s="1"/>
  <c r="O1821" i="1" s="1"/>
  <c r="H1819" i="1"/>
  <c r="M1819" i="1" s="1"/>
  <c r="O1819" i="1" s="1"/>
  <c r="H1820" i="1"/>
  <c r="M1820" i="1" s="1"/>
  <c r="O1820" i="1" s="1"/>
  <c r="H1817" i="1"/>
  <c r="M1817" i="1" s="1"/>
  <c r="O1817" i="1" s="1"/>
  <c r="H1818" i="1"/>
  <c r="M1818" i="1" s="1"/>
  <c r="O1818" i="1" s="1"/>
  <c r="H1816" i="1"/>
  <c r="M1816" i="1" s="1"/>
  <c r="O1816" i="1" s="1"/>
  <c r="H1815" i="1"/>
  <c r="H1812" i="1"/>
  <c r="H1811" i="1"/>
  <c r="H1809" i="1"/>
  <c r="M1809" i="1" s="1"/>
  <c r="O1809" i="1" s="1"/>
  <c r="H1810" i="1"/>
  <c r="M1810" i="1" s="1"/>
  <c r="O1810" i="1" s="1"/>
  <c r="H1808" i="1"/>
  <c r="M1808" i="1" s="1"/>
  <c r="O1808" i="1" s="1"/>
  <c r="H1807" i="1"/>
  <c r="M1807" i="1" s="1"/>
  <c r="O1807" i="1" s="1"/>
  <c r="H1806" i="1"/>
  <c r="M1806" i="1" s="1"/>
  <c r="O1806" i="1" s="1"/>
  <c r="H1803" i="1"/>
  <c r="M1803" i="1" s="1"/>
  <c r="O1803" i="1" s="1"/>
  <c r="H1804" i="1"/>
  <c r="M1804" i="1" s="1"/>
  <c r="O1804" i="1" s="1"/>
  <c r="H1805" i="1"/>
  <c r="M1805" i="1" s="1"/>
  <c r="O1805" i="1" s="1"/>
  <c r="H1802" i="1"/>
  <c r="M1802" i="1" s="1"/>
  <c r="O1802" i="1" s="1"/>
  <c r="H1801" i="1"/>
  <c r="M1801" i="1" s="1"/>
  <c r="O1801" i="1" s="1"/>
  <c r="H1800" i="1"/>
  <c r="M1800" i="1" s="1"/>
  <c r="O1800" i="1" s="1"/>
  <c r="M1798" i="1"/>
  <c r="O1798" i="1" s="1"/>
  <c r="H1797" i="1"/>
  <c r="M1797" i="1" s="1"/>
  <c r="O1797" i="1" s="1"/>
  <c r="H1796" i="1"/>
  <c r="M1796" i="1" s="1"/>
  <c r="O1796" i="1" s="1"/>
  <c r="H1795" i="1"/>
  <c r="M1795" i="1" s="1"/>
  <c r="O1795" i="1" s="1"/>
  <c r="H1794" i="1"/>
  <c r="M1794" i="1" s="1"/>
  <c r="O1794" i="1" s="1"/>
  <c r="H1793" i="1"/>
  <c r="M1793" i="1" s="1"/>
  <c r="O1793" i="1" s="1"/>
  <c r="H1792" i="1"/>
  <c r="H1791" i="1"/>
  <c r="M1791" i="1" s="1"/>
  <c r="O1791" i="1" s="1"/>
  <c r="H1790" i="1"/>
  <c r="M1790" i="1" s="1"/>
  <c r="O1790" i="1" s="1"/>
  <c r="H1789" i="1"/>
  <c r="M1789" i="1" s="1"/>
  <c r="O1789" i="1" s="1"/>
  <c r="H1788" i="1"/>
  <c r="M1788" i="1" s="1"/>
  <c r="O1788" i="1" s="1"/>
  <c r="H1787" i="1"/>
  <c r="I1787" i="1" s="1"/>
  <c r="H1786" i="1"/>
  <c r="M1786" i="1" s="1"/>
  <c r="O1786" i="1" s="1"/>
  <c r="H1785" i="1"/>
  <c r="H1782" i="1"/>
  <c r="M1782" i="1" s="1"/>
  <c r="O1782" i="1" s="1"/>
  <c r="H1781" i="1"/>
  <c r="H1780" i="1"/>
  <c r="M1780" i="1" s="1"/>
  <c r="O1780" i="1" s="1"/>
  <c r="H1779" i="1"/>
  <c r="M1779" i="1" s="1"/>
  <c r="O1779" i="1" s="1"/>
  <c r="H1778" i="1"/>
  <c r="M1778" i="1" s="1"/>
  <c r="O1778" i="1" s="1"/>
  <c r="H1777" i="1"/>
  <c r="M1777" i="1" s="1"/>
  <c r="O1777" i="1" s="1"/>
  <c r="H1776" i="1"/>
  <c r="M1776" i="1" s="1"/>
  <c r="O1776" i="1" s="1"/>
  <c r="H1775" i="1"/>
  <c r="M1775" i="1" s="1"/>
  <c r="O1775" i="1" s="1"/>
  <c r="H1774" i="1"/>
  <c r="I1774" i="1" s="1"/>
  <c r="H1773" i="1"/>
  <c r="M1773" i="1" s="1"/>
  <c r="O1773" i="1" s="1"/>
  <c r="H1772" i="1"/>
  <c r="M1772" i="1" s="1"/>
  <c r="O1772" i="1" s="1"/>
  <c r="H1770" i="1"/>
  <c r="M1770" i="1" s="1"/>
  <c r="O1770" i="1" s="1"/>
  <c r="H1771" i="1"/>
  <c r="M1771" i="1" s="1"/>
  <c r="O1771" i="1" s="1"/>
  <c r="K1799" i="1"/>
  <c r="M1799" i="1" s="1"/>
  <c r="O1799" i="1" s="1"/>
  <c r="K1811" i="1"/>
  <c r="H1769" i="1"/>
  <c r="M1769" i="1" s="1"/>
  <c r="O1769" i="1" s="1"/>
  <c r="H1767" i="1"/>
  <c r="M1767" i="1" s="1"/>
  <c r="O1767" i="1" s="1"/>
  <c r="H1768" i="1"/>
  <c r="M1768" i="1" s="1"/>
  <c r="O1768" i="1" s="1"/>
  <c r="K1836" i="1"/>
  <c r="K1837" i="1" s="1"/>
  <c r="H1764" i="1"/>
  <c r="M1764" i="1" s="1"/>
  <c r="O1764" i="1" s="1"/>
  <c r="H1765" i="1"/>
  <c r="M1765" i="1" s="1"/>
  <c r="O1765" i="1" s="1"/>
  <c r="H1766" i="1"/>
  <c r="M1766" i="1" s="1"/>
  <c r="O1766" i="1" s="1"/>
  <c r="H1763" i="1"/>
  <c r="M1763" i="1" s="1"/>
  <c r="O1763" i="1" s="1"/>
  <c r="F78" i="3" l="1"/>
  <c r="K78" i="3" s="1"/>
  <c r="G1934" i="1"/>
  <c r="C80" i="3"/>
  <c r="F80" i="3" s="1"/>
  <c r="K80" i="3" s="1"/>
  <c r="G1964" i="1"/>
  <c r="C81" i="3"/>
  <c r="F81" i="3" s="1"/>
  <c r="K81" i="3" s="1"/>
  <c r="F1964" i="1"/>
  <c r="O1964" i="1"/>
  <c r="F1934" i="1"/>
  <c r="O1934" i="1"/>
  <c r="I1910" i="1"/>
  <c r="M1910" i="1"/>
  <c r="G1889" i="1"/>
  <c r="N1889" i="1"/>
  <c r="O1867" i="1"/>
  <c r="M1889" i="1"/>
  <c r="M1839" i="1"/>
  <c r="H1865" i="1"/>
  <c r="M1815" i="1"/>
  <c r="H1837" i="1"/>
  <c r="M1785" i="1"/>
  <c r="H1813" i="1"/>
  <c r="B75" i="3" s="1"/>
  <c r="N1892" i="1"/>
  <c r="N1910" i="1" s="1"/>
  <c r="O1886" i="1"/>
  <c r="M1849" i="1"/>
  <c r="M1833" i="1"/>
  <c r="O1833" i="1" s="1"/>
  <c r="M1836" i="1"/>
  <c r="O1836" i="1" s="1"/>
  <c r="M1811" i="1"/>
  <c r="O1811" i="1" s="1"/>
  <c r="M1812" i="1"/>
  <c r="O1812" i="1" s="1"/>
  <c r="I1806" i="1"/>
  <c r="N1806" i="1"/>
  <c r="I1792" i="1"/>
  <c r="M1787" i="1"/>
  <c r="N1779" i="1"/>
  <c r="I1779" i="1"/>
  <c r="M1774" i="1"/>
  <c r="N1774" i="1" s="1"/>
  <c r="I1773" i="1"/>
  <c r="N1773" i="1"/>
  <c r="H1762" i="1"/>
  <c r="M1762" i="1" s="1"/>
  <c r="O1762" i="1" s="1"/>
  <c r="H1760" i="1"/>
  <c r="M1760" i="1" s="1"/>
  <c r="H1761" i="1"/>
  <c r="M1761" i="1" s="1"/>
  <c r="H1759" i="1"/>
  <c r="M1759" i="1" s="1"/>
  <c r="O1759" i="1" s="1"/>
  <c r="N81" i="3" l="1"/>
  <c r="N80" i="3"/>
  <c r="N78" i="3"/>
  <c r="G1910" i="1"/>
  <c r="C79" i="3"/>
  <c r="F79" i="3" s="1"/>
  <c r="K79" i="3" s="1"/>
  <c r="G1837" i="1"/>
  <c r="B76" i="3"/>
  <c r="F76" i="3" s="1"/>
  <c r="K76" i="3" s="1"/>
  <c r="G1865" i="1"/>
  <c r="B77" i="3"/>
  <c r="F77" i="3" s="1"/>
  <c r="K77" i="3" s="1"/>
  <c r="F1910" i="1"/>
  <c r="O1910" i="1"/>
  <c r="F1889" i="1"/>
  <c r="O1889" i="1"/>
  <c r="O1839" i="1"/>
  <c r="M1865" i="1"/>
  <c r="I1813" i="1"/>
  <c r="O1815" i="1"/>
  <c r="M1837" i="1"/>
  <c r="O1785" i="1"/>
  <c r="N1849" i="1"/>
  <c r="N1865" i="1" s="1"/>
  <c r="O1849" i="1"/>
  <c r="N1833" i="1"/>
  <c r="N1837" i="1" s="1"/>
  <c r="O1787" i="1"/>
  <c r="N1787" i="1"/>
  <c r="O1774" i="1"/>
  <c r="I1760" i="1"/>
  <c r="O1760" i="1"/>
  <c r="N1760" i="1"/>
  <c r="N1761" i="1"/>
  <c r="O1761" i="1"/>
  <c r="I1761" i="1"/>
  <c r="H1758" i="1"/>
  <c r="H1783" i="1" s="1"/>
  <c r="B74" i="3" s="1"/>
  <c r="H1755" i="1"/>
  <c r="M1755" i="1" s="1"/>
  <c r="O1755" i="1" s="1"/>
  <c r="H1754" i="1"/>
  <c r="M1754" i="1" s="1"/>
  <c r="O1754" i="1" s="1"/>
  <c r="M1752" i="1"/>
  <c r="O1752" i="1" s="1"/>
  <c r="H1753" i="1"/>
  <c r="M1753" i="1" s="1"/>
  <c r="O1753" i="1" s="1"/>
  <c r="K1781" i="1"/>
  <c r="K1792" i="1"/>
  <c r="K1813" i="1" s="1"/>
  <c r="H1751" i="1"/>
  <c r="M1751" i="1" s="1"/>
  <c r="O1751" i="1" s="1"/>
  <c r="H1750" i="1"/>
  <c r="M1750" i="1" s="1"/>
  <c r="O1750" i="1" s="1"/>
  <c r="H1749" i="1"/>
  <c r="M1749" i="1" s="1"/>
  <c r="O1749" i="1" s="1"/>
  <c r="H1748" i="1"/>
  <c r="M1748" i="1" s="1"/>
  <c r="O1748" i="1" s="1"/>
  <c r="H1747" i="1"/>
  <c r="M1747" i="1" s="1"/>
  <c r="O1747" i="1" s="1"/>
  <c r="H1746" i="1"/>
  <c r="N77" i="3" l="1"/>
  <c r="N76" i="3"/>
  <c r="N79" i="3"/>
  <c r="G1813" i="1"/>
  <c r="C75" i="3"/>
  <c r="F75" i="3" s="1"/>
  <c r="K75" i="3" s="1"/>
  <c r="F1865" i="1"/>
  <c r="O1865" i="1"/>
  <c r="F1837" i="1"/>
  <c r="O1837" i="1"/>
  <c r="N1783" i="1"/>
  <c r="I1783" i="1"/>
  <c r="M1781" i="1"/>
  <c r="O1781" i="1" s="1"/>
  <c r="K1783" i="1"/>
  <c r="M1746" i="1"/>
  <c r="M1756" i="1" s="1"/>
  <c r="H1756" i="1"/>
  <c r="M1792" i="1"/>
  <c r="M1813" i="1" s="1"/>
  <c r="M1758" i="1"/>
  <c r="H1743" i="1"/>
  <c r="M1743" i="1" s="1"/>
  <c r="O1743" i="1" s="1"/>
  <c r="N75" i="3" l="1"/>
  <c r="G1783" i="1"/>
  <c r="C74" i="3"/>
  <c r="F74" i="3" s="1"/>
  <c r="K74" i="3" s="1"/>
  <c r="G1756" i="1"/>
  <c r="B73" i="3"/>
  <c r="F73" i="3" s="1"/>
  <c r="K73" i="3" s="1"/>
  <c r="M1783" i="1"/>
  <c r="F1783" i="1" s="1"/>
  <c r="O1813" i="1"/>
  <c r="O1746" i="1"/>
  <c r="F1756" i="1"/>
  <c r="O1756" i="1"/>
  <c r="N1792" i="1"/>
  <c r="N1813" i="1" s="1"/>
  <c r="F1813" i="1" s="1"/>
  <c r="O1792" i="1"/>
  <c r="O1758" i="1"/>
  <c r="I1742" i="1"/>
  <c r="M1742" i="1"/>
  <c r="O1742" i="1" s="1"/>
  <c r="N73" i="3" l="1"/>
  <c r="N74" i="3"/>
  <c r="O1783" i="1"/>
  <c r="N1742" i="1"/>
  <c r="M1741" i="1" l="1"/>
  <c r="O1741" i="1" s="1"/>
  <c r="H1739" i="1" l="1"/>
  <c r="M1739" i="1" s="1"/>
  <c r="O1739" i="1" s="1"/>
  <c r="H1740" i="1"/>
  <c r="M1740" i="1" s="1"/>
  <c r="O1740" i="1" s="1"/>
  <c r="M1737" i="1" l="1"/>
  <c r="O1737" i="1" s="1"/>
  <c r="H1726" i="1"/>
  <c r="H1727" i="1"/>
  <c r="M1727" i="1" s="1"/>
  <c r="H1728" i="1"/>
  <c r="M1728" i="1" s="1"/>
  <c r="H1736" i="1"/>
  <c r="M1736" i="1" s="1"/>
  <c r="H1738" i="1"/>
  <c r="M1738" i="1" s="1"/>
  <c r="O1738" i="1" s="1"/>
  <c r="I1737" i="1"/>
  <c r="M1726" i="1" l="1"/>
  <c r="N1737" i="1"/>
  <c r="I1738" i="1"/>
  <c r="I1736" i="1" l="1"/>
  <c r="O1736" i="1" l="1"/>
  <c r="N1736" i="1"/>
  <c r="M1735" i="1"/>
  <c r="O1735" i="1" s="1"/>
  <c r="M1733" i="1" l="1"/>
  <c r="O1733" i="1" s="1"/>
  <c r="H1734" i="1"/>
  <c r="M1734" i="1" s="1"/>
  <c r="O1734" i="1" s="1"/>
  <c r="H1729" i="1" l="1"/>
  <c r="M1729" i="1" l="1"/>
  <c r="O1729" i="1" s="1"/>
  <c r="H1730" i="1"/>
  <c r="H1731" i="1"/>
  <c r="H1744" i="1" l="1"/>
  <c r="M1731" i="1"/>
  <c r="I1731" i="1"/>
  <c r="M1730" i="1"/>
  <c r="I1730" i="1"/>
  <c r="B72" i="3" l="1"/>
  <c r="I1744" i="1"/>
  <c r="O1730" i="1"/>
  <c r="N1730" i="1"/>
  <c r="O1731" i="1"/>
  <c r="N1731" i="1"/>
  <c r="O1727" i="1"/>
  <c r="O1728" i="1"/>
  <c r="G1744" i="1" l="1"/>
  <c r="C72" i="3"/>
  <c r="F72" i="3" s="1"/>
  <c r="K72" i="3" s="1"/>
  <c r="N1744" i="1"/>
  <c r="H1723" i="1"/>
  <c r="M1723" i="1" s="1"/>
  <c r="O1723" i="1" s="1"/>
  <c r="H1722" i="1"/>
  <c r="M1722" i="1" s="1"/>
  <c r="O1722" i="1" s="1"/>
  <c r="N72" i="3" l="1"/>
  <c r="O1726" i="1"/>
  <c r="H1720" i="1" l="1"/>
  <c r="M1720" i="1" s="1"/>
  <c r="O1720" i="1" s="1"/>
  <c r="H1719" i="1" l="1"/>
  <c r="M1719" i="1" s="1"/>
  <c r="O1719" i="1" s="1"/>
  <c r="H1716" i="1" l="1"/>
  <c r="M1716" i="1" s="1"/>
  <c r="O1716" i="1" s="1"/>
  <c r="M1718" i="1" l="1"/>
  <c r="O1718" i="1" s="1"/>
  <c r="H1715" i="1" l="1"/>
  <c r="M1715" i="1" s="1"/>
  <c r="O1715" i="1" s="1"/>
  <c r="H1717" i="1"/>
  <c r="M1717" i="1" s="1"/>
  <c r="O1717" i="1" s="1"/>
  <c r="H1714" i="1" l="1"/>
  <c r="M1714" i="1" s="1"/>
  <c r="O1714" i="1" s="1"/>
  <c r="H1713" i="1" l="1"/>
  <c r="M1713" i="1" s="1"/>
  <c r="O1713" i="1" s="1"/>
  <c r="H1712" i="1" l="1"/>
  <c r="M1712" i="1" s="1"/>
  <c r="O1712" i="1" s="1"/>
  <c r="H1711" i="1" l="1"/>
  <c r="M1711" i="1" s="1"/>
  <c r="O1711" i="1" s="1"/>
  <c r="H1710" i="1" l="1"/>
  <c r="M1710" i="1" s="1"/>
  <c r="O1710" i="1" s="1"/>
  <c r="I1710" i="1" l="1"/>
  <c r="N1710" i="1"/>
  <c r="M1709" i="1"/>
  <c r="O1709" i="1" s="1"/>
  <c r="H1707" i="1" l="1"/>
  <c r="M1707" i="1" s="1"/>
  <c r="O1707" i="1" s="1"/>
  <c r="H1708" i="1"/>
  <c r="M1708" i="1" s="1"/>
  <c r="I1708" i="1" l="1"/>
  <c r="O1708" i="1"/>
  <c r="N1708" i="1"/>
  <c r="H1706" i="1"/>
  <c r="H1724" i="1" s="1"/>
  <c r="B71" i="3" l="1"/>
  <c r="M1706" i="1"/>
  <c r="I1706" i="1"/>
  <c r="I1724" i="1" s="1"/>
  <c r="K1732" i="1"/>
  <c r="K1744" i="1" s="1"/>
  <c r="K1721" i="1"/>
  <c r="K1724" i="1" s="1"/>
  <c r="G1724" i="1" l="1"/>
  <c r="C71" i="3"/>
  <c r="F71" i="3" s="1"/>
  <c r="K71" i="3" s="1"/>
  <c r="M1732" i="1"/>
  <c r="M1744" i="1" s="1"/>
  <c r="M1721" i="1"/>
  <c r="O1721" i="1" s="1"/>
  <c r="O1706" i="1"/>
  <c r="N1706" i="1"/>
  <c r="N1724" i="1" s="1"/>
  <c r="H1695" i="1"/>
  <c r="M1695" i="1" s="1"/>
  <c r="O1695" i="1" s="1"/>
  <c r="M1694" i="1"/>
  <c r="O1694" i="1" s="1"/>
  <c r="N71" i="3" l="1"/>
  <c r="F1744" i="1"/>
  <c r="O1744" i="1"/>
  <c r="M1724" i="1"/>
  <c r="O1732" i="1"/>
  <c r="H1702" i="1"/>
  <c r="M1702" i="1" s="1"/>
  <c r="O1702" i="1" s="1"/>
  <c r="O1724" i="1" l="1"/>
  <c r="F1724" i="1"/>
  <c r="H1701" i="1"/>
  <c r="M1701" i="1" s="1"/>
  <c r="O1701" i="1" s="1"/>
  <c r="H1703" i="1" l="1"/>
  <c r="M1703" i="1" s="1"/>
  <c r="O1703" i="1" s="1"/>
  <c r="H1700" i="1"/>
  <c r="M1699" i="1"/>
  <c r="O1699" i="1" s="1"/>
  <c r="M1700" i="1" l="1"/>
  <c r="O1700" i="1" s="1"/>
  <c r="M1698" i="1"/>
  <c r="O1698" i="1" s="1"/>
  <c r="M1697" i="1"/>
  <c r="O1697" i="1" s="1"/>
  <c r="H1696" i="1"/>
  <c r="M1696" i="1" s="1"/>
  <c r="O1696" i="1" s="1"/>
  <c r="H1692" i="1" l="1"/>
  <c r="M1692" i="1" s="1"/>
  <c r="O1692" i="1" s="1"/>
  <c r="H1693" i="1"/>
  <c r="M1693" i="1" s="1"/>
  <c r="O1693" i="1" s="1"/>
  <c r="H1689" i="1" l="1"/>
  <c r="H1690" i="1"/>
  <c r="M1690" i="1" s="1"/>
  <c r="O1690" i="1" s="1"/>
  <c r="H1691" i="1"/>
  <c r="M1691" i="1" s="1"/>
  <c r="O1691" i="1" s="1"/>
  <c r="M1689" i="1" l="1"/>
  <c r="O1689" i="1" s="1"/>
  <c r="H1688" i="1"/>
  <c r="M1688" i="1" s="1"/>
  <c r="O1688" i="1" s="1"/>
  <c r="H1687" i="1" l="1"/>
  <c r="I1687" i="1" s="1"/>
  <c r="I1704" i="1" s="1"/>
  <c r="C70" i="3" s="1"/>
  <c r="M1687" i="1" l="1"/>
  <c r="O1687" i="1" l="1"/>
  <c r="N1687" i="1"/>
  <c r="N1704" i="1" s="1"/>
  <c r="H1686" i="1"/>
  <c r="M1686" i="1" s="1"/>
  <c r="O1686" i="1" s="1"/>
  <c r="K1685" i="1" l="1"/>
  <c r="K1704" i="1" s="1"/>
  <c r="M1685" i="1" l="1"/>
  <c r="O1685" i="1" s="1"/>
  <c r="H1684" i="1"/>
  <c r="M1684" i="1" s="1"/>
  <c r="O1684" i="1" s="1"/>
  <c r="H1683" i="1" l="1"/>
  <c r="M1683" i="1" s="1"/>
  <c r="O1683" i="1" s="1"/>
  <c r="M1679" i="1" l="1"/>
  <c r="O1679" i="1" s="1"/>
  <c r="H1678" i="1" l="1"/>
  <c r="M1678" i="1" s="1"/>
  <c r="O1678" i="1" s="1"/>
  <c r="H1682" i="1"/>
  <c r="H1704" i="1" s="1"/>
  <c r="H1677" i="1"/>
  <c r="M1677" i="1" s="1"/>
  <c r="O1677" i="1" s="1"/>
  <c r="G1704" i="1" l="1"/>
  <c r="B70" i="3"/>
  <c r="F70" i="3" s="1"/>
  <c r="K70" i="3" s="1"/>
  <c r="M1682" i="1"/>
  <c r="M1704" i="1" s="1"/>
  <c r="H1676" i="1"/>
  <c r="M1676" i="1" s="1"/>
  <c r="O1676" i="1" s="1"/>
  <c r="N70" i="3" l="1"/>
  <c r="F1704" i="1"/>
  <c r="O1704" i="1"/>
  <c r="O1682" i="1"/>
  <c r="H1674" i="1"/>
  <c r="M1674" i="1" s="1"/>
  <c r="O1674" i="1" s="1"/>
  <c r="H1675" i="1"/>
  <c r="M1675" i="1" s="1"/>
  <c r="O1675" i="1" s="1"/>
  <c r="H1673" i="1" l="1"/>
  <c r="M1673" i="1" s="1"/>
  <c r="O1673" i="1" s="1"/>
  <c r="H1672" i="1"/>
  <c r="H1670" i="1" l="1"/>
  <c r="M1670" i="1" s="1"/>
  <c r="O1670" i="1" s="1"/>
  <c r="H1671" i="1"/>
  <c r="M1671" i="1" s="1"/>
  <c r="O1671" i="1" s="1"/>
  <c r="H1669" i="1"/>
  <c r="M1669" i="1" s="1"/>
  <c r="O1669" i="1" s="1"/>
  <c r="H1667" i="1" l="1"/>
  <c r="M1667" i="1" s="1"/>
  <c r="O1667" i="1" s="1"/>
  <c r="H1668" i="1"/>
  <c r="M1668" i="1" s="1"/>
  <c r="O1668" i="1" s="1"/>
  <c r="H1666" i="1" l="1"/>
  <c r="M1666" i="1" s="1"/>
  <c r="O1666" i="1" s="1"/>
  <c r="H1665" i="1" l="1"/>
  <c r="I1665" i="1" s="1"/>
  <c r="M1665" i="1" l="1"/>
  <c r="H1664" i="1"/>
  <c r="O1665" i="1" l="1"/>
  <c r="N1665" i="1"/>
  <c r="M1664" i="1"/>
  <c r="I1664" i="1"/>
  <c r="I1680" i="1" s="1"/>
  <c r="C69" i="3" s="1"/>
  <c r="H1662" i="1"/>
  <c r="M1662" i="1" s="1"/>
  <c r="O1662" i="1" s="1"/>
  <c r="H1663" i="1"/>
  <c r="M1663" i="1" s="1"/>
  <c r="O1663" i="1" s="1"/>
  <c r="O1664" i="1" l="1"/>
  <c r="N1664" i="1"/>
  <c r="N1680" i="1" s="1"/>
  <c r="H1661" i="1" l="1"/>
  <c r="H1680" i="1" s="1"/>
  <c r="G1680" i="1" l="1"/>
  <c r="B69" i="3"/>
  <c r="F69" i="3" s="1"/>
  <c r="K69" i="3" s="1"/>
  <c r="M1661" i="1"/>
  <c r="H1655" i="1"/>
  <c r="M1655" i="1" s="1"/>
  <c r="O1655" i="1" s="1"/>
  <c r="H1656" i="1"/>
  <c r="M1656" i="1" s="1"/>
  <c r="O1656" i="1" s="1"/>
  <c r="H1657" i="1"/>
  <c r="M1657" i="1" s="1"/>
  <c r="O1657" i="1" s="1"/>
  <c r="H1658" i="1"/>
  <c r="M1658" i="1" s="1"/>
  <c r="O1658" i="1" s="1"/>
  <c r="N69" i="3" l="1"/>
  <c r="O1661" i="1"/>
  <c r="H1654" i="1"/>
  <c r="M1654" i="1" s="1"/>
  <c r="O1654" i="1" s="1"/>
  <c r="H1653" i="1" l="1"/>
  <c r="M1653" i="1" s="1"/>
  <c r="O1653" i="1" s="1"/>
  <c r="H1652" i="1" l="1"/>
  <c r="H1651" i="1"/>
  <c r="M1651" i="1" l="1"/>
  <c r="O1651" i="1" s="1"/>
  <c r="K1672" i="1" l="1"/>
  <c r="K1680" i="1" s="1"/>
  <c r="M1672" i="1" l="1"/>
  <c r="M1680" i="1" s="1"/>
  <c r="H1650" i="1"/>
  <c r="M1650" i="1" s="1"/>
  <c r="O1650" i="1" s="1"/>
  <c r="F1680" i="1" l="1"/>
  <c r="O1680" i="1"/>
  <c r="O1672" i="1"/>
  <c r="H1647" i="1"/>
  <c r="M1647" i="1" s="1"/>
  <c r="O1647" i="1" s="1"/>
  <c r="H1648" i="1"/>
  <c r="H1649" i="1"/>
  <c r="I1648" i="1" l="1"/>
  <c r="M1648" i="1"/>
  <c r="I1649" i="1"/>
  <c r="M1649" i="1"/>
  <c r="H1646" i="1"/>
  <c r="O1648" i="1" l="1"/>
  <c r="N1648" i="1"/>
  <c r="O1649" i="1"/>
  <c r="N1649" i="1"/>
  <c r="I1646" i="1"/>
  <c r="I1659" i="1" s="1"/>
  <c r="C68" i="3" s="1"/>
  <c r="M1646" i="1"/>
  <c r="H1645" i="1"/>
  <c r="M1645" i="1" s="1"/>
  <c r="O1645" i="1" s="1"/>
  <c r="O1646" i="1" l="1"/>
  <c r="N1646" i="1"/>
  <c r="N1659" i="1" s="1"/>
  <c r="H1644" i="1"/>
  <c r="M1644" i="1" s="1"/>
  <c r="O1644" i="1" s="1"/>
  <c r="H1643" i="1" l="1"/>
  <c r="M1643" i="1" s="1"/>
  <c r="O1643" i="1" s="1"/>
  <c r="H1642" i="1" l="1"/>
  <c r="M1642" i="1" s="1"/>
  <c r="O1642" i="1" s="1"/>
  <c r="H1641" i="1" l="1"/>
  <c r="M1641" i="1" s="1"/>
  <c r="O1641" i="1" s="1"/>
  <c r="H1635" i="1" l="1"/>
  <c r="M1635" i="1" s="1"/>
  <c r="O1635" i="1" s="1"/>
  <c r="H1636" i="1"/>
  <c r="M1636" i="1" s="1"/>
  <c r="O1636" i="1" s="1"/>
  <c r="H1637" i="1"/>
  <c r="M1637" i="1" s="1"/>
  <c r="O1637" i="1" s="1"/>
  <c r="H1638" i="1"/>
  <c r="M1638" i="1" s="1"/>
  <c r="O1638" i="1" s="1"/>
  <c r="H1639" i="1"/>
  <c r="M1639" i="1" s="1"/>
  <c r="O1639" i="1" s="1"/>
  <c r="H1640" i="1"/>
  <c r="M1640" i="1" s="1"/>
  <c r="O1640" i="1" s="1"/>
  <c r="H1634" i="1" l="1"/>
  <c r="M1634" i="1" s="1"/>
  <c r="O1634" i="1" s="1"/>
  <c r="H1633" i="1" l="1"/>
  <c r="H1659" i="1" s="1"/>
  <c r="G1659" i="1" l="1"/>
  <c r="B68" i="3"/>
  <c r="F68" i="3" s="1"/>
  <c r="K68" i="3" s="1"/>
  <c r="M1633" i="1"/>
  <c r="H1630" i="1"/>
  <c r="M1630" i="1" s="1"/>
  <c r="O1630" i="1" s="1"/>
  <c r="N68" i="3" l="1"/>
  <c r="O1633" i="1"/>
  <c r="H1628" i="1"/>
  <c r="M1628" i="1" s="1"/>
  <c r="O1628" i="1" s="1"/>
  <c r="H1629" i="1"/>
  <c r="M1629" i="1" s="1"/>
  <c r="O1629" i="1" s="1"/>
  <c r="H1627" i="1" l="1"/>
  <c r="I1627" i="1" s="1"/>
  <c r="M1627" i="1" l="1"/>
  <c r="O1627" i="1" s="1"/>
  <c r="H1626" i="1"/>
  <c r="M1626" i="1" s="1"/>
  <c r="O1626" i="1" s="1"/>
  <c r="N1627" i="1" l="1"/>
  <c r="H1624" i="1"/>
  <c r="M1624" i="1" s="1"/>
  <c r="O1624" i="1" s="1"/>
  <c r="H1625" i="1"/>
  <c r="M1625" i="1" s="1"/>
  <c r="O1625" i="1" s="1"/>
  <c r="H1623" i="1" l="1"/>
  <c r="M1623" i="1" s="1"/>
  <c r="O1623" i="1" s="1"/>
  <c r="H1622" i="1" l="1"/>
  <c r="M1622" i="1" s="1"/>
  <c r="O1622" i="1" s="1"/>
  <c r="H1621" i="1" l="1"/>
  <c r="M1621" i="1" s="1"/>
  <c r="O1621" i="1" s="1"/>
  <c r="H1620" i="1" l="1"/>
  <c r="M1620" i="1" s="1"/>
  <c r="O1620" i="1" s="1"/>
  <c r="H1619" i="1" l="1"/>
  <c r="M1619" i="1" s="1"/>
  <c r="O1619" i="1" s="1"/>
  <c r="H1618" i="1" l="1"/>
  <c r="M1618" i="1" s="1"/>
  <c r="O1618" i="1" s="1"/>
  <c r="H1617" i="1"/>
  <c r="M1617" i="1" s="1"/>
  <c r="O1617" i="1" s="1"/>
  <c r="H1616" i="1"/>
  <c r="M1616" i="1" s="1"/>
  <c r="O1616" i="1" s="1"/>
  <c r="I1616" i="1" l="1"/>
  <c r="N1616" i="1"/>
  <c r="H1615" i="1"/>
  <c r="M1615" i="1" s="1"/>
  <c r="O1615" i="1" s="1"/>
  <c r="H1614" i="1" l="1"/>
  <c r="I1614" i="1" l="1"/>
  <c r="M1614" i="1"/>
  <c r="H1613" i="1"/>
  <c r="M1613" i="1" s="1"/>
  <c r="O1613" i="1" s="1"/>
  <c r="N1614" i="1" l="1"/>
  <c r="O1614" i="1"/>
  <c r="K1652" i="1" l="1"/>
  <c r="K1659" i="1" s="1"/>
  <c r="M1652" i="1" l="1"/>
  <c r="M1659" i="1" s="1"/>
  <c r="H1612" i="1"/>
  <c r="M1612" i="1" s="1"/>
  <c r="O1612" i="1" s="1"/>
  <c r="F1659" i="1" l="1"/>
  <c r="O1659" i="1"/>
  <c r="O1652" i="1"/>
  <c r="H1611" i="1"/>
  <c r="M1611" i="1" s="1"/>
  <c r="O1611" i="1" s="1"/>
  <c r="H1609" i="1" l="1"/>
  <c r="H1610" i="1"/>
  <c r="M1610" i="1" s="1"/>
  <c r="O1610" i="1" s="1"/>
  <c r="I1609" i="1" l="1"/>
  <c r="I1631" i="1" s="1"/>
  <c r="C67" i="3" s="1"/>
  <c r="M1609" i="1"/>
  <c r="H1608" i="1"/>
  <c r="M1608" i="1" s="1"/>
  <c r="O1608" i="1" s="1"/>
  <c r="N1609" i="1" l="1"/>
  <c r="N1631" i="1" s="1"/>
  <c r="O1609" i="1"/>
  <c r="H1607" i="1"/>
  <c r="M1607" i="1" l="1"/>
  <c r="H1606" i="1"/>
  <c r="M1606" i="1" s="1"/>
  <c r="O1606" i="1" s="1"/>
  <c r="H1605" i="1"/>
  <c r="M1605" i="1" s="1"/>
  <c r="O1605" i="1" s="1"/>
  <c r="O1607" i="1" l="1"/>
  <c r="H1604" i="1"/>
  <c r="M1604" i="1" s="1"/>
  <c r="O1604" i="1" s="1"/>
  <c r="H1603" i="1" l="1"/>
  <c r="M1603" i="1" s="1"/>
  <c r="O1603" i="1" s="1"/>
  <c r="K1600" i="1" l="1"/>
  <c r="K1631" i="1" s="1"/>
  <c r="H1600" i="1" l="1"/>
  <c r="H1602" i="1"/>
  <c r="M1602" i="1" s="1"/>
  <c r="O1602" i="1" s="1"/>
  <c r="M1600" i="1" l="1"/>
  <c r="H1601" i="1"/>
  <c r="M1601" i="1" s="1"/>
  <c r="O1601" i="1" s="1"/>
  <c r="M1631" i="1" l="1"/>
  <c r="F1631" i="1" s="1"/>
  <c r="H1631" i="1"/>
  <c r="O1600" i="1"/>
  <c r="H1596" i="1"/>
  <c r="I1596" i="1" s="1"/>
  <c r="H1597" i="1"/>
  <c r="M1597" i="1" s="1"/>
  <c r="O1597" i="1" s="1"/>
  <c r="G1631" i="1" l="1"/>
  <c r="B67" i="3"/>
  <c r="F67" i="3" s="1"/>
  <c r="K67" i="3" s="1"/>
  <c r="O1631" i="1"/>
  <c r="M1596" i="1"/>
  <c r="H1595" i="1"/>
  <c r="N67" i="3" l="1"/>
  <c r="O1596" i="1"/>
  <c r="N1596" i="1"/>
  <c r="I1595" i="1"/>
  <c r="M1595" i="1"/>
  <c r="H1593" i="1"/>
  <c r="M1593" i="1" s="1"/>
  <c r="O1593" i="1" s="1"/>
  <c r="H1594" i="1"/>
  <c r="M1594" i="1" s="1"/>
  <c r="O1594" i="1" s="1"/>
  <c r="N1595" i="1" l="1"/>
  <c r="O1595" i="1"/>
  <c r="H1591" i="1"/>
  <c r="M1591" i="1" s="1"/>
  <c r="O1591" i="1" s="1"/>
  <c r="H1592" i="1"/>
  <c r="M1592" i="1" s="1"/>
  <c r="O1592" i="1" s="1"/>
  <c r="H1588" i="1" l="1"/>
  <c r="M1588" i="1" s="1"/>
  <c r="O1588" i="1" s="1"/>
  <c r="H1590" i="1"/>
  <c r="M1590" i="1" s="1"/>
  <c r="O1590" i="1" s="1"/>
  <c r="H1589" i="1"/>
  <c r="H1586" i="1" l="1"/>
  <c r="M1586" i="1" s="1"/>
  <c r="O1586" i="1" s="1"/>
  <c r="H1587" i="1"/>
  <c r="M1587" i="1" s="1"/>
  <c r="O1587" i="1" s="1"/>
  <c r="H1585" i="1" l="1"/>
  <c r="I1585" i="1" s="1"/>
  <c r="M1585" i="1" l="1"/>
  <c r="O1585" i="1" s="1"/>
  <c r="N1585" i="1" l="1"/>
  <c r="H1584" i="1"/>
  <c r="M1584" i="1" s="1"/>
  <c r="O1584" i="1" s="1"/>
  <c r="H1582" i="1" l="1"/>
  <c r="M1582" i="1" s="1"/>
  <c r="O1582" i="1" s="1"/>
  <c r="H1583" i="1"/>
  <c r="M1583" i="1" s="1"/>
  <c r="O1583" i="1" s="1"/>
  <c r="H1579" i="1"/>
  <c r="M1579" i="1" s="1"/>
  <c r="O1579" i="1" s="1"/>
  <c r="H1580" i="1"/>
  <c r="M1580" i="1" s="1"/>
  <c r="O1580" i="1" s="1"/>
  <c r="H1581" i="1"/>
  <c r="M1581" i="1" s="1"/>
  <c r="O1581" i="1" s="1"/>
  <c r="I1580" i="1" l="1"/>
  <c r="N1580" i="1"/>
  <c r="H1578" i="1"/>
  <c r="M1578" i="1" s="1"/>
  <c r="O1578" i="1" s="1"/>
  <c r="H1577" i="1" l="1"/>
  <c r="M1577" i="1" s="1"/>
  <c r="O1577" i="1" s="1"/>
  <c r="H1576" i="1" l="1"/>
  <c r="H1575" i="1"/>
  <c r="M1575" i="1" s="1"/>
  <c r="O1575" i="1" s="1"/>
  <c r="I1576" i="1" l="1"/>
  <c r="I1598" i="1" s="1"/>
  <c r="C66" i="3" s="1"/>
  <c r="M1576" i="1"/>
  <c r="H1574" i="1"/>
  <c r="M1574" i="1" s="1"/>
  <c r="O1574" i="1" s="1"/>
  <c r="O1576" i="1" l="1"/>
  <c r="N1576" i="1"/>
  <c r="N1598" i="1" s="1"/>
  <c r="H1573" i="1"/>
  <c r="H1598" i="1" s="1"/>
  <c r="G1598" i="1" l="1"/>
  <c r="B66" i="3"/>
  <c r="F66" i="3" s="1"/>
  <c r="K66" i="3" s="1"/>
  <c r="M1573" i="1"/>
  <c r="H1570" i="1"/>
  <c r="M1570" i="1" s="1"/>
  <c r="O1570" i="1" s="1"/>
  <c r="N66" i="3" l="1"/>
  <c r="O1573" i="1"/>
  <c r="H1569" i="1"/>
  <c r="M1569" i="1" s="1"/>
  <c r="O1569" i="1" s="1"/>
  <c r="M1567" i="1" l="1"/>
  <c r="O1567" i="1" s="1"/>
  <c r="H1566" i="1"/>
  <c r="M1566" i="1" s="1"/>
  <c r="O1566" i="1" s="1"/>
  <c r="H1568" i="1"/>
  <c r="M1568" i="1" s="1"/>
  <c r="O1568" i="1" s="1"/>
  <c r="H1565" i="1" l="1"/>
  <c r="M1565" i="1" s="1"/>
  <c r="O1565" i="1" s="1"/>
  <c r="K1589" i="1"/>
  <c r="K1598" i="1" s="1"/>
  <c r="M1589" i="1" l="1"/>
  <c r="M1598" i="1" s="1"/>
  <c r="H1564" i="1"/>
  <c r="M1564" i="1" s="1"/>
  <c r="O1564" i="1" s="1"/>
  <c r="F1598" i="1" l="1"/>
  <c r="O1598" i="1"/>
  <c r="O1589" i="1"/>
  <c r="H1562" i="1"/>
  <c r="M1562" i="1" s="1"/>
  <c r="O1562" i="1" s="1"/>
  <c r="H1563" i="1"/>
  <c r="M1563" i="1" s="1"/>
  <c r="O1563" i="1" s="1"/>
  <c r="H1560" i="1" l="1"/>
  <c r="M1560" i="1" s="1"/>
  <c r="O1560" i="1" s="1"/>
  <c r="H1559" i="1" l="1"/>
  <c r="I1559" i="1" s="1"/>
  <c r="I1571" i="1" s="1"/>
  <c r="C65" i="3" s="1"/>
  <c r="H1561" i="1"/>
  <c r="M1561" i="1" s="1"/>
  <c r="O1561" i="1" s="1"/>
  <c r="M1559" i="1" l="1"/>
  <c r="H1558" i="1"/>
  <c r="M1558" i="1" s="1"/>
  <c r="O1558" i="1" s="1"/>
  <c r="H1557" i="1"/>
  <c r="M1557" i="1" s="1"/>
  <c r="O1557" i="1" s="1"/>
  <c r="O1559" i="1" l="1"/>
  <c r="N1559" i="1"/>
  <c r="N1571" i="1" s="1"/>
  <c r="H1556" i="1"/>
  <c r="M1556" i="1" s="1"/>
  <c r="O1556" i="1" s="1"/>
  <c r="H1555" i="1" l="1"/>
  <c r="M1555" i="1" s="1"/>
  <c r="O1555" i="1" s="1"/>
  <c r="H1554" i="1"/>
  <c r="H1571" i="1" l="1"/>
  <c r="M1554" i="1"/>
  <c r="M1571" i="1" s="1"/>
  <c r="H1546" i="1"/>
  <c r="M1546" i="1" s="1"/>
  <c r="O1546" i="1" s="1"/>
  <c r="G1571" i="1" l="1"/>
  <c r="B65" i="3"/>
  <c r="F65" i="3" s="1"/>
  <c r="K65" i="3" s="1"/>
  <c r="F1571" i="1"/>
  <c r="O1571" i="1"/>
  <c r="O1554" i="1"/>
  <c r="I1551" i="1"/>
  <c r="M1549" i="1"/>
  <c r="O1549" i="1" s="1"/>
  <c r="M1551" i="1"/>
  <c r="O1551" i="1" s="1"/>
  <c r="H1550" i="1"/>
  <c r="M1550" i="1" s="1"/>
  <c r="O1550" i="1" s="1"/>
  <c r="N65" i="3" l="1"/>
  <c r="N1551" i="1"/>
  <c r="H1548" i="1"/>
  <c r="M1548" i="1" s="1"/>
  <c r="O1548" i="1" s="1"/>
  <c r="H1547" i="1" l="1"/>
  <c r="M1547" i="1" s="1"/>
  <c r="O1547" i="1" s="1"/>
  <c r="H1545" i="1" l="1"/>
  <c r="I1545" i="1" s="1"/>
  <c r="M1545" i="1" l="1"/>
  <c r="N1545" i="1" s="1"/>
  <c r="H1543" i="1"/>
  <c r="M1543" i="1" s="1"/>
  <c r="O1543" i="1" s="1"/>
  <c r="O1545" i="1" l="1"/>
  <c r="H1540" i="1"/>
  <c r="M1540" i="1" s="1"/>
  <c r="O1540" i="1" s="1"/>
  <c r="M1544" i="1"/>
  <c r="O1544" i="1" s="1"/>
  <c r="I1544" i="1"/>
  <c r="H1539" i="1"/>
  <c r="H1541" i="1"/>
  <c r="H1542" i="1"/>
  <c r="M1542" i="1" s="1"/>
  <c r="O1542" i="1" s="1"/>
  <c r="I1539" i="1" l="1"/>
  <c r="M1539" i="1"/>
  <c r="I1540" i="1"/>
  <c r="N1540" i="1"/>
  <c r="N1544" i="1"/>
  <c r="H1538" i="1"/>
  <c r="O1539" i="1" l="1"/>
  <c r="N1539" i="1"/>
  <c r="M1538" i="1"/>
  <c r="I1538" i="1"/>
  <c r="O1538" i="1" l="1"/>
  <c r="N1538" i="1"/>
  <c r="H1537" i="1"/>
  <c r="M1537" i="1" s="1"/>
  <c r="O1537" i="1" s="1"/>
  <c r="I1536" i="1"/>
  <c r="I1552" i="1" s="1"/>
  <c r="C64" i="3" s="1"/>
  <c r="M1536" i="1" l="1"/>
  <c r="N1536" i="1" s="1"/>
  <c r="N1552" i="1" s="1"/>
  <c r="O1536" i="1" l="1"/>
  <c r="H1535" i="1"/>
  <c r="M1535" i="1" s="1"/>
  <c r="O1535" i="1" s="1"/>
  <c r="K1541" i="1" l="1"/>
  <c r="K1552" i="1" s="1"/>
  <c r="M1541" i="1" l="1"/>
  <c r="O1541" i="1" s="1"/>
  <c r="H1534" i="1"/>
  <c r="H1552" i="1" s="1"/>
  <c r="G1552" i="1" l="1"/>
  <c r="B64" i="3"/>
  <c r="F64" i="3" s="1"/>
  <c r="K64" i="3" s="1"/>
  <c r="M1534" i="1"/>
  <c r="M1552" i="1" s="1"/>
  <c r="H1531" i="1"/>
  <c r="M1531" i="1" s="1"/>
  <c r="O1531" i="1" s="1"/>
  <c r="H1529" i="1"/>
  <c r="H1530" i="1"/>
  <c r="N64" i="3" l="1"/>
  <c r="F1552" i="1"/>
  <c r="O1552" i="1"/>
  <c r="O1534" i="1"/>
  <c r="M1529" i="1"/>
  <c r="I1529" i="1"/>
  <c r="H1527" i="1"/>
  <c r="M1527" i="1" s="1"/>
  <c r="O1527" i="1" s="1"/>
  <c r="H1528" i="1"/>
  <c r="M1528" i="1" s="1"/>
  <c r="O1528" i="1" s="1"/>
  <c r="O1529" i="1" l="1"/>
  <c r="N1529" i="1"/>
  <c r="M1530" i="1"/>
  <c r="O1530" i="1" s="1"/>
  <c r="H1525" i="1"/>
  <c r="M1525" i="1" s="1"/>
  <c r="O1525" i="1" s="1"/>
  <c r="H1526" i="1"/>
  <c r="M1526" i="1" s="1"/>
  <c r="O1526" i="1" s="1"/>
  <c r="H1524" i="1" l="1"/>
  <c r="M1524" i="1" s="1"/>
  <c r="O1524" i="1" s="1"/>
  <c r="H1523" i="1" l="1"/>
  <c r="H1522" i="1" l="1"/>
  <c r="M1522" i="1" s="1"/>
  <c r="O1522" i="1" s="1"/>
  <c r="H1521" i="1"/>
  <c r="I1521" i="1" s="1"/>
  <c r="M1521" i="1" l="1"/>
  <c r="O1521" i="1" s="1"/>
  <c r="H1519" i="1"/>
  <c r="M1519" i="1" s="1"/>
  <c r="O1519" i="1" s="1"/>
  <c r="H1520" i="1"/>
  <c r="M1520" i="1" s="1"/>
  <c r="O1520" i="1" s="1"/>
  <c r="N1521" i="1" l="1"/>
  <c r="H1517" i="1"/>
  <c r="M1517" i="1" s="1"/>
  <c r="O1517" i="1" s="1"/>
  <c r="H1518" i="1"/>
  <c r="M1518" i="1" s="1"/>
  <c r="O1518" i="1" s="1"/>
  <c r="H1516" i="1" l="1"/>
  <c r="M1516" i="1" s="1"/>
  <c r="O1516" i="1" s="1"/>
  <c r="H1515" i="1" l="1"/>
  <c r="M1515" i="1" l="1"/>
  <c r="H1514" i="1"/>
  <c r="M1514" i="1" s="1"/>
  <c r="O1514" i="1" s="1"/>
  <c r="O1515" i="1" l="1"/>
  <c r="I1514" i="1"/>
  <c r="N1514" i="1"/>
  <c r="H1513" i="1"/>
  <c r="M1513" i="1" s="1"/>
  <c r="O1513" i="1" s="1"/>
  <c r="H1512" i="1" l="1"/>
  <c r="M1512" i="1" s="1"/>
  <c r="O1512" i="1" s="1"/>
  <c r="H1511" i="1"/>
  <c r="M1511" i="1" s="1"/>
  <c r="O1511" i="1" s="1"/>
  <c r="H1510" i="1" l="1"/>
  <c r="M1510" i="1" s="1"/>
  <c r="O1510" i="1" s="1"/>
  <c r="H1508" i="1" l="1"/>
  <c r="M1508" i="1" s="1"/>
  <c r="H1509" i="1"/>
  <c r="M1509" i="1" s="1"/>
  <c r="O1509" i="1" s="1"/>
  <c r="N1508" i="1" l="1"/>
  <c r="O1508" i="1"/>
  <c r="I1508" i="1"/>
  <c r="H1506" i="1" l="1"/>
  <c r="M1506" i="1" s="1"/>
  <c r="O1506" i="1" s="1"/>
  <c r="H1507" i="1"/>
  <c r="M1507" i="1" s="1"/>
  <c r="O1507" i="1" s="1"/>
  <c r="H1502" i="1" l="1"/>
  <c r="M1502" i="1" s="1"/>
  <c r="O1502" i="1" s="1"/>
  <c r="H1503" i="1"/>
  <c r="M1503" i="1" s="1"/>
  <c r="O1503" i="1" s="1"/>
  <c r="H1504" i="1"/>
  <c r="M1504" i="1" s="1"/>
  <c r="O1504" i="1" s="1"/>
  <c r="H1505" i="1"/>
  <c r="M1505" i="1" s="1"/>
  <c r="O1505" i="1" s="1"/>
  <c r="H1501" i="1" l="1"/>
  <c r="H1500" i="1" l="1"/>
  <c r="M1500" i="1" s="1"/>
  <c r="O1500" i="1" s="1"/>
  <c r="H1499" i="1"/>
  <c r="I1499" i="1" s="1"/>
  <c r="I1532" i="1" s="1"/>
  <c r="C63" i="3" s="1"/>
  <c r="M1499" i="1" l="1"/>
  <c r="H1498" i="1"/>
  <c r="M1498" i="1" s="1"/>
  <c r="O1498" i="1" s="1"/>
  <c r="O1499" i="1" l="1"/>
  <c r="N1499" i="1"/>
  <c r="N1532" i="1" s="1"/>
  <c r="H1497" i="1"/>
  <c r="M1497" i="1" s="1"/>
  <c r="O1497" i="1" s="1"/>
  <c r="H1496" i="1" l="1"/>
  <c r="M1496" i="1" s="1"/>
  <c r="O1496" i="1" s="1"/>
  <c r="H1494" i="1" l="1"/>
  <c r="M1494" i="1" s="1"/>
  <c r="O1494" i="1" s="1"/>
  <c r="H1495" i="1"/>
  <c r="M1495" i="1" s="1"/>
  <c r="O1495" i="1" s="1"/>
  <c r="H1493" i="1" l="1"/>
  <c r="M1493" i="1" s="1"/>
  <c r="O1493" i="1" s="1"/>
  <c r="H1492" i="1"/>
  <c r="H1532" i="1" l="1"/>
  <c r="G1532" i="1"/>
  <c r="B63" i="3"/>
  <c r="F63" i="3" s="1"/>
  <c r="K63" i="3" s="1"/>
  <c r="M1492" i="1"/>
  <c r="N63" i="3" l="1"/>
  <c r="O1492" i="1"/>
  <c r="H1488" i="1"/>
  <c r="H1489" i="1"/>
  <c r="M1489" i="1" s="1"/>
  <c r="O1489" i="1" l="1"/>
  <c r="N1489" i="1"/>
  <c r="I1489" i="1"/>
  <c r="M1488" i="1"/>
  <c r="O1488" i="1" s="1"/>
  <c r="L1487" i="1" l="1"/>
  <c r="H1487" i="1" l="1"/>
  <c r="M1487" i="1" s="1"/>
  <c r="O1487" i="1" s="1"/>
  <c r="M1486" i="1" l="1"/>
  <c r="O1486" i="1" s="1"/>
  <c r="H1485" i="1"/>
  <c r="M1485" i="1" s="1"/>
  <c r="O1485" i="1" s="1"/>
  <c r="H1483" i="1" l="1"/>
  <c r="M1483" i="1" s="1"/>
  <c r="O1483" i="1" s="1"/>
  <c r="H1484" i="1"/>
  <c r="M1484" i="1" s="1"/>
  <c r="O1484" i="1" s="1"/>
  <c r="H1482" i="1" l="1"/>
  <c r="M1482" i="1" s="1"/>
  <c r="O1482" i="1" s="1"/>
  <c r="H1481" i="1" l="1"/>
  <c r="M1481" i="1" s="1"/>
  <c r="O1481" i="1" s="1"/>
  <c r="H1480" i="1"/>
  <c r="I1480" i="1" s="1"/>
  <c r="M1480" i="1" l="1"/>
  <c r="N1480" i="1" s="1"/>
  <c r="O1480" i="1" l="1"/>
  <c r="H1478" i="1"/>
  <c r="M1478" i="1" s="1"/>
  <c r="O1478" i="1" s="1"/>
  <c r="H1479" i="1"/>
  <c r="M1479" i="1" s="1"/>
  <c r="O1479" i="1" l="1"/>
  <c r="N1479" i="1"/>
  <c r="I1479" i="1"/>
  <c r="H1477" i="1"/>
  <c r="I1477" i="1" l="1"/>
  <c r="M1477" i="1"/>
  <c r="K1523" i="1"/>
  <c r="M1523" i="1" s="1"/>
  <c r="H1476" i="1"/>
  <c r="M1476" i="1" s="1"/>
  <c r="O1476" i="1" s="1"/>
  <c r="O1523" i="1" l="1"/>
  <c r="O1477" i="1"/>
  <c r="N1477" i="1"/>
  <c r="H1475" i="1"/>
  <c r="M1475" i="1" l="1"/>
  <c r="O1475" i="1" s="1"/>
  <c r="H1474" i="1" l="1"/>
  <c r="M1474" i="1" s="1"/>
  <c r="O1474" i="1" l="1"/>
  <c r="N1474" i="1"/>
  <c r="I1474" i="1"/>
  <c r="H1473" i="1"/>
  <c r="M1473" i="1" s="1"/>
  <c r="O1473" i="1" s="1"/>
  <c r="H1472" i="1" l="1"/>
  <c r="M1472" i="1" s="1"/>
  <c r="O1472" i="1" s="1"/>
  <c r="H1471" i="1" l="1"/>
  <c r="I1471" i="1" s="1"/>
  <c r="I1490" i="1" s="1"/>
  <c r="C62" i="3" s="1"/>
  <c r="M1471" i="1" l="1"/>
  <c r="O1471" i="1" s="1"/>
  <c r="N1471" i="1" l="1"/>
  <c r="N1490" i="1" s="1"/>
  <c r="K1501" i="1"/>
  <c r="K1532" i="1" s="1"/>
  <c r="M1501" i="1" l="1"/>
  <c r="L1468" i="1"/>
  <c r="L1490" i="1" s="1"/>
  <c r="H1470" i="1"/>
  <c r="M1470" i="1" s="1"/>
  <c r="O1470" i="1" s="1"/>
  <c r="O1501" i="1" l="1"/>
  <c r="M1532" i="1"/>
  <c r="H1469" i="1"/>
  <c r="M1469" i="1" s="1"/>
  <c r="O1469" i="1" s="1"/>
  <c r="H1468" i="1"/>
  <c r="M1468" i="1" s="1"/>
  <c r="O1468" i="1" s="1"/>
  <c r="F1532" i="1" l="1"/>
  <c r="O1532" i="1"/>
  <c r="H1467" i="1"/>
  <c r="M1467" i="1" s="1"/>
  <c r="O1467" i="1" s="1"/>
  <c r="H1466" i="1" l="1"/>
  <c r="M1466" i="1" s="1"/>
  <c r="O1466" i="1" s="1"/>
  <c r="H1465" i="1"/>
  <c r="H1490" i="1" s="1"/>
  <c r="G1490" i="1" l="1"/>
  <c r="B62" i="3"/>
  <c r="F62" i="3" s="1"/>
  <c r="K62" i="3" s="1"/>
  <c r="M1465" i="1"/>
  <c r="M1490" i="1" s="1"/>
  <c r="H1462" i="1"/>
  <c r="N62" i="3" l="1"/>
  <c r="F1490" i="1"/>
  <c r="O1490" i="1"/>
  <c r="O1465" i="1"/>
  <c r="M1462" i="1"/>
  <c r="I1462" i="1"/>
  <c r="M1460" i="1"/>
  <c r="O1460" i="1" s="1"/>
  <c r="H1461" i="1"/>
  <c r="M1461" i="1" s="1"/>
  <c r="O1461" i="1" s="1"/>
  <c r="O1462" i="1" l="1"/>
  <c r="N1462" i="1"/>
  <c r="H1458" i="1"/>
  <c r="M1458" i="1" s="1"/>
  <c r="O1458" i="1" s="1"/>
  <c r="H1459" i="1"/>
  <c r="M1459" i="1" s="1"/>
  <c r="O1459" i="1" s="1"/>
  <c r="H1456" i="1" l="1"/>
  <c r="M1456" i="1" s="1"/>
  <c r="O1456" i="1" s="1"/>
  <c r="H1457" i="1"/>
  <c r="M1457" i="1" s="1"/>
  <c r="O1457" i="1" s="1"/>
  <c r="H1455" i="1" l="1"/>
  <c r="M1455" i="1" s="1"/>
  <c r="O1455" i="1" s="1"/>
  <c r="H1453" i="1" l="1"/>
  <c r="M1453" i="1" s="1"/>
  <c r="O1453" i="1" s="1"/>
  <c r="H1454" i="1"/>
  <c r="M1454" i="1" s="1"/>
  <c r="N1454" i="1" l="1"/>
  <c r="O1454" i="1"/>
  <c r="I1454" i="1"/>
  <c r="H1451" i="1"/>
  <c r="M1451" i="1" s="1"/>
  <c r="O1451" i="1" s="1"/>
  <c r="H1452" i="1"/>
  <c r="M1452" i="1" s="1"/>
  <c r="O1452" i="1" s="1"/>
  <c r="H1450" i="1" l="1"/>
  <c r="I1450" i="1" l="1"/>
  <c r="I1463" i="1" s="1"/>
  <c r="C61" i="3" s="1"/>
  <c r="M1450" i="1"/>
  <c r="H1449" i="1"/>
  <c r="M1449" i="1" s="1"/>
  <c r="O1449" i="1" s="1"/>
  <c r="N1450" i="1" l="1"/>
  <c r="N1463" i="1" s="1"/>
  <c r="O1450" i="1"/>
  <c r="H1448" i="1" l="1"/>
  <c r="M1448" i="1" s="1"/>
  <c r="O1448" i="1" s="1"/>
  <c r="M1446" i="1" l="1"/>
  <c r="O1446" i="1" s="1"/>
  <c r="H1447" i="1"/>
  <c r="M1447" i="1" l="1"/>
  <c r="O1447" i="1" s="1"/>
  <c r="M1445" i="1"/>
  <c r="O1445" i="1" s="1"/>
  <c r="H1444" i="1" l="1"/>
  <c r="H1463" i="1" s="1"/>
  <c r="G1463" i="1" l="1"/>
  <c r="B61" i="3"/>
  <c r="F61" i="3" s="1"/>
  <c r="K61" i="3" s="1"/>
  <c r="H1441" i="1"/>
  <c r="M1441" i="1" s="1"/>
  <c r="O1441" i="1" s="1"/>
  <c r="N61" i="3" l="1"/>
  <c r="H1440" i="1"/>
  <c r="M1440" i="1" s="1"/>
  <c r="O1440" i="1" s="1"/>
  <c r="H1439" i="1" l="1"/>
  <c r="M1439" i="1" s="1"/>
  <c r="O1439" i="1" s="1"/>
  <c r="H1438" i="1" l="1"/>
  <c r="M1438" i="1" s="1"/>
  <c r="O1438" i="1" s="1"/>
  <c r="H1437" i="1" l="1"/>
  <c r="M1437" i="1" s="1"/>
  <c r="O1437" i="1" s="1"/>
  <c r="H1435" i="1" l="1"/>
  <c r="M1435" i="1" s="1"/>
  <c r="O1435" i="1" s="1"/>
  <c r="H1436" i="1"/>
  <c r="I1436" i="1" l="1"/>
  <c r="M1436" i="1"/>
  <c r="H1434" i="1"/>
  <c r="M1434" i="1" s="1"/>
  <c r="O1434" i="1" s="1"/>
  <c r="O1436" i="1" l="1"/>
  <c r="N1436" i="1"/>
  <c r="H1433" i="1"/>
  <c r="M1433" i="1" s="1"/>
  <c r="O1433" i="1" s="1"/>
  <c r="H1432" i="1" l="1"/>
  <c r="M1432" i="1" s="1"/>
  <c r="O1432" i="1" s="1"/>
  <c r="H1431" i="1" l="1"/>
  <c r="M1431" i="1" s="1"/>
  <c r="O1431" i="1" s="1"/>
  <c r="I1431" i="1" l="1"/>
  <c r="N1431" i="1"/>
  <c r="M1430" i="1" l="1"/>
  <c r="O1430" i="1" s="1"/>
  <c r="H1429" i="1" l="1"/>
  <c r="M1429" i="1" s="1"/>
  <c r="O1429" i="1" s="1"/>
  <c r="H1428" i="1" l="1"/>
  <c r="M1428" i="1" s="1"/>
  <c r="O1428" i="1" s="1"/>
  <c r="H1426" i="1" l="1"/>
  <c r="M1426" i="1" s="1"/>
  <c r="O1426" i="1" s="1"/>
  <c r="H1427" i="1"/>
  <c r="M1427" i="1" s="1"/>
  <c r="O1427" i="1" s="1"/>
  <c r="H1425" i="1" l="1"/>
  <c r="M1425" i="1" s="1"/>
  <c r="O1425" i="1" s="1"/>
  <c r="H1423" i="1" l="1"/>
  <c r="M1423" i="1" s="1"/>
  <c r="O1423" i="1" s="1"/>
  <c r="H1424" i="1"/>
  <c r="M1424" i="1" s="1"/>
  <c r="O1424" i="1" s="1"/>
  <c r="H1416" i="1" l="1"/>
  <c r="M1416" i="1" s="1"/>
  <c r="O1416" i="1" s="1"/>
  <c r="H1421" i="1" l="1"/>
  <c r="M1421" i="1" s="1"/>
  <c r="O1421" i="1" s="1"/>
  <c r="H1422" i="1"/>
  <c r="I1419" i="1" l="1"/>
  <c r="I1442" i="1" s="1"/>
  <c r="C60" i="3" s="1"/>
  <c r="H1420" i="1" l="1"/>
  <c r="M1419" i="1" l="1"/>
  <c r="O1419" i="1" l="1"/>
  <c r="N1419" i="1"/>
  <c r="N1442" i="1" s="1"/>
  <c r="H1417" i="1"/>
  <c r="M1417" i="1" s="1"/>
  <c r="O1417" i="1" s="1"/>
  <c r="H1418" i="1"/>
  <c r="M1418" i="1" s="1"/>
  <c r="O1418" i="1" s="1"/>
  <c r="K1444" i="1" l="1"/>
  <c r="K1463" i="1" s="1"/>
  <c r="M1444" i="1" l="1"/>
  <c r="H1415" i="1"/>
  <c r="M1415" i="1" s="1"/>
  <c r="O1415" i="1" s="1"/>
  <c r="O1444" i="1" l="1"/>
  <c r="M1463" i="1"/>
  <c r="H1413" i="1"/>
  <c r="M1413" i="1" s="1"/>
  <c r="O1413" i="1" s="1"/>
  <c r="H1414" i="1"/>
  <c r="M1414" i="1" s="1"/>
  <c r="O1414" i="1" s="1"/>
  <c r="F1463" i="1" l="1"/>
  <c r="O1463" i="1"/>
  <c r="H1411" i="1"/>
  <c r="M1411" i="1" s="1"/>
  <c r="O1411" i="1" s="1"/>
  <c r="H1412" i="1"/>
  <c r="M1412" i="1" s="1"/>
  <c r="O1412" i="1" s="1"/>
  <c r="H1410" i="1"/>
  <c r="H1442" i="1" l="1"/>
  <c r="M1410" i="1"/>
  <c r="H1407" i="1"/>
  <c r="M1407" i="1" s="1"/>
  <c r="O1407" i="1" s="1"/>
  <c r="H1406" i="1"/>
  <c r="M1406" i="1" s="1"/>
  <c r="O1406" i="1" s="1"/>
  <c r="G1442" i="1" l="1"/>
  <c r="B60" i="3"/>
  <c r="F60" i="3" s="1"/>
  <c r="K60" i="3" s="1"/>
  <c r="O1410" i="1"/>
  <c r="H1405" i="1"/>
  <c r="M1405" i="1" s="1"/>
  <c r="O1405" i="1" s="1"/>
  <c r="N60" i="3" l="1"/>
  <c r="H1403" i="1"/>
  <c r="M1403" i="1" s="1"/>
  <c r="O1403" i="1" s="1"/>
  <c r="H1404" i="1"/>
  <c r="M1404" i="1" s="1"/>
  <c r="O1404" i="1" s="1"/>
  <c r="H1402" i="1" l="1"/>
  <c r="M1402" i="1" s="1"/>
  <c r="O1402" i="1" s="1"/>
  <c r="H1399" i="1" l="1"/>
  <c r="M1399" i="1" s="1"/>
  <c r="O1399" i="1" s="1"/>
  <c r="H1400" i="1"/>
  <c r="M1400" i="1" s="1"/>
  <c r="O1400" i="1" s="1"/>
  <c r="H1401" i="1"/>
  <c r="M1401" i="1" s="1"/>
  <c r="O1401" i="1" s="1"/>
  <c r="H1398" i="1" l="1"/>
  <c r="M1398" i="1" s="1"/>
  <c r="O1398" i="1" s="1"/>
  <c r="K1422" i="1" l="1"/>
  <c r="M1422" i="1" s="1"/>
  <c r="O1422" i="1" s="1"/>
  <c r="K1420" i="1"/>
  <c r="K1442" i="1" s="1"/>
  <c r="M1420" i="1" l="1"/>
  <c r="M1442" i="1" s="1"/>
  <c r="H1397" i="1"/>
  <c r="I1397" i="1" s="1"/>
  <c r="F1442" i="1" l="1"/>
  <c r="O1442" i="1"/>
  <c r="O1420" i="1"/>
  <c r="M1397" i="1"/>
  <c r="O1397" i="1" s="1"/>
  <c r="H1396" i="1"/>
  <c r="M1396" i="1" s="1"/>
  <c r="O1396" i="1" s="1"/>
  <c r="N1397" i="1" l="1"/>
  <c r="H1395" i="1"/>
  <c r="M1395" i="1" s="1"/>
  <c r="O1395" i="1" s="1"/>
  <c r="H1394" i="1" l="1"/>
  <c r="M1394" i="1" s="1"/>
  <c r="O1394" i="1" s="1"/>
  <c r="H1393" i="1" l="1"/>
  <c r="M1393" i="1" s="1"/>
  <c r="O1393" i="1" s="1"/>
  <c r="H1392" i="1" l="1"/>
  <c r="M1392" i="1" s="1"/>
  <c r="O1392" i="1" s="1"/>
  <c r="H1391" i="1" l="1"/>
  <c r="M1391" i="1" s="1"/>
  <c r="O1391" i="1" s="1"/>
  <c r="I1391" i="1" l="1"/>
  <c r="N1391" i="1"/>
  <c r="H1390" i="1"/>
  <c r="M1390" i="1" s="1"/>
  <c r="O1390" i="1" s="1"/>
  <c r="H1388" i="1" l="1"/>
  <c r="M1388" i="1" s="1"/>
  <c r="O1388" i="1" s="1"/>
  <c r="H1389" i="1"/>
  <c r="M1389" i="1" s="1"/>
  <c r="O1389" i="1" s="1"/>
  <c r="H1383" i="1" l="1"/>
  <c r="M1383" i="1" s="1"/>
  <c r="O1383" i="1" s="1"/>
  <c r="H1387" i="1" l="1"/>
  <c r="H1408" i="1" s="1"/>
  <c r="B59" i="3" s="1"/>
  <c r="I1387" i="1" l="1"/>
  <c r="I1408" i="1" s="1"/>
  <c r="M1387" i="1"/>
  <c r="H1384" i="1"/>
  <c r="M1384" i="1" s="1"/>
  <c r="G1408" i="1" l="1"/>
  <c r="C59" i="3"/>
  <c r="F59" i="3" s="1"/>
  <c r="K59" i="3" s="1"/>
  <c r="N1387" i="1"/>
  <c r="N1408" i="1" s="1"/>
  <c r="M1408" i="1"/>
  <c r="O1387" i="1"/>
  <c r="O1384" i="1"/>
  <c r="N1384" i="1"/>
  <c r="I1384" i="1"/>
  <c r="M1382" i="1"/>
  <c r="O1382" i="1" s="1"/>
  <c r="N59" i="3" l="1"/>
  <c r="F1408" i="1"/>
  <c r="O1408" i="1"/>
  <c r="H1380" i="1"/>
  <c r="M1380" i="1" s="1"/>
  <c r="O1380" i="1" s="1"/>
  <c r="H1381" i="1"/>
  <c r="M1381" i="1" s="1"/>
  <c r="O1381" i="1" s="1"/>
  <c r="H1379" i="1" l="1"/>
  <c r="M1379" i="1" s="1"/>
  <c r="O1379" i="1" s="1"/>
  <c r="H1378" i="1"/>
  <c r="M1378" i="1" s="1"/>
  <c r="O1378" i="1" s="1"/>
  <c r="H1377" i="1" l="1"/>
  <c r="M1377" i="1" s="1"/>
  <c r="O1377" i="1" s="1"/>
  <c r="H1375" i="1" l="1"/>
  <c r="M1375" i="1" s="1"/>
  <c r="O1375" i="1" s="1"/>
  <c r="H1376" i="1"/>
  <c r="M1376" i="1" s="1"/>
  <c r="O1376" i="1" s="1"/>
  <c r="H1374" i="1" l="1"/>
  <c r="M1374" i="1" s="1"/>
  <c r="O1374" i="1" s="1"/>
  <c r="H1373" i="1" l="1"/>
  <c r="M1373" i="1" s="1"/>
  <c r="O1373" i="1" s="1"/>
  <c r="H1370" i="1" l="1"/>
  <c r="M1370" i="1" s="1"/>
  <c r="O1370" i="1" s="1"/>
  <c r="H1371" i="1"/>
  <c r="M1371" i="1" s="1"/>
  <c r="O1371" i="1" s="1"/>
  <c r="M1372" i="1"/>
  <c r="O1372" i="1" s="1"/>
  <c r="H1369" i="1" l="1"/>
  <c r="M1369" i="1" s="1"/>
  <c r="O1369" i="1" s="1"/>
  <c r="H1347" i="1" l="1"/>
  <c r="M1347" i="1" s="1"/>
  <c r="O1347" i="1" s="1"/>
  <c r="H1368" i="1" l="1"/>
  <c r="M1368" i="1" s="1"/>
  <c r="O1368" i="1" s="1"/>
  <c r="H1367" i="1" l="1"/>
  <c r="M1367" i="1" s="1"/>
  <c r="O1367" i="1" s="1"/>
  <c r="H1366" i="1" l="1"/>
  <c r="I1366" i="1" s="1"/>
  <c r="M1366" i="1" l="1"/>
  <c r="O1366" i="1" s="1"/>
  <c r="N1366" i="1" l="1"/>
  <c r="H1364" i="1"/>
  <c r="M1364" i="1" s="1"/>
  <c r="O1364" i="1" s="1"/>
  <c r="H1365" i="1"/>
  <c r="I1365" i="1" s="1"/>
  <c r="M1365" i="1" l="1"/>
  <c r="O1365" i="1" s="1"/>
  <c r="N1364" i="1"/>
  <c r="I1364" i="1"/>
  <c r="N1365" i="1" l="1"/>
  <c r="H1363" i="1"/>
  <c r="M1363" i="1" s="1"/>
  <c r="O1363" i="1" s="1"/>
  <c r="H1362" i="1" l="1"/>
  <c r="M1362" i="1" s="1"/>
  <c r="O1362" i="1" s="1"/>
  <c r="H1361" i="1" l="1"/>
  <c r="M1361" i="1" s="1"/>
  <c r="O1361" i="1" s="1"/>
  <c r="I1361" i="1" l="1"/>
  <c r="N1361" i="1"/>
  <c r="H1359" i="1"/>
  <c r="I1359" i="1" s="1"/>
  <c r="H1360" i="1"/>
  <c r="M1360" i="1" s="1"/>
  <c r="M1359" i="1" l="1"/>
  <c r="N1359" i="1" s="1"/>
  <c r="O1360" i="1"/>
  <c r="H1358" i="1"/>
  <c r="H1385" i="1" s="1"/>
  <c r="B58" i="3" s="1"/>
  <c r="I1358" i="1" l="1"/>
  <c r="I1385" i="1" s="1"/>
  <c r="O1359" i="1"/>
  <c r="M1358" i="1"/>
  <c r="M1385" i="1" s="1"/>
  <c r="G1385" i="1" l="1"/>
  <c r="C58" i="3"/>
  <c r="F58" i="3" s="1"/>
  <c r="K58" i="3" s="1"/>
  <c r="O1385" i="1"/>
  <c r="O1358" i="1"/>
  <c r="N1358" i="1"/>
  <c r="N1385" i="1" s="1"/>
  <c r="F1385" i="1" s="1"/>
  <c r="H1355" i="1"/>
  <c r="M1355" i="1" s="1"/>
  <c r="O1355" i="1" s="1"/>
  <c r="H1353" i="1"/>
  <c r="M1353" i="1" s="1"/>
  <c r="O1353" i="1" s="1"/>
  <c r="H1354" i="1"/>
  <c r="M1354" i="1" s="1"/>
  <c r="O1354" i="1" s="1"/>
  <c r="H1352" i="1"/>
  <c r="M1352" i="1" s="1"/>
  <c r="O1352" i="1" s="1"/>
  <c r="H1350" i="1"/>
  <c r="I1350" i="1" s="1"/>
  <c r="H1351" i="1"/>
  <c r="M1351" i="1" s="1"/>
  <c r="O1351" i="1" s="1"/>
  <c r="N58" i="3" l="1"/>
  <c r="I1351" i="1"/>
  <c r="M1350" i="1"/>
  <c r="N1351" i="1"/>
  <c r="N1350" i="1" l="1"/>
  <c r="O1350" i="1"/>
  <c r="H1349" i="1"/>
  <c r="M1349" i="1" s="1"/>
  <c r="O1349" i="1" s="1"/>
  <c r="H1348" i="1" l="1"/>
  <c r="M1348" i="1" s="1"/>
  <c r="O1348" i="1" s="1"/>
  <c r="H1346" i="1" l="1"/>
  <c r="M1346" i="1" s="1"/>
  <c r="O1346" i="1" s="1"/>
  <c r="H1345" i="1" l="1"/>
  <c r="M1345" i="1" s="1"/>
  <c r="O1345" i="1" s="1"/>
  <c r="H1344" i="1" l="1"/>
  <c r="M1344" i="1" s="1"/>
  <c r="O1344" i="1" s="1"/>
  <c r="H1343" i="1" l="1"/>
  <c r="M1343" i="1" s="1"/>
  <c r="O1343" i="1" s="1"/>
  <c r="H1342" i="1"/>
  <c r="M1342" i="1" s="1"/>
  <c r="O1342" i="1" s="1"/>
  <c r="H1340" i="1"/>
  <c r="M1340" i="1" s="1"/>
  <c r="O1340" i="1" s="1"/>
  <c r="H1341" i="1"/>
  <c r="M1341" i="1" s="1"/>
  <c r="O1341" i="1" s="1"/>
  <c r="H1339" i="1"/>
  <c r="M1339" i="1" s="1"/>
  <c r="O1339" i="1" s="1"/>
  <c r="H1338" i="1"/>
  <c r="M1338" i="1" s="1"/>
  <c r="O1338" i="1" s="1"/>
  <c r="H1337" i="1"/>
  <c r="M1337" i="1" s="1"/>
  <c r="O1337" i="1" s="1"/>
  <c r="M1334" i="1" l="1"/>
  <c r="O1334" i="1" s="1"/>
  <c r="H1336" i="1"/>
  <c r="M1336" i="1" s="1"/>
  <c r="O1336" i="1" s="1"/>
  <c r="H1335" i="1"/>
  <c r="M1335" i="1" s="1"/>
  <c r="O1335" i="1" s="1"/>
  <c r="H1331" i="1" l="1"/>
  <c r="M1331" i="1" s="1"/>
  <c r="H1332" i="1"/>
  <c r="M1332" i="1" s="1"/>
  <c r="O1332" i="1" s="1"/>
  <c r="H1333" i="1"/>
  <c r="M1333" i="1" s="1"/>
  <c r="O1333" i="1" s="1"/>
  <c r="I1331" i="1" l="1"/>
  <c r="I1356" i="1" s="1"/>
  <c r="C57" i="3" s="1"/>
  <c r="O1331" i="1"/>
  <c r="N1331" i="1"/>
  <c r="N1356" i="1" s="1"/>
  <c r="H1330" i="1"/>
  <c r="M1330" i="1" s="1"/>
  <c r="O1330" i="1" s="1"/>
  <c r="H1329" i="1" l="1"/>
  <c r="M1329" i="1" s="1"/>
  <c r="O1329" i="1" s="1"/>
  <c r="H1328" i="1" l="1"/>
  <c r="M1328" i="1" s="1"/>
  <c r="O1328" i="1" s="1"/>
  <c r="H1327" i="1" l="1"/>
  <c r="M1327" i="1" s="1"/>
  <c r="O1327" i="1" s="1"/>
  <c r="H1325" i="1" l="1"/>
  <c r="M1325" i="1" s="1"/>
  <c r="O1325" i="1" s="1"/>
  <c r="H1326" i="1"/>
  <c r="M1326" i="1" s="1"/>
  <c r="O1326" i="1" s="1"/>
  <c r="H1324" i="1" l="1"/>
  <c r="H1356" i="1" s="1"/>
  <c r="G1356" i="1" l="1"/>
  <c r="B57" i="3"/>
  <c r="F57" i="3" s="1"/>
  <c r="K57" i="3" s="1"/>
  <c r="M1324" i="1"/>
  <c r="M1356" i="1" s="1"/>
  <c r="N57" i="3" l="1"/>
  <c r="F1356" i="1"/>
  <c r="O1356" i="1"/>
  <c r="O1324" i="1"/>
  <c r="H1319" i="1"/>
  <c r="M1319" i="1" s="1"/>
  <c r="O1319" i="1" s="1"/>
  <c r="H1320" i="1"/>
  <c r="M1320" i="1" s="1"/>
  <c r="O1320" i="1" s="1"/>
  <c r="H1321" i="1"/>
  <c r="M1321" i="1" s="1"/>
  <c r="O1321" i="1" s="1"/>
  <c r="H1318" i="1" l="1"/>
  <c r="M1318" i="1" s="1"/>
  <c r="O1318" i="1" s="1"/>
  <c r="H1317" i="1" l="1"/>
  <c r="M1317" i="1" s="1"/>
  <c r="O1317" i="1" s="1"/>
  <c r="M1316" i="1" l="1"/>
  <c r="O1316" i="1" s="1"/>
  <c r="H1315" i="1"/>
  <c r="M1315" i="1" s="1"/>
  <c r="O1315" i="1" s="1"/>
  <c r="H1314" i="1" l="1"/>
  <c r="M1314" i="1" l="1"/>
  <c r="I1314" i="1"/>
  <c r="H1313" i="1"/>
  <c r="M1313" i="1" s="1"/>
  <c r="O1313" i="1" s="1"/>
  <c r="O1314" i="1" l="1"/>
  <c r="N1314" i="1"/>
  <c r="H1312" i="1"/>
  <c r="M1312" i="1" s="1"/>
  <c r="O1312" i="1" s="1"/>
  <c r="H1311" i="1" l="1"/>
  <c r="M1311" i="1" s="1"/>
  <c r="O1311" i="1" s="1"/>
  <c r="H1309" i="1" l="1"/>
  <c r="M1309" i="1" s="1"/>
  <c r="O1309" i="1" s="1"/>
  <c r="H1310" i="1"/>
  <c r="M1310" i="1" s="1"/>
  <c r="O1310" i="1" s="1"/>
  <c r="H1308" i="1" l="1"/>
  <c r="M1308" i="1" s="1"/>
  <c r="O1308" i="1" s="1"/>
  <c r="M1306" i="1" l="1"/>
  <c r="O1306" i="1" s="1"/>
  <c r="H1307" i="1"/>
  <c r="M1307" i="1" s="1"/>
  <c r="O1307" i="1" s="1"/>
  <c r="H1304" i="1" l="1"/>
  <c r="M1304" i="1" s="1"/>
  <c r="O1304" i="1" s="1"/>
  <c r="H1305" i="1"/>
  <c r="M1305" i="1" s="1"/>
  <c r="O1305" i="1" s="1"/>
  <c r="H1301" i="1"/>
  <c r="M1301" i="1" s="1"/>
  <c r="O1301" i="1" s="1"/>
  <c r="H1303" i="1"/>
  <c r="M1303" i="1" s="1"/>
  <c r="O1303" i="1" s="1"/>
  <c r="H1302" i="1"/>
  <c r="M1302" i="1" s="1"/>
  <c r="O1302" i="1" s="1"/>
  <c r="M1300" i="1"/>
  <c r="O1300" i="1" s="1"/>
  <c r="H1299" i="1"/>
  <c r="M1299" i="1" s="1"/>
  <c r="O1299" i="1" s="1"/>
  <c r="H1298" i="1"/>
  <c r="M1298" i="1" s="1"/>
  <c r="O1298" i="1" s="1"/>
  <c r="H1297" i="1"/>
  <c r="M1297" i="1" s="1"/>
  <c r="O1297" i="1" s="1"/>
  <c r="H1296" i="1"/>
  <c r="M1296" i="1" s="1"/>
  <c r="O1296" i="1" s="1"/>
  <c r="H1291" i="1" l="1"/>
  <c r="M1291" i="1" s="1"/>
  <c r="O1291" i="1" s="1"/>
  <c r="H1292" i="1"/>
  <c r="M1292" i="1" s="1"/>
  <c r="N1292" i="1" l="1"/>
  <c r="O1292" i="1"/>
  <c r="I1292" i="1"/>
  <c r="H1290" i="1"/>
  <c r="M1290" i="1" s="1"/>
  <c r="O1290" i="1" s="1"/>
  <c r="H1295" i="1" l="1"/>
  <c r="H1322" i="1" s="1"/>
  <c r="B56" i="3" s="1"/>
  <c r="M1295" i="1" l="1"/>
  <c r="I1295" i="1"/>
  <c r="I1322" i="1" s="1"/>
  <c r="H1289" i="1"/>
  <c r="G1322" i="1" l="1"/>
  <c r="C56" i="3"/>
  <c r="F56" i="3" s="1"/>
  <c r="K56" i="3" s="1"/>
  <c r="O1295" i="1"/>
  <c r="M1322" i="1"/>
  <c r="N1295" i="1"/>
  <c r="N1322" i="1" s="1"/>
  <c r="H1288" i="1"/>
  <c r="M1288" i="1" s="1"/>
  <c r="N56" i="3" l="1"/>
  <c r="F1322" i="1"/>
  <c r="O1322" i="1"/>
  <c r="N1288" i="1"/>
  <c r="O1288" i="1"/>
  <c r="I1288" i="1"/>
  <c r="H1287" i="1"/>
  <c r="M1287" i="1" s="1"/>
  <c r="O1287" i="1" s="1"/>
  <c r="H1286" i="1" l="1"/>
  <c r="I1286" i="1" l="1"/>
  <c r="M1286" i="1"/>
  <c r="H1285" i="1"/>
  <c r="M1285" i="1" s="1"/>
  <c r="O1285" i="1" s="1"/>
  <c r="O1286" i="1" l="1"/>
  <c r="N1286" i="1"/>
  <c r="H1284" i="1"/>
  <c r="M1284" i="1" s="1"/>
  <c r="O1284" i="1" s="1"/>
  <c r="H1283" i="1" l="1"/>
  <c r="M1283" i="1" l="1"/>
  <c r="I1283" i="1"/>
  <c r="H1282" i="1"/>
  <c r="M1282" i="1" s="1"/>
  <c r="O1282" i="1" s="1"/>
  <c r="M1277" i="1"/>
  <c r="O1277" i="1" s="1"/>
  <c r="H1281" i="1"/>
  <c r="M1281" i="1" s="1"/>
  <c r="O1281" i="1" s="1"/>
  <c r="H1280" i="1"/>
  <c r="M1280" i="1" s="1"/>
  <c r="O1280" i="1" s="1"/>
  <c r="H1279" i="1"/>
  <c r="M1279" i="1" s="1"/>
  <c r="O1279" i="1" s="1"/>
  <c r="H1278" i="1"/>
  <c r="M1278" i="1" s="1"/>
  <c r="O1278" i="1" s="1"/>
  <c r="O1283" i="1" l="1"/>
  <c r="N1283" i="1"/>
  <c r="H1276" i="1"/>
  <c r="M1276" i="1" s="1"/>
  <c r="O1276" i="1" s="1"/>
  <c r="H1274" i="1"/>
  <c r="M1274" i="1" s="1"/>
  <c r="O1274" i="1" s="1"/>
  <c r="H1275" i="1"/>
  <c r="M1275" i="1" s="1"/>
  <c r="O1275" i="1" s="1"/>
  <c r="H1273" i="1" l="1"/>
  <c r="M1273" i="1" s="1"/>
  <c r="O1273" i="1" s="1"/>
  <c r="H1271" i="1" l="1"/>
  <c r="M1271" i="1" s="1"/>
  <c r="O1271" i="1" s="1"/>
  <c r="H1272" i="1"/>
  <c r="M1272" i="1" s="1"/>
  <c r="O1272" i="1" s="1"/>
  <c r="H1270" i="1" l="1"/>
  <c r="M1270" i="1" s="1"/>
  <c r="O1270" i="1" s="1"/>
  <c r="H1269" i="1" l="1"/>
  <c r="M1269" i="1" s="1"/>
  <c r="O1269" i="1" s="1"/>
  <c r="H1268" i="1" l="1"/>
  <c r="M1268" i="1" s="1"/>
  <c r="O1268" i="1" s="1"/>
  <c r="H1267" i="1" l="1"/>
  <c r="M1267" i="1" l="1"/>
  <c r="I1267" i="1"/>
  <c r="H1266" i="1"/>
  <c r="M1266" i="1" s="1"/>
  <c r="O1266" i="1" s="1"/>
  <c r="O1267" i="1" l="1"/>
  <c r="N1267" i="1"/>
  <c r="K1289" i="1"/>
  <c r="K1293" i="1" s="1"/>
  <c r="H1264" i="1"/>
  <c r="M1264" i="1" s="1"/>
  <c r="O1264" i="1" s="1"/>
  <c r="H1265" i="1"/>
  <c r="M1265" i="1" s="1"/>
  <c r="O1265" i="1" s="1"/>
  <c r="M1289" i="1" l="1"/>
  <c r="O1289" i="1" s="1"/>
  <c r="H1263" i="1"/>
  <c r="M1263" i="1" s="1"/>
  <c r="O1263" i="1" l="1"/>
  <c r="H1262" i="1"/>
  <c r="M1262" i="1" s="1"/>
  <c r="O1262" i="1" s="1"/>
  <c r="H1261" i="1" l="1"/>
  <c r="M1261" i="1" s="1"/>
  <c r="O1261" i="1" s="1"/>
  <c r="H1258" i="1" l="1"/>
  <c r="M1258" i="1" s="1"/>
  <c r="O1258" i="1" s="1"/>
  <c r="H1259" i="1"/>
  <c r="M1259" i="1" s="1"/>
  <c r="O1259" i="1" s="1"/>
  <c r="H1260" i="1"/>
  <c r="M1260" i="1" s="1"/>
  <c r="O1260" i="1" s="1"/>
  <c r="H1257" i="1" l="1"/>
  <c r="I1257" i="1" s="1"/>
  <c r="M1257" i="1" l="1"/>
  <c r="H1256" i="1"/>
  <c r="M1256" i="1" s="1"/>
  <c r="O1256" i="1" s="1"/>
  <c r="N1257" i="1" l="1"/>
  <c r="O1257" i="1"/>
  <c r="H1255" i="1"/>
  <c r="M1255" i="1" s="1"/>
  <c r="O1255" i="1" s="1"/>
  <c r="H1254" i="1"/>
  <c r="H1293" i="1" s="1"/>
  <c r="B55" i="3" s="1"/>
  <c r="M1254" i="1" l="1"/>
  <c r="M1293" i="1" s="1"/>
  <c r="I1254" i="1"/>
  <c r="I1293" i="1" s="1"/>
  <c r="H1249" i="1"/>
  <c r="M1249" i="1" s="1"/>
  <c r="H1250" i="1"/>
  <c r="M1250" i="1" s="1"/>
  <c r="O1250" i="1" s="1"/>
  <c r="G1293" i="1" l="1"/>
  <c r="C55" i="3"/>
  <c r="F55" i="3" s="1"/>
  <c r="K55" i="3" s="1"/>
  <c r="O1293" i="1"/>
  <c r="N1254" i="1"/>
  <c r="N1293" i="1" s="1"/>
  <c r="F1293" i="1" s="1"/>
  <c r="O1254" i="1"/>
  <c r="I1249" i="1"/>
  <c r="N1249" i="1"/>
  <c r="O1249" i="1"/>
  <c r="H1251" i="1"/>
  <c r="M1251" i="1" s="1"/>
  <c r="O1251" i="1" s="1"/>
  <c r="N55" i="3" l="1"/>
  <c r="H1248" i="1"/>
  <c r="I1248" i="1" s="1"/>
  <c r="M1248" i="1" l="1"/>
  <c r="O1248" i="1" s="1"/>
  <c r="M1247" i="1"/>
  <c r="O1247" i="1" s="1"/>
  <c r="N1248" i="1" l="1"/>
  <c r="H1245" i="1"/>
  <c r="H1246" i="1"/>
  <c r="M1246" i="1" l="1"/>
  <c r="I1246" i="1"/>
  <c r="M1245" i="1"/>
  <c r="I1245" i="1"/>
  <c r="H1244" i="1"/>
  <c r="M1244" i="1" s="1"/>
  <c r="O1244" i="1" s="1"/>
  <c r="O1245" i="1" l="1"/>
  <c r="N1245" i="1"/>
  <c r="O1246" i="1"/>
  <c r="N1246" i="1"/>
  <c r="H1243" i="1"/>
  <c r="M1243" i="1" s="1"/>
  <c r="O1243" i="1" s="1"/>
  <c r="H1242" i="1"/>
  <c r="M1242" i="1" s="1"/>
  <c r="O1242" i="1" s="1"/>
  <c r="H1240" i="1" l="1"/>
  <c r="M1240" i="1" s="1"/>
  <c r="O1240" i="1" s="1"/>
  <c r="H1241" i="1" l="1"/>
  <c r="M1241" i="1" s="1"/>
  <c r="O1241" i="1" s="1"/>
  <c r="H1239" i="1" l="1"/>
  <c r="M1239" i="1" s="1"/>
  <c r="O1239" i="1" s="1"/>
  <c r="H1236" i="1" l="1"/>
  <c r="M1236" i="1" s="1"/>
  <c r="O1236" i="1" s="1"/>
  <c r="H1237" i="1"/>
  <c r="M1237" i="1" s="1"/>
  <c r="O1237" i="1" s="1"/>
  <c r="H1238" i="1"/>
  <c r="M1238" i="1" s="1"/>
  <c r="O1238" i="1" s="1"/>
  <c r="H1235" i="1" l="1"/>
  <c r="M1235" i="1" s="1"/>
  <c r="O1235" i="1" s="1"/>
  <c r="H1233" i="1" l="1"/>
  <c r="M1233" i="1" s="1"/>
  <c r="O1233" i="1" s="1"/>
  <c r="H1234" i="1"/>
  <c r="M1234" i="1" s="1"/>
  <c r="O1234" i="1" s="1"/>
  <c r="H1232" i="1" l="1"/>
  <c r="M1232" i="1" s="1"/>
  <c r="O1232" i="1" s="1"/>
  <c r="H1231" i="1" l="1"/>
  <c r="M1231" i="1" s="1"/>
  <c r="O1231" i="1" s="1"/>
  <c r="H1230" i="1" l="1"/>
  <c r="I1230" i="1" s="1"/>
  <c r="M1230" i="1" l="1"/>
  <c r="H1228" i="1"/>
  <c r="M1228" i="1" s="1"/>
  <c r="H1229" i="1"/>
  <c r="M1229" i="1" s="1"/>
  <c r="O1229" i="1" s="1"/>
  <c r="O1228" i="1" l="1"/>
  <c r="N1228" i="1"/>
  <c r="I1228" i="1"/>
  <c r="O1230" i="1"/>
  <c r="N1230" i="1"/>
  <c r="H1227" i="1"/>
  <c r="M1227" i="1" s="1"/>
  <c r="O1227" i="1" s="1"/>
  <c r="H1226" i="1" l="1"/>
  <c r="M1226" i="1" s="1"/>
  <c r="O1226" i="1" s="1"/>
  <c r="H1225" i="1" l="1"/>
  <c r="M1225" i="1" s="1"/>
  <c r="O1225" i="1" s="1"/>
  <c r="H1224" i="1" l="1"/>
  <c r="M1224" i="1" l="1"/>
  <c r="I1224" i="1"/>
  <c r="H1222" i="1"/>
  <c r="M1222" i="1" s="1"/>
  <c r="O1222" i="1" s="1"/>
  <c r="H1223" i="1"/>
  <c r="M1223" i="1" s="1"/>
  <c r="O1223" i="1" s="1"/>
  <c r="O1224" i="1" l="1"/>
  <c r="N1224" i="1"/>
  <c r="H1220" i="1"/>
  <c r="M1220" i="1" s="1"/>
  <c r="O1220" i="1" s="1"/>
  <c r="H1221" i="1"/>
  <c r="M1221" i="1" s="1"/>
  <c r="O1221" i="1" s="1"/>
  <c r="H1219" i="1" l="1"/>
  <c r="M1219" i="1" s="1"/>
  <c r="O1219" i="1" s="1"/>
  <c r="H1218" i="1"/>
  <c r="H1252" i="1" l="1"/>
  <c r="B54" i="3" s="1"/>
  <c r="I1218" i="1"/>
  <c r="I1252" i="1" s="1"/>
  <c r="C54" i="3" s="1"/>
  <c r="M1218" i="1"/>
  <c r="M1252" i="1" s="1"/>
  <c r="H1215" i="1"/>
  <c r="I1215" i="1" s="1"/>
  <c r="F54" i="3" l="1"/>
  <c r="K54" i="3" s="1"/>
  <c r="G1252" i="1"/>
  <c r="O1252" i="1"/>
  <c r="O1218" i="1"/>
  <c r="N1218" i="1"/>
  <c r="N1252" i="1" s="1"/>
  <c r="F1252" i="1" s="1"/>
  <c r="M1215" i="1"/>
  <c r="H1214" i="1"/>
  <c r="M1214" i="1" s="1"/>
  <c r="O1214" i="1" s="1"/>
  <c r="N54" i="3" l="1"/>
  <c r="I1214" i="1"/>
  <c r="O1215" i="1"/>
  <c r="N1215" i="1"/>
  <c r="N1214" i="1"/>
  <c r="H1213" i="1"/>
  <c r="H1212" i="1" l="1"/>
  <c r="M1212" i="1" s="1"/>
  <c r="O1212" i="1" s="1"/>
  <c r="H1211" i="1" l="1"/>
  <c r="M1211" i="1" s="1"/>
  <c r="O1211" i="1" s="1"/>
  <c r="I1211" i="1" l="1"/>
  <c r="N1211" i="1"/>
  <c r="H1210" i="1"/>
  <c r="M1210" i="1" s="1"/>
  <c r="O1210" i="1" s="1"/>
  <c r="H1209" i="1" l="1"/>
  <c r="I1209" i="1" s="1"/>
  <c r="M1209" i="1" l="1"/>
  <c r="H1208" i="1"/>
  <c r="M1208" i="1" s="1"/>
  <c r="O1208" i="1" s="1"/>
  <c r="O1209" i="1" l="1"/>
  <c r="N1209" i="1"/>
  <c r="H1207" i="1"/>
  <c r="M1207" i="1" s="1"/>
  <c r="O1207" i="1" s="1"/>
  <c r="H1206" i="1" l="1"/>
  <c r="M1206" i="1" s="1"/>
  <c r="O1206" i="1" s="1"/>
  <c r="H1205" i="1"/>
  <c r="M1205" i="1" s="1"/>
  <c r="O1205" i="1" s="1"/>
  <c r="H1204" i="1" l="1"/>
  <c r="M1204" i="1" s="1"/>
  <c r="O1204" i="1" s="1"/>
  <c r="H1202" i="1" l="1"/>
  <c r="M1202" i="1" s="1"/>
  <c r="O1202" i="1" s="1"/>
  <c r="H1203" i="1"/>
  <c r="M1203" i="1" s="1"/>
  <c r="O1203" i="1" s="1"/>
  <c r="H1201" i="1" l="1"/>
  <c r="M1201" i="1" s="1"/>
  <c r="O1201" i="1" l="1"/>
  <c r="N1201" i="1"/>
  <c r="I1201" i="1"/>
  <c r="H1200" i="1"/>
  <c r="I1200" i="1" s="1"/>
  <c r="M1200" i="1" l="1"/>
  <c r="O1200" i="1" l="1"/>
  <c r="N1200" i="1"/>
  <c r="H1199" i="1"/>
  <c r="M1199" i="1" s="1"/>
  <c r="O1199" i="1" s="1"/>
  <c r="H1198" i="1"/>
  <c r="M1198" i="1" s="1"/>
  <c r="O1198" i="1" s="1"/>
  <c r="H1197" i="1" l="1"/>
  <c r="M1197" i="1" s="1"/>
  <c r="O1197" i="1" s="1"/>
  <c r="H1196" i="1" l="1"/>
  <c r="M1196" i="1" s="1"/>
  <c r="O1196" i="1" s="1"/>
  <c r="H1195" i="1" l="1"/>
  <c r="M1195" i="1" s="1"/>
  <c r="O1195" i="1" s="1"/>
  <c r="H1192" i="1" l="1"/>
  <c r="M1192" i="1" s="1"/>
  <c r="O1192" i="1" s="1"/>
  <c r="H1193" i="1"/>
  <c r="M1193" i="1" s="1"/>
  <c r="O1193" i="1" s="1"/>
  <c r="H1194" i="1"/>
  <c r="M1194" i="1" s="1"/>
  <c r="O1194" i="1" s="1"/>
  <c r="H1191" i="1" l="1"/>
  <c r="H1216" i="1" s="1"/>
  <c r="B53" i="3" s="1"/>
  <c r="M1191" i="1" l="1"/>
  <c r="I1191" i="1"/>
  <c r="I1216" i="1" s="1"/>
  <c r="H1148" i="1"/>
  <c r="H1149" i="1"/>
  <c r="M1149" i="1" s="1"/>
  <c r="O1149" i="1" s="1"/>
  <c r="H1150" i="1"/>
  <c r="I1150" i="1" s="1"/>
  <c r="H1151" i="1"/>
  <c r="M1151" i="1" s="1"/>
  <c r="O1151" i="1" s="1"/>
  <c r="H1152" i="1"/>
  <c r="M1152" i="1" s="1"/>
  <c r="O1152" i="1" s="1"/>
  <c r="H1153" i="1"/>
  <c r="M1153" i="1" s="1"/>
  <c r="O1153" i="1" s="1"/>
  <c r="H1154" i="1"/>
  <c r="M1154" i="1" s="1"/>
  <c r="O1154" i="1" s="1"/>
  <c r="H1155" i="1"/>
  <c r="M1155" i="1" s="1"/>
  <c r="O1155" i="1" s="1"/>
  <c r="H1156" i="1"/>
  <c r="M1156" i="1" s="1"/>
  <c r="H1157" i="1"/>
  <c r="M1157" i="1" s="1"/>
  <c r="O1157" i="1" s="1"/>
  <c r="H1158" i="1"/>
  <c r="M1158" i="1" s="1"/>
  <c r="O1158" i="1" s="1"/>
  <c r="H1159" i="1"/>
  <c r="M1159" i="1" s="1"/>
  <c r="O1159" i="1" s="1"/>
  <c r="H1160" i="1"/>
  <c r="M1160" i="1" s="1"/>
  <c r="O1160" i="1" s="1"/>
  <c r="H1161" i="1"/>
  <c r="M1161" i="1" s="1"/>
  <c r="O1161" i="1" s="1"/>
  <c r="H1162" i="1"/>
  <c r="M1162" i="1" s="1"/>
  <c r="H1163" i="1"/>
  <c r="M1163" i="1" s="1"/>
  <c r="O1163" i="1" s="1"/>
  <c r="H1164" i="1"/>
  <c r="M1164" i="1" s="1"/>
  <c r="O1164" i="1" s="1"/>
  <c r="H1165" i="1"/>
  <c r="M1165" i="1" s="1"/>
  <c r="O1165" i="1" s="1"/>
  <c r="H1166" i="1"/>
  <c r="M1166" i="1" s="1"/>
  <c r="O1166" i="1" s="1"/>
  <c r="H1167" i="1"/>
  <c r="M1167" i="1" s="1"/>
  <c r="O1167" i="1" s="1"/>
  <c r="H1168" i="1"/>
  <c r="M1168" i="1" s="1"/>
  <c r="H1169" i="1"/>
  <c r="I1169" i="1" s="1"/>
  <c r="H1170" i="1"/>
  <c r="M1170" i="1" s="1"/>
  <c r="O1170" i="1" s="1"/>
  <c r="H1171" i="1"/>
  <c r="M1171" i="1" s="1"/>
  <c r="O1171" i="1" s="1"/>
  <c r="H1172" i="1"/>
  <c r="M1172" i="1" s="1"/>
  <c r="O1172" i="1" s="1"/>
  <c r="H1173" i="1"/>
  <c r="M1173" i="1" s="1"/>
  <c r="O1173" i="1" s="1"/>
  <c r="H1174" i="1"/>
  <c r="M1174" i="1" s="1"/>
  <c r="O1174" i="1" s="1"/>
  <c r="H1175" i="1"/>
  <c r="M1175" i="1" s="1"/>
  <c r="O1175" i="1" s="1"/>
  <c r="M1176" i="1"/>
  <c r="O1176" i="1" s="1"/>
  <c r="H1177" i="1"/>
  <c r="I1177" i="1" s="1"/>
  <c r="H1178" i="1"/>
  <c r="M1178" i="1" s="1"/>
  <c r="O1178" i="1" s="1"/>
  <c r="H1179" i="1"/>
  <c r="I1179" i="1" s="1"/>
  <c r="H1180" i="1"/>
  <c r="M1180" i="1" s="1"/>
  <c r="O1180" i="1" s="1"/>
  <c r="M1181" i="1"/>
  <c r="O1181" i="1" s="1"/>
  <c r="H1182" i="1"/>
  <c r="M1182" i="1" s="1"/>
  <c r="O1182" i="1" s="1"/>
  <c r="H1183" i="1"/>
  <c r="M1183" i="1" s="1"/>
  <c r="O1183" i="1" s="1"/>
  <c r="H1184" i="1"/>
  <c r="M1184" i="1" s="1"/>
  <c r="O1184" i="1" s="1"/>
  <c r="H1185" i="1"/>
  <c r="M1185" i="1" s="1"/>
  <c r="O1185" i="1" s="1"/>
  <c r="H1186" i="1"/>
  <c r="M1186" i="1" s="1"/>
  <c r="O1186" i="1" s="1"/>
  <c r="H1187" i="1"/>
  <c r="M1187" i="1" s="1"/>
  <c r="O1187" i="1" s="1"/>
  <c r="H1188" i="1"/>
  <c r="I1188" i="1" s="1"/>
  <c r="G1216" i="1" l="1"/>
  <c r="C53" i="3"/>
  <c r="F53" i="3" s="1"/>
  <c r="K53" i="3" s="1"/>
  <c r="N1191" i="1"/>
  <c r="N1216" i="1" s="1"/>
  <c r="M1148" i="1"/>
  <c r="H1189" i="1"/>
  <c r="B52" i="3" s="1"/>
  <c r="I1162" i="1"/>
  <c r="M1177" i="1"/>
  <c r="O1177" i="1" s="1"/>
  <c r="O1191" i="1"/>
  <c r="I1168" i="1"/>
  <c r="I1156" i="1"/>
  <c r="M1188" i="1"/>
  <c r="O1188" i="1" s="1"/>
  <c r="M1179" i="1"/>
  <c r="O1179" i="1" s="1"/>
  <c r="M1150" i="1"/>
  <c r="N1150" i="1" s="1"/>
  <c r="N1162" i="1"/>
  <c r="O1162" i="1"/>
  <c r="N1168" i="1"/>
  <c r="O1168" i="1"/>
  <c r="N1156" i="1"/>
  <c r="O1156" i="1"/>
  <c r="M1169" i="1"/>
  <c r="K1213" i="1"/>
  <c r="K1216" i="1" s="1"/>
  <c r="N53" i="3" l="1"/>
  <c r="I1189" i="1"/>
  <c r="O1148" i="1"/>
  <c r="M1189" i="1"/>
  <c r="N1177" i="1"/>
  <c r="M1213" i="1"/>
  <c r="M1216" i="1" s="1"/>
  <c r="N1188" i="1"/>
  <c r="N1179" i="1"/>
  <c r="O1150" i="1"/>
  <c r="O1169" i="1"/>
  <c r="N1169" i="1"/>
  <c r="G1189" i="1" l="1"/>
  <c r="C52" i="3"/>
  <c r="F52" i="3" s="1"/>
  <c r="K52" i="3" s="1"/>
  <c r="N1189" i="1"/>
  <c r="F1189" i="1" s="1"/>
  <c r="F1216" i="1"/>
  <c r="O1216" i="1"/>
  <c r="O1189" i="1"/>
  <c r="O1213" i="1"/>
  <c r="N52" i="3" l="1"/>
  <c r="H1144" i="1"/>
  <c r="M1144" i="1" s="1"/>
  <c r="O1144" i="1" s="1"/>
  <c r="H1143" i="1" l="1"/>
  <c r="M1143" i="1" s="1"/>
  <c r="O1143" i="1" s="1"/>
  <c r="H1141" i="1" l="1"/>
  <c r="M1141" i="1" s="1"/>
  <c r="O1141" i="1" s="1"/>
  <c r="H1142" i="1"/>
  <c r="M1142" i="1" s="1"/>
  <c r="O1142" i="1" s="1"/>
  <c r="I1142" i="1" l="1"/>
  <c r="N1142" i="1"/>
  <c r="H1139" i="1"/>
  <c r="H1140" i="1"/>
  <c r="M1140" i="1" s="1"/>
  <c r="O1140" i="1" s="1"/>
  <c r="I1139" i="1" l="1"/>
  <c r="M1139" i="1"/>
  <c r="H1137" i="1"/>
  <c r="M1137" i="1" s="1"/>
  <c r="O1137" i="1" s="1"/>
  <c r="H1138" i="1"/>
  <c r="M1138" i="1" s="1"/>
  <c r="O1138" i="1" s="1"/>
  <c r="O1139" i="1" l="1"/>
  <c r="N1139" i="1"/>
  <c r="H1136" i="1" l="1"/>
  <c r="M1136" i="1" s="1"/>
  <c r="O1136" i="1" s="1"/>
  <c r="H1135" i="1" l="1"/>
  <c r="M1135" i="1" s="1"/>
  <c r="O1135" i="1" s="1"/>
  <c r="H1133" i="1" l="1"/>
  <c r="M1133" i="1" s="1"/>
  <c r="O1133" i="1" s="1"/>
  <c r="H1134" i="1"/>
  <c r="M1134" i="1" s="1"/>
  <c r="O1134" i="1" s="1"/>
  <c r="H1132" i="1" l="1"/>
  <c r="M1132" i="1" s="1"/>
  <c r="O1132" i="1" s="1"/>
  <c r="K1129" i="1" l="1"/>
  <c r="K1146" i="1" s="1"/>
  <c r="H1129" i="1"/>
  <c r="H1130" i="1"/>
  <c r="M1130" i="1" s="1"/>
  <c r="O1130" i="1" s="1"/>
  <c r="H1131" i="1"/>
  <c r="M1131" i="1" s="1"/>
  <c r="O1131" i="1" s="1"/>
  <c r="M1129" i="1" l="1"/>
  <c r="O1129" i="1" s="1"/>
  <c r="H1128" i="1"/>
  <c r="M1128" i="1" s="1"/>
  <c r="O1128" i="1" s="1"/>
  <c r="H1126" i="1" l="1"/>
  <c r="M1126" i="1" s="1"/>
  <c r="O1126" i="1" s="1"/>
  <c r="H1127" i="1"/>
  <c r="M1127" i="1" s="1"/>
  <c r="O1127" i="1" s="1"/>
  <c r="H1125" i="1" l="1"/>
  <c r="M1125" i="1" s="1"/>
  <c r="O1125" i="1" s="1"/>
  <c r="H1123" i="1" l="1"/>
  <c r="I1123" i="1" s="1"/>
  <c r="I1146" i="1" s="1"/>
  <c r="C51" i="3" s="1"/>
  <c r="H1124" i="1"/>
  <c r="M1124" i="1" s="1"/>
  <c r="O1124" i="1" s="1"/>
  <c r="M1123" i="1" l="1"/>
  <c r="H1122" i="1"/>
  <c r="M1122" i="1" s="1"/>
  <c r="O1122" i="1" s="1"/>
  <c r="O1123" i="1" l="1"/>
  <c r="N1123" i="1"/>
  <c r="N1146" i="1" s="1"/>
  <c r="H1121" i="1"/>
  <c r="M1121" i="1" s="1"/>
  <c r="O1121" i="1" s="1"/>
  <c r="H1120" i="1" l="1"/>
  <c r="M1120" i="1" s="1"/>
  <c r="O1120" i="1" s="1"/>
  <c r="H1118" i="1" l="1"/>
  <c r="M1118" i="1" s="1"/>
  <c r="O1118" i="1" s="1"/>
  <c r="H1119" i="1"/>
  <c r="M1119" i="1" s="1"/>
  <c r="O1119" i="1" s="1"/>
  <c r="H1116" i="1" l="1"/>
  <c r="M1116" i="1" s="1"/>
  <c r="O1116" i="1" s="1"/>
  <c r="H1117" i="1"/>
  <c r="M1117" i="1" s="1"/>
  <c r="O1117" i="1" s="1"/>
  <c r="H1115" i="1"/>
  <c r="M1115" i="1" s="1"/>
  <c r="O1115" i="1" s="1"/>
  <c r="M1145" i="1" l="1"/>
  <c r="O1145" i="1" s="1"/>
  <c r="H1114" i="1"/>
  <c r="M1114" i="1" s="1"/>
  <c r="O1114" i="1" s="1"/>
  <c r="H1113" i="1" l="1"/>
  <c r="H1146" i="1" s="1"/>
  <c r="G1146" i="1" l="1"/>
  <c r="B51" i="3"/>
  <c r="F51" i="3" s="1"/>
  <c r="K51" i="3" s="1"/>
  <c r="M1113" i="1"/>
  <c r="M1146" i="1" s="1"/>
  <c r="H1110" i="1"/>
  <c r="M1110" i="1" s="1"/>
  <c r="O1110" i="1" s="1"/>
  <c r="N51" i="3" l="1"/>
  <c r="F1146" i="1"/>
  <c r="O1146" i="1"/>
  <c r="O1113" i="1"/>
  <c r="H1109" i="1"/>
  <c r="M1109" i="1" s="1"/>
  <c r="O1109" i="1" s="1"/>
  <c r="H1108" i="1"/>
  <c r="M1108" i="1" s="1"/>
  <c r="O1108" i="1" s="1"/>
  <c r="H1106" i="1" l="1"/>
  <c r="M1106" i="1" s="1"/>
  <c r="O1106" i="1" s="1"/>
  <c r="H1107" i="1"/>
  <c r="M1107" i="1" s="1"/>
  <c r="O1107" i="1" s="1"/>
  <c r="H1105" i="1" l="1"/>
  <c r="M1105" i="1" s="1"/>
  <c r="O1105" i="1" s="1"/>
  <c r="H1104" i="1" l="1"/>
  <c r="M1104" i="1" s="1"/>
  <c r="O1104" i="1" s="1"/>
  <c r="H1103" i="1" l="1"/>
  <c r="I1103" i="1" s="1"/>
  <c r="M1103" i="1" l="1"/>
  <c r="H1102" i="1"/>
  <c r="I1102" i="1" s="1"/>
  <c r="M1102" i="1" l="1"/>
  <c r="N1103" i="1"/>
  <c r="O1103" i="1"/>
  <c r="H1101" i="1"/>
  <c r="M1101" i="1" s="1"/>
  <c r="O1101" i="1" s="1"/>
  <c r="O1102" i="1" l="1"/>
  <c r="N1102" i="1"/>
  <c r="H1099" i="1"/>
  <c r="M1099" i="1" s="1"/>
  <c r="O1099" i="1" s="1"/>
  <c r="H1100" i="1"/>
  <c r="M1100" i="1" s="1"/>
  <c r="O1100" i="1" s="1"/>
  <c r="H1098" i="1" l="1"/>
  <c r="I1098" i="1" l="1"/>
  <c r="M1098" i="1"/>
  <c r="H1096" i="1"/>
  <c r="H1097" i="1"/>
  <c r="M1097" i="1" s="1"/>
  <c r="O1097" i="1" s="1"/>
  <c r="O1098" i="1" l="1"/>
  <c r="N1098" i="1"/>
  <c r="I1096" i="1"/>
  <c r="I1111" i="1" s="1"/>
  <c r="C50" i="3" s="1"/>
  <c r="M1096" i="1"/>
  <c r="H1095" i="1"/>
  <c r="M1095" i="1" s="1"/>
  <c r="O1095" i="1" s="1"/>
  <c r="O1096" i="1" l="1"/>
  <c r="N1096" i="1"/>
  <c r="N1111" i="1" s="1"/>
  <c r="H1093" i="1"/>
  <c r="M1093" i="1" s="1"/>
  <c r="O1093" i="1" s="1"/>
  <c r="H1094" i="1"/>
  <c r="M1094" i="1" s="1"/>
  <c r="O1094" i="1" s="1"/>
  <c r="H1092" i="1" l="1"/>
  <c r="M1092" i="1" s="1"/>
  <c r="O1092" i="1" s="1"/>
  <c r="M1091" i="1" l="1"/>
  <c r="O1091" i="1" s="1"/>
  <c r="H1090" i="1"/>
  <c r="M1090" i="1" s="1"/>
  <c r="O1090" i="1" s="1"/>
  <c r="H1089" i="1"/>
  <c r="H1111" i="1" l="1"/>
  <c r="M1089" i="1"/>
  <c r="M1111" i="1" s="1"/>
  <c r="H1069" i="1"/>
  <c r="H1070" i="1"/>
  <c r="M1070" i="1" s="1"/>
  <c r="O1070" i="1" s="1"/>
  <c r="H1071" i="1"/>
  <c r="M1071" i="1" s="1"/>
  <c r="O1071" i="1" s="1"/>
  <c r="H1072" i="1"/>
  <c r="M1072" i="1" s="1"/>
  <c r="O1072" i="1" s="1"/>
  <c r="H1073" i="1"/>
  <c r="M1073" i="1" s="1"/>
  <c r="O1073" i="1" s="1"/>
  <c r="H1074" i="1"/>
  <c r="M1074" i="1" s="1"/>
  <c r="O1074" i="1" s="1"/>
  <c r="H1075" i="1"/>
  <c r="M1075" i="1" s="1"/>
  <c r="H1076" i="1"/>
  <c r="I1076" i="1" s="1"/>
  <c r="H1077" i="1"/>
  <c r="M1077" i="1" s="1"/>
  <c r="O1077" i="1" s="1"/>
  <c r="H1078" i="1"/>
  <c r="M1078" i="1" s="1"/>
  <c r="O1078" i="1" s="1"/>
  <c r="H1079" i="1"/>
  <c r="M1079" i="1" s="1"/>
  <c r="O1079" i="1" s="1"/>
  <c r="H1080" i="1"/>
  <c r="M1080" i="1" s="1"/>
  <c r="O1080" i="1" s="1"/>
  <c r="H1081" i="1"/>
  <c r="M1081" i="1" s="1"/>
  <c r="O1081" i="1" s="1"/>
  <c r="H1082" i="1"/>
  <c r="M1082" i="1" s="1"/>
  <c r="O1082" i="1" s="1"/>
  <c r="H1083" i="1"/>
  <c r="K1083" i="1"/>
  <c r="H1084" i="1"/>
  <c r="K1084" i="1"/>
  <c r="H1085" i="1"/>
  <c r="M1085" i="1" s="1"/>
  <c r="O1085" i="1" s="1"/>
  <c r="H1086" i="1"/>
  <c r="M1086" i="1" s="1"/>
  <c r="O1086" i="1" s="1"/>
  <c r="G1111" i="1" l="1"/>
  <c r="B50" i="3"/>
  <c r="F50" i="3" s="1"/>
  <c r="K50" i="3" s="1"/>
  <c r="F1111" i="1"/>
  <c r="O1111" i="1"/>
  <c r="M1069" i="1"/>
  <c r="H1087" i="1"/>
  <c r="B49" i="3" s="1"/>
  <c r="K1087" i="1"/>
  <c r="O1089" i="1"/>
  <c r="M1083" i="1"/>
  <c r="O1083" i="1" s="1"/>
  <c r="M1084" i="1"/>
  <c r="O1084" i="1" s="1"/>
  <c r="I1075" i="1"/>
  <c r="I1087" i="1" s="1"/>
  <c r="C49" i="3" s="1"/>
  <c r="N1075" i="1"/>
  <c r="O1075" i="1"/>
  <c r="M1076" i="1"/>
  <c r="N50" i="3" l="1"/>
  <c r="F49" i="3"/>
  <c r="K49" i="3" s="1"/>
  <c r="G1087" i="1"/>
  <c r="O1069" i="1"/>
  <c r="M1087" i="1"/>
  <c r="O1076" i="1"/>
  <c r="N1076" i="1"/>
  <c r="N1087" i="1" s="1"/>
  <c r="N49" i="3" l="1"/>
  <c r="F1087" i="1"/>
  <c r="O1087" i="1"/>
  <c r="M1066" i="1"/>
  <c r="O1066" i="1" s="1"/>
  <c r="H1065" i="1" l="1"/>
  <c r="M1065" i="1" s="1"/>
  <c r="O1065" i="1" s="1"/>
  <c r="H1064" i="1" l="1"/>
  <c r="M1064" i="1" s="1"/>
  <c r="O1064" i="1" s="1"/>
  <c r="H1062" i="1" l="1"/>
  <c r="M1062" i="1" s="1"/>
  <c r="O1062" i="1" s="1"/>
  <c r="H1063" i="1"/>
  <c r="M1063" i="1" s="1"/>
  <c r="O1063" i="1" s="1"/>
  <c r="H1059" i="1" l="1"/>
  <c r="M1059" i="1" s="1"/>
  <c r="O1059" i="1" s="1"/>
  <c r="H1060" i="1"/>
  <c r="M1060" i="1" s="1"/>
  <c r="O1060" i="1" s="1"/>
  <c r="H1061" i="1"/>
  <c r="M1061" i="1" s="1"/>
  <c r="O1061" i="1" s="1"/>
  <c r="H1057" i="1" l="1"/>
  <c r="M1057" i="1" s="1"/>
  <c r="O1057" i="1" s="1"/>
  <c r="H1058" i="1"/>
  <c r="M1058" i="1" s="1"/>
  <c r="O1058" i="1" s="1"/>
  <c r="H1056" i="1"/>
  <c r="M1056" i="1" s="1"/>
  <c r="O1056" i="1" s="1"/>
  <c r="H1055" i="1"/>
  <c r="H1054" i="1" l="1"/>
  <c r="M1054" i="1" s="1"/>
  <c r="O1054" i="1" s="1"/>
  <c r="H1052" i="1" l="1"/>
  <c r="M1052" i="1" s="1"/>
  <c r="O1052" i="1" s="1"/>
  <c r="H1053" i="1"/>
  <c r="M1053" i="1" s="1"/>
  <c r="O1053" i="1" s="1"/>
  <c r="H1051" i="1" l="1"/>
  <c r="M1051" i="1" s="1"/>
  <c r="O1051" i="1" s="1"/>
  <c r="H1048" i="1" l="1"/>
  <c r="M1048" i="1" s="1"/>
  <c r="O1048" i="1" s="1"/>
  <c r="H1049" i="1"/>
  <c r="M1049" i="1" s="1"/>
  <c r="O1049" i="1" s="1"/>
  <c r="H1050" i="1"/>
  <c r="M1050" i="1" s="1"/>
  <c r="O1050" i="1" s="1"/>
  <c r="H1047" i="1" l="1"/>
  <c r="M1047" i="1" s="1"/>
  <c r="O1047" i="1" s="1"/>
  <c r="H1046" i="1" l="1"/>
  <c r="M1046" i="1" s="1"/>
  <c r="O1046" i="1" s="1"/>
  <c r="M1045" i="1" l="1"/>
  <c r="O1045" i="1" s="1"/>
  <c r="H1044" i="1"/>
  <c r="M1044" i="1" s="1"/>
  <c r="O1044" i="1" s="1"/>
  <c r="H1034" i="1" l="1"/>
  <c r="H1043" i="1" l="1"/>
  <c r="M1043" i="1" s="1"/>
  <c r="O1043" i="1" s="1"/>
  <c r="H1042" i="1" l="1"/>
  <c r="M1042" i="1" s="1"/>
  <c r="O1042" i="1" s="1"/>
  <c r="I1042" i="1" l="1"/>
  <c r="N1042" i="1"/>
  <c r="H1041" i="1"/>
  <c r="H1067" i="1" s="1"/>
  <c r="B48" i="3" s="1"/>
  <c r="M1041" i="1" l="1"/>
  <c r="I1041" i="1"/>
  <c r="I1067" i="1" s="1"/>
  <c r="H1038" i="1"/>
  <c r="I1038" i="1" s="1"/>
  <c r="H1037" i="1"/>
  <c r="M1037" i="1" s="1"/>
  <c r="O1037" i="1" s="1"/>
  <c r="G1067" i="1" l="1"/>
  <c r="C48" i="3"/>
  <c r="F48" i="3" s="1"/>
  <c r="K48" i="3" s="1"/>
  <c r="N1041" i="1"/>
  <c r="N1067" i="1" s="1"/>
  <c r="O1041" i="1"/>
  <c r="M1038" i="1"/>
  <c r="O1038" i="1" s="1"/>
  <c r="H1035" i="1"/>
  <c r="M1035" i="1" s="1"/>
  <c r="O1035" i="1" s="1"/>
  <c r="H1036" i="1"/>
  <c r="M1036" i="1" s="1"/>
  <c r="O1036" i="1" s="1"/>
  <c r="M1034" i="1"/>
  <c r="O1034" i="1" s="1"/>
  <c r="H1033" i="1"/>
  <c r="M1033" i="1" s="1"/>
  <c r="O1033" i="1" s="1"/>
  <c r="N48" i="3" l="1"/>
  <c r="N1038" i="1"/>
  <c r="H1032" i="1"/>
  <c r="M1032" i="1" s="1"/>
  <c r="O1032" i="1" s="1"/>
  <c r="H1031" i="1" l="1"/>
  <c r="M1031" i="1" s="1"/>
  <c r="O1031" i="1" s="1"/>
  <c r="H1030" i="1" l="1"/>
  <c r="M1030" i="1" l="1"/>
  <c r="I1030" i="1"/>
  <c r="I1039" i="1" s="1"/>
  <c r="C47" i="3" s="1"/>
  <c r="H1029" i="1"/>
  <c r="M1029" i="1" s="1"/>
  <c r="O1029" i="1" s="1"/>
  <c r="O1030" i="1" l="1"/>
  <c r="N1030" i="1"/>
  <c r="N1039" i="1" s="1"/>
  <c r="H1028" i="1"/>
  <c r="M1028" i="1" s="1"/>
  <c r="O1028" i="1" s="1"/>
  <c r="H1027" i="1"/>
  <c r="M1027" i="1" s="1"/>
  <c r="O1027" i="1" s="1"/>
  <c r="H1026" i="1"/>
  <c r="M1026" i="1" s="1"/>
  <c r="O1026" i="1" s="1"/>
  <c r="M1025" i="1"/>
  <c r="O1025" i="1" s="1"/>
  <c r="H1024" i="1"/>
  <c r="M1024" i="1" s="1"/>
  <c r="O1024" i="1" s="1"/>
  <c r="H1023" i="1"/>
  <c r="M1023" i="1" s="1"/>
  <c r="O1023" i="1" s="1"/>
  <c r="J1055" i="1" l="1"/>
  <c r="M1055" i="1" l="1"/>
  <c r="M1067" i="1" s="1"/>
  <c r="J1067" i="1"/>
  <c r="H1020" i="1"/>
  <c r="M1020" i="1" s="1"/>
  <c r="O1020" i="1" s="1"/>
  <c r="H1021" i="1"/>
  <c r="M1021" i="1" s="1"/>
  <c r="O1021" i="1" s="1"/>
  <c r="H1022" i="1"/>
  <c r="M1022" i="1" s="1"/>
  <c r="O1022" i="1" s="1"/>
  <c r="O1055" i="1" l="1"/>
  <c r="F1067" i="1"/>
  <c r="O1067" i="1"/>
  <c r="H1019" i="1"/>
  <c r="M1019" i="1" s="1"/>
  <c r="O1019" i="1" s="1"/>
  <c r="H1018" i="1" l="1"/>
  <c r="M1018" i="1" s="1"/>
  <c r="O1018" i="1" s="1"/>
  <c r="H1017" i="1" l="1"/>
  <c r="H1039" i="1" s="1"/>
  <c r="G1039" i="1" l="1"/>
  <c r="B47" i="3"/>
  <c r="F47" i="3" s="1"/>
  <c r="K47" i="3" s="1"/>
  <c r="M1017" i="1"/>
  <c r="M1039" i="1" s="1"/>
  <c r="H1010" i="1"/>
  <c r="M1010" i="1" s="1"/>
  <c r="O1010" i="1" s="1"/>
  <c r="H1011" i="1"/>
  <c r="M1011" i="1" s="1"/>
  <c r="O1011" i="1" s="1"/>
  <c r="H1012" i="1"/>
  <c r="M1012" i="1" s="1"/>
  <c r="O1012" i="1" s="1"/>
  <c r="H1013" i="1"/>
  <c r="M1013" i="1" s="1"/>
  <c r="O1013" i="1" s="1"/>
  <c r="H1014" i="1"/>
  <c r="N47" i="3" l="1"/>
  <c r="F1039" i="1"/>
  <c r="O1039" i="1"/>
  <c r="O1017" i="1"/>
  <c r="H1009" i="1"/>
  <c r="M1009" i="1" s="1"/>
  <c r="O1009" i="1" s="1"/>
  <c r="H1008" i="1" l="1"/>
  <c r="M1008" i="1" s="1"/>
  <c r="O1008" i="1" s="1"/>
  <c r="H1006" i="1" l="1"/>
  <c r="M1006" i="1" s="1"/>
  <c r="O1006" i="1" s="1"/>
  <c r="H1007" i="1"/>
  <c r="M1007" i="1" s="1"/>
  <c r="O1007" i="1" s="1"/>
  <c r="H1002" i="1" l="1"/>
  <c r="M1002" i="1" s="1"/>
  <c r="O1002" i="1" s="1"/>
  <c r="H1005" i="1" l="1"/>
  <c r="M1005" i="1" s="1"/>
  <c r="O1005" i="1" s="1"/>
  <c r="H1004" i="1" l="1"/>
  <c r="M1004" i="1" s="1"/>
  <c r="O1004" i="1" s="1"/>
  <c r="H1001" i="1" l="1"/>
  <c r="M1001" i="1" s="1"/>
  <c r="O1001" i="1" s="1"/>
  <c r="H1003" i="1"/>
  <c r="M1003" i="1" s="1"/>
  <c r="O1003" i="1" s="1"/>
  <c r="H1000" i="1" l="1"/>
  <c r="M1000" i="1" s="1"/>
  <c r="N1000" i="1" s="1"/>
  <c r="I1000" i="1" l="1"/>
  <c r="O1000" i="1"/>
  <c r="H999" i="1"/>
  <c r="M999" i="1" s="1"/>
  <c r="O999" i="1" s="1"/>
  <c r="H998" i="1" l="1"/>
  <c r="M998" i="1" s="1"/>
  <c r="O998" i="1" s="1"/>
  <c r="H997" i="1" l="1"/>
  <c r="M997" i="1" s="1"/>
  <c r="O997" i="1" s="1"/>
  <c r="H994" i="1" l="1"/>
  <c r="M994" i="1" s="1"/>
  <c r="O994" i="1" s="1"/>
  <c r="H995" i="1"/>
  <c r="M995" i="1" s="1"/>
  <c r="O995" i="1" s="1"/>
  <c r="H996" i="1"/>
  <c r="M996" i="1" s="1"/>
  <c r="O996" i="1" s="1"/>
  <c r="I996" i="1" l="1"/>
  <c r="N996" i="1"/>
  <c r="H993" i="1"/>
  <c r="M993" i="1" s="1"/>
  <c r="O993" i="1" s="1"/>
  <c r="H992" i="1" l="1"/>
  <c r="M992" i="1" s="1"/>
  <c r="O992" i="1" s="1"/>
  <c r="H991" i="1" l="1"/>
  <c r="M991" i="1" s="1"/>
  <c r="O991" i="1" s="1"/>
  <c r="H990" i="1" l="1"/>
  <c r="I990" i="1" s="1"/>
  <c r="M990" i="1" l="1"/>
  <c r="H989" i="1"/>
  <c r="M989" i="1" s="1"/>
  <c r="O989" i="1" s="1"/>
  <c r="N990" i="1" l="1"/>
  <c r="O990" i="1"/>
  <c r="H988" i="1"/>
  <c r="I988" i="1" s="1"/>
  <c r="I1015" i="1" s="1"/>
  <c r="C46" i="3" s="1"/>
  <c r="M988" i="1" l="1"/>
  <c r="K1014" i="1"/>
  <c r="K1015" i="1" s="1"/>
  <c r="M1014" i="1" l="1"/>
  <c r="O1014" i="1" s="1"/>
  <c r="O988" i="1"/>
  <c r="N988" i="1"/>
  <c r="N1015" i="1" s="1"/>
  <c r="H987" i="1"/>
  <c r="H1015" i="1" s="1"/>
  <c r="G1015" i="1" l="1"/>
  <c r="B46" i="3"/>
  <c r="F46" i="3" s="1"/>
  <c r="K46" i="3" s="1"/>
  <c r="M987" i="1"/>
  <c r="M1015" i="1" s="1"/>
  <c r="H983" i="1"/>
  <c r="M983" i="1" s="1"/>
  <c r="O983" i="1" s="1"/>
  <c r="H982" i="1"/>
  <c r="M982" i="1" s="1"/>
  <c r="O982" i="1" s="1"/>
  <c r="H984" i="1"/>
  <c r="M984" i="1" s="1"/>
  <c r="O984" i="1" s="1"/>
  <c r="N46" i="3" l="1"/>
  <c r="F1015" i="1"/>
  <c r="O1015" i="1"/>
  <c r="O987" i="1"/>
  <c r="H981" i="1"/>
  <c r="M981" i="1" s="1"/>
  <c r="O981" i="1" s="1"/>
  <c r="H980" i="1" l="1"/>
  <c r="M980" i="1" s="1"/>
  <c r="O980" i="1" s="1"/>
  <c r="H976" i="1" l="1"/>
  <c r="M976" i="1" s="1"/>
  <c r="O976" i="1" s="1"/>
  <c r="H977" i="1"/>
  <c r="M977" i="1" s="1"/>
  <c r="O977" i="1" s="1"/>
  <c r="H978" i="1"/>
  <c r="M978" i="1" s="1"/>
  <c r="O978" i="1" s="1"/>
  <c r="H979" i="1" l="1"/>
  <c r="M979" i="1" s="1"/>
  <c r="O979" i="1" s="1"/>
  <c r="H975" i="1" l="1"/>
  <c r="M975" i="1" s="1"/>
  <c r="O975" i="1" s="1"/>
  <c r="H974" i="1" l="1"/>
  <c r="M974" i="1" s="1"/>
  <c r="O974" i="1" s="1"/>
  <c r="H972" i="1" l="1"/>
  <c r="M972" i="1" s="1"/>
  <c r="O972" i="1" s="1"/>
  <c r="H973" i="1"/>
  <c r="M973" i="1" s="1"/>
  <c r="O973" i="1" s="1"/>
  <c r="H971" i="1" l="1"/>
  <c r="M971" i="1" s="1"/>
  <c r="O971" i="1" s="1"/>
  <c r="H970" i="1" l="1"/>
  <c r="H985" i="1" s="1"/>
  <c r="B45" i="3" s="1"/>
  <c r="F45" i="3" s="1"/>
  <c r="K45" i="3" s="1"/>
  <c r="N45" i="3" l="1"/>
  <c r="M970" i="1"/>
  <c r="M985" i="1" s="1"/>
  <c r="O985" i="1" s="1"/>
  <c r="H967" i="1"/>
  <c r="M967" i="1" s="1"/>
  <c r="O967" i="1" s="1"/>
  <c r="H966" i="1"/>
  <c r="M966" i="1" s="1"/>
  <c r="O966" i="1" s="1"/>
  <c r="O970" i="1" l="1"/>
  <c r="M965" i="1"/>
  <c r="O965" i="1" s="1"/>
  <c r="H963" i="1" l="1"/>
  <c r="M963" i="1" s="1"/>
  <c r="O963" i="1" s="1"/>
  <c r="H964" i="1"/>
  <c r="M964" i="1" s="1"/>
  <c r="O964" i="1" s="1"/>
  <c r="H962" i="1" l="1"/>
  <c r="M962" i="1" s="1"/>
  <c r="O962" i="1" s="1"/>
  <c r="H961" i="1" l="1"/>
  <c r="M961" i="1" s="1"/>
  <c r="O961" i="1" s="1"/>
  <c r="H960" i="1" l="1"/>
  <c r="M960" i="1" s="1"/>
  <c r="O960" i="1" s="1"/>
  <c r="H959" i="1" l="1"/>
  <c r="M959" i="1" s="1"/>
  <c r="O959" i="1" s="1"/>
  <c r="H958" i="1" l="1"/>
  <c r="M958" i="1" s="1"/>
  <c r="O958" i="1" s="1"/>
  <c r="H957" i="1"/>
  <c r="M957" i="1" s="1"/>
  <c r="O957" i="1" s="1"/>
  <c r="H956" i="1"/>
  <c r="M956" i="1" s="1"/>
  <c r="O956" i="1" s="1"/>
  <c r="H955" i="1"/>
  <c r="M955" i="1" s="1"/>
  <c r="O955" i="1" s="1"/>
  <c r="H954" i="1"/>
  <c r="M954" i="1" s="1"/>
  <c r="O954" i="1" s="1"/>
  <c r="H953" i="1"/>
  <c r="I953" i="1" s="1"/>
  <c r="M953" i="1" l="1"/>
  <c r="H952" i="1"/>
  <c r="M952" i="1" s="1"/>
  <c r="O952" i="1" s="1"/>
  <c r="H951" i="1"/>
  <c r="M951" i="1" s="1"/>
  <c r="O951" i="1" s="1"/>
  <c r="H950" i="1"/>
  <c r="M950" i="1" s="1"/>
  <c r="O950" i="1" s="1"/>
  <c r="O953" i="1" l="1"/>
  <c r="N953" i="1"/>
  <c r="M949" i="1"/>
  <c r="O949" i="1" s="1"/>
  <c r="H946" i="1" l="1"/>
  <c r="M946" i="1" s="1"/>
  <c r="O946" i="1" s="1"/>
  <c r="H948" i="1"/>
  <c r="M948" i="1" s="1"/>
  <c r="O948" i="1" s="1"/>
  <c r="H947" i="1"/>
  <c r="I947" i="1" s="1"/>
  <c r="M947" i="1" l="1"/>
  <c r="N947" i="1" s="1"/>
  <c r="K945" i="1"/>
  <c r="K968" i="1" s="1"/>
  <c r="O947" i="1" l="1"/>
  <c r="H945" i="1"/>
  <c r="M945" i="1" s="1"/>
  <c r="O945" i="1" s="1"/>
  <c r="H944" i="1" l="1"/>
  <c r="M944" i="1" s="1"/>
  <c r="O944" i="1" s="1"/>
  <c r="I944" i="1" l="1"/>
  <c r="N944" i="1"/>
  <c r="H943" i="1"/>
  <c r="I943" i="1" s="1"/>
  <c r="M943" i="1" l="1"/>
  <c r="O943" i="1" s="1"/>
  <c r="N943" i="1" l="1"/>
  <c r="H942" i="1"/>
  <c r="M942" i="1" s="1"/>
  <c r="O942" i="1" s="1"/>
  <c r="H940" i="1" l="1"/>
  <c r="M940" i="1" s="1"/>
  <c r="O940" i="1" s="1"/>
  <c r="H941" i="1"/>
  <c r="M941" i="1" s="1"/>
  <c r="O941" i="1" s="1"/>
  <c r="H939" i="1" l="1"/>
  <c r="H968" i="1" s="1"/>
  <c r="B44" i="3" s="1"/>
  <c r="H935" i="1"/>
  <c r="M935" i="1" s="1"/>
  <c r="O935" i="1" s="1"/>
  <c r="H936" i="1"/>
  <c r="I936" i="1" s="1"/>
  <c r="I939" i="1" l="1"/>
  <c r="I968" i="1" s="1"/>
  <c r="M939" i="1"/>
  <c r="M968" i="1" s="1"/>
  <c r="M936" i="1"/>
  <c r="H934" i="1"/>
  <c r="M934" i="1" s="1"/>
  <c r="O934" i="1" s="1"/>
  <c r="G968" i="1" l="1"/>
  <c r="C44" i="3"/>
  <c r="F44" i="3" s="1"/>
  <c r="K44" i="3" s="1"/>
  <c r="O968" i="1"/>
  <c r="O939" i="1"/>
  <c r="N939" i="1"/>
  <c r="N968" i="1" s="1"/>
  <c r="F968" i="1" s="1"/>
  <c r="O936" i="1"/>
  <c r="N936" i="1"/>
  <c r="H933" i="1"/>
  <c r="M933" i="1" s="1"/>
  <c r="O933" i="1" s="1"/>
  <c r="N44" i="3" l="1"/>
  <c r="H932" i="1"/>
  <c r="M932" i="1" s="1"/>
  <c r="O932" i="1" s="1"/>
  <c r="H931" i="1" l="1"/>
  <c r="K917" i="1"/>
  <c r="K937" i="1" s="1"/>
  <c r="I931" i="1" l="1"/>
  <c r="M931" i="1"/>
  <c r="H924" i="1"/>
  <c r="M924" i="1" s="1"/>
  <c r="O924" i="1" s="1"/>
  <c r="H926" i="1"/>
  <c r="M926" i="1" s="1"/>
  <c r="O926" i="1" s="1"/>
  <c r="N931" i="1" l="1"/>
  <c r="O931" i="1"/>
  <c r="H929" i="1" l="1"/>
  <c r="M929" i="1" s="1"/>
  <c r="O929" i="1" s="1"/>
  <c r="H930" i="1"/>
  <c r="M930" i="1" s="1"/>
  <c r="O930" i="1" s="1"/>
  <c r="H911" i="1" l="1"/>
  <c r="H912" i="1"/>
  <c r="M912" i="1" s="1"/>
  <c r="O912" i="1" s="1"/>
  <c r="H913" i="1"/>
  <c r="M913" i="1" s="1"/>
  <c r="O913" i="1" s="1"/>
  <c r="H914" i="1"/>
  <c r="M914" i="1" s="1"/>
  <c r="O914" i="1" s="1"/>
  <c r="H915" i="1"/>
  <c r="M915" i="1" s="1"/>
  <c r="O915" i="1" s="1"/>
  <c r="H916" i="1"/>
  <c r="M916" i="1" s="1"/>
  <c r="O916" i="1" s="1"/>
  <c r="H917" i="1"/>
  <c r="M917" i="1" s="1"/>
  <c r="O917" i="1" s="1"/>
  <c r="H918" i="1"/>
  <c r="M918" i="1" s="1"/>
  <c r="O918" i="1" s="1"/>
  <c r="H919" i="1"/>
  <c r="M919" i="1" s="1"/>
  <c r="O919" i="1" s="1"/>
  <c r="H920" i="1"/>
  <c r="M920" i="1" s="1"/>
  <c r="O920" i="1" s="1"/>
  <c r="H921" i="1"/>
  <c r="M921" i="1" s="1"/>
  <c r="O921" i="1" s="1"/>
  <c r="H922" i="1"/>
  <c r="M922" i="1" s="1"/>
  <c r="O922" i="1" s="1"/>
  <c r="H923" i="1"/>
  <c r="M923" i="1" s="1"/>
  <c r="O923" i="1" s="1"/>
  <c r="H925" i="1"/>
  <c r="M925" i="1" s="1"/>
  <c r="O925" i="1" s="1"/>
  <c r="H927" i="1"/>
  <c r="M927" i="1" s="1"/>
  <c r="O927" i="1" s="1"/>
  <c r="H928" i="1"/>
  <c r="M928" i="1" s="1"/>
  <c r="O928" i="1" s="1"/>
  <c r="M911" i="1" l="1"/>
  <c r="H910" i="1"/>
  <c r="H937" i="1" s="1"/>
  <c r="B43" i="3" s="1"/>
  <c r="I910" i="1" l="1"/>
  <c r="I937" i="1" s="1"/>
  <c r="M910" i="1"/>
  <c r="M937" i="1" s="1"/>
  <c r="O911" i="1"/>
  <c r="H907" i="1"/>
  <c r="M907" i="1" s="1"/>
  <c r="O907" i="1" s="1"/>
  <c r="H906" i="1"/>
  <c r="M906" i="1" s="1"/>
  <c r="O906" i="1" s="1"/>
  <c r="G937" i="1" l="1"/>
  <c r="C43" i="3"/>
  <c r="F43" i="3" s="1"/>
  <c r="K43" i="3" s="1"/>
  <c r="O937" i="1"/>
  <c r="O910" i="1"/>
  <c r="N910" i="1"/>
  <c r="N937" i="1" s="1"/>
  <c r="F937" i="1" s="1"/>
  <c r="K873" i="1"/>
  <c r="H904" i="1"/>
  <c r="M904" i="1" s="1"/>
  <c r="O904" i="1" s="1"/>
  <c r="H905" i="1"/>
  <c r="M905" i="1" s="1"/>
  <c r="O905" i="1" s="1"/>
  <c r="N43" i="3" l="1"/>
  <c r="H902" i="1"/>
  <c r="M902" i="1" s="1"/>
  <c r="O902" i="1" s="1"/>
  <c r="H903" i="1"/>
  <c r="M903" i="1" s="1"/>
  <c r="O903" i="1" s="1"/>
  <c r="H901" i="1" l="1"/>
  <c r="M901" i="1" s="1"/>
  <c r="O901" i="1" s="1"/>
  <c r="H899" i="1"/>
  <c r="H900" i="1"/>
  <c r="M900" i="1" s="1"/>
  <c r="O900" i="1" s="1"/>
  <c r="I899" i="1" l="1"/>
  <c r="M899" i="1"/>
  <c r="H898" i="1"/>
  <c r="I898" i="1" s="1"/>
  <c r="O899" i="1" l="1"/>
  <c r="N899" i="1"/>
  <c r="M898" i="1"/>
  <c r="H897" i="1"/>
  <c r="M897" i="1" s="1"/>
  <c r="O897" i="1" s="1"/>
  <c r="O898" i="1" l="1"/>
  <c r="N898" i="1"/>
  <c r="H896" i="1"/>
  <c r="I896" i="1" s="1"/>
  <c r="H894" i="1"/>
  <c r="I894" i="1" s="1"/>
  <c r="H895" i="1"/>
  <c r="I895" i="1" s="1"/>
  <c r="H893" i="1"/>
  <c r="I893" i="1" s="1"/>
  <c r="H891" i="1"/>
  <c r="M891" i="1" s="1"/>
  <c r="O891" i="1" s="1"/>
  <c r="H892" i="1"/>
  <c r="M892" i="1" s="1"/>
  <c r="H890" i="1"/>
  <c r="M890" i="1" s="1"/>
  <c r="O890" i="1" s="1"/>
  <c r="M894" i="1" l="1"/>
  <c r="N894" i="1" s="1"/>
  <c r="I892" i="1"/>
  <c r="M896" i="1"/>
  <c r="N892" i="1"/>
  <c r="O892" i="1"/>
  <c r="M895" i="1"/>
  <c r="M893" i="1"/>
  <c r="H889" i="1"/>
  <c r="M889" i="1" s="1"/>
  <c r="O889" i="1" s="1"/>
  <c r="O894" i="1" l="1"/>
  <c r="N896" i="1"/>
  <c r="O896" i="1"/>
  <c r="N895" i="1"/>
  <c r="O895" i="1"/>
  <c r="N893" i="1"/>
  <c r="O893" i="1"/>
  <c r="K883" i="1" l="1"/>
  <c r="H888" i="1"/>
  <c r="M888" i="1" s="1"/>
  <c r="O888" i="1" s="1"/>
  <c r="H887" i="1" l="1"/>
  <c r="I887" i="1" l="1"/>
  <c r="M887" i="1"/>
  <c r="O887" i="1" s="1"/>
  <c r="N887" i="1" l="1"/>
  <c r="H883" i="1"/>
  <c r="M883" i="1" s="1"/>
  <c r="O883" i="1" s="1"/>
  <c r="H884" i="1"/>
  <c r="M884" i="1" s="1"/>
  <c r="O884" i="1" s="1"/>
  <c r="H885" i="1"/>
  <c r="M885" i="1" s="1"/>
  <c r="O885" i="1" s="1"/>
  <c r="H886" i="1"/>
  <c r="M886" i="1" s="1"/>
  <c r="O886" i="1" l="1"/>
  <c r="N886" i="1"/>
  <c r="I886" i="1"/>
  <c r="H882" i="1"/>
  <c r="H881" i="1"/>
  <c r="M881" i="1" s="1"/>
  <c r="O881" i="1" s="1"/>
  <c r="I882" i="1" l="1"/>
  <c r="M882" i="1"/>
  <c r="K875" i="1"/>
  <c r="K908" i="1" s="1"/>
  <c r="H875" i="1"/>
  <c r="M875" i="1" l="1"/>
  <c r="O875" i="1" s="1"/>
  <c r="N882" i="1"/>
  <c r="O882" i="1"/>
  <c r="H879" i="1"/>
  <c r="M879" i="1" s="1"/>
  <c r="O879" i="1" s="1"/>
  <c r="H880" i="1"/>
  <c r="M880" i="1" s="1"/>
  <c r="I880" i="1" l="1"/>
  <c r="N880" i="1"/>
  <c r="O880" i="1"/>
  <c r="H878" i="1"/>
  <c r="M878" i="1" s="1"/>
  <c r="O878" i="1" s="1"/>
  <c r="H877" i="1" l="1"/>
  <c r="M877" i="1" s="1"/>
  <c r="O877" i="1" s="1"/>
  <c r="I877" i="1" l="1"/>
  <c r="N877" i="1"/>
  <c r="H876" i="1" l="1"/>
  <c r="M876" i="1" s="1"/>
  <c r="O876" i="1" s="1"/>
  <c r="H874" i="1" l="1"/>
  <c r="M874" i="1" l="1"/>
  <c r="O874" i="1" s="1"/>
  <c r="M873" i="1"/>
  <c r="O873" i="1" s="1"/>
  <c r="H872" i="1" l="1"/>
  <c r="M872" i="1" s="1"/>
  <c r="O872" i="1" s="1"/>
  <c r="H870" i="1" l="1"/>
  <c r="M870" i="1" s="1"/>
  <c r="O870" i="1" s="1"/>
  <c r="H871" i="1"/>
  <c r="M871" i="1" s="1"/>
  <c r="O871" i="1" s="1"/>
  <c r="H869" i="1" l="1"/>
  <c r="H868" i="1"/>
  <c r="H908" i="1" l="1"/>
  <c r="B42" i="3" s="1"/>
  <c r="M868" i="1"/>
  <c r="M869" i="1"/>
  <c r="I869" i="1"/>
  <c r="I908" i="1" s="1"/>
  <c r="C42" i="3" s="1"/>
  <c r="H865" i="1"/>
  <c r="M865" i="1" s="1"/>
  <c r="O865" i="1" s="1"/>
  <c r="F42" i="3" l="1"/>
  <c r="K42" i="3" s="1"/>
  <c r="G908" i="1"/>
  <c r="M908" i="1"/>
  <c r="O908" i="1" s="1"/>
  <c r="O868" i="1"/>
  <c r="O869" i="1"/>
  <c r="N869" i="1"/>
  <c r="N908" i="1" s="1"/>
  <c r="H864" i="1"/>
  <c r="M864" i="1" s="1"/>
  <c r="N42" i="3" l="1"/>
  <c r="F908" i="1"/>
  <c r="O864" i="1"/>
  <c r="N864" i="1"/>
  <c r="I864" i="1"/>
  <c r="H862" i="1" l="1"/>
  <c r="M862" i="1" s="1"/>
  <c r="H863" i="1"/>
  <c r="M863" i="1" s="1"/>
  <c r="O863" i="1" s="1"/>
  <c r="H861" i="1"/>
  <c r="M861" i="1" s="1"/>
  <c r="O861" i="1" s="1"/>
  <c r="H860" i="1"/>
  <c r="N862" i="1" l="1"/>
  <c r="O862" i="1"/>
  <c r="I860" i="1"/>
  <c r="M860" i="1"/>
  <c r="I862" i="1"/>
  <c r="H857" i="1"/>
  <c r="M857" i="1" s="1"/>
  <c r="O857" i="1" s="1"/>
  <c r="H858" i="1"/>
  <c r="M858" i="1" s="1"/>
  <c r="O858" i="1" s="1"/>
  <c r="H859" i="1"/>
  <c r="M859" i="1" s="1"/>
  <c r="O859" i="1" s="1"/>
  <c r="N860" i="1" l="1"/>
  <c r="O860" i="1"/>
  <c r="H856" i="1"/>
  <c r="M856" i="1" s="1"/>
  <c r="O856" i="1" s="1"/>
  <c r="M854" i="1" l="1"/>
  <c r="O854" i="1" s="1"/>
  <c r="H853" i="1"/>
  <c r="M853" i="1" s="1"/>
  <c r="O853" i="1" s="1"/>
  <c r="H855" i="1"/>
  <c r="M855" i="1" s="1"/>
  <c r="O855" i="1" s="1"/>
  <c r="H852" i="1" l="1"/>
  <c r="M852" i="1" s="1"/>
  <c r="O852" i="1" s="1"/>
  <c r="H851" i="1" l="1"/>
  <c r="M851" i="1" s="1"/>
  <c r="O851" i="1" s="1"/>
  <c r="K850" i="1"/>
  <c r="K866" i="1" s="1"/>
  <c r="H850" i="1"/>
  <c r="M850" i="1" l="1"/>
  <c r="O850" i="1" s="1"/>
  <c r="H849" i="1"/>
  <c r="I849" i="1" l="1"/>
  <c r="M849" i="1" l="1"/>
  <c r="O849" i="1" l="1"/>
  <c r="N849" i="1"/>
  <c r="H847" i="1"/>
  <c r="M847" i="1" s="1"/>
  <c r="O847" i="1" s="1"/>
  <c r="H848" i="1"/>
  <c r="M848" i="1" s="1"/>
  <c r="O848" i="1" s="1"/>
  <c r="H846" i="1" l="1"/>
  <c r="M846" i="1" s="1"/>
  <c r="O846" i="1" s="1"/>
  <c r="H845" i="1" l="1"/>
  <c r="I845" i="1" s="1"/>
  <c r="M845" i="1" l="1"/>
  <c r="H844" i="1"/>
  <c r="M844" i="1" s="1"/>
  <c r="N845" i="1" l="1"/>
  <c r="O845" i="1"/>
  <c r="O844" i="1"/>
  <c r="N844" i="1"/>
  <c r="I844" i="1"/>
  <c r="H842" i="1" l="1"/>
  <c r="M842" i="1" s="1"/>
  <c r="O842" i="1" s="1"/>
  <c r="H843" i="1"/>
  <c r="M843" i="1" s="1"/>
  <c r="O843" i="1" s="1"/>
  <c r="H841" i="1" l="1"/>
  <c r="I841" i="1" s="1"/>
  <c r="M841" i="1" l="1"/>
  <c r="H840" i="1"/>
  <c r="M840" i="1" s="1"/>
  <c r="O840" i="1" s="1"/>
  <c r="N841" i="1" l="1"/>
  <c r="O841" i="1"/>
  <c r="H838" i="1"/>
  <c r="M838" i="1" s="1"/>
  <c r="O838" i="1" s="1"/>
  <c r="H839" i="1"/>
  <c r="M839" i="1" s="1"/>
  <c r="O839" i="1" l="1"/>
  <c r="N839" i="1"/>
  <c r="I839" i="1"/>
  <c r="H837" i="1"/>
  <c r="M837" i="1" l="1"/>
  <c r="I837" i="1"/>
  <c r="H836" i="1"/>
  <c r="M836" i="1" s="1"/>
  <c r="O836" i="1" s="1"/>
  <c r="H835" i="1"/>
  <c r="M835" i="1" s="1"/>
  <c r="O835" i="1" s="1"/>
  <c r="O837" i="1" l="1"/>
  <c r="N837" i="1"/>
  <c r="H832" i="1"/>
  <c r="H833" i="1"/>
  <c r="M833" i="1" s="1"/>
  <c r="O833" i="1" s="1"/>
  <c r="H834" i="1"/>
  <c r="M834" i="1" s="1"/>
  <c r="O834" i="1" s="1"/>
  <c r="H831" i="1"/>
  <c r="M831" i="1" s="1"/>
  <c r="O831" i="1" s="1"/>
  <c r="H830" i="1"/>
  <c r="M830" i="1" s="1"/>
  <c r="O830" i="1" s="1"/>
  <c r="H829" i="1"/>
  <c r="M829" i="1" l="1"/>
  <c r="N829" i="1" s="1"/>
  <c r="H866" i="1"/>
  <c r="B41" i="3" s="1"/>
  <c r="M832" i="1"/>
  <c r="N832" i="1" s="1"/>
  <c r="I832" i="1"/>
  <c r="I829" i="1"/>
  <c r="I866" i="1" l="1"/>
  <c r="N866" i="1"/>
  <c r="O829" i="1"/>
  <c r="M866" i="1"/>
  <c r="O832" i="1"/>
  <c r="H826" i="1"/>
  <c r="M826" i="1" s="1"/>
  <c r="O826" i="1" s="1"/>
  <c r="G866" i="1" l="1"/>
  <c r="C41" i="3"/>
  <c r="F41" i="3" s="1"/>
  <c r="K41" i="3" s="1"/>
  <c r="F866" i="1"/>
  <c r="O866" i="1"/>
  <c r="H825" i="1"/>
  <c r="M825" i="1" s="1"/>
  <c r="O825" i="1" s="1"/>
  <c r="N41" i="3" l="1"/>
  <c r="H824" i="1"/>
  <c r="M824" i="1" s="1"/>
  <c r="O824" i="1" s="1"/>
  <c r="H823" i="1" l="1"/>
  <c r="M823" i="1" s="1"/>
  <c r="O823" i="1" s="1"/>
  <c r="H822" i="1" l="1"/>
  <c r="M822" i="1" s="1"/>
  <c r="O822" i="1" s="1"/>
  <c r="H821" i="1" l="1"/>
  <c r="M821" i="1" s="1"/>
  <c r="O821" i="1" s="1"/>
  <c r="H820" i="1" l="1"/>
  <c r="M820" i="1" s="1"/>
  <c r="O820" i="1" s="1"/>
  <c r="H816" i="1" l="1"/>
  <c r="M816" i="1" s="1"/>
  <c r="O816" i="1" s="1"/>
  <c r="H817" i="1" l="1"/>
  <c r="M817" i="1" s="1"/>
  <c r="O817" i="1" s="1"/>
  <c r="H818" i="1"/>
  <c r="M818" i="1" s="1"/>
  <c r="O818" i="1" s="1"/>
  <c r="H819" i="1"/>
  <c r="M819" i="1" s="1"/>
  <c r="O819" i="1" s="1"/>
  <c r="H815" i="1" l="1"/>
  <c r="M815" i="1" s="1"/>
  <c r="O815" i="1" s="1"/>
  <c r="H805" i="1" l="1"/>
  <c r="M805" i="1" s="1"/>
  <c r="O805" i="1" s="1"/>
  <c r="H811" i="1"/>
  <c r="M811" i="1" s="1"/>
  <c r="O811" i="1" s="1"/>
  <c r="H814" i="1" l="1"/>
  <c r="M814" i="1" s="1"/>
  <c r="O814" i="1" s="1"/>
  <c r="H813" i="1" l="1"/>
  <c r="M813" i="1" s="1"/>
  <c r="O813" i="1" s="1"/>
  <c r="H810" i="1"/>
  <c r="M810" i="1" s="1"/>
  <c r="O810" i="1" s="1"/>
  <c r="H812" i="1"/>
  <c r="M812" i="1" s="1"/>
  <c r="O812" i="1" s="1"/>
  <c r="H809" i="1" l="1"/>
  <c r="M809" i="1" s="1"/>
  <c r="O809" i="1" s="1"/>
  <c r="H808" i="1" l="1"/>
  <c r="M808" i="1" s="1"/>
  <c r="O808" i="1" s="1"/>
  <c r="H803" i="1" l="1"/>
  <c r="M803" i="1" s="1"/>
  <c r="O803" i="1" s="1"/>
  <c r="H804" i="1"/>
  <c r="M804" i="1" s="1"/>
  <c r="O804" i="1" s="1"/>
  <c r="H806" i="1"/>
  <c r="M806" i="1" s="1"/>
  <c r="O806" i="1" s="1"/>
  <c r="H807" i="1"/>
  <c r="M807" i="1" s="1"/>
  <c r="O807" i="1" s="1"/>
  <c r="H802" i="1" l="1"/>
  <c r="M802" i="1" s="1"/>
  <c r="O802" i="1" s="1"/>
  <c r="H801" i="1" l="1"/>
  <c r="M801" i="1" s="1"/>
  <c r="O801" i="1" s="1"/>
  <c r="H800" i="1"/>
  <c r="M800" i="1" s="1"/>
  <c r="O800" i="1" s="1"/>
  <c r="H798" i="1" l="1"/>
  <c r="M798" i="1" s="1"/>
  <c r="O798" i="1" s="1"/>
  <c r="H799" i="1"/>
  <c r="M799" i="1" s="1"/>
  <c r="O799" i="1" s="1"/>
  <c r="H797" i="1" l="1"/>
  <c r="M797" i="1" s="1"/>
  <c r="O797" i="1" s="1"/>
  <c r="H796" i="1"/>
  <c r="M796" i="1" s="1"/>
  <c r="O796" i="1" s="1"/>
  <c r="H795" i="1" l="1"/>
  <c r="H827" i="1" s="1"/>
  <c r="G827" i="1" l="1"/>
  <c r="B40" i="3"/>
  <c r="F40" i="3" s="1"/>
  <c r="K40" i="3" s="1"/>
  <c r="M795" i="1"/>
  <c r="M827" i="1" s="1"/>
  <c r="K792" i="1"/>
  <c r="H792" i="1"/>
  <c r="H791" i="1"/>
  <c r="M791" i="1" s="1"/>
  <c r="O791" i="1" s="1"/>
  <c r="N40" i="3" l="1"/>
  <c r="F827" i="1"/>
  <c r="O827" i="1"/>
  <c r="M792" i="1"/>
  <c r="O792" i="1" s="1"/>
  <c r="O795" i="1"/>
  <c r="H790" i="1"/>
  <c r="M790" i="1" s="1"/>
  <c r="O790" i="1" s="1"/>
  <c r="H789" i="1" l="1"/>
  <c r="M789" i="1" s="1"/>
  <c r="O789" i="1" s="1"/>
  <c r="H788" i="1" l="1"/>
  <c r="M788" i="1" s="1"/>
  <c r="O788" i="1" s="1"/>
  <c r="H787" i="1" l="1"/>
  <c r="M787" i="1" s="1"/>
  <c r="O787" i="1" s="1"/>
  <c r="K776" i="1" l="1"/>
  <c r="K793" i="1" s="1"/>
  <c r="H786" i="1" l="1"/>
  <c r="M786" i="1" s="1"/>
  <c r="O786" i="1" s="1"/>
  <c r="H785" i="1" l="1"/>
  <c r="M785" i="1" s="1"/>
  <c r="O785" i="1" s="1"/>
  <c r="H783" i="1" l="1"/>
  <c r="I783" i="1" s="1"/>
  <c r="H784" i="1"/>
  <c r="M784" i="1" l="1"/>
  <c r="I784" i="1"/>
  <c r="M783" i="1"/>
  <c r="H782" i="1"/>
  <c r="I782" i="1" s="1"/>
  <c r="I793" i="1" l="1"/>
  <c r="C39" i="3" s="1"/>
  <c r="M782" i="1"/>
  <c r="N782" i="1" s="1"/>
  <c r="O783" i="1"/>
  <c r="N783" i="1"/>
  <c r="O784" i="1"/>
  <c r="N784" i="1"/>
  <c r="H780" i="1"/>
  <c r="M780" i="1" s="1"/>
  <c r="O780" i="1" s="1"/>
  <c r="H781" i="1"/>
  <c r="M781" i="1" s="1"/>
  <c r="O781" i="1" s="1"/>
  <c r="N793" i="1" l="1"/>
  <c r="O782" i="1"/>
  <c r="H779" i="1"/>
  <c r="M779" i="1" s="1"/>
  <c r="O779" i="1" s="1"/>
  <c r="H778" i="1" l="1"/>
  <c r="M778" i="1" s="1"/>
  <c r="O778" i="1" s="1"/>
  <c r="H777" i="1"/>
  <c r="M777" i="1" s="1"/>
  <c r="O777" i="1" s="1"/>
  <c r="H766" i="1" l="1"/>
  <c r="M766" i="1" s="1"/>
  <c r="O766" i="1" s="1"/>
  <c r="H767" i="1"/>
  <c r="M767" i="1" s="1"/>
  <c r="O767" i="1" s="1"/>
  <c r="H774" i="1" l="1"/>
  <c r="M774" i="1" s="1"/>
  <c r="O774" i="1" s="1"/>
  <c r="H769" i="1"/>
  <c r="M769" i="1" s="1"/>
  <c r="O769" i="1" s="1"/>
  <c r="H775" i="1"/>
  <c r="M775" i="1" s="1"/>
  <c r="O775" i="1" s="1"/>
  <c r="H770" i="1"/>
  <c r="M770" i="1" s="1"/>
  <c r="O770" i="1" s="1"/>
  <c r="H768" i="1"/>
  <c r="M768" i="1" s="1"/>
  <c r="H773" i="1"/>
  <c r="H776" i="1"/>
  <c r="M776" i="1" s="1"/>
  <c r="O776" i="1" s="1"/>
  <c r="H793" i="1" l="1"/>
  <c r="M773" i="1"/>
  <c r="M793" i="1" s="1"/>
  <c r="O768" i="1"/>
  <c r="H765" i="1"/>
  <c r="M765" i="1" s="1"/>
  <c r="H764" i="1"/>
  <c r="M764" i="1" s="1"/>
  <c r="O764" i="1" s="1"/>
  <c r="G793" i="1" l="1"/>
  <c r="B39" i="3"/>
  <c r="F39" i="3" s="1"/>
  <c r="K39" i="3" s="1"/>
  <c r="F793" i="1"/>
  <c r="O793" i="1"/>
  <c r="O773" i="1"/>
  <c r="O765" i="1"/>
  <c r="H763" i="1"/>
  <c r="M763" i="1" s="1"/>
  <c r="O763" i="1" s="1"/>
  <c r="H761" i="1"/>
  <c r="M761" i="1" s="1"/>
  <c r="O761" i="1" s="1"/>
  <c r="H762" i="1"/>
  <c r="M762" i="1" s="1"/>
  <c r="O762" i="1" s="1"/>
  <c r="H760" i="1"/>
  <c r="M760" i="1" s="1"/>
  <c r="O760" i="1" s="1"/>
  <c r="N39" i="3" l="1"/>
  <c r="H759" i="1"/>
  <c r="M759" i="1" s="1"/>
  <c r="O759" i="1" s="1"/>
  <c r="H758" i="1" l="1"/>
  <c r="M758" i="1" s="1"/>
  <c r="O758" i="1" s="1"/>
  <c r="H756" i="1" l="1"/>
  <c r="M756" i="1" s="1"/>
  <c r="O756" i="1" s="1"/>
  <c r="H757" i="1"/>
  <c r="M757" i="1" s="1"/>
  <c r="O757" i="1" s="1"/>
  <c r="I756" i="1" l="1"/>
  <c r="N756" i="1"/>
  <c r="H755" i="1"/>
  <c r="M755" i="1" s="1"/>
  <c r="O755" i="1" s="1"/>
  <c r="H748" i="1" l="1"/>
  <c r="M748" i="1" s="1"/>
  <c r="O748" i="1" s="1"/>
  <c r="H754" i="1"/>
  <c r="M754" i="1" s="1"/>
  <c r="O754" i="1" s="1"/>
  <c r="H752" i="1" l="1"/>
  <c r="M752" i="1" s="1"/>
  <c r="O752" i="1" s="1"/>
  <c r="H751" i="1" l="1"/>
  <c r="H753" i="1"/>
  <c r="M753" i="1" s="1"/>
  <c r="O753" i="1" s="1"/>
  <c r="M751" i="1" l="1"/>
  <c r="I751" i="1"/>
  <c r="H750" i="1"/>
  <c r="M750" i="1" s="1"/>
  <c r="O750" i="1" s="1"/>
  <c r="N751" i="1" l="1"/>
  <c r="O751" i="1"/>
  <c r="H749" i="1"/>
  <c r="I749" i="1" s="1"/>
  <c r="M749" i="1" l="1"/>
  <c r="H747" i="1"/>
  <c r="M747" i="1" s="1"/>
  <c r="O747" i="1" s="1"/>
  <c r="O749" i="1" l="1"/>
  <c r="N749" i="1"/>
  <c r="H746" i="1"/>
  <c r="I746" i="1" s="1"/>
  <c r="I771" i="1" s="1"/>
  <c r="C38" i="3" s="1"/>
  <c r="M746" i="1" l="1"/>
  <c r="O746" i="1" s="1"/>
  <c r="N746" i="1" l="1"/>
  <c r="N771" i="1" s="1"/>
  <c r="H745" i="1"/>
  <c r="M745" i="1" s="1"/>
  <c r="O745" i="1" s="1"/>
  <c r="H744" i="1" l="1"/>
  <c r="M744" i="1" s="1"/>
  <c r="O744" i="1" s="1"/>
  <c r="H743" i="1" l="1"/>
  <c r="M743" i="1" s="1"/>
  <c r="O743" i="1" s="1"/>
  <c r="K742" i="1" l="1"/>
  <c r="K771" i="1" s="1"/>
  <c r="H742" i="1" l="1"/>
  <c r="H771" i="1" s="1"/>
  <c r="G771" i="1" l="1"/>
  <c r="B38" i="3"/>
  <c r="F38" i="3" s="1"/>
  <c r="K38" i="3" s="1"/>
  <c r="M742" i="1"/>
  <c r="M771" i="1" s="1"/>
  <c r="H739" i="1"/>
  <c r="M739" i="1" s="1"/>
  <c r="O739" i="1" s="1"/>
  <c r="N38" i="3" l="1"/>
  <c r="F771" i="1"/>
  <c r="O771" i="1"/>
  <c r="O742" i="1"/>
  <c r="H738" i="1"/>
  <c r="M738" i="1" s="1"/>
  <c r="O738" i="1" s="1"/>
  <c r="H737" i="1" l="1"/>
  <c r="M737" i="1" s="1"/>
  <c r="O737" i="1" s="1"/>
  <c r="M734" i="1" l="1"/>
  <c r="O734" i="1" s="1"/>
  <c r="I726" i="1"/>
  <c r="I734" i="1"/>
  <c r="N734" i="1" l="1"/>
  <c r="H736" i="1"/>
  <c r="M736" i="1" s="1"/>
  <c r="O736" i="1" s="1"/>
  <c r="H735" i="1"/>
  <c r="I735" i="1" l="1"/>
  <c r="M735" i="1"/>
  <c r="H733" i="1"/>
  <c r="M733" i="1" s="1"/>
  <c r="O733" i="1" s="1"/>
  <c r="O735" i="1" l="1"/>
  <c r="N735" i="1"/>
  <c r="H732" i="1"/>
  <c r="M732" i="1" s="1"/>
  <c r="O732" i="1" s="1"/>
  <c r="H731" i="1" l="1"/>
  <c r="M731" i="1" s="1"/>
  <c r="O731" i="1" s="1"/>
  <c r="H730" i="1" l="1"/>
  <c r="M730" i="1" s="1"/>
  <c r="O730" i="1" s="1"/>
  <c r="H729" i="1" l="1"/>
  <c r="M729" i="1" l="1"/>
  <c r="I729" i="1"/>
  <c r="I740" i="1" s="1"/>
  <c r="C37" i="3" s="1"/>
  <c r="M726" i="1"/>
  <c r="H728" i="1"/>
  <c r="M728" i="1" s="1"/>
  <c r="O728" i="1" s="1"/>
  <c r="O726" i="1" l="1"/>
  <c r="N726" i="1"/>
  <c r="O729" i="1"/>
  <c r="N729" i="1"/>
  <c r="H727" i="1"/>
  <c r="M727" i="1" s="1"/>
  <c r="O727" i="1" s="1"/>
  <c r="N740" i="1" l="1"/>
  <c r="H724" i="1"/>
  <c r="M724" i="1" s="1"/>
  <c r="O724" i="1" s="1"/>
  <c r="H725" i="1"/>
  <c r="M725" i="1" s="1"/>
  <c r="O725" i="1" s="1"/>
  <c r="H723" i="1" l="1"/>
  <c r="M723" i="1" s="1"/>
  <c r="O723" i="1" s="1"/>
  <c r="H722" i="1" l="1"/>
  <c r="M722" i="1" s="1"/>
  <c r="O722" i="1" s="1"/>
  <c r="H721" i="1" l="1"/>
  <c r="M721" i="1" s="1"/>
  <c r="O721" i="1" s="1"/>
  <c r="H720" i="1" l="1"/>
  <c r="M720" i="1" s="1"/>
  <c r="O720" i="1" s="1"/>
  <c r="H719" i="1" l="1"/>
  <c r="H740" i="1" s="1"/>
  <c r="G740" i="1" l="1"/>
  <c r="B37" i="3"/>
  <c r="F37" i="3" s="1"/>
  <c r="K37" i="3" s="1"/>
  <c r="M719" i="1"/>
  <c r="M740" i="1" s="1"/>
  <c r="N37" i="3" l="1"/>
  <c r="F740" i="1"/>
  <c r="O740" i="1"/>
  <c r="O719" i="1"/>
  <c r="H716" i="1"/>
  <c r="H715" i="1" l="1"/>
  <c r="M715" i="1" s="1"/>
  <c r="O715" i="1" s="1"/>
  <c r="H714" i="1" l="1"/>
  <c r="M714" i="1" s="1"/>
  <c r="O714" i="1" s="1"/>
  <c r="H711" i="1" l="1"/>
  <c r="M711" i="1" s="1"/>
  <c r="O711" i="1" s="1"/>
  <c r="H712" i="1"/>
  <c r="M712" i="1" s="1"/>
  <c r="O712" i="1" s="1"/>
  <c r="H713" i="1"/>
  <c r="M713" i="1" s="1"/>
  <c r="O713" i="1" s="1"/>
  <c r="K716" i="1" l="1"/>
  <c r="M716" i="1" s="1"/>
  <c r="O716" i="1" s="1"/>
  <c r="H706" i="1" l="1"/>
  <c r="M706" i="1" s="1"/>
  <c r="O706" i="1" s="1"/>
  <c r="H707" i="1"/>
  <c r="M707" i="1" s="1"/>
  <c r="O707" i="1" s="1"/>
  <c r="H708" i="1"/>
  <c r="M708" i="1" s="1"/>
  <c r="O708" i="1" s="1"/>
  <c r="H709" i="1"/>
  <c r="M709" i="1" s="1"/>
  <c r="O709" i="1" s="1"/>
  <c r="H710" i="1"/>
  <c r="H704" i="1" l="1"/>
  <c r="M704" i="1" s="1"/>
  <c r="O704" i="1" s="1"/>
  <c r="H705" i="1"/>
  <c r="M705" i="1" s="1"/>
  <c r="O705" i="1" s="1"/>
  <c r="H703" i="1" l="1"/>
  <c r="I703" i="1" l="1"/>
  <c r="M703" i="1"/>
  <c r="H700" i="1"/>
  <c r="M700" i="1" s="1"/>
  <c r="O700" i="1" s="1"/>
  <c r="H701" i="1"/>
  <c r="M701" i="1" s="1"/>
  <c r="O701" i="1" s="1"/>
  <c r="H702" i="1"/>
  <c r="M702" i="1" s="1"/>
  <c r="O702" i="1" s="1"/>
  <c r="O703" i="1" l="1"/>
  <c r="N703" i="1"/>
  <c r="H698" i="1"/>
  <c r="M698" i="1" s="1"/>
  <c r="O698" i="1" s="1"/>
  <c r="H699" i="1"/>
  <c r="M699" i="1" s="1"/>
  <c r="O699" i="1" s="1"/>
  <c r="H697" i="1" l="1"/>
  <c r="I697" i="1" l="1"/>
  <c r="M697" i="1"/>
  <c r="N697" i="1" s="1"/>
  <c r="K696" i="1"/>
  <c r="K695" i="1"/>
  <c r="K717" i="1" s="1"/>
  <c r="O697" i="1" l="1"/>
  <c r="H694" i="1" l="1"/>
  <c r="M694" i="1" s="1"/>
  <c r="O694" i="1" s="1"/>
  <c r="H695" i="1"/>
  <c r="M695" i="1" s="1"/>
  <c r="O695" i="1" s="1"/>
  <c r="H696" i="1"/>
  <c r="M696" i="1" s="1"/>
  <c r="O696" i="1" s="1"/>
  <c r="H693" i="1" l="1"/>
  <c r="M693" i="1" l="1"/>
  <c r="O693" i="1" s="1"/>
  <c r="I693" i="1"/>
  <c r="H692" i="1"/>
  <c r="M692" i="1" s="1"/>
  <c r="O692" i="1" s="1"/>
  <c r="N693" i="1" l="1"/>
  <c r="H689" i="1"/>
  <c r="M689" i="1" s="1"/>
  <c r="O689" i="1" s="1"/>
  <c r="H690" i="1"/>
  <c r="M690" i="1" s="1"/>
  <c r="O690" i="1" s="1"/>
  <c r="H691" i="1"/>
  <c r="M691" i="1" s="1"/>
  <c r="O691" i="1" s="1"/>
  <c r="H688" i="1" l="1"/>
  <c r="M688" i="1" s="1"/>
  <c r="O688" i="1" s="1"/>
  <c r="H685" i="1" l="1"/>
  <c r="M685" i="1" s="1"/>
  <c r="H686" i="1"/>
  <c r="M686" i="1" s="1"/>
  <c r="O686" i="1" s="1"/>
  <c r="H687" i="1"/>
  <c r="M687" i="1" s="1"/>
  <c r="O687" i="1" s="1"/>
  <c r="N685" i="1" l="1"/>
  <c r="O685" i="1"/>
  <c r="I685" i="1"/>
  <c r="H682" i="1"/>
  <c r="I682" i="1" s="1"/>
  <c r="H683" i="1"/>
  <c r="M683" i="1" s="1"/>
  <c r="O683" i="1" s="1"/>
  <c r="H684" i="1"/>
  <c r="M684" i="1" s="1"/>
  <c r="O684" i="1" s="1"/>
  <c r="M682" i="1" l="1"/>
  <c r="N682" i="1" s="1"/>
  <c r="O682" i="1" l="1"/>
  <c r="H681" i="1"/>
  <c r="M681" i="1" s="1"/>
  <c r="O681" i="1" l="1"/>
  <c r="N681" i="1"/>
  <c r="N717" i="1" s="1"/>
  <c r="I681" i="1"/>
  <c r="I717" i="1" s="1"/>
  <c r="C36" i="3" s="1"/>
  <c r="H680" i="1"/>
  <c r="M680" i="1" s="1"/>
  <c r="O680" i="1" s="1"/>
  <c r="H679" i="1" l="1"/>
  <c r="M679" i="1" s="1"/>
  <c r="O679" i="1" s="1"/>
  <c r="H677" i="1" l="1"/>
  <c r="M677" i="1" s="1"/>
  <c r="O677" i="1" s="1"/>
  <c r="H678" i="1"/>
  <c r="M678" i="1" s="1"/>
  <c r="O678" i="1" s="1"/>
  <c r="H676" i="1" l="1"/>
  <c r="M676" i="1" s="1"/>
  <c r="O676" i="1" s="1"/>
  <c r="H672" i="1"/>
  <c r="M672" i="1" s="1"/>
  <c r="O672" i="1" s="1"/>
  <c r="H673" i="1"/>
  <c r="M673" i="1" s="1"/>
  <c r="O673" i="1" s="1"/>
  <c r="H674" i="1"/>
  <c r="M674" i="1" s="1"/>
  <c r="H675" i="1"/>
  <c r="M675" i="1" s="1"/>
  <c r="O675" i="1" s="1"/>
  <c r="O674" i="1" l="1"/>
  <c r="H667" i="1"/>
  <c r="M667" i="1" s="1"/>
  <c r="O667" i="1" s="1"/>
  <c r="H671" i="1" l="1"/>
  <c r="H717" i="1" s="1"/>
  <c r="G717" i="1" l="1"/>
  <c r="B36" i="3"/>
  <c r="F36" i="3" s="1"/>
  <c r="K36" i="3" s="1"/>
  <c r="M671" i="1"/>
  <c r="H668" i="1"/>
  <c r="M668" i="1" s="1"/>
  <c r="O668" i="1" s="1"/>
  <c r="N36" i="3" l="1"/>
  <c r="O671" i="1"/>
  <c r="J710" i="1"/>
  <c r="J717" i="1" s="1"/>
  <c r="K648" i="1"/>
  <c r="K669" i="1" s="1"/>
  <c r="M710" i="1" l="1"/>
  <c r="M717" i="1" s="1"/>
  <c r="H666" i="1"/>
  <c r="M666" i="1" s="1"/>
  <c r="O666" i="1" s="1"/>
  <c r="H665" i="1"/>
  <c r="M665" i="1" s="1"/>
  <c r="O665" i="1" s="1"/>
  <c r="O717" i="1" l="1"/>
  <c r="F717" i="1"/>
  <c r="O710" i="1"/>
  <c r="H664" i="1"/>
  <c r="M664" i="1" s="1"/>
  <c r="O664" i="1" s="1"/>
  <c r="H663" i="1" l="1"/>
  <c r="M663" i="1" s="1"/>
  <c r="O663" i="1" s="1"/>
  <c r="H662" i="1" l="1"/>
  <c r="M662" i="1" s="1"/>
  <c r="O662" i="1" s="1"/>
  <c r="H661" i="1" l="1"/>
  <c r="M661" i="1" s="1"/>
  <c r="O661" i="1" s="1"/>
  <c r="H659" i="1" l="1"/>
  <c r="M659" i="1" s="1"/>
  <c r="O659" i="1" s="1"/>
  <c r="H660" i="1"/>
  <c r="M660" i="1" s="1"/>
  <c r="O660" i="1" s="1"/>
  <c r="H658" i="1" l="1"/>
  <c r="M658" i="1" s="1"/>
  <c r="O658" i="1" s="1"/>
  <c r="H657" i="1" l="1"/>
  <c r="M657" i="1" s="1"/>
  <c r="O657" i="1" s="1"/>
  <c r="H656" i="1" l="1"/>
  <c r="M656" i="1" s="1"/>
  <c r="O656" i="1" s="1"/>
  <c r="H655" i="1" l="1"/>
  <c r="M655" i="1" s="1"/>
  <c r="O655" i="1" s="1"/>
  <c r="H652" i="1" l="1"/>
  <c r="M652" i="1" s="1"/>
  <c r="O652" i="1" s="1"/>
  <c r="H653" i="1"/>
  <c r="M653" i="1" s="1"/>
  <c r="O653" i="1" s="1"/>
  <c r="H654" i="1"/>
  <c r="M654" i="1" s="1"/>
  <c r="O654" i="1" s="1"/>
  <c r="H651" i="1" l="1"/>
  <c r="M651" i="1" s="1"/>
  <c r="O651" i="1" s="1"/>
  <c r="H650" i="1" l="1"/>
  <c r="I650" i="1" s="1"/>
  <c r="M650" i="1" l="1"/>
  <c r="H649" i="1"/>
  <c r="M649" i="1" s="1"/>
  <c r="O649" i="1" s="1"/>
  <c r="O650" i="1" l="1"/>
  <c r="N650" i="1"/>
  <c r="H648" i="1"/>
  <c r="M648" i="1" s="1"/>
  <c r="O648" i="1" s="1"/>
  <c r="K626" i="1" l="1"/>
  <c r="H646" i="1"/>
  <c r="M646" i="1" s="1"/>
  <c r="O646" i="1" s="1"/>
  <c r="H647" i="1"/>
  <c r="M647" i="1" s="1"/>
  <c r="O647" i="1" s="1"/>
  <c r="K600" i="1" l="1"/>
  <c r="K635" i="1" s="1"/>
  <c r="H616" i="1" l="1"/>
  <c r="H645" i="1" l="1"/>
  <c r="M645" i="1" s="1"/>
  <c r="O645" i="1" s="1"/>
  <c r="H644" i="1" l="1"/>
  <c r="M644" i="1" s="1"/>
  <c r="O644" i="1" s="1"/>
  <c r="H643" i="1" l="1"/>
  <c r="M643" i="1" s="1"/>
  <c r="O643" i="1" s="1"/>
  <c r="H640" i="1" l="1"/>
  <c r="M640" i="1" s="1"/>
  <c r="O640" i="1" s="1"/>
  <c r="H641" i="1"/>
  <c r="M641" i="1" s="1"/>
  <c r="O641" i="1" s="1"/>
  <c r="H642" i="1"/>
  <c r="M642" i="1" s="1"/>
  <c r="O642" i="1" s="1"/>
  <c r="H631" i="1" l="1"/>
  <c r="M631" i="1" s="1"/>
  <c r="O631" i="1" s="1"/>
  <c r="H614" i="1"/>
  <c r="M614" i="1" s="1"/>
  <c r="O614" i="1" s="1"/>
  <c r="H638" i="1" l="1"/>
  <c r="M638" i="1" s="1"/>
  <c r="O638" i="1" s="1"/>
  <c r="H639" i="1"/>
  <c r="M639" i="1" s="1"/>
  <c r="H637" i="1"/>
  <c r="H632" i="1"/>
  <c r="M632" i="1" s="1"/>
  <c r="O632" i="1" s="1"/>
  <c r="H633" i="1"/>
  <c r="M633" i="1" s="1"/>
  <c r="O633" i="1" s="1"/>
  <c r="H634" i="1"/>
  <c r="M634" i="1" s="1"/>
  <c r="O634" i="1" s="1"/>
  <c r="H669" i="1" l="1"/>
  <c r="B35" i="3" s="1"/>
  <c r="I639" i="1"/>
  <c r="I669" i="1" s="1"/>
  <c r="C35" i="3" s="1"/>
  <c r="M637" i="1"/>
  <c r="M669" i="1" s="1"/>
  <c r="O639" i="1"/>
  <c r="N639" i="1"/>
  <c r="N669" i="1" s="1"/>
  <c r="H630" i="1"/>
  <c r="M630" i="1" s="1"/>
  <c r="O630" i="1" s="1"/>
  <c r="H627" i="1"/>
  <c r="M627" i="1" s="1"/>
  <c r="O627" i="1" s="1"/>
  <c r="F35" i="3" l="1"/>
  <c r="K35" i="3" s="1"/>
  <c r="G669" i="1"/>
  <c r="F669" i="1"/>
  <c r="O669" i="1"/>
  <c r="O637" i="1"/>
  <c r="H623" i="1"/>
  <c r="M623" i="1" s="1"/>
  <c r="O623" i="1" s="1"/>
  <c r="H624" i="1"/>
  <c r="M624" i="1" s="1"/>
  <c r="O624" i="1" s="1"/>
  <c r="H625" i="1"/>
  <c r="M625" i="1" s="1"/>
  <c r="O625" i="1" s="1"/>
  <c r="H626" i="1"/>
  <c r="M626" i="1" s="1"/>
  <c r="O626" i="1" s="1"/>
  <c r="H628" i="1"/>
  <c r="M628" i="1" s="1"/>
  <c r="O628" i="1" s="1"/>
  <c r="H629" i="1"/>
  <c r="M629" i="1" s="1"/>
  <c r="O629" i="1" s="1"/>
  <c r="H621" i="1"/>
  <c r="I621" i="1" s="1"/>
  <c r="H622" i="1"/>
  <c r="M622" i="1" s="1"/>
  <c r="O622" i="1" s="1"/>
  <c r="N35" i="3" l="1"/>
  <c r="M621" i="1"/>
  <c r="O621" i="1" s="1"/>
  <c r="H620" i="1"/>
  <c r="M620" i="1" s="1"/>
  <c r="O620" i="1" s="1"/>
  <c r="N621" i="1" l="1"/>
  <c r="H619" i="1"/>
  <c r="M619" i="1" s="1"/>
  <c r="O619" i="1" s="1"/>
  <c r="H618" i="1" l="1"/>
  <c r="M618" i="1" s="1"/>
  <c r="O618" i="1" s="1"/>
  <c r="H617" i="1"/>
  <c r="M617" i="1" s="1"/>
  <c r="O617" i="1" s="1"/>
  <c r="M616" i="1" l="1"/>
  <c r="O616" i="1" s="1"/>
  <c r="H615" i="1"/>
  <c r="M615" i="1" s="1"/>
  <c r="O615" i="1" s="1"/>
  <c r="H613" i="1" l="1"/>
  <c r="I613" i="1" l="1"/>
  <c r="M613" i="1"/>
  <c r="H606" i="1"/>
  <c r="M606" i="1" s="1"/>
  <c r="O606" i="1" s="1"/>
  <c r="O613" i="1" l="1"/>
  <c r="N613" i="1"/>
  <c r="H612" i="1" l="1"/>
  <c r="M612" i="1" s="1"/>
  <c r="O612" i="1" s="1"/>
  <c r="H611" i="1"/>
  <c r="M611" i="1" s="1"/>
  <c r="O611" i="1" s="1"/>
  <c r="H609" i="1" l="1"/>
  <c r="M609" i="1" s="1"/>
  <c r="O609" i="1" s="1"/>
  <c r="H610" i="1" l="1"/>
  <c r="M610" i="1" s="1"/>
  <c r="O610" i="1" s="1"/>
  <c r="H608" i="1" l="1"/>
  <c r="M608" i="1" s="1"/>
  <c r="O608" i="1" s="1"/>
  <c r="H607" i="1"/>
  <c r="M607" i="1" s="1"/>
  <c r="O607" i="1" s="1"/>
  <c r="H605" i="1" l="1"/>
  <c r="M605" i="1" s="1"/>
  <c r="O605" i="1" s="1"/>
  <c r="H604" i="1" l="1"/>
  <c r="M604" i="1" s="1"/>
  <c r="O604" i="1" s="1"/>
  <c r="H603" i="1" l="1"/>
  <c r="M603" i="1" l="1"/>
  <c r="O603" i="1" s="1"/>
  <c r="I603" i="1"/>
  <c r="H601" i="1"/>
  <c r="M601" i="1" s="1"/>
  <c r="O601" i="1" s="1"/>
  <c r="H602" i="1"/>
  <c r="M602" i="1" s="1"/>
  <c r="O602" i="1" s="1"/>
  <c r="N603" i="1" l="1"/>
  <c r="H600" i="1" l="1"/>
  <c r="M600" i="1" s="1"/>
  <c r="O600" i="1" s="1"/>
  <c r="H597" i="1"/>
  <c r="M597" i="1" s="1"/>
  <c r="O597" i="1" s="1"/>
  <c r="H598" i="1"/>
  <c r="H599" i="1"/>
  <c r="M599" i="1" s="1"/>
  <c r="O599" i="1" s="1"/>
  <c r="I598" i="1" l="1"/>
  <c r="I635" i="1" s="1"/>
  <c r="C34" i="3" s="1"/>
  <c r="M598" i="1"/>
  <c r="H596" i="1"/>
  <c r="M596" i="1" s="1"/>
  <c r="O596" i="1" s="1"/>
  <c r="H595" i="1"/>
  <c r="H635" i="1" s="1"/>
  <c r="B34" i="3" s="1"/>
  <c r="F34" i="3" s="1"/>
  <c r="K34" i="3" s="1"/>
  <c r="N34" i="3" l="1"/>
  <c r="G635" i="1"/>
  <c r="M595" i="1"/>
  <c r="M635" i="1" s="1"/>
  <c r="N598" i="1"/>
  <c r="N635" i="1" s="1"/>
  <c r="O598" i="1"/>
  <c r="K576" i="1"/>
  <c r="H586" i="1"/>
  <c r="I586" i="1" s="1"/>
  <c r="H587" i="1"/>
  <c r="M587" i="1" s="1"/>
  <c r="K584" i="1"/>
  <c r="H584" i="1"/>
  <c r="H592" i="1"/>
  <c r="M592" i="1" s="1"/>
  <c r="O592" i="1" s="1"/>
  <c r="H591" i="1"/>
  <c r="I591" i="1" s="1"/>
  <c r="H590" i="1"/>
  <c r="M590" i="1" s="1"/>
  <c r="O590" i="1" s="1"/>
  <c r="H589" i="1"/>
  <c r="M589" i="1" s="1"/>
  <c r="O589" i="1" s="1"/>
  <c r="H588" i="1"/>
  <c r="M588" i="1" s="1"/>
  <c r="O588" i="1" s="1"/>
  <c r="H585" i="1"/>
  <c r="M585" i="1" s="1"/>
  <c r="O585" i="1" s="1"/>
  <c r="H583" i="1"/>
  <c r="M583" i="1" s="1"/>
  <c r="O583" i="1" s="1"/>
  <c r="H582" i="1"/>
  <c r="M582" i="1" s="1"/>
  <c r="O582" i="1" s="1"/>
  <c r="K593" i="1" l="1"/>
  <c r="F635" i="1"/>
  <c r="O635" i="1"/>
  <c r="O595" i="1"/>
  <c r="M586" i="1"/>
  <c r="O586" i="1" s="1"/>
  <c r="M584" i="1"/>
  <c r="O584" i="1" s="1"/>
  <c r="O587" i="1"/>
  <c r="N587" i="1"/>
  <c r="I587" i="1"/>
  <c r="M591" i="1"/>
  <c r="N591" i="1" s="1"/>
  <c r="N586" i="1" l="1"/>
  <c r="O591" i="1"/>
  <c r="H581" i="1" l="1"/>
  <c r="M581" i="1" s="1"/>
  <c r="O581" i="1" s="1"/>
  <c r="H580" i="1" l="1"/>
  <c r="M580" i="1" s="1"/>
  <c r="O580" i="1" s="1"/>
  <c r="H579" i="1" l="1"/>
  <c r="M579" i="1" l="1"/>
  <c r="I579" i="1"/>
  <c r="H578" i="1"/>
  <c r="M578" i="1" s="1"/>
  <c r="O578" i="1" s="1"/>
  <c r="N579" i="1" l="1"/>
  <c r="O579" i="1"/>
  <c r="H577" i="1"/>
  <c r="M577" i="1" s="1"/>
  <c r="O577" i="1" s="1"/>
  <c r="H576" i="1" l="1"/>
  <c r="M576" i="1" s="1"/>
  <c r="O576" i="1" l="1"/>
  <c r="H575" i="1" l="1"/>
  <c r="I575" i="1" s="1"/>
  <c r="M575" i="1" l="1"/>
  <c r="O575" i="1" s="1"/>
  <c r="H574" i="1"/>
  <c r="I574" i="1" s="1"/>
  <c r="N575" i="1" l="1"/>
  <c r="M574" i="1"/>
  <c r="H573" i="1"/>
  <c r="H572" i="1"/>
  <c r="H593" i="1" s="1"/>
  <c r="B33" i="3" s="1"/>
  <c r="I572" i="1" l="1"/>
  <c r="M572" i="1"/>
  <c r="M573" i="1"/>
  <c r="I573" i="1"/>
  <c r="O574" i="1"/>
  <c r="N574" i="1"/>
  <c r="H568" i="1"/>
  <c r="M568" i="1" s="1"/>
  <c r="O568" i="1" s="1"/>
  <c r="H569" i="1"/>
  <c r="M569" i="1" s="1"/>
  <c r="O569" i="1" s="1"/>
  <c r="H567" i="1"/>
  <c r="M567" i="1" s="1"/>
  <c r="O567" i="1" s="1"/>
  <c r="H566" i="1"/>
  <c r="M566" i="1" s="1"/>
  <c r="O566" i="1" s="1"/>
  <c r="I593" i="1" l="1"/>
  <c r="M593" i="1"/>
  <c r="N572" i="1"/>
  <c r="O572" i="1"/>
  <c r="N573" i="1"/>
  <c r="O573" i="1"/>
  <c r="H565" i="1"/>
  <c r="G593" i="1" l="1"/>
  <c r="C33" i="3"/>
  <c r="F33" i="3" s="1"/>
  <c r="K33" i="3" s="1"/>
  <c r="N593" i="1"/>
  <c r="F593" i="1" s="1"/>
  <c r="O593" i="1"/>
  <c r="M565" i="1"/>
  <c r="I565" i="1"/>
  <c r="H564" i="1"/>
  <c r="M564" i="1" s="1"/>
  <c r="O564" i="1" s="1"/>
  <c r="N33" i="3" l="1"/>
  <c r="O565" i="1"/>
  <c r="N565" i="1"/>
  <c r="H563" i="1"/>
  <c r="I563" i="1" s="1"/>
  <c r="M563" i="1" l="1"/>
  <c r="H559" i="1"/>
  <c r="M559" i="1" s="1"/>
  <c r="O559" i="1" s="1"/>
  <c r="H560" i="1"/>
  <c r="M560" i="1" s="1"/>
  <c r="O560" i="1" s="1"/>
  <c r="H561" i="1"/>
  <c r="M561" i="1" s="1"/>
  <c r="O561" i="1" s="1"/>
  <c r="H562" i="1"/>
  <c r="M562" i="1" s="1"/>
  <c r="O562" i="1" s="1"/>
  <c r="O563" i="1" l="1"/>
  <c r="N563" i="1"/>
  <c r="H557" i="1"/>
  <c r="M557" i="1" s="1"/>
  <c r="O557" i="1" s="1"/>
  <c r="H558" i="1"/>
  <c r="M558" i="1" s="1"/>
  <c r="O558" i="1" s="1"/>
  <c r="H556" i="1" l="1"/>
  <c r="M556" i="1" s="1"/>
  <c r="O556" i="1" s="1"/>
  <c r="H555" i="1" l="1"/>
  <c r="M555" i="1" s="1"/>
  <c r="O555" i="1" l="1"/>
  <c r="N555" i="1"/>
  <c r="I555" i="1"/>
  <c r="H553" i="1"/>
  <c r="H554" i="1"/>
  <c r="M554" i="1" s="1"/>
  <c r="O554" i="1" s="1"/>
  <c r="H552" i="1"/>
  <c r="M552" i="1" s="1"/>
  <c r="O552" i="1" s="1"/>
  <c r="M553" i="1" l="1"/>
  <c r="I553" i="1"/>
  <c r="O553" i="1" l="1"/>
  <c r="N553" i="1"/>
  <c r="H549" i="1"/>
  <c r="M549" i="1" s="1"/>
  <c r="O549" i="1" s="1"/>
  <c r="H550" i="1"/>
  <c r="M550" i="1" s="1"/>
  <c r="O550" i="1" s="1"/>
  <c r="H551" i="1"/>
  <c r="M551" i="1" s="1"/>
  <c r="O551" i="1" s="1"/>
  <c r="H548" i="1" l="1"/>
  <c r="M548" i="1" s="1"/>
  <c r="O548" i="1" s="1"/>
  <c r="H547" i="1" l="1"/>
  <c r="I547" i="1" s="1"/>
  <c r="H546" i="1"/>
  <c r="M546" i="1" s="1"/>
  <c r="O546" i="1" s="1"/>
  <c r="M547" i="1" l="1"/>
  <c r="O547" i="1" s="1"/>
  <c r="H545" i="1"/>
  <c r="M545" i="1" s="1"/>
  <c r="O545" i="1" s="1"/>
  <c r="N547" i="1" l="1"/>
  <c r="H544" i="1"/>
  <c r="M544" i="1" l="1"/>
  <c r="N544" i="1" s="1"/>
  <c r="I544" i="1"/>
  <c r="H543" i="1"/>
  <c r="M543" i="1" s="1"/>
  <c r="O543" i="1" s="1"/>
  <c r="H542" i="1"/>
  <c r="M542" i="1" s="1"/>
  <c r="O542" i="1" s="1"/>
  <c r="O544" i="1" l="1"/>
  <c r="H541" i="1"/>
  <c r="M541" i="1" s="1"/>
  <c r="O541" i="1" s="1"/>
  <c r="H540" i="1" l="1"/>
  <c r="M540" i="1" s="1"/>
  <c r="O540" i="1" s="1"/>
  <c r="H539" i="1" l="1"/>
  <c r="M539" i="1" s="1"/>
  <c r="O539" i="1" s="1"/>
  <c r="H538" i="1" l="1"/>
  <c r="M538" i="1" s="1"/>
  <c r="O538" i="1" s="1"/>
  <c r="H537" i="1"/>
  <c r="M537" i="1" s="1"/>
  <c r="O537" i="1" s="1"/>
  <c r="H536" i="1" l="1"/>
  <c r="M536" i="1" s="1"/>
  <c r="O536" i="1" s="1"/>
  <c r="H535" i="1"/>
  <c r="M535" i="1" s="1"/>
  <c r="O535" i="1" s="1"/>
  <c r="H534" i="1" l="1"/>
  <c r="M534" i="1" s="1"/>
  <c r="O534" i="1" s="1"/>
  <c r="H533" i="1" l="1"/>
  <c r="M533" i="1" s="1"/>
  <c r="O533" i="1" s="1"/>
  <c r="H532" i="1" l="1"/>
  <c r="M532" i="1" s="1"/>
  <c r="O532" i="1" s="1"/>
  <c r="H531" i="1" l="1"/>
  <c r="I531" i="1" l="1"/>
  <c r="I570" i="1" s="1"/>
  <c r="C32" i="3" s="1"/>
  <c r="M531" i="1"/>
  <c r="H530" i="1"/>
  <c r="H570" i="1" s="1"/>
  <c r="B32" i="3" s="1"/>
  <c r="F32" i="3" s="1"/>
  <c r="K32" i="3" s="1"/>
  <c r="N32" i="3" l="1"/>
  <c r="G570" i="1"/>
  <c r="M530" i="1"/>
  <c r="M570" i="1" s="1"/>
  <c r="O531" i="1"/>
  <c r="N531" i="1"/>
  <c r="N570" i="1" s="1"/>
  <c r="F570" i="1" l="1"/>
  <c r="O570" i="1"/>
  <c r="O530" i="1"/>
  <c r="H527" i="1"/>
  <c r="M527" i="1" s="1"/>
  <c r="O527" i="1" s="1"/>
  <c r="H526" i="1"/>
  <c r="H525" i="1" l="1"/>
  <c r="M525" i="1" l="1"/>
  <c r="O525" i="1" s="1"/>
  <c r="H524" i="1" l="1"/>
  <c r="M524" i="1" s="1"/>
  <c r="O524" i="1" s="1"/>
  <c r="H523" i="1"/>
  <c r="M523" i="1" l="1"/>
  <c r="O523" i="1" s="1"/>
  <c r="K526" i="1"/>
  <c r="M526" i="1" l="1"/>
  <c r="O526" i="1" s="1"/>
  <c r="K528" i="1"/>
  <c r="H521" i="1"/>
  <c r="M521" i="1" s="1"/>
  <c r="O521" i="1" s="1"/>
  <c r="H522" i="1"/>
  <c r="M522" i="1" s="1"/>
  <c r="O522" i="1" s="1"/>
  <c r="H520" i="1" l="1"/>
  <c r="M520" i="1" s="1"/>
  <c r="O520" i="1" s="1"/>
  <c r="H519" i="1"/>
  <c r="M519" i="1" s="1"/>
  <c r="O519" i="1" s="1"/>
  <c r="H518" i="1"/>
  <c r="M518" i="1" s="1"/>
  <c r="O518" i="1" s="1"/>
  <c r="H517" i="1"/>
  <c r="M517" i="1" s="1"/>
  <c r="O517" i="1" s="1"/>
  <c r="H516" i="1"/>
  <c r="M516" i="1" s="1"/>
  <c r="O516" i="1" s="1"/>
  <c r="H515" i="1"/>
  <c r="M515" i="1" s="1"/>
  <c r="O515" i="1" s="1"/>
  <c r="H514" i="1"/>
  <c r="M514" i="1" s="1"/>
  <c r="O514" i="1" s="1"/>
  <c r="H513" i="1"/>
  <c r="M513" i="1" s="1"/>
  <c r="O513" i="1" s="1"/>
  <c r="H512" i="1"/>
  <c r="I512" i="1" s="1"/>
  <c r="M512" i="1" l="1"/>
  <c r="H510" i="1"/>
  <c r="H511" i="1"/>
  <c r="M511" i="1" s="1"/>
  <c r="O511" i="1" s="1"/>
  <c r="N512" i="1" l="1"/>
  <c r="O512" i="1"/>
  <c r="I510" i="1"/>
  <c r="M510" i="1"/>
  <c r="H509" i="1"/>
  <c r="M509" i="1" s="1"/>
  <c r="O510" i="1" l="1"/>
  <c r="N510" i="1"/>
  <c r="N509" i="1"/>
  <c r="O509" i="1"/>
  <c r="I509" i="1"/>
  <c r="H508" i="1" l="1"/>
  <c r="M508" i="1" s="1"/>
  <c r="O508" i="1" s="1"/>
  <c r="H507" i="1" l="1"/>
  <c r="M507" i="1" s="1"/>
  <c r="O507" i="1" s="1"/>
  <c r="H506" i="1" l="1"/>
  <c r="M506" i="1" s="1"/>
  <c r="O506" i="1" s="1"/>
  <c r="H505" i="1"/>
  <c r="M505" i="1" s="1"/>
  <c r="O505" i="1" s="1"/>
  <c r="H503" i="1" l="1"/>
  <c r="M503" i="1" s="1"/>
  <c r="O503" i="1" s="1"/>
  <c r="H504" i="1"/>
  <c r="M504" i="1" s="1"/>
  <c r="O504" i="1" s="1"/>
  <c r="H502" i="1" l="1"/>
  <c r="H528" i="1" s="1"/>
  <c r="B31" i="3" s="1"/>
  <c r="M502" i="1" l="1"/>
  <c r="I502" i="1"/>
  <c r="I528" i="1" s="1"/>
  <c r="H498" i="1"/>
  <c r="M498" i="1" s="1"/>
  <c r="O498" i="1" s="1"/>
  <c r="H499" i="1"/>
  <c r="M499" i="1" s="1"/>
  <c r="O499" i="1" s="1"/>
  <c r="G528" i="1" l="1"/>
  <c r="C31" i="3"/>
  <c r="F31" i="3" s="1"/>
  <c r="K31" i="3" s="1"/>
  <c r="N502" i="1"/>
  <c r="N528" i="1" s="1"/>
  <c r="M528" i="1"/>
  <c r="O502" i="1"/>
  <c r="H497" i="1"/>
  <c r="M497" i="1" s="1"/>
  <c r="O497" i="1" s="1"/>
  <c r="N31" i="3" l="1"/>
  <c r="F528" i="1"/>
  <c r="O528" i="1"/>
  <c r="H495" i="1"/>
  <c r="M495" i="1" s="1"/>
  <c r="O495" i="1" s="1"/>
  <c r="H496" i="1"/>
  <c r="M496" i="1" s="1"/>
  <c r="O496" i="1" s="1"/>
  <c r="H494" i="1"/>
  <c r="M494" i="1" s="1"/>
  <c r="O494" i="1" s="1"/>
  <c r="H493" i="1" l="1"/>
  <c r="M493" i="1" s="1"/>
  <c r="O493" i="1" l="1"/>
  <c r="N493" i="1"/>
  <c r="I493" i="1"/>
  <c r="H491" i="1"/>
  <c r="H492" i="1"/>
  <c r="I492" i="1" l="1"/>
  <c r="M492" i="1"/>
  <c r="I491" i="1"/>
  <c r="M491" i="1"/>
  <c r="H490" i="1"/>
  <c r="M490" i="1" s="1"/>
  <c r="O490" i="1" s="1"/>
  <c r="H488" i="1"/>
  <c r="M488" i="1" s="1"/>
  <c r="O488" i="1" s="1"/>
  <c r="H489" i="1"/>
  <c r="M489" i="1" s="1"/>
  <c r="O489" i="1" s="1"/>
  <c r="H487" i="1"/>
  <c r="M487" i="1" s="1"/>
  <c r="O487" i="1" s="1"/>
  <c r="N492" i="1" l="1"/>
  <c r="O492" i="1"/>
  <c r="N491" i="1"/>
  <c r="O491" i="1"/>
  <c r="H486" i="1"/>
  <c r="M486" i="1" s="1"/>
  <c r="O486" i="1" s="1"/>
  <c r="H484" i="1" l="1"/>
  <c r="M484" i="1" s="1"/>
  <c r="O484" i="1" s="1"/>
  <c r="H485" i="1"/>
  <c r="M485" i="1" s="1"/>
  <c r="O485" i="1" s="1"/>
  <c r="H483" i="1" l="1"/>
  <c r="I483" i="1" s="1"/>
  <c r="M483" i="1" l="1"/>
  <c r="H482" i="1"/>
  <c r="M482" i="1" s="1"/>
  <c r="O482" i="1" s="1"/>
  <c r="N483" i="1" l="1"/>
  <c r="O483" i="1"/>
  <c r="H480" i="1"/>
  <c r="M480" i="1" s="1"/>
  <c r="O480" i="1" s="1"/>
  <c r="H481" i="1"/>
  <c r="M481" i="1" s="1"/>
  <c r="O481" i="1" s="1"/>
  <c r="H479" i="1" l="1"/>
  <c r="M479" i="1" s="1"/>
  <c r="O479" i="1" s="1"/>
  <c r="H478" i="1" l="1"/>
  <c r="M478" i="1" s="1"/>
  <c r="O478" i="1" s="1"/>
  <c r="H476" i="1" l="1"/>
  <c r="H477" i="1"/>
  <c r="M477" i="1" s="1"/>
  <c r="O477" i="1" s="1"/>
  <c r="I476" i="1" l="1"/>
  <c r="M476" i="1"/>
  <c r="H475" i="1"/>
  <c r="M475" i="1" s="1"/>
  <c r="O475" i="1" s="1"/>
  <c r="O476" i="1" l="1"/>
  <c r="N476" i="1"/>
  <c r="H474" i="1"/>
  <c r="M474" i="1" s="1"/>
  <c r="O474" i="1" s="1"/>
  <c r="I474" i="1" l="1"/>
  <c r="N474" i="1"/>
  <c r="H473" i="1"/>
  <c r="M473" i="1" s="1"/>
  <c r="O473" i="1" s="1"/>
  <c r="H472" i="1" l="1"/>
  <c r="M472" i="1" s="1"/>
  <c r="O472" i="1" s="1"/>
  <c r="H471" i="1" l="1"/>
  <c r="M471" i="1" s="1"/>
  <c r="O471" i="1" s="1"/>
  <c r="H470" i="1" l="1"/>
  <c r="I470" i="1" s="1"/>
  <c r="I500" i="1" s="1"/>
  <c r="C30" i="3" s="1"/>
  <c r="M470" i="1" l="1"/>
  <c r="H469" i="1"/>
  <c r="M469" i="1" s="1"/>
  <c r="O469" i="1" s="1"/>
  <c r="O470" i="1" l="1"/>
  <c r="N470" i="1"/>
  <c r="N500" i="1" s="1"/>
  <c r="H468" i="1"/>
  <c r="H500" i="1" s="1"/>
  <c r="G500" i="1" l="1"/>
  <c r="B30" i="3"/>
  <c r="F30" i="3" s="1"/>
  <c r="K30" i="3" s="1"/>
  <c r="M468" i="1"/>
  <c r="M500" i="1" s="1"/>
  <c r="H465" i="1"/>
  <c r="M465" i="1" s="1"/>
  <c r="O465" i="1" s="1"/>
  <c r="N30" i="3" l="1"/>
  <c r="F500" i="1"/>
  <c r="O500" i="1"/>
  <c r="O468" i="1"/>
  <c r="H464" i="1"/>
  <c r="M464" i="1" s="1"/>
  <c r="O464" i="1" l="1"/>
  <c r="H462" i="1"/>
  <c r="M462" i="1" s="1"/>
  <c r="O462" i="1" s="1"/>
  <c r="H463" i="1"/>
  <c r="I463" i="1" s="1"/>
  <c r="M463" i="1" l="1"/>
  <c r="O463" i="1" s="1"/>
  <c r="H461" i="1"/>
  <c r="N463" i="1" l="1"/>
  <c r="I461" i="1"/>
  <c r="M461" i="1"/>
  <c r="H460" i="1"/>
  <c r="I460" i="1" l="1"/>
  <c r="M460" i="1"/>
  <c r="O461" i="1"/>
  <c r="N461" i="1"/>
  <c r="H459" i="1"/>
  <c r="O460" i="1" l="1"/>
  <c r="N460" i="1"/>
  <c r="M459" i="1"/>
  <c r="I459" i="1"/>
  <c r="H457" i="1"/>
  <c r="M457" i="1" s="1"/>
  <c r="O457" i="1" s="1"/>
  <c r="H458" i="1"/>
  <c r="M458" i="1" s="1"/>
  <c r="O458" i="1" s="1"/>
  <c r="O459" i="1" l="1"/>
  <c r="N459" i="1"/>
  <c r="K434" i="1"/>
  <c r="H456" i="1"/>
  <c r="M456" i="1" s="1"/>
  <c r="O456" i="1" s="1"/>
  <c r="H454" i="1" l="1"/>
  <c r="M454" i="1" s="1"/>
  <c r="O454" i="1" s="1"/>
  <c r="H455" i="1"/>
  <c r="M455" i="1" s="1"/>
  <c r="O455" i="1" s="1"/>
  <c r="H450" i="1"/>
  <c r="M450" i="1" s="1"/>
  <c r="O450" i="1" s="1"/>
  <c r="H451" i="1"/>
  <c r="I451" i="1" s="1"/>
  <c r="H452" i="1"/>
  <c r="M452" i="1" s="1"/>
  <c r="O452" i="1" s="1"/>
  <c r="H453" i="1"/>
  <c r="M453" i="1" s="1"/>
  <c r="O453" i="1" s="1"/>
  <c r="M451" i="1" l="1"/>
  <c r="O451" i="1" s="1"/>
  <c r="H449" i="1"/>
  <c r="M449" i="1" s="1"/>
  <c r="O449" i="1" s="1"/>
  <c r="N451" i="1" l="1"/>
  <c r="H448" i="1"/>
  <c r="M448" i="1" s="1"/>
  <c r="O448" i="1" s="1"/>
  <c r="H447" i="1"/>
  <c r="M447" i="1" s="1"/>
  <c r="O447" i="1" s="1"/>
  <c r="H446" i="1" l="1"/>
  <c r="M446" i="1" s="1"/>
  <c r="O446" i="1" s="1"/>
  <c r="H445" i="1"/>
  <c r="M445" i="1" s="1"/>
  <c r="O445" i="1" s="1"/>
  <c r="H444" i="1" l="1"/>
  <c r="I444" i="1" l="1"/>
  <c r="M444" i="1"/>
  <c r="H443" i="1"/>
  <c r="M443" i="1" s="1"/>
  <c r="O443" i="1" s="1"/>
  <c r="O444" i="1" l="1"/>
  <c r="N444" i="1"/>
  <c r="H442" i="1"/>
  <c r="I442" i="1" s="1"/>
  <c r="M442" i="1" l="1"/>
  <c r="H441" i="1"/>
  <c r="M441" i="1" s="1"/>
  <c r="O441" i="1" s="1"/>
  <c r="N442" i="1" l="1"/>
  <c r="O442" i="1"/>
  <c r="H440" i="1"/>
  <c r="M440" i="1" s="1"/>
  <c r="O440" i="1" s="1"/>
  <c r="H439" i="1" l="1"/>
  <c r="M439" i="1" s="1"/>
  <c r="O439" i="1" s="1"/>
  <c r="H438" i="1" l="1"/>
  <c r="M438" i="1" s="1"/>
  <c r="O438" i="1" s="1"/>
  <c r="K435" i="1" l="1"/>
  <c r="K466" i="1" s="1"/>
  <c r="H437" i="1"/>
  <c r="M437" i="1" s="1"/>
  <c r="O437" i="1" s="1"/>
  <c r="H436" i="1" l="1"/>
  <c r="M436" i="1" l="1"/>
  <c r="I436" i="1"/>
  <c r="H435" i="1"/>
  <c r="M435" i="1" s="1"/>
  <c r="O435" i="1" s="1"/>
  <c r="O436" i="1" l="1"/>
  <c r="N436" i="1"/>
  <c r="H434" i="1"/>
  <c r="M434" i="1" s="1"/>
  <c r="O434" i="1" s="1"/>
  <c r="H433" i="1" l="1"/>
  <c r="M433" i="1" s="1"/>
  <c r="O433" i="1" s="1"/>
  <c r="H432" i="1" l="1"/>
  <c r="M432" i="1" s="1"/>
  <c r="O432" i="1" s="1"/>
  <c r="H431" i="1" l="1"/>
  <c r="I431" i="1" s="1"/>
  <c r="M431" i="1" l="1"/>
  <c r="O431" i="1" s="1"/>
  <c r="H430" i="1"/>
  <c r="M430" i="1" s="1"/>
  <c r="O430" i="1" s="1"/>
  <c r="H429" i="1"/>
  <c r="M429" i="1" s="1"/>
  <c r="O429" i="1" s="1"/>
  <c r="N431" i="1" l="1"/>
  <c r="H428" i="1"/>
  <c r="M428" i="1" s="1"/>
  <c r="O428" i="1" s="1"/>
  <c r="H427" i="1" l="1"/>
  <c r="M427" i="1" s="1"/>
  <c r="O427" i="1" s="1"/>
  <c r="H426" i="1" l="1"/>
  <c r="I426" i="1" l="1"/>
  <c r="M426" i="1"/>
  <c r="N426" i="1" l="1"/>
  <c r="O426" i="1"/>
  <c r="H425" i="1"/>
  <c r="H466" i="1" s="1"/>
  <c r="B29" i="3" s="1"/>
  <c r="M425" i="1" l="1"/>
  <c r="I425" i="1"/>
  <c r="I466" i="1" s="1"/>
  <c r="H421" i="1"/>
  <c r="M421" i="1" s="1"/>
  <c r="G466" i="1" l="1"/>
  <c r="C29" i="3"/>
  <c r="F29" i="3" s="1"/>
  <c r="K29" i="3" s="1"/>
  <c r="N425" i="1"/>
  <c r="N466" i="1" s="1"/>
  <c r="M466" i="1"/>
  <c r="O425" i="1"/>
  <c r="O421" i="1"/>
  <c r="N421" i="1"/>
  <c r="I421" i="1"/>
  <c r="H422" i="1"/>
  <c r="M422" i="1" s="1"/>
  <c r="O422" i="1" s="1"/>
  <c r="N29" i="3" l="1"/>
  <c r="F466" i="1"/>
  <c r="O466" i="1"/>
  <c r="H420" i="1"/>
  <c r="M420" i="1" s="1"/>
  <c r="O420" i="1" s="1"/>
  <c r="H419" i="1" l="1"/>
  <c r="M419" i="1" l="1"/>
  <c r="I419" i="1"/>
  <c r="H418" i="1"/>
  <c r="M418" i="1" s="1"/>
  <c r="O418" i="1" s="1"/>
  <c r="O419" i="1" l="1"/>
  <c r="N419" i="1"/>
  <c r="H417" i="1"/>
  <c r="M417" i="1" s="1"/>
  <c r="O417" i="1" s="1"/>
  <c r="H416" i="1" l="1"/>
  <c r="M416" i="1" s="1"/>
  <c r="O416" i="1" s="1"/>
  <c r="H415" i="1" l="1"/>
  <c r="M415" i="1" s="1"/>
  <c r="O415" i="1" s="1"/>
  <c r="H414" i="1"/>
  <c r="M414" i="1" s="1"/>
  <c r="I414" i="1" l="1"/>
  <c r="N414" i="1"/>
  <c r="O414" i="1"/>
  <c r="H413" i="1" l="1"/>
  <c r="M413" i="1" s="1"/>
  <c r="O413" i="1" l="1"/>
  <c r="N413" i="1"/>
  <c r="I413" i="1"/>
  <c r="H412" i="1"/>
  <c r="M412" i="1" s="1"/>
  <c r="N412" i="1" s="1"/>
  <c r="H411" i="1"/>
  <c r="M411" i="1" s="1"/>
  <c r="O411" i="1" s="1"/>
  <c r="I412" i="1" l="1"/>
  <c r="O412" i="1"/>
  <c r="H410" i="1"/>
  <c r="M410" i="1" s="1"/>
  <c r="O410" i="1" s="1"/>
  <c r="K408" i="1" l="1"/>
  <c r="K423" i="1" s="1"/>
  <c r="H409" i="1"/>
  <c r="M409" i="1" l="1"/>
  <c r="I409" i="1"/>
  <c r="H408" i="1"/>
  <c r="M408" i="1" l="1"/>
  <c r="O408" i="1" s="1"/>
  <c r="O409" i="1"/>
  <c r="N409" i="1"/>
  <c r="H407" i="1"/>
  <c r="M407" i="1" s="1"/>
  <c r="O407" i="1" s="1"/>
  <c r="H406" i="1" l="1"/>
  <c r="M406" i="1" s="1"/>
  <c r="O406" i="1" s="1"/>
  <c r="H405" i="1" l="1"/>
  <c r="M405" i="1" s="1"/>
  <c r="O405" i="1" s="1"/>
  <c r="H404" i="1" l="1"/>
  <c r="M404" i="1" s="1"/>
  <c r="O404" i="1" s="1"/>
  <c r="H403" i="1" l="1"/>
  <c r="M403" i="1" s="1"/>
  <c r="O403" i="1" s="1"/>
  <c r="H402" i="1"/>
  <c r="M402" i="1" s="1"/>
  <c r="O402" i="1" s="1"/>
  <c r="H401" i="1" l="1"/>
  <c r="M401" i="1" s="1"/>
  <c r="O401" i="1" l="1"/>
  <c r="H400" i="1"/>
  <c r="I400" i="1" s="1"/>
  <c r="M400" i="1" l="1"/>
  <c r="O400" i="1" s="1"/>
  <c r="H399" i="1"/>
  <c r="I399" i="1" s="1"/>
  <c r="N400" i="1" l="1"/>
  <c r="M399" i="1"/>
  <c r="O399" i="1" s="1"/>
  <c r="H398" i="1"/>
  <c r="M398" i="1" s="1"/>
  <c r="O398" i="1" s="1"/>
  <c r="N399" i="1" l="1"/>
  <c r="H397" i="1" l="1"/>
  <c r="M397" i="1" s="1"/>
  <c r="O397" i="1" s="1"/>
  <c r="H395" i="1" l="1"/>
  <c r="M395" i="1" s="1"/>
  <c r="O395" i="1" s="1"/>
  <c r="H396" i="1"/>
  <c r="M396" i="1" s="1"/>
  <c r="O396" i="1" s="1"/>
  <c r="N395" i="1" l="1"/>
  <c r="I395" i="1"/>
  <c r="H394" i="1"/>
  <c r="M394" i="1" s="1"/>
  <c r="O394" i="1" s="1"/>
  <c r="H393" i="1" l="1"/>
  <c r="M393" i="1" s="1"/>
  <c r="O393" i="1" s="1"/>
  <c r="H392" i="1" l="1"/>
  <c r="H423" i="1" s="1"/>
  <c r="B28" i="3" s="1"/>
  <c r="M392" i="1" l="1"/>
  <c r="M423" i="1" s="1"/>
  <c r="N397" i="1"/>
  <c r="N423" i="1" s="1"/>
  <c r="I397" i="1"/>
  <c r="I423" i="1" s="1"/>
  <c r="G423" i="1" l="1"/>
  <c r="C28" i="3"/>
  <c r="F28" i="3" s="1"/>
  <c r="K28" i="3" s="1"/>
  <c r="F423" i="1"/>
  <c r="O423" i="1"/>
  <c r="O392" i="1"/>
  <c r="H389" i="1"/>
  <c r="M389" i="1" s="1"/>
  <c r="O389" i="1" s="1"/>
  <c r="N28" i="3" l="1"/>
  <c r="H388" i="1"/>
  <c r="M388" i="1" s="1"/>
  <c r="O388" i="1" s="1"/>
  <c r="H385" i="1" l="1"/>
  <c r="M385" i="1" s="1"/>
  <c r="O385" i="1" s="1"/>
  <c r="H386" i="1"/>
  <c r="M386" i="1" s="1"/>
  <c r="O386" i="1" s="1"/>
  <c r="H387" i="1"/>
  <c r="M387" i="1" s="1"/>
  <c r="O387" i="1" s="1"/>
  <c r="H382" i="1" l="1"/>
  <c r="H383" i="1"/>
  <c r="H384" i="1"/>
  <c r="M384" i="1" s="1"/>
  <c r="O384" i="1" s="1"/>
  <c r="M383" i="1" l="1"/>
  <c r="N383" i="1" s="1"/>
  <c r="I383" i="1"/>
  <c r="M382" i="1"/>
  <c r="N382" i="1" s="1"/>
  <c r="I382" i="1"/>
  <c r="H381" i="1"/>
  <c r="M381" i="1" s="1"/>
  <c r="O381" i="1" s="1"/>
  <c r="O383" i="1" l="1"/>
  <c r="O382" i="1"/>
  <c r="H380" i="1"/>
  <c r="M380" i="1" l="1"/>
  <c r="O380" i="1" s="1"/>
  <c r="I380" i="1"/>
  <c r="K379" i="1"/>
  <c r="K390" i="1" s="1"/>
  <c r="H379" i="1"/>
  <c r="N380" i="1" l="1"/>
  <c r="M379" i="1"/>
  <c r="O379" i="1" s="1"/>
  <c r="H377" i="1" l="1"/>
  <c r="M377" i="1" s="1"/>
  <c r="O377" i="1" s="1"/>
  <c r="H378" i="1"/>
  <c r="M378" i="1" s="1"/>
  <c r="O378" i="1" s="1"/>
  <c r="H376" i="1" l="1"/>
  <c r="M376" i="1" s="1"/>
  <c r="H375" i="1"/>
  <c r="M375" i="1" s="1"/>
  <c r="O375" i="1" s="1"/>
  <c r="O376" i="1" l="1"/>
  <c r="N376" i="1"/>
  <c r="I376" i="1"/>
  <c r="H374" i="1"/>
  <c r="M374" i="1" s="1"/>
  <c r="O374" i="1" s="1"/>
  <c r="H373" i="1" l="1"/>
  <c r="M373" i="1" s="1"/>
  <c r="O373" i="1" l="1"/>
  <c r="N373" i="1"/>
  <c r="I373" i="1"/>
  <c r="H372" i="1"/>
  <c r="M372" i="1" s="1"/>
  <c r="O372" i="1" s="1"/>
  <c r="H371" i="1"/>
  <c r="M371" i="1" l="1"/>
  <c r="I371" i="1"/>
  <c r="O371" i="1" l="1"/>
  <c r="N371" i="1"/>
  <c r="H370" i="1"/>
  <c r="M370" i="1" s="1"/>
  <c r="O370" i="1" s="1"/>
  <c r="H368" i="1" l="1"/>
  <c r="M368" i="1" s="1"/>
  <c r="O368" i="1" s="1"/>
  <c r="H369" i="1"/>
  <c r="M369" i="1" s="1"/>
  <c r="O369" i="1" s="1"/>
  <c r="H367" i="1" l="1"/>
  <c r="M367" i="1" s="1"/>
  <c r="O367" i="1" s="1"/>
  <c r="H366" i="1" l="1"/>
  <c r="M366" i="1" s="1"/>
  <c r="O366" i="1" s="1"/>
  <c r="H365" i="1" l="1"/>
  <c r="M365" i="1" s="1"/>
  <c r="O365" i="1" s="1"/>
  <c r="H364" i="1" l="1"/>
  <c r="M364" i="1" l="1"/>
  <c r="I364" i="1"/>
  <c r="H363" i="1"/>
  <c r="M363" i="1" s="1"/>
  <c r="O363" i="1" s="1"/>
  <c r="H362" i="1"/>
  <c r="M362" i="1" s="1"/>
  <c r="O362" i="1" s="1"/>
  <c r="O364" i="1" l="1"/>
  <c r="N364" i="1"/>
  <c r="H361" i="1"/>
  <c r="M361" i="1" s="1"/>
  <c r="O361" i="1" s="1"/>
  <c r="H360" i="1" l="1"/>
  <c r="M360" i="1" s="1"/>
  <c r="O360" i="1" s="1"/>
  <c r="H359" i="1" l="1"/>
  <c r="M359" i="1" s="1"/>
  <c r="O359" i="1" s="1"/>
  <c r="I359" i="1" l="1"/>
  <c r="I390" i="1" s="1"/>
  <c r="C27" i="3" s="1"/>
  <c r="N359" i="1"/>
  <c r="N390" i="1" s="1"/>
  <c r="H358" i="1"/>
  <c r="M358" i="1" s="1"/>
  <c r="O358" i="1" s="1"/>
  <c r="H357" i="1" l="1"/>
  <c r="H390" i="1" s="1"/>
  <c r="G390" i="1" l="1"/>
  <c r="B27" i="3"/>
  <c r="F27" i="3" s="1"/>
  <c r="K27" i="3" s="1"/>
  <c r="M357" i="1"/>
  <c r="M390" i="1" s="1"/>
  <c r="H354" i="1"/>
  <c r="I354" i="1" s="1"/>
  <c r="N27" i="3" l="1"/>
  <c r="F390" i="1"/>
  <c r="O390" i="1"/>
  <c r="O357" i="1"/>
  <c r="M354" i="1"/>
  <c r="O354" i="1" s="1"/>
  <c r="H353" i="1"/>
  <c r="M353" i="1" s="1"/>
  <c r="O353" i="1" s="1"/>
  <c r="N354" i="1" l="1"/>
  <c r="H347" i="1"/>
  <c r="M347" i="1" s="1"/>
  <c r="O347" i="1" s="1"/>
  <c r="K349" i="1"/>
  <c r="H351" i="1"/>
  <c r="I351" i="1" s="1"/>
  <c r="H350" i="1"/>
  <c r="M350" i="1" s="1"/>
  <c r="O350" i="1" s="1"/>
  <c r="H349" i="1"/>
  <c r="H348" i="1"/>
  <c r="M348" i="1" s="1"/>
  <c r="O348" i="1" s="1"/>
  <c r="H352" i="1"/>
  <c r="M352" i="1" s="1"/>
  <c r="O352" i="1" s="1"/>
  <c r="M351" i="1" l="1"/>
  <c r="N351" i="1" s="1"/>
  <c r="M349" i="1"/>
  <c r="O349" i="1" s="1"/>
  <c r="H345" i="1"/>
  <c r="M345" i="1" s="1"/>
  <c r="H346" i="1"/>
  <c r="M346" i="1" s="1"/>
  <c r="O346" i="1" s="1"/>
  <c r="O351" i="1" l="1"/>
  <c r="O345" i="1"/>
  <c r="N345" i="1"/>
  <c r="I345" i="1"/>
  <c r="H344" i="1"/>
  <c r="M344" i="1" s="1"/>
  <c r="O344" i="1" s="1"/>
  <c r="H343" i="1" l="1"/>
  <c r="M343" i="1" l="1"/>
  <c r="I343" i="1"/>
  <c r="H342" i="1"/>
  <c r="M342" i="1" s="1"/>
  <c r="O342" i="1" s="1"/>
  <c r="O343" i="1" l="1"/>
  <c r="N343" i="1"/>
  <c r="K341" i="1"/>
  <c r="H341" i="1"/>
  <c r="M341" i="1" l="1"/>
  <c r="O341" i="1" s="1"/>
  <c r="H340" i="1"/>
  <c r="M340" i="1" s="1"/>
  <c r="O340" i="1" s="1"/>
  <c r="K338" i="1" l="1"/>
  <c r="K355" i="1" s="1"/>
  <c r="H339" i="1" l="1"/>
  <c r="M339" i="1" s="1"/>
  <c r="O339" i="1" s="1"/>
  <c r="H338" i="1" l="1"/>
  <c r="M338" i="1" s="1"/>
  <c r="O338" i="1" s="1"/>
  <c r="H337" i="1"/>
  <c r="M337" i="1" s="1"/>
  <c r="O337" i="1" s="1"/>
  <c r="H336" i="1" l="1"/>
  <c r="M336" i="1" s="1"/>
  <c r="O336" i="1" s="1"/>
  <c r="H335" i="1" l="1"/>
  <c r="M335" i="1" s="1"/>
  <c r="O335" i="1" s="1"/>
  <c r="H334" i="1"/>
  <c r="M334" i="1" s="1"/>
  <c r="O334" i="1" l="1"/>
  <c r="N334" i="1"/>
  <c r="I334" i="1"/>
  <c r="H333" i="1"/>
  <c r="M333" i="1" s="1"/>
  <c r="O333" i="1" s="1"/>
  <c r="H331" i="1" l="1"/>
  <c r="M331" i="1" s="1"/>
  <c r="O331" i="1" s="1"/>
  <c r="H332" i="1" l="1"/>
  <c r="M332" i="1" l="1"/>
  <c r="I332" i="1"/>
  <c r="I355" i="1" s="1"/>
  <c r="C26" i="3" s="1"/>
  <c r="H330" i="1"/>
  <c r="M330" i="1" s="1"/>
  <c r="O330" i="1" s="1"/>
  <c r="H329" i="1"/>
  <c r="H355" i="1" l="1"/>
  <c r="M329" i="1"/>
  <c r="M355" i="1" s="1"/>
  <c r="O332" i="1"/>
  <c r="N332" i="1"/>
  <c r="N355" i="1" s="1"/>
  <c r="G355" i="1" l="1"/>
  <c r="B26" i="3"/>
  <c r="F26" i="3" s="1"/>
  <c r="K26" i="3" s="1"/>
  <c r="F355" i="1"/>
  <c r="O355" i="1"/>
  <c r="O329" i="1"/>
  <c r="H326" i="1"/>
  <c r="M326" i="1" s="1"/>
  <c r="O326" i="1" s="1"/>
  <c r="N26" i="3" l="1"/>
  <c r="H325" i="1"/>
  <c r="M325" i="1" s="1"/>
  <c r="O325" i="1" s="1"/>
  <c r="H324" i="1" l="1"/>
  <c r="M324" i="1" s="1"/>
  <c r="O324" i="1" s="1"/>
  <c r="H323" i="1" l="1"/>
  <c r="M323" i="1" l="1"/>
  <c r="I323" i="1"/>
  <c r="H321" i="1"/>
  <c r="H322" i="1"/>
  <c r="O323" i="1" l="1"/>
  <c r="N323" i="1"/>
  <c r="H320" i="1"/>
  <c r="M320" i="1" s="1"/>
  <c r="O320" i="1" s="1"/>
  <c r="H319" i="1" l="1"/>
  <c r="M319" i="1" s="1"/>
  <c r="O319" i="1" s="1"/>
  <c r="H318" i="1" l="1"/>
  <c r="M318" i="1" s="1"/>
  <c r="O318" i="1" s="1"/>
  <c r="H317" i="1" l="1"/>
  <c r="M317" i="1" s="1"/>
  <c r="O317" i="1" l="1"/>
  <c r="N317" i="1"/>
  <c r="H316" i="1" l="1"/>
  <c r="M316" i="1" s="1"/>
  <c r="O316" i="1" s="1"/>
  <c r="H315" i="1" l="1"/>
  <c r="I315" i="1" s="1"/>
  <c r="M315" i="1" l="1"/>
  <c r="H314" i="1"/>
  <c r="I314" i="1" s="1"/>
  <c r="O315" i="1" l="1"/>
  <c r="N315" i="1"/>
  <c r="M314" i="1"/>
  <c r="H313" i="1"/>
  <c r="M313" i="1" s="1"/>
  <c r="O313" i="1" s="1"/>
  <c r="O314" i="1" l="1"/>
  <c r="N314" i="1"/>
  <c r="H311" i="1"/>
  <c r="M311" i="1" s="1"/>
  <c r="O311" i="1" s="1"/>
  <c r="L312" i="1"/>
  <c r="L327" i="1" s="1"/>
  <c r="H312" i="1"/>
  <c r="M312" i="1" l="1"/>
  <c r="O312" i="1" s="1"/>
  <c r="H310" i="1"/>
  <c r="M310" i="1" s="1"/>
  <c r="O310" i="1" s="1"/>
  <c r="H309" i="1" l="1"/>
  <c r="I309" i="1" l="1"/>
  <c r="I327" i="1" s="1"/>
  <c r="C25" i="3" s="1"/>
  <c r="M309" i="1"/>
  <c r="N309" i="1" s="1"/>
  <c r="N327" i="1" s="1"/>
  <c r="H308" i="1"/>
  <c r="M308" i="1" s="1"/>
  <c r="O308" i="1" s="1"/>
  <c r="H307" i="1"/>
  <c r="H327" i="1" s="1"/>
  <c r="B25" i="3" s="1"/>
  <c r="F25" i="3" s="1"/>
  <c r="K25" i="3" s="1"/>
  <c r="N25" i="3" l="1"/>
  <c r="G327" i="1"/>
  <c r="M307" i="1"/>
  <c r="O309" i="1"/>
  <c r="H304" i="1"/>
  <c r="M304" i="1" s="1"/>
  <c r="O304" i="1" s="1"/>
  <c r="H303" i="1"/>
  <c r="M303" i="1" s="1"/>
  <c r="O303" i="1" s="1"/>
  <c r="O307" i="1" l="1"/>
  <c r="H302" i="1"/>
  <c r="H301" i="1" l="1"/>
  <c r="M301" i="1" s="1"/>
  <c r="O301" i="1" s="1"/>
  <c r="H300" i="1" l="1"/>
  <c r="M300" i="1" s="1"/>
  <c r="O300" i="1" l="1"/>
  <c r="N300" i="1"/>
  <c r="H299" i="1"/>
  <c r="M299" i="1" s="1"/>
  <c r="O299" i="1" s="1"/>
  <c r="K279" i="1" l="1"/>
  <c r="K293" i="1"/>
  <c r="H298" i="1" l="1"/>
  <c r="M298" i="1" l="1"/>
  <c r="I298" i="1"/>
  <c r="H297" i="1"/>
  <c r="M297" i="1" s="1"/>
  <c r="O297" i="1" s="1"/>
  <c r="N298" i="1" l="1"/>
  <c r="O298" i="1"/>
  <c r="H296" i="1"/>
  <c r="M296" i="1" s="1"/>
  <c r="O296" i="1" s="1"/>
  <c r="J322" i="1" l="1"/>
  <c r="M322" i="1" s="1"/>
  <c r="O322" i="1" s="1"/>
  <c r="J321" i="1"/>
  <c r="K302" i="1"/>
  <c r="M302" i="1" s="1"/>
  <c r="O302" i="1" s="1"/>
  <c r="J327" i="1" l="1"/>
  <c r="M321" i="1"/>
  <c r="M327" i="1" s="1"/>
  <c r="H295" i="1"/>
  <c r="M295" i="1" s="1"/>
  <c r="O295" i="1" s="1"/>
  <c r="F327" i="1" l="1"/>
  <c r="O327" i="1"/>
  <c r="O321" i="1"/>
  <c r="H294" i="1"/>
  <c r="M294" i="1" s="1"/>
  <c r="O294" i="1" s="1"/>
  <c r="K277" i="1" l="1"/>
  <c r="K305" i="1" s="1"/>
  <c r="H293" i="1"/>
  <c r="H292" i="1"/>
  <c r="M292" i="1" s="1"/>
  <c r="O292" i="1" s="1"/>
  <c r="M293" i="1" l="1"/>
  <c r="O293" i="1" s="1"/>
  <c r="H291" i="1"/>
  <c r="M291" i="1" s="1"/>
  <c r="O291" i="1" s="1"/>
  <c r="L290" i="1"/>
  <c r="H290" i="1"/>
  <c r="I291" i="1" l="1"/>
  <c r="N291" i="1"/>
  <c r="H288" i="1"/>
  <c r="M288" i="1" s="1"/>
  <c r="O288" i="1" s="1"/>
  <c r="H289" i="1"/>
  <c r="M289" i="1" s="1"/>
  <c r="O289" i="1" s="1"/>
  <c r="H287" i="1" l="1"/>
  <c r="M287" i="1" s="1"/>
  <c r="O287" i="1" s="1"/>
  <c r="H286" i="1" l="1"/>
  <c r="M286" i="1" s="1"/>
  <c r="O286" i="1" s="1"/>
  <c r="H285" i="1" l="1"/>
  <c r="I285" i="1" s="1"/>
  <c r="H284" i="1"/>
  <c r="M284" i="1" s="1"/>
  <c r="O284" i="1" s="1"/>
  <c r="M285" i="1" l="1"/>
  <c r="O285" i="1" s="1"/>
  <c r="N285" i="1" l="1"/>
  <c r="H283" i="1"/>
  <c r="M283" i="1" s="1"/>
  <c r="O283" i="1" s="1"/>
  <c r="H281" i="1"/>
  <c r="H282" i="1"/>
  <c r="M282" i="1" s="1"/>
  <c r="O282" i="1" s="1"/>
  <c r="M281" i="1" l="1"/>
  <c r="O281" i="1" s="1"/>
  <c r="H280" i="1"/>
  <c r="M280" i="1" l="1"/>
  <c r="O280" i="1" s="1"/>
  <c r="I280" i="1"/>
  <c r="I305" i="1" s="1"/>
  <c r="C24" i="3" s="1"/>
  <c r="H279" i="1"/>
  <c r="M279" i="1" s="1"/>
  <c r="O279" i="1" s="1"/>
  <c r="N280" i="1" l="1"/>
  <c r="N305" i="1" s="1"/>
  <c r="H278" i="1"/>
  <c r="M278" i="1" s="1"/>
  <c r="O278" i="1" s="1"/>
  <c r="H277" i="1"/>
  <c r="H276" i="1" l="1"/>
  <c r="M276" i="1" s="1"/>
  <c r="O276" i="1" s="1"/>
  <c r="M290" i="1"/>
  <c r="O290" i="1" s="1"/>
  <c r="H275" i="1" l="1"/>
  <c r="M275" i="1" s="1"/>
  <c r="O275" i="1" s="1"/>
  <c r="L274" i="1" l="1"/>
  <c r="L305" i="1" s="1"/>
  <c r="H274" i="1"/>
  <c r="H305" i="1" s="1"/>
  <c r="G305" i="1" l="1"/>
  <c r="B24" i="3"/>
  <c r="F24" i="3" s="1"/>
  <c r="K24" i="3" s="1"/>
  <c r="M274" i="1"/>
  <c r="H271" i="1"/>
  <c r="N24" i="3" l="1"/>
  <c r="O274" i="1"/>
  <c r="M271" i="1"/>
  <c r="N271" i="1" s="1"/>
  <c r="I271" i="1"/>
  <c r="H270" i="1"/>
  <c r="M270" i="1" s="1"/>
  <c r="O270" i="1" s="1"/>
  <c r="O271" i="1" l="1"/>
  <c r="H269" i="1"/>
  <c r="K269" i="1" l="1"/>
  <c r="M269" i="1" s="1"/>
  <c r="O269" i="1" s="1"/>
  <c r="H268" i="1" l="1"/>
  <c r="H267" i="1" l="1"/>
  <c r="M267" i="1" s="1"/>
  <c r="O267" i="1" s="1"/>
  <c r="H266" i="1" l="1"/>
  <c r="M266" i="1" s="1"/>
  <c r="O266" i="1" s="1"/>
  <c r="H265" i="1" l="1"/>
  <c r="M265" i="1" s="1"/>
  <c r="O265" i="1" s="1"/>
  <c r="H264" i="1" l="1"/>
  <c r="I264" i="1" s="1"/>
  <c r="M264" i="1" l="1"/>
  <c r="H260" i="1"/>
  <c r="M260" i="1" s="1"/>
  <c r="O260" i="1" s="1"/>
  <c r="H261" i="1"/>
  <c r="M261" i="1" s="1"/>
  <c r="O261" i="1" s="1"/>
  <c r="H262" i="1"/>
  <c r="M262" i="1" s="1"/>
  <c r="O262" i="1" s="1"/>
  <c r="H263" i="1"/>
  <c r="M263" i="1" s="1"/>
  <c r="O263" i="1" s="1"/>
  <c r="N264" i="1" l="1"/>
  <c r="O264" i="1"/>
  <c r="H259" i="1"/>
  <c r="M259" i="1" s="1"/>
  <c r="O259" i="1" s="1"/>
  <c r="H258" i="1" l="1"/>
  <c r="M258" i="1" s="1"/>
  <c r="O258" i="1" s="1"/>
  <c r="H257" i="1"/>
  <c r="M257" i="1" s="1"/>
  <c r="O257" i="1" s="1"/>
  <c r="H256" i="1"/>
  <c r="H253" i="1" l="1"/>
  <c r="I253" i="1" s="1"/>
  <c r="H255" i="1"/>
  <c r="H254" i="1"/>
  <c r="M253" i="1" l="1"/>
  <c r="H250" i="1"/>
  <c r="H252" i="1"/>
  <c r="N253" i="1" l="1"/>
  <c r="O253" i="1"/>
  <c r="I252" i="1"/>
  <c r="M252" i="1"/>
  <c r="I250" i="1"/>
  <c r="M250" i="1"/>
  <c r="H251" i="1"/>
  <c r="M251" i="1" s="1"/>
  <c r="O251" i="1" s="1"/>
  <c r="O252" i="1" l="1"/>
  <c r="N252" i="1"/>
  <c r="N250" i="1"/>
  <c r="O250" i="1"/>
  <c r="K249" i="1"/>
  <c r="M249" i="1" l="1"/>
  <c r="O249" i="1" s="1"/>
  <c r="J256" i="1"/>
  <c r="M256" i="1" s="1"/>
  <c r="O256" i="1" s="1"/>
  <c r="J255" i="1"/>
  <c r="J277" i="1"/>
  <c r="J305" i="1" s="1"/>
  <c r="J254" i="1"/>
  <c r="K255" i="1"/>
  <c r="M277" i="1" l="1"/>
  <c r="M305" i="1" s="1"/>
  <c r="M254" i="1"/>
  <c r="O254" i="1" s="1"/>
  <c r="M255" i="1"/>
  <c r="O255" i="1" s="1"/>
  <c r="H248" i="1"/>
  <c r="M248" i="1" s="1"/>
  <c r="O248" i="1" s="1"/>
  <c r="F305" i="1" l="1"/>
  <c r="O305" i="1"/>
  <c r="O277" i="1"/>
  <c r="H247" i="1"/>
  <c r="I247" i="1" s="1"/>
  <c r="M247" i="1" l="1"/>
  <c r="H246" i="1"/>
  <c r="M246" i="1" s="1"/>
  <c r="O246" i="1" s="1"/>
  <c r="N247" i="1" l="1"/>
  <c r="O247" i="1"/>
  <c r="H245" i="1"/>
  <c r="H272" i="1" s="1"/>
  <c r="B23" i="3" s="1"/>
  <c r="I245" i="1" l="1"/>
  <c r="I272" i="1" s="1"/>
  <c r="M245" i="1"/>
  <c r="H242" i="1"/>
  <c r="M242" i="1" s="1"/>
  <c r="N242" i="1" s="1"/>
  <c r="G272" i="1" l="1"/>
  <c r="C23" i="3"/>
  <c r="F23" i="3" s="1"/>
  <c r="K23" i="3" s="1"/>
  <c r="O242" i="1"/>
  <c r="O245" i="1"/>
  <c r="N245" i="1"/>
  <c r="N272" i="1" s="1"/>
  <c r="I242" i="1"/>
  <c r="N23" i="3" l="1"/>
  <c r="H241" i="1"/>
  <c r="M241" i="1" s="1"/>
  <c r="O241" i="1" s="1"/>
  <c r="H239" i="1" l="1"/>
  <c r="H240" i="1"/>
  <c r="H238" i="1" l="1"/>
  <c r="H237" i="1" l="1"/>
  <c r="M237" i="1" s="1"/>
  <c r="O237" i="1" s="1"/>
  <c r="J268" i="1" l="1"/>
  <c r="J272" i="1" s="1"/>
  <c r="K268" i="1"/>
  <c r="K272" i="1" s="1"/>
  <c r="K238" i="1"/>
  <c r="M238" i="1" s="1"/>
  <c r="O238" i="1" s="1"/>
  <c r="M268" i="1" l="1"/>
  <c r="M272" i="1" s="1"/>
  <c r="H236" i="1"/>
  <c r="I236" i="1" s="1"/>
  <c r="O272" i="1" l="1"/>
  <c r="F272" i="1"/>
  <c r="O268" i="1"/>
  <c r="M236" i="1"/>
  <c r="O236" i="1" s="1"/>
  <c r="H235" i="1"/>
  <c r="M235" i="1" s="1"/>
  <c r="O235" i="1" s="1"/>
  <c r="N236" i="1" l="1"/>
  <c r="H234" i="1"/>
  <c r="M234" i="1" s="1"/>
  <c r="O234" i="1" s="1"/>
  <c r="H230" i="1" l="1"/>
  <c r="I230" i="1" s="1"/>
  <c r="H231" i="1"/>
  <c r="M231" i="1" s="1"/>
  <c r="O231" i="1" s="1"/>
  <c r="H232" i="1"/>
  <c r="M232" i="1" s="1"/>
  <c r="O232" i="1" s="1"/>
  <c r="H233" i="1"/>
  <c r="M233" i="1" s="1"/>
  <c r="O233" i="1" s="1"/>
  <c r="M230" i="1" l="1"/>
  <c r="H229" i="1"/>
  <c r="M229" i="1" s="1"/>
  <c r="O229" i="1" s="1"/>
  <c r="O230" i="1" l="1"/>
  <c r="N230" i="1"/>
  <c r="K240" i="1"/>
  <c r="K239" i="1"/>
  <c r="J240" i="1"/>
  <c r="J239" i="1"/>
  <c r="H228" i="1"/>
  <c r="M228" i="1" s="1"/>
  <c r="O228" i="1" s="1"/>
  <c r="J243" i="1" l="1"/>
  <c r="M239" i="1"/>
  <c r="O239" i="1" s="1"/>
  <c r="M240" i="1"/>
  <c r="O240" i="1" s="1"/>
  <c r="H227" i="1"/>
  <c r="I227" i="1" s="1"/>
  <c r="K225" i="1"/>
  <c r="K243" i="1" s="1"/>
  <c r="M227" i="1" l="1"/>
  <c r="O227" i="1" s="1"/>
  <c r="H226" i="1"/>
  <c r="M226" i="1" s="1"/>
  <c r="O226" i="1" s="1"/>
  <c r="N227" i="1" l="1"/>
  <c r="H225" i="1"/>
  <c r="M225" i="1" s="1"/>
  <c r="O225" i="1" s="1"/>
  <c r="H224" i="1" l="1"/>
  <c r="M224" i="1" s="1"/>
  <c r="O224" i="1" s="1"/>
  <c r="H223" i="1"/>
  <c r="M223" i="1" s="1"/>
  <c r="O223" i="1" s="1"/>
  <c r="H222" i="1"/>
  <c r="M222" i="1" s="1"/>
  <c r="H221" i="1"/>
  <c r="M221" i="1" s="1"/>
  <c r="O221" i="1" s="1"/>
  <c r="I222" i="1" l="1"/>
  <c r="O222" i="1"/>
  <c r="N222" i="1"/>
  <c r="H219" i="1"/>
  <c r="M219" i="1" s="1"/>
  <c r="O219" i="1" s="1"/>
  <c r="H220" i="1"/>
  <c r="M220" i="1" s="1"/>
  <c r="O220" i="1" s="1"/>
  <c r="H218" i="1" l="1"/>
  <c r="M218" i="1" s="1"/>
  <c r="O218" i="1" s="1"/>
  <c r="H217" i="1" l="1"/>
  <c r="M217" i="1" s="1"/>
  <c r="O217" i="1" s="1"/>
  <c r="H216" i="1" l="1"/>
  <c r="I216" i="1" s="1"/>
  <c r="H215" i="1"/>
  <c r="H243" i="1" l="1"/>
  <c r="B22" i="3" s="1"/>
  <c r="I215" i="1"/>
  <c r="I243" i="1" s="1"/>
  <c r="C22" i="3" s="1"/>
  <c r="M216" i="1"/>
  <c r="O216" i="1" s="1"/>
  <c r="M215" i="1"/>
  <c r="H211" i="1"/>
  <c r="M211" i="1" s="1"/>
  <c r="O211" i="1" s="1"/>
  <c r="H212" i="1"/>
  <c r="M212" i="1" s="1"/>
  <c r="O212" i="1" s="1"/>
  <c r="H209" i="1"/>
  <c r="M209" i="1" s="1"/>
  <c r="O209" i="1" s="1"/>
  <c r="H210" i="1"/>
  <c r="M210" i="1" s="1"/>
  <c r="O210" i="1" s="1"/>
  <c r="F22" i="3" l="1"/>
  <c r="K22" i="3" s="1"/>
  <c r="G243" i="1"/>
  <c r="M243" i="1"/>
  <c r="O243" i="1" s="1"/>
  <c r="O215" i="1"/>
  <c r="N215" i="1"/>
  <c r="N216" i="1"/>
  <c r="H208" i="1"/>
  <c r="M208" i="1" s="1"/>
  <c r="O208" i="1" s="1"/>
  <c r="N22" i="3" l="1"/>
  <c r="N243" i="1"/>
  <c r="F243" i="1" s="1"/>
  <c r="H205" i="1"/>
  <c r="M205" i="1" s="1"/>
  <c r="O205" i="1" s="1"/>
  <c r="H206" i="1"/>
  <c r="H207" i="1"/>
  <c r="H204" i="1" l="1"/>
  <c r="I204" i="1" s="1"/>
  <c r="M204" i="1" l="1"/>
  <c r="H203" i="1"/>
  <c r="I203" i="1" s="1"/>
  <c r="M203" i="1" l="1"/>
  <c r="O204" i="1"/>
  <c r="N204" i="1"/>
  <c r="H202" i="1"/>
  <c r="M202" i="1" s="1"/>
  <c r="O202" i="1" s="1"/>
  <c r="H201" i="1"/>
  <c r="M201" i="1" s="1"/>
  <c r="O201" i="1" s="1"/>
  <c r="O203" i="1" l="1"/>
  <c r="N203" i="1"/>
  <c r="J130" i="1"/>
  <c r="J140" i="1" s="1"/>
  <c r="J33" i="1"/>
  <c r="J32" i="1"/>
  <c r="J31" i="1"/>
  <c r="J26" i="1"/>
  <c r="J25" i="1"/>
  <c r="L3" i="1"/>
  <c r="J63" i="1" l="1"/>
  <c r="J27" i="1"/>
  <c r="J207" i="1"/>
  <c r="M207" i="1" s="1"/>
  <c r="O207" i="1" s="1"/>
  <c r="J206" i="1"/>
  <c r="J213" i="1" s="1"/>
  <c r="M206" i="1" l="1"/>
  <c r="O206" i="1" s="1"/>
  <c r="H200" i="1"/>
  <c r="I200" i="1" l="1"/>
  <c r="M200" i="1"/>
  <c r="H199" i="1"/>
  <c r="M199" i="1" s="1"/>
  <c r="O199" i="1" l="1"/>
  <c r="N199" i="1"/>
  <c r="O200" i="1"/>
  <c r="N200" i="1"/>
  <c r="I199" i="1"/>
  <c r="H197" i="1"/>
  <c r="M197" i="1" s="1"/>
  <c r="O197" i="1" s="1"/>
  <c r="H198" i="1"/>
  <c r="M198" i="1" s="1"/>
  <c r="O198" i="1" s="1"/>
  <c r="H196" i="1" l="1"/>
  <c r="M196" i="1" s="1"/>
  <c r="O196" i="1" s="1"/>
  <c r="H195" i="1"/>
  <c r="M195" i="1" s="1"/>
  <c r="O195" i="1" s="1"/>
  <c r="H194" i="1" l="1"/>
  <c r="M194" i="1" s="1"/>
  <c r="O194" i="1" s="1"/>
  <c r="H193" i="1" l="1"/>
  <c r="M193" i="1" s="1"/>
  <c r="O193" i="1" s="1"/>
  <c r="I193" i="1" l="1"/>
  <c r="N193" i="1"/>
  <c r="H192" i="1"/>
  <c r="M192" i="1" s="1"/>
  <c r="O192" i="1" s="1"/>
  <c r="H190" i="1" l="1"/>
  <c r="M190" i="1" s="1"/>
  <c r="O190" i="1" s="1"/>
  <c r="H191" i="1"/>
  <c r="M191" i="1" s="1"/>
  <c r="O191" i="1" s="1"/>
  <c r="H189" i="1"/>
  <c r="I189" i="1" l="1"/>
  <c r="I213" i="1" s="1"/>
  <c r="C21" i="3" s="1"/>
  <c r="M189" i="1"/>
  <c r="H188" i="1"/>
  <c r="M188" i="1" s="1"/>
  <c r="O188" i="1" s="1"/>
  <c r="N189" i="1" l="1"/>
  <c r="N213" i="1" s="1"/>
  <c r="O189" i="1"/>
  <c r="H187" i="1"/>
  <c r="H213" i="1" s="1"/>
  <c r="G213" i="1" l="1"/>
  <c r="B21" i="3"/>
  <c r="F21" i="3" s="1"/>
  <c r="K21" i="3" s="1"/>
  <c r="M187" i="1"/>
  <c r="M213" i="1" s="1"/>
  <c r="H183" i="1"/>
  <c r="N21" i="3" l="1"/>
  <c r="F213" i="1"/>
  <c r="O213" i="1"/>
  <c r="O187" i="1"/>
  <c r="M183" i="1"/>
  <c r="O183" i="1" s="1"/>
  <c r="H184" i="1"/>
  <c r="M184" i="1" l="1"/>
  <c r="O184" i="1" s="1"/>
  <c r="H182" i="1"/>
  <c r="M182" i="1" s="1"/>
  <c r="H178" i="1"/>
  <c r="H179" i="1"/>
  <c r="H180" i="1"/>
  <c r="H181" i="1"/>
  <c r="J178" i="1" l="1"/>
  <c r="M178" i="1" s="1"/>
  <c r="M181" i="1"/>
  <c r="O181" i="1" s="1"/>
  <c r="J180" i="1"/>
  <c r="M180" i="1" s="1"/>
  <c r="J179" i="1"/>
  <c r="M179" i="1" s="1"/>
  <c r="N182" i="1"/>
  <c r="O182" i="1"/>
  <c r="I182" i="1"/>
  <c r="H177" i="1" l="1"/>
  <c r="M177" i="1" s="1"/>
  <c r="H176" i="1"/>
  <c r="M176" i="1" l="1"/>
  <c r="O176" i="1" s="1"/>
  <c r="I177" i="1"/>
  <c r="N177" i="1"/>
  <c r="O177" i="1"/>
  <c r="H175" i="1"/>
  <c r="M175" i="1" l="1"/>
  <c r="O175" i="1" s="1"/>
  <c r="H174" i="1"/>
  <c r="M174" i="1" l="1"/>
  <c r="O174" i="1" s="1"/>
  <c r="H173" i="1"/>
  <c r="M173" i="1" l="1"/>
  <c r="O173" i="1" s="1"/>
  <c r="H164" i="1"/>
  <c r="M164" i="1" s="1"/>
  <c r="O164" i="1" l="1"/>
  <c r="H172" i="1"/>
  <c r="M172" i="1" l="1"/>
  <c r="O172" i="1" s="1"/>
  <c r="H171" i="1"/>
  <c r="M171" i="1" l="1"/>
  <c r="O171" i="1" s="1"/>
  <c r="H170" i="1"/>
  <c r="H169" i="1"/>
  <c r="M169" i="1" s="1"/>
  <c r="M170" i="1" l="1"/>
  <c r="O170" i="1" s="1"/>
  <c r="I169" i="1"/>
  <c r="O169" i="1"/>
  <c r="N169" i="1"/>
  <c r="H168" i="1"/>
  <c r="I168" i="1" l="1"/>
  <c r="M168" i="1"/>
  <c r="N168" i="1" s="1"/>
  <c r="H167" i="1"/>
  <c r="M167" i="1" s="1"/>
  <c r="H165" i="1"/>
  <c r="H166" i="1"/>
  <c r="O168" i="1" l="1"/>
  <c r="M166" i="1"/>
  <c r="O166" i="1" s="1"/>
  <c r="M165" i="1"/>
  <c r="O165" i="1" s="1"/>
  <c r="I167" i="1"/>
  <c r="O180" i="1"/>
  <c r="O179" i="1"/>
  <c r="O178" i="1"/>
  <c r="N167" i="1" l="1"/>
  <c r="O167" i="1"/>
  <c r="H163" i="1" l="1"/>
  <c r="M163" i="1" l="1"/>
  <c r="O163" i="1" s="1"/>
  <c r="H156" i="1"/>
  <c r="M156" i="1" l="1"/>
  <c r="O156" i="1" s="1"/>
  <c r="H162" i="1"/>
  <c r="I162" i="1" l="1"/>
  <c r="M162" i="1"/>
  <c r="O162" i="1" s="1"/>
  <c r="H161" i="1"/>
  <c r="M161" i="1" l="1"/>
  <c r="O161" i="1" s="1"/>
  <c r="N162" i="1"/>
  <c r="H160" i="1"/>
  <c r="M160" i="1" l="1"/>
  <c r="O160" i="1" s="1"/>
  <c r="I160" i="1"/>
  <c r="H158" i="1"/>
  <c r="H159" i="1"/>
  <c r="N160" i="1" l="1"/>
  <c r="I159" i="1"/>
  <c r="M159" i="1"/>
  <c r="N159" i="1" s="1"/>
  <c r="I158" i="1"/>
  <c r="M158" i="1"/>
  <c r="N158" i="1" s="1"/>
  <c r="H157" i="1"/>
  <c r="M157" i="1" s="1"/>
  <c r="O159" i="1" l="1"/>
  <c r="N157" i="1"/>
  <c r="O157" i="1"/>
  <c r="O158" i="1"/>
  <c r="I157" i="1"/>
  <c r="H155" i="1"/>
  <c r="I155" i="1" l="1"/>
  <c r="M155" i="1"/>
  <c r="O155" i="1" s="1"/>
  <c r="H151" i="1"/>
  <c r="H152" i="1"/>
  <c r="H153" i="1"/>
  <c r="H154" i="1"/>
  <c r="J151" i="1" l="1"/>
  <c r="J154" i="1"/>
  <c r="M154" i="1" s="1"/>
  <c r="J153" i="1"/>
  <c r="M153" i="1" s="1"/>
  <c r="J152" i="1"/>
  <c r="M152" i="1" s="1"/>
  <c r="N155" i="1"/>
  <c r="J185" i="1" l="1"/>
  <c r="M151" i="1"/>
  <c r="H150" i="1"/>
  <c r="H149" i="1"/>
  <c r="M149" i="1" l="1"/>
  <c r="O149" i="1" s="1"/>
  <c r="M150" i="1"/>
  <c r="O150" i="1" s="1"/>
  <c r="H148" i="1"/>
  <c r="H147" i="1"/>
  <c r="H146" i="1"/>
  <c r="M148" i="1" l="1"/>
  <c r="O148" i="1" s="1"/>
  <c r="M146" i="1"/>
  <c r="O146" i="1" s="1"/>
  <c r="M147" i="1"/>
  <c r="O147" i="1" s="1"/>
  <c r="H145" i="1"/>
  <c r="H144" i="1"/>
  <c r="M144" i="1" s="1"/>
  <c r="H143" i="1"/>
  <c r="M143" i="1" s="1"/>
  <c r="H142" i="1"/>
  <c r="H185" i="1" l="1"/>
  <c r="B20" i="3" s="1"/>
  <c r="M145" i="1"/>
  <c r="O145" i="1" s="1"/>
  <c r="M142" i="1"/>
  <c r="I143" i="1"/>
  <c r="I144" i="1"/>
  <c r="I142" i="1"/>
  <c r="H139" i="1"/>
  <c r="M185" i="1" l="1"/>
  <c r="O185" i="1" s="1"/>
  <c r="I185" i="1"/>
  <c r="M139" i="1"/>
  <c r="O139" i="1" s="1"/>
  <c r="O142" i="1"/>
  <c r="N142" i="1"/>
  <c r="O143" i="1"/>
  <c r="N143" i="1"/>
  <c r="N144" i="1"/>
  <c r="O144" i="1"/>
  <c r="O154" i="1"/>
  <c r="O153" i="1"/>
  <c r="O152" i="1"/>
  <c r="H138" i="1"/>
  <c r="G185" i="1" l="1"/>
  <c r="C20" i="3"/>
  <c r="F20" i="3" s="1"/>
  <c r="K20" i="3" s="1"/>
  <c r="N185" i="1"/>
  <c r="F185" i="1" s="1"/>
  <c r="I138" i="1"/>
  <c r="M138" i="1"/>
  <c r="O138" i="1" s="1"/>
  <c r="H137" i="1"/>
  <c r="N20" i="3" l="1"/>
  <c r="M137" i="1"/>
  <c r="O137" i="1" s="1"/>
  <c r="O151" i="1"/>
  <c r="N138" i="1"/>
  <c r="H136" i="1"/>
  <c r="M136" i="1" l="1"/>
  <c r="N136" i="1" s="1"/>
  <c r="I136" i="1"/>
  <c r="O136" i="1" l="1"/>
  <c r="H135" i="1"/>
  <c r="I135" i="1" l="1"/>
  <c r="M135" i="1"/>
  <c r="O135" i="1" s="1"/>
  <c r="N135" i="1" l="1"/>
  <c r="H134" i="1"/>
  <c r="H133" i="1"/>
  <c r="M133" i="1" l="1"/>
  <c r="O133" i="1" s="1"/>
  <c r="M134" i="1"/>
  <c r="O134" i="1" s="1"/>
  <c r="H132" i="1"/>
  <c r="M132" i="1" l="1"/>
  <c r="O132" i="1" s="1"/>
  <c r="H131" i="1"/>
  <c r="M131" i="1" s="1"/>
  <c r="H129" i="1" l="1"/>
  <c r="H130" i="1"/>
  <c r="M130" i="1" s="1"/>
  <c r="I129" i="1" l="1"/>
  <c r="M129" i="1"/>
  <c r="O129" i="1" s="1"/>
  <c r="H127" i="1"/>
  <c r="H128" i="1"/>
  <c r="M127" i="1" l="1"/>
  <c r="O127" i="1" s="1"/>
  <c r="M128" i="1"/>
  <c r="O128" i="1" s="1"/>
  <c r="N129" i="1"/>
  <c r="H126" i="1"/>
  <c r="M126" i="1" l="1"/>
  <c r="O126" i="1" s="1"/>
  <c r="H125" i="1"/>
  <c r="M125" i="1" s="1"/>
  <c r="I125" i="1" l="1"/>
  <c r="I140" i="1" s="1"/>
  <c r="C19" i="3" s="1"/>
  <c r="N125" i="1"/>
  <c r="N140" i="1" s="1"/>
  <c r="O125" i="1" l="1"/>
  <c r="H121" i="1"/>
  <c r="H124" i="1"/>
  <c r="H120" i="1"/>
  <c r="M120" i="1" s="1"/>
  <c r="H119" i="1"/>
  <c r="H118" i="1"/>
  <c r="H117" i="1"/>
  <c r="H105" i="1"/>
  <c r="M124" i="1" l="1"/>
  <c r="M140" i="1" s="1"/>
  <c r="H140" i="1"/>
  <c r="I117" i="1"/>
  <c r="M117" i="1"/>
  <c r="M105" i="1"/>
  <c r="O105" i="1" s="1"/>
  <c r="M118" i="1"/>
  <c r="O118" i="1" s="1"/>
  <c r="M121" i="1"/>
  <c r="O121" i="1" s="1"/>
  <c r="I119" i="1"/>
  <c r="M119" i="1"/>
  <c r="O120" i="1"/>
  <c r="G140" i="1" l="1"/>
  <c r="B19" i="3"/>
  <c r="F19" i="3" s="1"/>
  <c r="K19" i="3" s="1"/>
  <c r="F140" i="1"/>
  <c r="O140" i="1"/>
  <c r="O124" i="1"/>
  <c r="O117" i="1"/>
  <c r="N117" i="1"/>
  <c r="O119" i="1"/>
  <c r="N119" i="1"/>
  <c r="N19" i="3" l="1"/>
  <c r="H116" i="1"/>
  <c r="M116" i="1" l="1"/>
  <c r="O116" i="1" s="1"/>
  <c r="H115" i="1"/>
  <c r="M115" i="1" l="1"/>
  <c r="O115" i="1" s="1"/>
  <c r="O130" i="1"/>
  <c r="H114" i="1"/>
  <c r="M114" i="1" l="1"/>
  <c r="O114" i="1" s="1"/>
  <c r="I114" i="1"/>
  <c r="H113" i="1"/>
  <c r="M113" i="1" s="1"/>
  <c r="N114" i="1" l="1"/>
  <c r="I113" i="1"/>
  <c r="H112" i="1"/>
  <c r="M112" i="1" s="1"/>
  <c r="O112" i="1" l="1"/>
  <c r="O113" i="1"/>
  <c r="N113" i="1"/>
  <c r="L111" i="1"/>
  <c r="L122" i="1" s="1"/>
  <c r="H111" i="1"/>
  <c r="M111" i="1" l="1"/>
  <c r="O111" i="1" s="1"/>
  <c r="H110" i="1"/>
  <c r="I110" i="1" l="1"/>
  <c r="M110" i="1"/>
  <c r="O110" i="1" s="1"/>
  <c r="H109" i="1"/>
  <c r="M109" i="1" l="1"/>
  <c r="O109" i="1" s="1"/>
  <c r="N110" i="1"/>
  <c r="H108" i="1"/>
  <c r="I108" i="1" l="1"/>
  <c r="M108" i="1"/>
  <c r="N108" i="1" s="1"/>
  <c r="H104" i="1"/>
  <c r="O108" i="1" l="1"/>
  <c r="M104" i="1"/>
  <c r="O104" i="1" s="1"/>
  <c r="H107" i="1"/>
  <c r="I107" i="1" l="1"/>
  <c r="M107" i="1"/>
  <c r="N107" i="1" s="1"/>
  <c r="O107" i="1" l="1"/>
  <c r="H106" i="1"/>
  <c r="M106" i="1" l="1"/>
  <c r="O106" i="1" s="1"/>
  <c r="H102" i="1"/>
  <c r="H103" i="1"/>
  <c r="M103" i="1" s="1"/>
  <c r="M102" i="1" l="1"/>
  <c r="O102" i="1" s="1"/>
  <c r="I103" i="1"/>
  <c r="H97" i="1"/>
  <c r="M97" i="1" l="1"/>
  <c r="O97" i="1" s="1"/>
  <c r="N103" i="1"/>
  <c r="O103" i="1"/>
  <c r="H101" i="1"/>
  <c r="M101" i="1" l="1"/>
  <c r="O101" i="1" s="1"/>
  <c r="H100" i="1"/>
  <c r="I100" i="1" l="1"/>
  <c r="M100" i="1"/>
  <c r="O100" i="1" s="1"/>
  <c r="N100" i="1" l="1"/>
  <c r="H91" i="1"/>
  <c r="H99" i="1"/>
  <c r="M99" i="1" s="1"/>
  <c r="M91" i="1" l="1"/>
  <c r="O91" i="1" s="1"/>
  <c r="I99" i="1"/>
  <c r="I91" i="1"/>
  <c r="H93" i="1"/>
  <c r="N91" i="1" l="1"/>
  <c r="M93" i="1"/>
  <c r="O93" i="1" s="1"/>
  <c r="O99" i="1"/>
  <c r="N99" i="1"/>
  <c r="H98" i="1"/>
  <c r="M98" i="1" l="1"/>
  <c r="O98" i="1" s="1"/>
  <c r="H96" i="1"/>
  <c r="M96" i="1" s="1"/>
  <c r="I96" i="1" l="1"/>
  <c r="H92" i="1"/>
  <c r="M92" i="1" l="1"/>
  <c r="O96" i="1"/>
  <c r="N96" i="1"/>
  <c r="H95" i="1"/>
  <c r="M95" i="1" l="1"/>
  <c r="O95" i="1" s="1"/>
  <c r="O92" i="1"/>
  <c r="H94" i="1"/>
  <c r="M94" i="1" l="1"/>
  <c r="M122" i="1" s="1"/>
  <c r="H122" i="1"/>
  <c r="B18" i="3" s="1"/>
  <c r="I94" i="1"/>
  <c r="I122" i="1" s="1"/>
  <c r="C18" i="3" s="1"/>
  <c r="H72" i="1"/>
  <c r="H88" i="1"/>
  <c r="F18" i="3" l="1"/>
  <c r="K18" i="3" s="1"/>
  <c r="N94" i="1"/>
  <c r="N122" i="1" s="1"/>
  <c r="F122" i="1" s="1"/>
  <c r="G122" i="1"/>
  <c r="O122" i="1"/>
  <c r="M88" i="1"/>
  <c r="O88" i="1" s="1"/>
  <c r="O94" i="1"/>
  <c r="H87" i="1"/>
  <c r="M87" i="1" s="1"/>
  <c r="N18" i="3" l="1"/>
  <c r="O87" i="1"/>
  <c r="H86" i="1"/>
  <c r="I86" i="1" l="1"/>
  <c r="M86" i="1"/>
  <c r="N86" i="1" s="1"/>
  <c r="H85" i="1"/>
  <c r="M85" i="1" s="1"/>
  <c r="H84" i="1"/>
  <c r="I84" i="1" l="1"/>
  <c r="M84" i="1"/>
  <c r="O84" i="1" s="1"/>
  <c r="I85" i="1"/>
  <c r="O86" i="1"/>
  <c r="N85" i="1"/>
  <c r="O85" i="1"/>
  <c r="H66" i="1"/>
  <c r="H81" i="1"/>
  <c r="M66" i="1" l="1"/>
  <c r="O66" i="1" s="1"/>
  <c r="M81" i="1"/>
  <c r="O81" i="1" s="1"/>
  <c r="N84" i="1"/>
  <c r="H83" i="1"/>
  <c r="I83" i="1" l="1"/>
  <c r="M83" i="1"/>
  <c r="O83" i="1" s="1"/>
  <c r="O131" i="1"/>
  <c r="N83" i="1" l="1"/>
  <c r="H82" i="1"/>
  <c r="M82" i="1" l="1"/>
  <c r="O82" i="1" s="1"/>
  <c r="H80" i="1"/>
  <c r="H78" i="1"/>
  <c r="H76" i="1"/>
  <c r="M78" i="1" l="1"/>
  <c r="O78" i="1" s="1"/>
  <c r="M80" i="1"/>
  <c r="O80" i="1" s="1"/>
  <c r="M76" i="1"/>
  <c r="O76" i="1" s="1"/>
  <c r="H79" i="1"/>
  <c r="I79" i="1" l="1"/>
  <c r="M79" i="1"/>
  <c r="O79" i="1" s="1"/>
  <c r="N79" i="1" l="1"/>
  <c r="H77" i="1"/>
  <c r="M77" i="1" l="1"/>
  <c r="O77" i="1" s="1"/>
  <c r="L72" i="1"/>
  <c r="L89" i="1" s="1"/>
  <c r="M72" i="1" l="1"/>
  <c r="O72" i="1" s="1"/>
  <c r="H75" i="1"/>
  <c r="M75" i="1" s="1"/>
  <c r="H74" i="1"/>
  <c r="M74" i="1" l="1"/>
  <c r="O74" i="1" s="1"/>
  <c r="H65" i="1"/>
  <c r="M65" i="1" l="1"/>
  <c r="O75" i="1"/>
  <c r="H68" i="1" l="1"/>
  <c r="M68" i="1" l="1"/>
  <c r="O68" i="1" s="1"/>
  <c r="O65" i="1"/>
  <c r="H70" i="1"/>
  <c r="M70" i="1" s="1"/>
  <c r="I70" i="1" l="1"/>
  <c r="H73" i="1"/>
  <c r="M73" i="1" s="1"/>
  <c r="H71" i="1"/>
  <c r="M71" i="1" s="1"/>
  <c r="H67" i="1"/>
  <c r="M67" i="1" l="1"/>
  <c r="O71" i="1"/>
  <c r="N71" i="1"/>
  <c r="O70" i="1"/>
  <c r="N70" i="1"/>
  <c r="I71" i="1"/>
  <c r="I73" i="1"/>
  <c r="H69" i="1"/>
  <c r="H89" i="1" s="1"/>
  <c r="B17" i="3" s="1"/>
  <c r="M69" i="1" l="1"/>
  <c r="M89" i="1" s="1"/>
  <c r="O73" i="1"/>
  <c r="N73" i="1"/>
  <c r="O67" i="1"/>
  <c r="I69" i="1"/>
  <c r="I89" i="1" s="1"/>
  <c r="H61" i="1"/>
  <c r="M61" i="1" s="1"/>
  <c r="G89" i="1" l="1"/>
  <c r="C17" i="3"/>
  <c r="F17" i="3" s="1"/>
  <c r="K17" i="3" s="1"/>
  <c r="O89" i="1"/>
  <c r="O69" i="1"/>
  <c r="N69" i="1"/>
  <c r="N89" i="1" s="1"/>
  <c r="F89" i="1" s="1"/>
  <c r="I61" i="1"/>
  <c r="N17" i="3" l="1"/>
  <c r="N61" i="1"/>
  <c r="O61" i="1"/>
  <c r="H62" i="1"/>
  <c r="M62" i="1" s="1"/>
  <c r="H59" i="1"/>
  <c r="M59" i="1" l="1"/>
  <c r="O59" i="1" s="1"/>
  <c r="O62" i="1"/>
  <c r="N62" i="1"/>
  <c r="I62" i="1"/>
  <c r="L56" i="1"/>
  <c r="H60" i="1" l="1"/>
  <c r="M60" i="1" l="1"/>
  <c r="O60" i="1" s="1"/>
  <c r="H58" i="1"/>
  <c r="M58" i="1" s="1"/>
  <c r="O58" i="1" l="1"/>
  <c r="I58" i="1"/>
  <c r="H57" i="1"/>
  <c r="M57" i="1" s="1"/>
  <c r="N58" i="1" l="1"/>
  <c r="O57" i="1"/>
  <c r="H31" i="1"/>
  <c r="M31" i="1" s="1"/>
  <c r="H32" i="1"/>
  <c r="M32" i="1" s="1"/>
  <c r="H33" i="1"/>
  <c r="M33" i="1" s="1"/>
  <c r="H46" i="1" l="1"/>
  <c r="M46" i="1" l="1"/>
  <c r="O46" i="1" s="1"/>
  <c r="H56" i="1"/>
  <c r="M56" i="1" l="1"/>
  <c r="O56" i="1" s="1"/>
  <c r="H55" i="1"/>
  <c r="M55" i="1" s="1"/>
  <c r="O55" i="1" l="1"/>
  <c r="I55" i="1"/>
  <c r="H48" i="1"/>
  <c r="M48" i="1" l="1"/>
  <c r="O48" i="1" s="1"/>
  <c r="N55" i="1"/>
  <c r="H50" i="1"/>
  <c r="M50" i="1" l="1"/>
  <c r="O50" i="1" s="1"/>
  <c r="H54" i="1"/>
  <c r="M54" i="1" l="1"/>
  <c r="O54" i="1" s="1"/>
  <c r="L43" i="1"/>
  <c r="L63" i="1" s="1"/>
  <c r="H30" i="1" l="1"/>
  <c r="M30" i="1" s="1"/>
  <c r="H53" i="1"/>
  <c r="M53" i="1" l="1"/>
  <c r="O53" i="1" s="1"/>
  <c r="H52" i="1"/>
  <c r="M52" i="1" l="1"/>
  <c r="O52" i="1" s="1"/>
  <c r="H51" i="1"/>
  <c r="M51" i="1" l="1"/>
  <c r="O51" i="1" s="1"/>
  <c r="H49" i="1"/>
  <c r="M49" i="1" s="1"/>
  <c r="I49" i="1" l="1"/>
  <c r="H29" i="1"/>
  <c r="M29" i="1" l="1"/>
  <c r="O29" i="1" s="1"/>
  <c r="O49" i="1"/>
  <c r="N49" i="1"/>
  <c r="H47" i="1"/>
  <c r="M47" i="1" l="1"/>
  <c r="O47" i="1" s="1"/>
  <c r="H44" i="1"/>
  <c r="M44" i="1" s="1"/>
  <c r="H45" i="1"/>
  <c r="M45" i="1" s="1"/>
  <c r="O45" i="1" l="1"/>
  <c r="N45" i="1"/>
  <c r="O44" i="1"/>
  <c r="N44" i="1"/>
  <c r="I44" i="1"/>
  <c r="I45" i="1"/>
  <c r="H43" i="1" l="1"/>
  <c r="M43" i="1" l="1"/>
  <c r="O43" i="1" s="1"/>
  <c r="H42" i="1"/>
  <c r="M42" i="1" s="1"/>
  <c r="H41" i="1"/>
  <c r="M41" i="1" s="1"/>
  <c r="I41" i="1" l="1"/>
  <c r="O41" i="1"/>
  <c r="N41" i="1"/>
  <c r="O42" i="1"/>
  <c r="H39" i="1" l="1"/>
  <c r="H40" i="1"/>
  <c r="M40" i="1" s="1"/>
  <c r="M39" i="1" l="1"/>
  <c r="O39" i="1" s="1"/>
  <c r="N40" i="1"/>
  <c r="O40" i="1"/>
  <c r="I40" i="1"/>
  <c r="H38" i="1"/>
  <c r="M38" i="1" s="1"/>
  <c r="H37" i="1"/>
  <c r="M37" i="1" l="1"/>
  <c r="O37" i="1" s="1"/>
  <c r="I38" i="1"/>
  <c r="N38" i="1"/>
  <c r="O38" i="1"/>
  <c r="H36" i="1"/>
  <c r="M36" i="1" l="1"/>
  <c r="O36" i="1" s="1"/>
  <c r="H35" i="1"/>
  <c r="M35" i="1" s="1"/>
  <c r="H34" i="1"/>
  <c r="M34" i="1" l="1"/>
  <c r="M63" i="1" s="1"/>
  <c r="H63" i="1"/>
  <c r="B16" i="3" s="1"/>
  <c r="O35" i="1"/>
  <c r="N35" i="1"/>
  <c r="I34" i="1"/>
  <c r="I35" i="1"/>
  <c r="H26" i="1"/>
  <c r="M26" i="1" s="1"/>
  <c r="H25" i="1"/>
  <c r="M25" i="1" s="1"/>
  <c r="I63" i="1" l="1"/>
  <c r="O63" i="1"/>
  <c r="O34" i="1"/>
  <c r="N34" i="1"/>
  <c r="N63" i="1" s="1"/>
  <c r="F63" i="1" s="1"/>
  <c r="H23" i="1"/>
  <c r="G63" i="1" l="1"/>
  <c r="C16" i="3"/>
  <c r="F16" i="3" s="1"/>
  <c r="K16" i="3" s="1"/>
  <c r="M23" i="1"/>
  <c r="O23" i="1" s="1"/>
  <c r="O30" i="1"/>
  <c r="H24" i="1"/>
  <c r="N16" i="3" l="1"/>
  <c r="M24" i="1"/>
  <c r="O24" i="1" s="1"/>
  <c r="H22" i="1"/>
  <c r="M22" i="1" l="1"/>
  <c r="O22" i="1" s="1"/>
  <c r="O33" i="1"/>
  <c r="O26" i="1"/>
  <c r="L5" i="1"/>
  <c r="L27" i="1" s="1"/>
  <c r="O31" i="1" l="1"/>
  <c r="O25" i="1"/>
  <c r="H21" i="1" l="1"/>
  <c r="M21" i="1" l="1"/>
  <c r="O21" i="1" s="1"/>
  <c r="O32" i="1"/>
  <c r="H3" i="1"/>
  <c r="H2" i="1"/>
  <c r="M2" i="1" l="1"/>
  <c r="M3" i="1"/>
  <c r="O3" i="1" s="1"/>
  <c r="H20" i="1"/>
  <c r="H19" i="1"/>
  <c r="O2" i="1" l="1"/>
  <c r="M19" i="1"/>
  <c r="O19" i="1" s="1"/>
  <c r="M20" i="1"/>
  <c r="O20" i="1" s="1"/>
  <c r="H18" i="1"/>
  <c r="M18" i="1" s="1"/>
  <c r="I18" i="1" l="1"/>
  <c r="H6" i="1"/>
  <c r="M6" i="1" l="1"/>
  <c r="O6" i="1" s="1"/>
  <c r="N18" i="1"/>
  <c r="O18" i="1"/>
  <c r="H17" i="1"/>
  <c r="M17" i="1" l="1"/>
  <c r="O17" i="1" s="1"/>
  <c r="H16" i="1"/>
  <c r="M16" i="1" s="1"/>
  <c r="I16" i="1" l="1"/>
  <c r="H14" i="1"/>
  <c r="H15" i="1"/>
  <c r="M15" i="1" l="1"/>
  <c r="O15" i="1" s="1"/>
  <c r="M14" i="1"/>
  <c r="O14" i="1" s="1"/>
  <c r="O16" i="1"/>
  <c r="N16" i="1"/>
  <c r="H7" i="1"/>
  <c r="M7" i="1" l="1"/>
  <c r="O7" i="1" s="1"/>
  <c r="H13" i="1"/>
  <c r="M13" i="1" s="1"/>
  <c r="I13" i="1" l="1"/>
  <c r="H12" i="1"/>
  <c r="H11" i="1"/>
  <c r="M11" i="1" l="1"/>
  <c r="O11" i="1" s="1"/>
  <c r="M12" i="1"/>
  <c r="O12" i="1" s="1"/>
  <c r="N13" i="1"/>
  <c r="O13" i="1"/>
  <c r="H10" i="1"/>
  <c r="M10" i="1" l="1"/>
  <c r="O10" i="1" s="1"/>
  <c r="H9" i="1"/>
  <c r="M9" i="1" s="1"/>
  <c r="I9" i="1" l="1"/>
  <c r="I27" i="1" s="1"/>
  <c r="C15" i="3" s="1"/>
  <c r="C97" i="3" s="1"/>
  <c r="H8" i="1"/>
  <c r="M8" i="1" l="1"/>
  <c r="O8" i="1" s="1"/>
  <c r="N9" i="1"/>
  <c r="N27" i="1" s="1"/>
  <c r="O9" i="1"/>
  <c r="H5" i="1"/>
  <c r="M5" i="1" l="1"/>
  <c r="O5" i="1" s="1"/>
  <c r="H4" i="1"/>
  <c r="M4" i="1" l="1"/>
  <c r="M27" i="1" s="1"/>
  <c r="H27" i="1"/>
  <c r="G27" i="1" l="1"/>
  <c r="B15" i="3"/>
  <c r="O27" i="1"/>
  <c r="F27" i="1"/>
  <c r="O4" i="1"/>
  <c r="F15" i="3" l="1"/>
  <c r="K15" i="3" s="1"/>
  <c r="K97" i="3" s="1"/>
  <c r="B97" i="3"/>
  <c r="N15" i="3" l="1"/>
  <c r="N97" i="3" s="1"/>
  <c r="F9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K536" authorId="0" shapeId="0" xr:uid="{A6A3E634-86F4-44E4-92AC-A5C6E66EA7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Заволжского</t>
        </r>
      </text>
    </comment>
    <comment ref="K592" authorId="0" shapeId="0" xr:uid="{92455963-0A6A-4989-9C95-AC0BA2BB27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Коралла и Заволжского</t>
        </r>
      </text>
    </comment>
    <comment ref="K620" authorId="0" shapeId="0" xr:uid="{A7CAF836-9F78-4805-9E30-4D4E19C8E9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Конаково</t>
        </r>
      </text>
    </comment>
    <comment ref="K666" authorId="0" shapeId="0" xr:uid="{20CF0586-7C07-417F-A40E-3C8FDD86C0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Племзавод 193</t>
        </r>
      </text>
    </comment>
    <comment ref="K834" authorId="0" shapeId="0" xr:uid="{56930131-55B9-48E6-8CEC-0E91086D49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Заволжского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K279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Заволжского</t>
        </r>
      </text>
    </comment>
    <comment ref="K334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Коралла и Заволжского</t>
        </r>
      </text>
    </comment>
    <comment ref="K362" authorId="0" shapeId="0" xr:uid="{00000000-0006-0000-0000-0000030000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Конаково</t>
        </r>
      </text>
    </comment>
    <comment ref="K408" authorId="0" shapeId="0" xr:uid="{00000000-0006-0000-0000-0000040000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Племзавод 193</t>
        </r>
      </text>
    </comment>
    <comment ref="K576" authorId="0" shapeId="0" xr:uid="{88E56DDC-B5E4-4367-BABC-2502B98CED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Заволжского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L293" authorId="0" shapeId="0" xr:uid="{3F560DE4-3EA1-4610-AC35-20F615EF55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Заволжского</t>
        </r>
      </text>
    </comment>
    <comment ref="L344" authorId="0" shapeId="0" xr:uid="{E90B0A6B-0109-401D-875E-E9C8EB0F28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Коралла и Заволжского</t>
        </r>
      </text>
    </comment>
    <comment ref="L370" authorId="0" shapeId="0" xr:uid="{88E56058-BAC2-400A-8AAB-03E9B662D9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Конаково</t>
        </r>
      </text>
    </comment>
    <comment ref="L414" authorId="0" shapeId="0" xr:uid="{A0C45EFB-1DAB-4B67-9089-7B41AE02E6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Племзавод 193</t>
        </r>
      </text>
    </comment>
    <comment ref="L572" authorId="0" shapeId="0" xr:uid="{540E0F6F-1096-470E-B756-5FC0824BB0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Заволжского</t>
        </r>
      </text>
    </comment>
  </commentList>
</comments>
</file>

<file path=xl/sharedStrings.xml><?xml version="1.0" encoding="utf-8"?>
<sst xmlns="http://schemas.openxmlformats.org/spreadsheetml/2006/main" count="13215" uniqueCount="660">
  <si>
    <t>Дата</t>
  </si>
  <si>
    <t>Номер</t>
  </si>
  <si>
    <t>Сумма</t>
  </si>
  <si>
    <t>Оплата</t>
  </si>
  <si>
    <t>Отгрузка</t>
  </si>
  <si>
    <t>Интерьерсервис</t>
  </si>
  <si>
    <t>Оптима Контракт</t>
  </si>
  <si>
    <t>Максимус</t>
  </si>
  <si>
    <t>ФГУ ДЭП №73</t>
  </si>
  <si>
    <t>Тверьуниверсалбанк ОАО</t>
  </si>
  <si>
    <t>ИСТОК ТЕХНОЛОГИЯ</t>
  </si>
  <si>
    <t>Ритм (Тверь)</t>
  </si>
  <si>
    <t>ПАТП-1 (Тверь)</t>
  </si>
  <si>
    <t>Мелькомбинат</t>
  </si>
  <si>
    <t>ПЭК</t>
  </si>
  <si>
    <t>ЭСК</t>
  </si>
  <si>
    <t>Тверской лакокрасочный завод</t>
  </si>
  <si>
    <t>ИНТЕГРО</t>
  </si>
  <si>
    <t>Волжский пекарь</t>
  </si>
  <si>
    <t>Торнадо (Тверь)</t>
  </si>
  <si>
    <t>Бологовская СББЖ</t>
  </si>
  <si>
    <t>ПрофЦентр</t>
  </si>
  <si>
    <t>Октябрьский (Тверь)</t>
  </si>
  <si>
    <t>Газпром межрегионгаз Тверь</t>
  </si>
  <si>
    <t>РСК Вектор</t>
  </si>
  <si>
    <t>Важная персона Авто</t>
  </si>
  <si>
    <t>Клиент</t>
  </si>
  <si>
    <t>Заказ</t>
  </si>
  <si>
    <t>+</t>
  </si>
  <si>
    <t>Строй-С</t>
  </si>
  <si>
    <t>КАНЦЕЛЯРОВ</t>
  </si>
  <si>
    <t>Сибур-ПЭТФ</t>
  </si>
  <si>
    <t>Богданова Людмила Станиславовна</t>
  </si>
  <si>
    <t>Завидово Гольф</t>
  </si>
  <si>
    <t>ПрофиСервис</t>
  </si>
  <si>
    <t>Маловасилевский</t>
  </si>
  <si>
    <t>Бежецкая Буренка</t>
  </si>
  <si>
    <t>Спецснаб</t>
  </si>
  <si>
    <t>Коралл (Бежецк)</t>
  </si>
  <si>
    <t>ЦКБ ТМ</t>
  </si>
  <si>
    <t>Измайловский МПЗ</t>
  </si>
  <si>
    <t>Стройресурс</t>
  </si>
  <si>
    <t>СЕЗОН ОХОТЫ</t>
  </si>
  <si>
    <t>Султанов Иван Васильевич</t>
  </si>
  <si>
    <t>Акватория лета Завидово</t>
  </si>
  <si>
    <t>Завидово Плаза</t>
  </si>
  <si>
    <t>ТАСК</t>
  </si>
  <si>
    <t>НИИ ЦПС</t>
  </si>
  <si>
    <t>Промпоставка</t>
  </si>
  <si>
    <t>Вышневолоцкий леспромхоз</t>
  </si>
  <si>
    <t>Тверьэнергокабель</t>
  </si>
  <si>
    <t>Ампасет</t>
  </si>
  <si>
    <t>ЛоджекС АВТО</t>
  </si>
  <si>
    <t>ЭНЕРГОСТРОЙ</t>
  </si>
  <si>
    <t>Стром</t>
  </si>
  <si>
    <t>ВАЛЬТЕР Констракшн</t>
  </si>
  <si>
    <t>ЗМК</t>
  </si>
  <si>
    <t>Энергия</t>
  </si>
  <si>
    <t>Ратмир</t>
  </si>
  <si>
    <t>Сантехэлектромонтаж</t>
  </si>
  <si>
    <t>Альстром Тверь</t>
  </si>
  <si>
    <t>Зоомакс</t>
  </si>
  <si>
    <t>Монолит, СК</t>
  </si>
  <si>
    <t>Тверькомторг</t>
  </si>
  <si>
    <t>ЭКСМАШ (г.Тверь)</t>
  </si>
  <si>
    <t>ТВЗ</t>
  </si>
  <si>
    <t>Тверской экскаватор</t>
  </si>
  <si>
    <t>Завидово, госкомплекс</t>
  </si>
  <si>
    <t>ТКСМ-2</t>
  </si>
  <si>
    <t>Хлеб (Тверь)</t>
  </si>
  <si>
    <t>Интерфорест, ТПК</t>
  </si>
  <si>
    <t>Селигер, гостиничный комплекс</t>
  </si>
  <si>
    <t>НикитиН (Тверь)</t>
  </si>
  <si>
    <t>Строительные технологии (Тверь)</t>
  </si>
  <si>
    <t>БИВ (Тверь)</t>
  </si>
  <si>
    <t>ЭНЕРГИЯ (Тверь)</t>
  </si>
  <si>
    <t>Профреставрация (Тверь)</t>
  </si>
  <si>
    <t>Парето-Принт, ИПК</t>
  </si>
  <si>
    <t>ТССМУ-7</t>
  </si>
  <si>
    <t>КОМПЛЕКТСНАБ</t>
  </si>
  <si>
    <t>Румянцево-Фитнес</t>
  </si>
  <si>
    <t>Тверь  Агропром</t>
  </si>
  <si>
    <t>Профессиональный хоккейный клуб</t>
  </si>
  <si>
    <t>СПЕЦПРИЦЕП (Тверь)</t>
  </si>
  <si>
    <t>Тверьстройтехкомплект</t>
  </si>
  <si>
    <t>Старицкий электромеханический завод</t>
  </si>
  <si>
    <t>ТЖБИ-4</t>
  </si>
  <si>
    <t>Окна Профиль (Тверь)</t>
  </si>
  <si>
    <t>ПМ (Тверь)</t>
  </si>
  <si>
    <t>Тверской ДСК</t>
  </si>
  <si>
    <t>Кронд-М</t>
  </si>
  <si>
    <t>Тверьгазстрой</t>
  </si>
  <si>
    <t>ИнженероэлектроСтрой (Тверь)</t>
  </si>
  <si>
    <t>ДАС-групп Профешнл</t>
  </si>
  <si>
    <t>ТЮЗ (Тверь)</t>
  </si>
  <si>
    <t>ПАТП-1</t>
  </si>
  <si>
    <t>Завод «Звезда»</t>
  </si>
  <si>
    <t>Гулливер</t>
  </si>
  <si>
    <t>Казнин Дмитрий Владимирович</t>
  </si>
  <si>
    <t>Племзавод Заволжское</t>
  </si>
  <si>
    <t>ЗАО "Тверской экскаватор"</t>
  </si>
  <si>
    <t>Отель "Конаково</t>
  </si>
  <si>
    <t>Центросвармаш</t>
  </si>
  <si>
    <t>Камилла</t>
  </si>
  <si>
    <t>Дункан (Тверь)</t>
  </si>
  <si>
    <t>Гематек</t>
  </si>
  <si>
    <t>Профессорская клиника (Тверь)</t>
  </si>
  <si>
    <t>Комбинат ЖБИ-6 (Тверь)</t>
  </si>
  <si>
    <t>Афанасий</t>
  </si>
  <si>
    <t>Прокуратура Тверской области</t>
  </si>
  <si>
    <t>УДАРНИК (Тверь)</t>
  </si>
  <si>
    <t>Снабинструмент (Тверь)</t>
  </si>
  <si>
    <t>Компания Максима (Тверь)</t>
  </si>
  <si>
    <t>Каменская БКФ</t>
  </si>
  <si>
    <t>КСДЮСШОР № 2</t>
  </si>
  <si>
    <t>Тверь-стрейч</t>
  </si>
  <si>
    <t>Аванта (Тверь)</t>
  </si>
  <si>
    <t>Монеткина О.В.</t>
  </si>
  <si>
    <t>ЧистоСфера (Тверь)</t>
  </si>
  <si>
    <t>Агропромтранс (Конаково)</t>
  </si>
  <si>
    <t>Система 5 (Тверь)</t>
  </si>
  <si>
    <t>Кристалл 2000 (Тверь)</t>
  </si>
  <si>
    <t>Оснабрюк</t>
  </si>
  <si>
    <t>Гостиница "Тверская - В</t>
  </si>
  <si>
    <t>Омнитек (Тверь)</t>
  </si>
  <si>
    <t>Ателье Камня (Тверь)</t>
  </si>
  <si>
    <t>ТверьКоммаш</t>
  </si>
  <si>
    <t>Промсервис (Тверь)</t>
  </si>
  <si>
    <t>Вино-Гранде (Завидово)</t>
  </si>
  <si>
    <t>Закупка</t>
  </si>
  <si>
    <t>Маржа</t>
  </si>
  <si>
    <t>Маржа НК</t>
  </si>
  <si>
    <t>Продажа</t>
  </si>
  <si>
    <t>Продажа НК</t>
  </si>
  <si>
    <t>% маржи</t>
  </si>
  <si>
    <t>Тверьритуалсервис</t>
  </si>
  <si>
    <t>Светотехника, ООО</t>
  </si>
  <si>
    <t>ПОЛИГРАН, ОАО</t>
  </si>
  <si>
    <t>Дом плюс (Удомля)</t>
  </si>
  <si>
    <t>Хитачи</t>
  </si>
  <si>
    <t>ЭКОКЛИНИНГ (Тверь)</t>
  </si>
  <si>
    <t>АВТОРОС (Завидово)</t>
  </si>
  <si>
    <t>Дантон- Птицепром (Тверь)</t>
  </si>
  <si>
    <t>АПС Групп (Тверь)</t>
  </si>
  <si>
    <t>Вектор</t>
  </si>
  <si>
    <t>УК ТЖК (Тверь)</t>
  </si>
  <si>
    <t>НИИБК (Ржев)</t>
  </si>
  <si>
    <t>ТИТАН (Тверь)</t>
  </si>
  <si>
    <t>Бенцингер (Тверь)</t>
  </si>
  <si>
    <t>Волга, гостиница (Тверь)</t>
  </si>
  <si>
    <t>Водолей (Тверь)</t>
  </si>
  <si>
    <t>Оптимум (Торжок)</t>
  </si>
  <si>
    <t>Управление противопожарной службы Тверской области</t>
  </si>
  <si>
    <t>КПД «Удомля-1</t>
  </si>
  <si>
    <t>ВЭЛЛМАКС (Тверь)</t>
  </si>
  <si>
    <t>Альфастрой (Тверь)</t>
  </si>
  <si>
    <t>Атлант-С (Тверь)</t>
  </si>
  <si>
    <t>Тверьуниверсалбанк</t>
  </si>
  <si>
    <t>Сити Строй (Тверь)</t>
  </si>
  <si>
    <t>ПРЕМЬЕР-ФРИГО (Тверь)</t>
  </si>
  <si>
    <t>ЛАГУНА+ (Тверь)</t>
  </si>
  <si>
    <t>Полигон (Тверь)</t>
  </si>
  <si>
    <t>Альтаир (Бежецк)</t>
  </si>
  <si>
    <t>Колосницин Константин Викторович</t>
  </si>
  <si>
    <t>ДИАЛ</t>
  </si>
  <si>
    <t>УЮТ (Тверь)</t>
  </si>
  <si>
    <t>МОРОЗОФФ (Тверь)</t>
  </si>
  <si>
    <t>Интерфорест</t>
  </si>
  <si>
    <t>МБМ</t>
  </si>
  <si>
    <t>ДСК (Кесова Гора)</t>
  </si>
  <si>
    <t>Атлант, СК (Тверь)</t>
  </si>
  <si>
    <t>Инвест-Лизинг-Тверь</t>
  </si>
  <si>
    <t>Нилова Елена Владимировна</t>
  </si>
  <si>
    <t>Конаковоагропромэнерго</t>
  </si>
  <si>
    <t>Бологовский арматурный завод</t>
  </si>
  <si>
    <t>Феррум (Тверь)</t>
  </si>
  <si>
    <t>Сибур-ПЭТФ (Тверь)</t>
  </si>
  <si>
    <t>Тверь-Гранд</t>
  </si>
  <si>
    <t>Мистрова Г.Ю.</t>
  </si>
  <si>
    <t>ИНТЕРРА ДЕКО ГРУПП (Тверь)</t>
  </si>
  <si>
    <t>Агрофирма Дмитрова Гора</t>
  </si>
  <si>
    <t>Промтехэнерго (Тверь)</t>
  </si>
  <si>
    <t>Техмаркет (Волочек)</t>
  </si>
  <si>
    <t>Тверь Парк Отель ООО</t>
  </si>
  <si>
    <t>КвадроКом (Тверь)</t>
  </si>
  <si>
    <t>ТТК (Тверь)</t>
  </si>
  <si>
    <t>ЦКБ ТМ (Тверь)</t>
  </si>
  <si>
    <t>отк</t>
  </si>
  <si>
    <t>шланги</t>
  </si>
  <si>
    <t>Компания Адвайзер</t>
  </si>
  <si>
    <t>МОНОЛИТ, ПСК (Тверь)</t>
  </si>
  <si>
    <t>Кашинцев А.В., ИП</t>
  </si>
  <si>
    <t>Тверь Водоканал</t>
  </si>
  <si>
    <t>Круглов Илья Андреевич</t>
  </si>
  <si>
    <t>Экоагрофарминг (Старица)</t>
  </si>
  <si>
    <t>Виктори Групп (Тверь)</t>
  </si>
  <si>
    <t>МОНТАЖСПЕЦСТРОЙ (Тверь)</t>
  </si>
  <si>
    <t>ТехКлининг (Тверь)</t>
  </si>
  <si>
    <t>Комета (Волочек)</t>
  </si>
  <si>
    <t xml:space="preserve"> Альфа, ТК (Тверь)</t>
  </si>
  <si>
    <t>Здоровье (Тверь)</t>
  </si>
  <si>
    <t>Эталон, завод (Тверь)</t>
  </si>
  <si>
    <t>ХОЛДИНВЕСТ (Тверь)</t>
  </si>
  <si>
    <t>Тверь</t>
  </si>
  <si>
    <t>Энерготехмонтаж (Тверь)</t>
  </si>
  <si>
    <t>ДОЛИНА ЧАЯ, ТД (Тверь)</t>
  </si>
  <si>
    <t>Театр драмы</t>
  </si>
  <si>
    <t>Высота (Тверь)</t>
  </si>
  <si>
    <t>ТАЙГА</t>
  </si>
  <si>
    <t>Бизнес Отражение (Тверь)</t>
  </si>
  <si>
    <t>Управление спецсвязи (Тверь)</t>
  </si>
  <si>
    <t>Новый отель (Тверь)</t>
  </si>
  <si>
    <t>Химпласт (Тверь)</t>
  </si>
  <si>
    <t>ПРОМ-ПОСТАВКА (Тверь)</t>
  </si>
  <si>
    <t>Бежецкагроэнерго</t>
  </si>
  <si>
    <t>АЙТИ РЕШЕНИЯ (Тверь)</t>
  </si>
  <si>
    <t>ПРОФИСЕРВИС (Тверь)</t>
  </si>
  <si>
    <t>Славконд (Тверь)</t>
  </si>
  <si>
    <t>Павлов Денис Евгеньевич, ИП</t>
  </si>
  <si>
    <t>Альфа (Тверь)</t>
  </si>
  <si>
    <t>РУМОС-Комтранс</t>
  </si>
  <si>
    <t>РОССИЯ, АБ (Тверь)</t>
  </si>
  <si>
    <t>ЕСТ</t>
  </si>
  <si>
    <t>Транспортные системы (Тверь)</t>
  </si>
  <si>
    <t>Топ Кар Тверь</t>
  </si>
  <si>
    <t>Агропромкомплектация (Конаково)</t>
  </si>
  <si>
    <t>ТехЦентр Грузовые машины (Тверь)</t>
  </si>
  <si>
    <t>ТВЕРСКАЯ РОЗА ВЕТРОВ</t>
  </si>
  <si>
    <t>Дмитрогорский мясоперерабатывающий завод</t>
  </si>
  <si>
    <t>Ручьевское (Конаково)</t>
  </si>
  <si>
    <t>Лесокомбинат</t>
  </si>
  <si>
    <t>ТЗК</t>
  </si>
  <si>
    <t>СМС (Тверь)</t>
  </si>
  <si>
    <t>СФИНКС-Т (Тверь)</t>
  </si>
  <si>
    <t>МК ЦЭТИ</t>
  </si>
  <si>
    <t>Валдайское ПМЭС</t>
  </si>
  <si>
    <t>СЕЗОН ОХОТЫ+</t>
  </si>
  <si>
    <t>Юрченко Людмила Викторовна</t>
  </si>
  <si>
    <t>Тверское городское отделение ТРО ВДПО</t>
  </si>
  <si>
    <t>Тверьлифт</t>
  </si>
  <si>
    <t>Регион-Комплект (Тверь)</t>
  </si>
  <si>
    <t>СТП (Тверь)</t>
  </si>
  <si>
    <t>Айсберг (Тверь)</t>
  </si>
  <si>
    <t>Транспортные системы</t>
  </si>
  <si>
    <t>УЮТ (клининг, Тверь)</t>
  </si>
  <si>
    <t>Дитсманн Конаково</t>
  </si>
  <si>
    <t>Ростурсервис (Тверь)</t>
  </si>
  <si>
    <t>ТрансТех (Тверь)</t>
  </si>
  <si>
    <t>Орбита (Тверь)</t>
  </si>
  <si>
    <t>Домовой, ООО</t>
  </si>
  <si>
    <t>АВТОМОБИЛЬ</t>
  </si>
  <si>
    <t>Бологоенефтепродукт</t>
  </si>
  <si>
    <t>Тверская межобластная ветеринарная лаборатория</t>
  </si>
  <si>
    <t>Фаворит (Тверь)</t>
  </si>
  <si>
    <t>Ветполиклиника (Тверь)</t>
  </si>
  <si>
    <t>Комус- Р2, ООО</t>
  </si>
  <si>
    <t>РТИТС (Тверь)</t>
  </si>
  <si>
    <t>Фаворит+ (Тверь)</t>
  </si>
  <si>
    <t>ТЗВП</t>
  </si>
  <si>
    <t>РЕСУРС-СТАНДАРТ (Тверь)</t>
  </si>
  <si>
    <t>Аллер Петфуд</t>
  </si>
  <si>
    <t>СЗНМ (Старица)</t>
  </si>
  <si>
    <t>Тверьлес</t>
  </si>
  <si>
    <t>Лазурь, УК</t>
  </si>
  <si>
    <t>ИСТОК РАЗВИТИЕ</t>
  </si>
  <si>
    <t>Афанасий (Тверь)</t>
  </si>
  <si>
    <t>ГБУ "Ильинский психоневрологический интернат"</t>
  </si>
  <si>
    <t>МОЛОКО (Ржев)</t>
  </si>
  <si>
    <t>РИТМ-2000</t>
  </si>
  <si>
    <t>Заполок-Инвест (Конаково)</t>
  </si>
  <si>
    <t>УК "Бизнес-центр "Тверь"</t>
  </si>
  <si>
    <t>Газпром газораспределение Тверь</t>
  </si>
  <si>
    <t>СПЕКТР (Тверь)</t>
  </si>
  <si>
    <t>ХимСнаб</t>
  </si>
  <si>
    <t>АРТЕК-Тверь</t>
  </si>
  <si>
    <t>Афанасий, частная пивоварня</t>
  </si>
  <si>
    <t>Волжская Бумага</t>
  </si>
  <si>
    <t>МГК (Тверь)</t>
  </si>
  <si>
    <t>Гематек (Тверь)</t>
  </si>
  <si>
    <t>КабельПласт (Тверь)</t>
  </si>
  <si>
    <t>Администрация города Твери</t>
  </si>
  <si>
    <t>Оснабрюк (Тверь)</t>
  </si>
  <si>
    <t>Тоннбау (Тверь)</t>
  </si>
  <si>
    <t>Патриот (Кимры)</t>
  </si>
  <si>
    <t>Энел Россия, ПАО</t>
  </si>
  <si>
    <t>Эргоцентр, НПП (Тверь)</t>
  </si>
  <si>
    <t>Домовой (Тверь)</t>
  </si>
  <si>
    <t>Парк (Тверь)</t>
  </si>
  <si>
    <t>Форум Тверь</t>
  </si>
  <si>
    <t>Поляков Валерий Борисович, ИП</t>
  </si>
  <si>
    <t>Смирнов Владимир Алексеевич, ИП</t>
  </si>
  <si>
    <t>РЕСУРС (Старица)</t>
  </si>
  <si>
    <t>Смирнов Алексей Алексеевич, ИП</t>
  </si>
  <si>
    <t>Потенциал</t>
  </si>
  <si>
    <t>Строй-Импульс, ООО СК</t>
  </si>
  <si>
    <t>Шитов Олег Николаевич, ИП</t>
  </si>
  <si>
    <t>СтройСигнал (Тверь)</t>
  </si>
  <si>
    <t>Чернышёв Владимир Валентинович, ИП</t>
  </si>
  <si>
    <t>Дункан, ТД (Тверь)</t>
  </si>
  <si>
    <t>Грилькофф (Тверь)</t>
  </si>
  <si>
    <t>Графов Руслан Николаевич, ИП</t>
  </si>
  <si>
    <t>ЭКСМАШ (Тверь)</t>
  </si>
  <si>
    <t>КСШОР № 2 (Тверь)</t>
  </si>
  <si>
    <t>Люлько Андрей Евгеньевич</t>
  </si>
  <si>
    <t>ТВЕРСКОЙ ФАСАД</t>
  </si>
  <si>
    <t>Камелия (Медное)</t>
  </si>
  <si>
    <t>Вышневолоцкий драмтеатр</t>
  </si>
  <si>
    <t>ДСК (Удомля)</t>
  </si>
  <si>
    <t>Фрегат, РПК (Тверь)</t>
  </si>
  <si>
    <t>УК "МТК" (Максатиха)</t>
  </si>
  <si>
    <t>Дмитрогорский молочный завод</t>
  </si>
  <si>
    <t>Перинатальный центр (Тверь)</t>
  </si>
  <si>
    <t>ТВЕРСКОЙ МПЗ</t>
  </si>
  <si>
    <t>Зеленюк Виктор Максимович, ИП</t>
  </si>
  <si>
    <t>Строганов Игорь Евгеньевич</t>
  </si>
  <si>
    <t>Комплекс (Тверь)</t>
  </si>
  <si>
    <t>Экспресс (Тверь)</t>
  </si>
  <si>
    <t>НАГРАДА (Тверь)</t>
  </si>
  <si>
    <t>СФЕРАТЕНТСЕРВИС (Тверь)</t>
  </si>
  <si>
    <t>Вектор (Афанасий)</t>
  </si>
  <si>
    <t>Рейнарс Рус</t>
  </si>
  <si>
    <t>Верхневолжский кожевенный завод</t>
  </si>
  <si>
    <t>ДРСУ (Тверь)</t>
  </si>
  <si>
    <t>ПБ Атлант</t>
  </si>
  <si>
    <t>Бемол (Тверь)</t>
  </si>
  <si>
    <t>Тверской трубный завод</t>
  </si>
  <si>
    <t>ДЮСШ «Единоборств» Конаковского района</t>
  </si>
  <si>
    <t>Север-Скан АВТО</t>
  </si>
  <si>
    <t>Орион (Тверь)</t>
  </si>
  <si>
    <t>Висторг</t>
  </si>
  <si>
    <t>Верхневолжский продторг (Тверь)</t>
  </si>
  <si>
    <t>ТверьСпецПартнер</t>
  </si>
  <si>
    <t>Санаторий Митино</t>
  </si>
  <si>
    <t>Полимер-Комплект (Тверь)</t>
  </si>
  <si>
    <t>Воровского ДК (Конаково)</t>
  </si>
  <si>
    <t>Дионис (Бежецк)</t>
  </si>
  <si>
    <t>Стерлинг (Тверь)</t>
  </si>
  <si>
    <t>ДСК-Ресурс (Тверь)</t>
  </si>
  <si>
    <t>СФТ логистик</t>
  </si>
  <si>
    <t>ЛЮКСУПАК (Тверь)</t>
  </si>
  <si>
    <t>Тенгри (Тверь)</t>
  </si>
  <si>
    <t>Сокол, пансионат (Осташков)</t>
  </si>
  <si>
    <t>Макон (Тверь)</t>
  </si>
  <si>
    <t>Прорабыч (Тверь)</t>
  </si>
  <si>
    <t>Главкосметика (Удомля)</t>
  </si>
  <si>
    <t>Вергокан (Редкино)</t>
  </si>
  <si>
    <t>Сокол+ (Осташков)</t>
  </si>
  <si>
    <t>ТВЕРЬВИП</t>
  </si>
  <si>
    <t>БНК МЕТАЛЛ (Тверь)</t>
  </si>
  <si>
    <t>СаначиноАгро</t>
  </si>
  <si>
    <t>Рубас (Тверь)</t>
  </si>
  <si>
    <t>Т-ПАК (Тверь)</t>
  </si>
  <si>
    <t>Пикалёвская сода</t>
  </si>
  <si>
    <t>Шидель</t>
  </si>
  <si>
    <t>ТрансПриводТверь</t>
  </si>
  <si>
    <t>Атомгидромонтаж (Удомля)</t>
  </si>
  <si>
    <t>ИМПУЛЬС-69</t>
  </si>
  <si>
    <t>ТИЦ ЖТ</t>
  </si>
  <si>
    <t>СИСТЕМА, НПЦ (Тверь)</t>
  </si>
  <si>
    <t>ЦЗН города Твери</t>
  </si>
  <si>
    <t>Ваш лифт (Тверь)</t>
  </si>
  <si>
    <t>Омнитек Сети (Тверь)</t>
  </si>
  <si>
    <t>АРКОСт (Тверь)</t>
  </si>
  <si>
    <t>Михайлова Жанна Сергеевна, ИП</t>
  </si>
  <si>
    <t>Ещенков Олег Павлович, ИП</t>
  </si>
  <si>
    <t>КЗСК (Конаково)</t>
  </si>
  <si>
    <t>Коммунальные системы Калининского района</t>
  </si>
  <si>
    <t>ТЕКОС (Редкино)</t>
  </si>
  <si>
    <t>МЕДНОВСКИЙ МОЛОЧНЫЙ ЗАВОД</t>
  </si>
  <si>
    <t>ГЛАПС (Тверь)</t>
  </si>
  <si>
    <t>ИННОВАЦИОННЫЕ ТЕХНОЛОГИИ (Тверь)</t>
  </si>
  <si>
    <t>Техинком (Тверь)</t>
  </si>
  <si>
    <t>ВитОМЭК (Лихославль)</t>
  </si>
  <si>
    <t>Тверская стекольная компания</t>
  </si>
  <si>
    <t>Андреапольнефтепродукт</t>
  </si>
  <si>
    <t>СССР (Конаково)</t>
  </si>
  <si>
    <t>АКТАВА СЕРВИС (Тверь)</t>
  </si>
  <si>
    <t>Спецавиа (Редкино)</t>
  </si>
  <si>
    <t>Мир (Тверь)</t>
  </si>
  <si>
    <t>ТЕХУНИВЕРСАЛ (Тверь)</t>
  </si>
  <si>
    <t>Ресайклер (Тверь)</t>
  </si>
  <si>
    <t>Рубинпроект (Тверь)</t>
  </si>
  <si>
    <t>Эко-Продукт (Тверь)</t>
  </si>
  <si>
    <t>Торжокский мясокомбинат</t>
  </si>
  <si>
    <t>ГАЛЛА (Тверь)</t>
  </si>
  <si>
    <t>Колкуново-Сервис (Кимры)</t>
  </si>
  <si>
    <t>Актрус (Тверь)</t>
  </si>
  <si>
    <t>ЭкоТех (Тверь)</t>
  </si>
  <si>
    <t>ФАСАД Строй (Тверь)</t>
  </si>
  <si>
    <t>Спецавтоматика (Тверь)</t>
  </si>
  <si>
    <t>Григорьев В.В., ИП</t>
  </si>
  <si>
    <t>Жилсервис (Тверь)</t>
  </si>
  <si>
    <t>Галерея вкусов (Ржев)</t>
  </si>
  <si>
    <t>СТРОЙКРАС (Тверь)</t>
  </si>
  <si>
    <t>Торопецкое ДРСУ</t>
  </si>
  <si>
    <t>САХ (Тверь)</t>
  </si>
  <si>
    <t>ТДИ 2008 (Тверь)</t>
  </si>
  <si>
    <t>Барская усадьба</t>
  </si>
  <si>
    <t>ТехноСталь (Тверь)</t>
  </si>
  <si>
    <t>Бастет (Тверь)</t>
  </si>
  <si>
    <t>ПЕРФЕКТ (Тверь)</t>
  </si>
  <si>
    <t>АМЖ КОНСТРАКШН</t>
  </si>
  <si>
    <t>АРтек-сервис (Тверь)</t>
  </si>
  <si>
    <t>РАТИБОР (Селижарово)</t>
  </si>
  <si>
    <t>Усадьба Толстых</t>
  </si>
  <si>
    <t>ФитнесМир (Тверь)</t>
  </si>
  <si>
    <t>ДОКБ (Тверь)</t>
  </si>
  <si>
    <t>Техстрой (Тверь)</t>
  </si>
  <si>
    <t>Ангажемент (Волочек)</t>
  </si>
  <si>
    <t>Термит (Максатиха)</t>
  </si>
  <si>
    <t>Шуко (Солнечногорск)</t>
  </si>
  <si>
    <t>Спектр Строй (Тверь)</t>
  </si>
  <si>
    <t>Дорстрой</t>
  </si>
  <si>
    <t>ТверьпромтехЪ</t>
  </si>
  <si>
    <t>Калининское, ЗАО (Тверь)</t>
  </si>
  <si>
    <t>МЕГАСТАЛЬ</t>
  </si>
  <si>
    <t>СМС</t>
  </si>
  <si>
    <t>Золотое Кольцо (Тверь)</t>
  </si>
  <si>
    <t>Бизнес-Сервис (Тверь)</t>
  </si>
  <si>
    <t>МАРИНА ЗАВИДОВО</t>
  </si>
  <si>
    <t>ТЕХСВАРМЕТ (Тверь)</t>
  </si>
  <si>
    <t>Полиматериал (Тверь)</t>
  </si>
  <si>
    <t>Торопецкий ДК</t>
  </si>
  <si>
    <t>Марина (Тверь)</t>
  </si>
  <si>
    <t>Максфит Тверь</t>
  </si>
  <si>
    <t>Ржевзернопродукт</t>
  </si>
  <si>
    <t>СТМ (Тверь)</t>
  </si>
  <si>
    <t>Альфа</t>
  </si>
  <si>
    <t>ДТС (Тверь)</t>
  </si>
  <si>
    <t>АТП Тверь</t>
  </si>
  <si>
    <t>ТВЕРЬСТРОЙМАШ</t>
  </si>
  <si>
    <t>Реал Ролл (Тверь)</t>
  </si>
  <si>
    <t>Максатихаавтодор</t>
  </si>
  <si>
    <t>КСК, ТД (Тверь)</t>
  </si>
  <si>
    <t>Профметалл (Тверь)</t>
  </si>
  <si>
    <t>Конверс Авиа (Тверь)</t>
  </si>
  <si>
    <t>РОСИНКАС (Тверь)</t>
  </si>
  <si>
    <t>КОМПАНИЯ МПИ</t>
  </si>
  <si>
    <t>Меринг (Тверь)</t>
  </si>
  <si>
    <t>КСК Эксплуатация (Тверь)</t>
  </si>
  <si>
    <t>Атлант, ПБ (Тверь)</t>
  </si>
  <si>
    <t>Центральный рынок</t>
  </si>
  <si>
    <t>Дороги (Кувшиново)</t>
  </si>
  <si>
    <t>Биомедицинские Инновационные Технологии (Медное)</t>
  </si>
  <si>
    <t>Бианит</t>
  </si>
  <si>
    <t>Группрайс (Тверь)</t>
  </si>
  <si>
    <t>АСТ (Тверь)</t>
  </si>
  <si>
    <t>Техно-Сервис (Тверь)</t>
  </si>
  <si>
    <t>МСЧ № 57 (Редкино)</t>
  </si>
  <si>
    <t>Горспецсервис (Старица)</t>
  </si>
  <si>
    <t>МЕТАВР (Тверь)</t>
  </si>
  <si>
    <t>ТСН МКД "ПАВЛОВА, 17" (Тверь)</t>
  </si>
  <si>
    <t>Престиж</t>
  </si>
  <si>
    <t>АМГ (Тверь)</t>
  </si>
  <si>
    <t>Объект-Клининг</t>
  </si>
  <si>
    <t>ТрансАнтиКорр</t>
  </si>
  <si>
    <t>Новый город (Тверь)</t>
  </si>
  <si>
    <t>Чикенхаус (Тверь)</t>
  </si>
  <si>
    <t>Карачарово, санаторий</t>
  </si>
  <si>
    <t>БизнесПромТорг</t>
  </si>
  <si>
    <t>ИП Саратов Александр Владимирович</t>
  </si>
  <si>
    <t>СтанкоМашКомплекс (Тверь)</t>
  </si>
  <si>
    <t>ТДМ Поставка (Тверь)</t>
  </si>
  <si>
    <t>Каравай</t>
  </si>
  <si>
    <t>Тверьтрубпласт</t>
  </si>
  <si>
    <t>Подразделение ПКБ ЦТ ОАО «РЖД» в г. Торжок</t>
  </si>
  <si>
    <t>Орлинка-Сервис</t>
  </si>
  <si>
    <t>ЮБГ Хэппиленд (Тверь)</t>
  </si>
  <si>
    <t>Верхневолжское АТП (Тверь)</t>
  </si>
  <si>
    <t>Инженерные решения, ТД</t>
  </si>
  <si>
    <t>Оптима (Торжок)</t>
  </si>
  <si>
    <t>ЦСК, ТД (Тверь)</t>
  </si>
  <si>
    <t>Центр гигиены и эпидемиологии в Тверской области</t>
  </si>
  <si>
    <t>Штурм (Тверь)</t>
  </si>
  <si>
    <t>ВОСТОРГ 76 (Тверь)</t>
  </si>
  <si>
    <t>КОМПЛЕКСНЫЕ ПОСТАВКИ</t>
  </si>
  <si>
    <t>ГОЛДЕН ПЛАЗА (Тверь)</t>
  </si>
  <si>
    <t>Новиков Сергей Иванович, ИП</t>
  </si>
  <si>
    <t>Гуд флэйк (Брянск)</t>
  </si>
  <si>
    <t>Розлекс Фарм (Редкино)</t>
  </si>
  <si>
    <t>Стринг</t>
  </si>
  <si>
    <t>Вереск (Кашин)</t>
  </si>
  <si>
    <t>МОБИХИМ</t>
  </si>
  <si>
    <t>ГРАНД (Тверь)</t>
  </si>
  <si>
    <t>СПК Юбилейный (Волочек)</t>
  </si>
  <si>
    <t>МДОК (Максатиха)</t>
  </si>
  <si>
    <t>Лидер (Бежецк)</t>
  </si>
  <si>
    <t>ЛМК-Тверь</t>
  </si>
  <si>
    <t>Управление ПС, ЗН и Т Тверской области</t>
  </si>
  <si>
    <t>ТСН "2-Я МЕТАЛЛИСТОВ-2"</t>
  </si>
  <si>
    <t>МОНБЛАН (Тверь)</t>
  </si>
  <si>
    <t>ТАКА (Тверь)</t>
  </si>
  <si>
    <t>ПрофКлининг (Тверь)</t>
  </si>
  <si>
    <t>ТТТ (Тверь)</t>
  </si>
  <si>
    <t>ПОЛИГРАН</t>
  </si>
  <si>
    <t>Всероссийский историко-этнографический музей</t>
  </si>
  <si>
    <t>Новый альянс</t>
  </si>
  <si>
    <t>Энергия, НПП</t>
  </si>
  <si>
    <t>МАКСПЛИТ(Максатиха)</t>
  </si>
  <si>
    <t>Дагомыс</t>
  </si>
  <si>
    <t>Ильин Денис Валерьевич, ИП</t>
  </si>
  <si>
    <t>ИнноФорма (Тверь)</t>
  </si>
  <si>
    <t>Фитнес Тверь</t>
  </si>
  <si>
    <t>Дженерал Пауэр</t>
  </si>
  <si>
    <t>ГАРАНТ-МЕД</t>
  </si>
  <si>
    <t>СЕРВИС ДОСТАВКИ (Тверь)</t>
  </si>
  <si>
    <t>Гуд флэйк (Бежецк)</t>
  </si>
  <si>
    <t>Принц</t>
  </si>
  <si>
    <t>Инсайт (Тверь)</t>
  </si>
  <si>
    <t>ШЕЛЬФ-2000</t>
  </si>
  <si>
    <t>ПромКонструкция (Тверь)</t>
  </si>
  <si>
    <t>Альфа, ТК</t>
  </si>
  <si>
    <t>ТверьТехКом</t>
  </si>
  <si>
    <t>Измайлов Р. Ф.</t>
  </si>
  <si>
    <t>ИНК</t>
  </si>
  <si>
    <t>СФТ ПАКЕДЖИНГ</t>
  </si>
  <si>
    <t>Молчанова Н.М.</t>
  </si>
  <si>
    <t>РЗК</t>
  </si>
  <si>
    <t>Матрица</t>
  </si>
  <si>
    <t>ЭкоТрансСервис</t>
  </si>
  <si>
    <t>Орион Интернейшнл Евро</t>
  </si>
  <si>
    <t>Агримедиа</t>
  </si>
  <si>
    <t>Агроимпекс (Тверь)</t>
  </si>
  <si>
    <t>Исток</t>
  </si>
  <si>
    <t>КОМПАНИЯ ТЕХНОСТРОЙ</t>
  </si>
  <si>
    <t>Компания Тверь Пак</t>
  </si>
  <si>
    <t>СК "Бетогор"</t>
  </si>
  <si>
    <t>Пенсионный фонд (Тверь)</t>
  </si>
  <si>
    <t>Пластик-Строймаркет</t>
  </si>
  <si>
    <t>Лиана, ПТФ (Тверь)</t>
  </si>
  <si>
    <t>Светофор (Тверь)</t>
  </si>
  <si>
    <t>Тверской полиграфкомбинат</t>
  </si>
  <si>
    <t>Архипов Ю.Г.</t>
  </si>
  <si>
    <t>Администрация Калининского муниципального района Тверской области</t>
  </si>
  <si>
    <t>Завод МАРС</t>
  </si>
  <si>
    <t>Итог</t>
  </si>
  <si>
    <t xml:space="preserve">44 400  </t>
  </si>
  <si>
    <t xml:space="preserve">56 400  </t>
  </si>
  <si>
    <t xml:space="preserve">84 500  </t>
  </si>
  <si>
    <t xml:space="preserve">42 400  </t>
  </si>
  <si>
    <t xml:space="preserve">78 400  </t>
  </si>
  <si>
    <t xml:space="preserve">61 500  </t>
  </si>
  <si>
    <t xml:space="preserve">64 800  </t>
  </si>
  <si>
    <t xml:space="preserve">40 150  </t>
  </si>
  <si>
    <t xml:space="preserve">66 400  </t>
  </si>
  <si>
    <t xml:space="preserve">70 900  </t>
  </si>
  <si>
    <t xml:space="preserve">57 400  </t>
  </si>
  <si>
    <t xml:space="preserve">25 900  </t>
  </si>
  <si>
    <t xml:space="preserve">33 000  </t>
  </si>
  <si>
    <t xml:space="preserve">61 700  </t>
  </si>
  <si>
    <t xml:space="preserve">55 300  </t>
  </si>
  <si>
    <t xml:space="preserve">100 100  </t>
  </si>
  <si>
    <t xml:space="preserve">23 800  </t>
  </si>
  <si>
    <t xml:space="preserve">6 300  </t>
  </si>
  <si>
    <t xml:space="preserve">13 000  </t>
  </si>
  <si>
    <t xml:space="preserve">62 300  </t>
  </si>
  <si>
    <t xml:space="preserve">94 500  </t>
  </si>
  <si>
    <t xml:space="preserve">59 700  </t>
  </si>
  <si>
    <t xml:space="preserve">19 600  </t>
  </si>
  <si>
    <t xml:space="preserve">20 900  </t>
  </si>
  <si>
    <t xml:space="preserve">62 250  </t>
  </si>
  <si>
    <t xml:space="preserve">18 200  </t>
  </si>
  <si>
    <t xml:space="preserve">56 300  </t>
  </si>
  <si>
    <t xml:space="preserve">28 000  </t>
  </si>
  <si>
    <t xml:space="preserve">82 950  </t>
  </si>
  <si>
    <t xml:space="preserve">49 200  </t>
  </si>
  <si>
    <t xml:space="preserve">109 050  </t>
  </si>
  <si>
    <t xml:space="preserve">30 000  </t>
  </si>
  <si>
    <t xml:space="preserve">75 450  </t>
  </si>
  <si>
    <t xml:space="preserve">66 650  </t>
  </si>
  <si>
    <t xml:space="preserve">90 250  </t>
  </si>
  <si>
    <t xml:space="preserve">89 050  </t>
  </si>
  <si>
    <t xml:space="preserve">48 100  </t>
  </si>
  <si>
    <t xml:space="preserve">6 100  </t>
  </si>
  <si>
    <t xml:space="preserve">45 400  </t>
  </si>
  <si>
    <t xml:space="preserve">69 700  </t>
  </si>
  <si>
    <t xml:space="preserve">91 400  </t>
  </si>
  <si>
    <t xml:space="preserve">83 750  </t>
  </si>
  <si>
    <t xml:space="preserve">70 600  </t>
  </si>
  <si>
    <t xml:space="preserve">29 100  </t>
  </si>
  <si>
    <t xml:space="preserve">89 700  </t>
  </si>
  <si>
    <t xml:space="preserve">61 124  </t>
  </si>
  <si>
    <t xml:space="preserve">313 060  </t>
  </si>
  <si>
    <t xml:space="preserve">36 515  </t>
  </si>
  <si>
    <t xml:space="preserve">0  </t>
  </si>
  <si>
    <t xml:space="preserve">16 049  </t>
  </si>
  <si>
    <t xml:space="preserve">70 980  </t>
  </si>
  <si>
    <t xml:space="preserve">73 801  </t>
  </si>
  <si>
    <t xml:space="preserve">38 943  </t>
  </si>
  <si>
    <t xml:space="preserve">79 867  </t>
  </si>
  <si>
    <t xml:space="preserve">83 771  </t>
  </si>
  <si>
    <t xml:space="preserve">53 194  </t>
  </si>
  <si>
    <t xml:space="preserve">15 800  </t>
  </si>
  <si>
    <t xml:space="preserve">31 382  </t>
  </si>
  <si>
    <t xml:space="preserve">44 042  </t>
  </si>
  <si>
    <t xml:space="preserve">67 122  </t>
  </si>
  <si>
    <t xml:space="preserve">73 255  </t>
  </si>
  <si>
    <t xml:space="preserve">50 763  </t>
  </si>
  <si>
    <t xml:space="preserve">21 824  </t>
  </si>
  <si>
    <t xml:space="preserve">49 008  </t>
  </si>
  <si>
    <t xml:space="preserve">24 599  </t>
  </si>
  <si>
    <t xml:space="preserve">108 203  </t>
  </si>
  <si>
    <t xml:space="preserve">21 519  </t>
  </si>
  <si>
    <t xml:space="preserve">194 220  </t>
  </si>
  <si>
    <t xml:space="preserve">102 141  </t>
  </si>
  <si>
    <t xml:space="preserve">80 084  </t>
  </si>
  <si>
    <t xml:space="preserve">56 905  </t>
  </si>
  <si>
    <t xml:space="preserve">6 253  </t>
  </si>
  <si>
    <t xml:space="preserve">44 790  </t>
  </si>
  <si>
    <t>Месяц</t>
  </si>
  <si>
    <t>Бонус</t>
  </si>
  <si>
    <t>БонусОлд</t>
  </si>
  <si>
    <t>Премия</t>
  </si>
  <si>
    <t>Штраф</t>
  </si>
  <si>
    <t>Итого</t>
  </si>
  <si>
    <t>ИтогоОлд</t>
  </si>
  <si>
    <t>Разница</t>
  </si>
  <si>
    <t>65000,00</t>
  </si>
  <si>
    <t>49100,00</t>
  </si>
  <si>
    <t>72700,00</t>
  </si>
  <si>
    <t>35500,00</t>
  </si>
  <si>
    <t>90450,00</t>
  </si>
  <si>
    <t>55 900,00</t>
  </si>
  <si>
    <t xml:space="preserve">70 230  </t>
  </si>
  <si>
    <t>Итого Факт</t>
  </si>
  <si>
    <t>Названия строк</t>
  </si>
  <si>
    <t>Общий итог</t>
  </si>
  <si>
    <t>2015</t>
  </si>
  <si>
    <t>2016</t>
  </si>
  <si>
    <t>2017</t>
  </si>
  <si>
    <t>2018</t>
  </si>
  <si>
    <t>2019</t>
  </si>
  <si>
    <t>2020</t>
  </si>
  <si>
    <t>2021</t>
  </si>
  <si>
    <t>2022</t>
  </si>
  <si>
    <t>Сумма по полю Маржа</t>
  </si>
  <si>
    <t>Среднее по полю Итого Факт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</si>
  <si>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</si>
  <si>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</si>
  <si>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</si>
  <si>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</si>
  <si>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</si>
  <si>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</si>
  <si>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</si>
  <si>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</si>
  <si>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</si>
  <si>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</si>
  <si>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Январь</t>
  </si>
  <si>
    <t>Февраль</t>
  </si>
  <si>
    <t>10164</t>
  </si>
  <si>
    <t>Альфа, ТК (Тверь)</t>
  </si>
  <si>
    <t>ПродажаНК</t>
  </si>
  <si>
    <t>НК</t>
  </si>
  <si>
    <t>МаржаНК</t>
  </si>
  <si>
    <t>ИД</t>
  </si>
  <si>
    <t>БонусФакт</t>
  </si>
  <si>
    <t>Сумма по полю Продажа</t>
  </si>
  <si>
    <t>Названия столбцов</t>
  </si>
  <si>
    <t>Итог Сумма по полю Продажа</t>
  </si>
  <si>
    <t>Итог Сумма по полю Маржа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</si>
</sst>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dd/mm/yy;@"/>
    <numFmt numFmtId="165" formatCode="#,##0.00\ _₽"/>
    <numFmt numFmtId="166" formatCode="#,##0\ _₽"/>
    <numFmt numFmtId="167" formatCode="[$-419]mmmm\ yyyy;@"/>
    <numFmt numFmtId="172" formatCode="_-* #,##0_-;\-* #,##0_-;_-* &quot;-&quot;??_-;_-@_-"/>
    <numFmt numFmtId="174" formatCode="#,##0.0"/>
    <numFmt numFmtId="175" formatCode="yyyy\-mm\-dd;@"/>
  </numFmts>
  <fonts count="19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12"/>
      <color indexed="59"/>
      <name val="Arial"/>
      <family val="2"/>
    </font>
    <font>
      <sz val="12"/>
      <color theme="1"/>
      <name val="Calibri"/>
      <family val="2"/>
      <scheme val="minor"/>
    </font>
    <font>
      <sz val="12"/>
      <color indexed="8"/>
      <name val="Arial"/>
      <family val="2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2"/>
      <color indexed="59"/>
      <name val="Arial"/>
      <family val="2"/>
    </font>
    <font>
      <sz val="12"/>
      <color theme="1"/>
      <name val="Calibri"/>
      <family val="2"/>
      <scheme val="minor"/>
    </font>
    <font>
      <sz val="12"/>
      <color indexed="8"/>
      <name val="Arial"/>
      <family val="2"/>
    </font>
    <font>
      <b/>
      <sz val="12"/>
      <color theme="1"/>
      <name val="Calibri"/>
      <family val="2"/>
      <charset val="204"/>
      <scheme val="minor"/>
    </font>
    <font>
      <sz val="12"/>
      <color theme="0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59"/>
      <name val="Arial"/>
      <family val="2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name val="Arial"/>
      <family val="2"/>
      <charset val="204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/>
      <right style="thin">
        <color indexed="60"/>
      </right>
      <top style="thin">
        <color indexed="60"/>
      </top>
      <bottom style="thin">
        <color indexed="60"/>
      </bottom>
      <diagonal/>
    </border>
    <border>
      <left/>
      <right style="thin">
        <color indexed="60"/>
      </right>
      <top/>
      <bottom/>
      <diagonal/>
    </border>
    <border>
      <left style="thin">
        <color indexed="60"/>
      </left>
      <right style="thin">
        <color indexed="6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0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0"/>
      </left>
      <right/>
      <top style="thin">
        <color indexed="60"/>
      </top>
      <bottom/>
      <diagonal/>
    </border>
    <border>
      <left style="thin">
        <color indexed="60"/>
      </left>
      <right/>
      <top style="thin">
        <color theme="4" tint="0.39997558519241921"/>
      </top>
      <bottom/>
      <diagonal/>
    </border>
    <border>
      <left style="thin">
        <color indexed="60"/>
      </left>
      <right/>
      <top style="thin">
        <color indexed="60"/>
      </top>
      <bottom style="thin">
        <color indexed="60"/>
      </bottom>
      <diagonal/>
    </border>
    <border>
      <left/>
      <right/>
      <top style="thin">
        <color indexed="60"/>
      </top>
      <bottom/>
      <diagonal/>
    </border>
    <border>
      <left/>
      <right/>
      <top style="thin">
        <color indexed="60"/>
      </top>
      <bottom style="thin">
        <color indexed="60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0"/>
      </left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0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0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0" fontId="1" fillId="0" borderId="0"/>
    <xf numFmtId="0" fontId="13" fillId="0" borderId="0" applyNumberFormat="0" applyFill="0" applyBorder="0" applyAlignment="0" applyProtection="0"/>
    <xf numFmtId="43" fontId="17" fillId="0" borderId="0" applyFont="0" applyFill="0" applyBorder="0" applyAlignment="0" applyProtection="0"/>
  </cellStyleXfs>
  <cellXfs count="137">
    <xf numFmtId="0" fontId="0" fillId="0" borderId="0" xfId="0"/>
    <xf numFmtId="0" fontId="2" fillId="2" borderId="1" xfId="1" applyFont="1" applyFill="1" applyBorder="1" applyAlignment="1">
      <alignment horizontal="left"/>
    </xf>
    <xf numFmtId="0" fontId="3" fillId="0" borderId="0" xfId="0" applyFont="1"/>
    <xf numFmtId="4" fontId="4" fillId="2" borderId="1" xfId="1" applyNumberFormat="1" applyFont="1" applyFill="1" applyBorder="1" applyAlignment="1">
      <alignment horizontal="right"/>
    </xf>
    <xf numFmtId="164" fontId="4" fillId="2" borderId="1" xfId="1" applyNumberFormat="1" applyFont="1" applyFill="1" applyBorder="1" applyAlignment="1">
      <alignment horizontal="left"/>
    </xf>
    <xf numFmtId="0" fontId="4" fillId="0" borderId="1" xfId="1" applyFont="1" applyBorder="1" applyAlignment="1">
      <alignment horizontal="left"/>
    </xf>
    <xf numFmtId="0" fontId="7" fillId="2" borderId="1" xfId="1" applyFont="1" applyFill="1" applyBorder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164" fontId="9" fillId="2" borderId="1" xfId="1" applyNumberFormat="1" applyFont="1" applyFill="1" applyBorder="1" applyAlignment="1">
      <alignment horizontal="left"/>
    </xf>
    <xf numFmtId="0" fontId="9" fillId="2" borderId="1" xfId="1" applyFont="1" applyFill="1" applyBorder="1" applyAlignment="1">
      <alignment horizontal="left"/>
    </xf>
    <xf numFmtId="4" fontId="9" fillId="2" borderId="1" xfId="1" applyNumberFormat="1" applyFont="1" applyFill="1" applyBorder="1" applyAlignment="1">
      <alignment horizontal="right"/>
    </xf>
    <xf numFmtId="164" fontId="9" fillId="3" borderId="1" xfId="1" applyNumberFormat="1" applyFont="1" applyFill="1" applyBorder="1" applyAlignment="1">
      <alignment horizontal="left"/>
    </xf>
    <xf numFmtId="4" fontId="8" fillId="0" borderId="0" xfId="0" applyNumberFormat="1" applyFont="1"/>
    <xf numFmtId="2" fontId="9" fillId="2" borderId="1" xfId="1" applyNumberFormat="1" applyFont="1" applyFill="1" applyBorder="1" applyAlignment="1">
      <alignment horizontal="right"/>
    </xf>
    <xf numFmtId="164" fontId="9" fillId="2" borderId="1" xfId="1" applyNumberFormat="1" applyFont="1" applyFill="1" applyBorder="1" applyAlignment="1">
      <alignment horizontal="center"/>
    </xf>
    <xf numFmtId="4" fontId="10" fillId="4" borderId="0" xfId="0" applyNumberFormat="1" applyFont="1" applyFill="1"/>
    <xf numFmtId="4" fontId="8" fillId="0" borderId="0" xfId="0" applyNumberFormat="1" applyFont="1" applyAlignment="1">
      <alignment horizontal="right"/>
    </xf>
    <xf numFmtId="0" fontId="9" fillId="5" borderId="1" xfId="1" applyFont="1" applyFill="1" applyBorder="1" applyAlignment="1">
      <alignment horizontal="left"/>
    </xf>
    <xf numFmtId="164" fontId="9" fillId="6" borderId="1" xfId="1" applyNumberFormat="1" applyFont="1" applyFill="1" applyBorder="1" applyAlignment="1">
      <alignment horizontal="left"/>
    </xf>
    <xf numFmtId="0" fontId="9" fillId="0" borderId="1" xfId="1" applyFont="1" applyBorder="1" applyAlignment="1">
      <alignment horizontal="left"/>
    </xf>
    <xf numFmtId="4" fontId="10" fillId="8" borderId="0" xfId="0" applyNumberFormat="1" applyFont="1" applyFill="1"/>
    <xf numFmtId="4" fontId="8" fillId="0" borderId="1" xfId="0" applyNumberFormat="1" applyFont="1" applyBorder="1"/>
    <xf numFmtId="4" fontId="8" fillId="0" borderId="1" xfId="0" applyNumberFormat="1" applyFont="1" applyBorder="1" applyAlignment="1">
      <alignment horizontal="right"/>
    </xf>
    <xf numFmtId="0" fontId="8" fillId="0" borderId="1" xfId="0" applyFont="1" applyBorder="1"/>
    <xf numFmtId="2" fontId="8" fillId="0" borderId="1" xfId="0" applyNumberFormat="1" applyFont="1" applyBorder="1"/>
    <xf numFmtId="0" fontId="4" fillId="5" borderId="1" xfId="1" applyFont="1" applyFill="1" applyBorder="1" applyAlignment="1">
      <alignment horizontal="left"/>
    </xf>
    <xf numFmtId="4" fontId="3" fillId="0" borderId="1" xfId="0" applyNumberFormat="1" applyFont="1" applyBorder="1" applyAlignment="1">
      <alignment horizontal="right"/>
    </xf>
    <xf numFmtId="0" fontId="13" fillId="0" borderId="0" xfId="2"/>
    <xf numFmtId="4" fontId="3" fillId="0" borderId="1" xfId="0" applyNumberFormat="1" applyFont="1" applyBorder="1"/>
    <xf numFmtId="10" fontId="8" fillId="0" borderId="0" xfId="0" applyNumberFormat="1" applyFont="1"/>
    <xf numFmtId="164" fontId="9" fillId="7" borderId="1" xfId="1" applyNumberFormat="1" applyFont="1" applyFill="1" applyBorder="1" applyAlignment="1">
      <alignment horizontal="left"/>
    </xf>
    <xf numFmtId="164" fontId="4" fillId="3" borderId="1" xfId="1" applyNumberFormat="1" applyFont="1" applyFill="1" applyBorder="1" applyAlignment="1">
      <alignment horizontal="left"/>
    </xf>
    <xf numFmtId="0" fontId="9" fillId="2" borderId="2" xfId="1" applyFont="1" applyFill="1" applyBorder="1" applyAlignment="1">
      <alignment horizontal="right"/>
    </xf>
    <xf numFmtId="0" fontId="7" fillId="2" borderId="2" xfId="1" applyFont="1" applyFill="1" applyBorder="1" applyAlignment="1">
      <alignment horizontal="left"/>
    </xf>
    <xf numFmtId="0" fontId="4" fillId="2" borderId="3" xfId="0" applyFont="1" applyFill="1" applyBorder="1" applyAlignment="1">
      <alignment horizontal="right"/>
    </xf>
    <xf numFmtId="0" fontId="4" fillId="2" borderId="4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right"/>
    </xf>
    <xf numFmtId="4" fontId="3" fillId="0" borderId="0" xfId="0" applyNumberFormat="1" applyFont="1"/>
    <xf numFmtId="0" fontId="4" fillId="2" borderId="2" xfId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2" fillId="2" borderId="2" xfId="1" applyFont="1" applyFill="1" applyBorder="1" applyAlignment="1">
      <alignment horizontal="left"/>
    </xf>
    <xf numFmtId="0" fontId="4" fillId="5" borderId="4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center"/>
    </xf>
    <xf numFmtId="10" fontId="3" fillId="0" borderId="0" xfId="0" applyNumberFormat="1" applyFont="1"/>
    <xf numFmtId="4" fontId="3" fillId="0" borderId="0" xfId="0" applyNumberFormat="1" applyFont="1" applyAlignment="1">
      <alignment horizontal="right"/>
    </xf>
    <xf numFmtId="166" fontId="11" fillId="7" borderId="1" xfId="0" applyNumberFormat="1" applyFont="1" applyFill="1" applyBorder="1" applyAlignment="1">
      <alignment horizontal="right"/>
    </xf>
    <xf numFmtId="165" fontId="12" fillId="9" borderId="1" xfId="0" applyNumberFormat="1" applyFont="1" applyFill="1" applyBorder="1" applyAlignment="1">
      <alignment horizontal="right"/>
    </xf>
    <xf numFmtId="0" fontId="4" fillId="0" borderId="4" xfId="0" applyFont="1" applyBorder="1" applyAlignment="1">
      <alignment horizontal="left"/>
    </xf>
    <xf numFmtId="4" fontId="3" fillId="0" borderId="4" xfId="0" applyNumberFormat="1" applyFont="1" applyBorder="1" applyAlignment="1">
      <alignment horizontal="right"/>
    </xf>
    <xf numFmtId="4" fontId="0" fillId="0" borderId="0" xfId="0" applyNumberFormat="1"/>
    <xf numFmtId="0" fontId="15" fillId="2" borderId="7" xfId="1" applyFont="1" applyFill="1" applyBorder="1" applyAlignment="1">
      <alignment horizontal="left"/>
    </xf>
    <xf numFmtId="0" fontId="16" fillId="10" borderId="8" xfId="0" applyFont="1" applyFill="1" applyBorder="1"/>
    <xf numFmtId="164" fontId="4" fillId="2" borderId="7" xfId="1" applyNumberFormat="1" applyFont="1" applyFill="1" applyBorder="1" applyAlignment="1">
      <alignment horizontal="left"/>
    </xf>
    <xf numFmtId="0" fontId="4" fillId="2" borderId="7" xfId="1" applyFont="1" applyFill="1" applyBorder="1" applyAlignment="1">
      <alignment horizontal="left"/>
    </xf>
    <xf numFmtId="4" fontId="4" fillId="2" borderId="7" xfId="1" applyNumberFormat="1" applyFont="1" applyFill="1" applyBorder="1" applyAlignment="1">
      <alignment horizontal="right"/>
    </xf>
    <xf numFmtId="14" fontId="4" fillId="2" borderId="7" xfId="1" applyNumberFormat="1" applyFont="1" applyFill="1" applyBorder="1" applyAlignment="1">
      <alignment horizontal="center"/>
    </xf>
    <xf numFmtId="164" fontId="4" fillId="3" borderId="7" xfId="1" applyNumberFormat="1" applyFont="1" applyFill="1" applyBorder="1" applyAlignment="1">
      <alignment horizontal="left"/>
    </xf>
    <xf numFmtId="4" fontId="3" fillId="11" borderId="8" xfId="0" applyNumberFormat="1" applyFont="1" applyFill="1" applyBorder="1"/>
    <xf numFmtId="4" fontId="3" fillId="0" borderId="8" xfId="0" applyNumberFormat="1" applyFont="1" applyBorder="1"/>
    <xf numFmtId="0" fontId="4" fillId="5" borderId="7" xfId="1" applyFont="1" applyFill="1" applyBorder="1" applyAlignment="1">
      <alignment horizontal="left"/>
    </xf>
    <xf numFmtId="164" fontId="4" fillId="2" borderId="9" xfId="1" applyNumberFormat="1" applyFont="1" applyFill="1" applyBorder="1" applyAlignment="1">
      <alignment horizontal="left"/>
    </xf>
    <xf numFmtId="0" fontId="4" fillId="5" borderId="9" xfId="1" applyFont="1" applyFill="1" applyBorder="1" applyAlignment="1">
      <alignment horizontal="left"/>
    </xf>
    <xf numFmtId="4" fontId="4" fillId="2" borderId="9" xfId="1" applyNumberFormat="1" applyFont="1" applyFill="1" applyBorder="1" applyAlignment="1">
      <alignment horizontal="right"/>
    </xf>
    <xf numFmtId="14" fontId="4" fillId="2" borderId="9" xfId="1" applyNumberFormat="1" applyFont="1" applyFill="1" applyBorder="1" applyAlignment="1">
      <alignment horizontal="center"/>
    </xf>
    <xf numFmtId="164" fontId="4" fillId="3" borderId="9" xfId="1" applyNumberFormat="1" applyFont="1" applyFill="1" applyBorder="1" applyAlignment="1">
      <alignment horizontal="left"/>
    </xf>
    <xf numFmtId="4" fontId="3" fillId="0" borderId="6" xfId="0" applyNumberFormat="1" applyFont="1" applyBorder="1"/>
    <xf numFmtId="0" fontId="15" fillId="2" borderId="10" xfId="1" applyFont="1" applyFill="1" applyBorder="1" applyAlignment="1">
      <alignment horizontal="left"/>
    </xf>
    <xf numFmtId="0" fontId="4" fillId="2" borderId="10" xfId="1" applyFont="1" applyFill="1" applyBorder="1" applyAlignment="1">
      <alignment horizontal="right"/>
    </xf>
    <xf numFmtId="0" fontId="4" fillId="2" borderId="11" xfId="1" applyFont="1" applyFill="1" applyBorder="1" applyAlignment="1">
      <alignment horizontal="right"/>
    </xf>
    <xf numFmtId="0" fontId="16" fillId="10" borderId="12" xfId="0" applyFont="1" applyFill="1" applyBorder="1"/>
    <xf numFmtId="4" fontId="3" fillId="11" borderId="12" xfId="0" applyNumberFormat="1" applyFont="1" applyFill="1" applyBorder="1"/>
    <xf numFmtId="4" fontId="3" fillId="0" borderId="12" xfId="0" applyNumberFormat="1" applyFont="1" applyBorder="1"/>
    <xf numFmtId="4" fontId="3" fillId="0" borderId="5" xfId="0" applyNumberFormat="1" applyFont="1" applyBorder="1"/>
    <xf numFmtId="0" fontId="4" fillId="2" borderId="0" xfId="0" applyFont="1" applyFill="1" applyAlignment="1">
      <alignment horizontal="right"/>
    </xf>
    <xf numFmtId="0" fontId="4" fillId="2" borderId="13" xfId="0" applyFont="1" applyFill="1" applyBorder="1" applyAlignment="1">
      <alignment horizontal="left"/>
    </xf>
    <xf numFmtId="0" fontId="4" fillId="2" borderId="13" xfId="0" applyFont="1" applyFill="1" applyBorder="1" applyAlignment="1">
      <alignment horizontal="right"/>
    </xf>
    <xf numFmtId="0" fontId="4" fillId="2" borderId="13" xfId="0" applyFont="1" applyFill="1" applyBorder="1" applyAlignment="1">
      <alignment horizontal="center"/>
    </xf>
    <xf numFmtId="4" fontId="3" fillId="0" borderId="13" xfId="0" applyNumberFormat="1" applyFont="1" applyBorder="1"/>
    <xf numFmtId="3" fontId="3" fillId="0" borderId="0" xfId="0" applyNumberFormat="1" applyFont="1"/>
    <xf numFmtId="3" fontId="0" fillId="0" borderId="0" xfId="0" applyNumberFormat="1"/>
    <xf numFmtId="4" fontId="4" fillId="2" borderId="4" xfId="0" applyNumberFormat="1" applyFont="1" applyFill="1" applyBorder="1" applyAlignment="1">
      <alignment horizontal="left"/>
    </xf>
    <xf numFmtId="4" fontId="4" fillId="2" borderId="13" xfId="0" applyNumberFormat="1" applyFont="1" applyFill="1" applyBorder="1" applyAlignment="1">
      <alignment horizontal="left"/>
    </xf>
    <xf numFmtId="2" fontId="11" fillId="7" borderId="1" xfId="0" applyNumberFormat="1" applyFont="1" applyFill="1" applyBorder="1" applyAlignment="1">
      <alignment horizontal="right"/>
    </xf>
    <xf numFmtId="2" fontId="0" fillId="0" borderId="0" xfId="0" applyNumberFormat="1"/>
    <xf numFmtId="14" fontId="0" fillId="0" borderId="0" xfId="0" applyNumberFormat="1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2" borderId="1" xfId="1" applyFont="1" applyFill="1" applyBorder="1" applyAlignment="1">
      <alignment horizontal="right"/>
    </xf>
    <xf numFmtId="0" fontId="4" fillId="2" borderId="1" xfId="1" applyFont="1" applyFill="1" applyBorder="1" applyAlignment="1">
      <alignment horizontal="left"/>
    </xf>
    <xf numFmtId="2" fontId="4" fillId="2" borderId="1" xfId="1" applyNumberFormat="1" applyFont="1" applyFill="1" applyBorder="1" applyAlignment="1">
      <alignment horizontal="right"/>
    </xf>
    <xf numFmtId="164" fontId="4" fillId="2" borderId="1" xfId="1" applyNumberFormat="1" applyFont="1" applyFill="1" applyBorder="1" applyAlignment="1">
      <alignment horizontal="center"/>
    </xf>
    <xf numFmtId="0" fontId="18" fillId="12" borderId="1" xfId="1" applyFont="1" applyFill="1" applyBorder="1" applyAlignment="1">
      <alignment horizontal="left"/>
    </xf>
    <xf numFmtId="0" fontId="18" fillId="12" borderId="1" xfId="1" applyFont="1" applyFill="1" applyBorder="1" applyAlignment="1">
      <alignment horizontal="center"/>
    </xf>
    <xf numFmtId="164" fontId="4" fillId="6" borderId="1" xfId="1" applyNumberFormat="1" applyFont="1" applyFill="1" applyBorder="1" applyAlignment="1">
      <alignment horizontal="left"/>
    </xf>
    <xf numFmtId="4" fontId="10" fillId="13" borderId="0" xfId="0" applyNumberFormat="1" applyFont="1" applyFill="1"/>
    <xf numFmtId="166" fontId="11" fillId="7" borderId="1" xfId="1" applyNumberFormat="1" applyFont="1" applyFill="1" applyBorder="1" applyAlignment="1">
      <alignment horizontal="right"/>
    </xf>
    <xf numFmtId="165" fontId="12" fillId="9" borderId="1" xfId="1" applyNumberFormat="1" applyFont="1" applyFill="1" applyBorder="1" applyAlignment="1">
      <alignment horizontal="right"/>
    </xf>
    <xf numFmtId="0" fontId="3" fillId="0" borderId="1" xfId="0" applyFont="1" applyBorder="1"/>
    <xf numFmtId="2" fontId="3" fillId="0" borderId="1" xfId="0" applyNumberFormat="1" applyFont="1" applyBorder="1"/>
    <xf numFmtId="0" fontId="4" fillId="2" borderId="0" xfId="1" applyFont="1" applyFill="1" applyAlignment="1">
      <alignment horizontal="right"/>
    </xf>
    <xf numFmtId="164" fontId="4" fillId="2" borderId="0" xfId="1" applyNumberFormat="1" applyFont="1" applyFill="1" applyAlignment="1">
      <alignment horizontal="left"/>
    </xf>
    <xf numFmtId="4" fontId="4" fillId="2" borderId="0" xfId="1" applyNumberFormat="1" applyFont="1" applyFill="1" applyAlignment="1">
      <alignment horizontal="right"/>
    </xf>
    <xf numFmtId="166" fontId="11" fillId="7" borderId="0" xfId="1" applyNumberFormat="1" applyFont="1" applyFill="1" applyAlignment="1">
      <alignment horizontal="right"/>
    </xf>
    <xf numFmtId="167" fontId="18" fillId="12" borderId="1" xfId="1" applyNumberFormat="1" applyFont="1" applyFill="1" applyBorder="1" applyAlignment="1">
      <alignment horizontal="center"/>
    </xf>
    <xf numFmtId="164" fontId="4" fillId="7" borderId="1" xfId="1" applyNumberFormat="1" applyFont="1" applyFill="1" applyBorder="1" applyAlignment="1">
      <alignment horizontal="left"/>
    </xf>
    <xf numFmtId="172" fontId="0" fillId="0" borderId="0" xfId="0" applyNumberFormat="1"/>
    <xf numFmtId="43" fontId="3" fillId="0" borderId="0" xfId="3" applyFont="1"/>
    <xf numFmtId="174" fontId="11" fillId="7" borderId="1" xfId="0" applyNumberFormat="1" applyFont="1" applyFill="1" applyBorder="1" applyAlignment="1">
      <alignment horizontal="right"/>
    </xf>
    <xf numFmtId="0" fontId="16" fillId="10" borderId="12" xfId="0" applyFont="1" applyFill="1" applyBorder="1" applyAlignment="1">
      <alignment horizontal="center"/>
    </xf>
    <xf numFmtId="0" fontId="16" fillId="10" borderId="14" xfId="0" applyFont="1" applyFill="1" applyBorder="1"/>
    <xf numFmtId="164" fontId="4" fillId="2" borderId="7" xfId="1" applyNumberFormat="1" applyFont="1" applyFill="1" applyBorder="1" applyAlignment="1">
      <alignment horizontal="center"/>
    </xf>
    <xf numFmtId="4" fontId="3" fillId="11" borderId="7" xfId="0" applyNumberFormat="1" applyFont="1" applyFill="1" applyBorder="1" applyAlignment="1">
      <alignment horizontal="right"/>
    </xf>
    <xf numFmtId="0" fontId="3" fillId="11" borderId="7" xfId="0" applyFont="1" applyFill="1" applyBorder="1"/>
    <xf numFmtId="4" fontId="3" fillId="11" borderId="7" xfId="0" applyNumberFormat="1" applyFont="1" applyFill="1" applyBorder="1"/>
    <xf numFmtId="10" fontId="3" fillId="11" borderId="15" xfId="0" applyNumberFormat="1" applyFont="1" applyFill="1" applyBorder="1"/>
    <xf numFmtId="4" fontId="3" fillId="0" borderId="7" xfId="0" applyNumberFormat="1" applyFont="1" applyBorder="1" applyAlignment="1">
      <alignment horizontal="right"/>
    </xf>
    <xf numFmtId="0" fontId="3" fillId="0" borderId="7" xfId="0" applyFont="1" applyBorder="1"/>
    <xf numFmtId="4" fontId="3" fillId="0" borderId="7" xfId="0" applyNumberFormat="1" applyFont="1" applyBorder="1"/>
    <xf numFmtId="10" fontId="3" fillId="0" borderId="15" xfId="0" applyNumberFormat="1" applyFont="1" applyBorder="1"/>
    <xf numFmtId="164" fontId="4" fillId="7" borderId="7" xfId="1" applyNumberFormat="1" applyFont="1" applyFill="1" applyBorder="1" applyAlignment="1">
      <alignment horizontal="left"/>
    </xf>
    <xf numFmtId="164" fontId="4" fillId="7" borderId="9" xfId="1" applyNumberFormat="1" applyFont="1" applyFill="1" applyBorder="1" applyAlignment="1">
      <alignment horizontal="left"/>
    </xf>
    <xf numFmtId="164" fontId="4" fillId="2" borderId="9" xfId="1" applyNumberFormat="1" applyFont="1" applyFill="1" applyBorder="1" applyAlignment="1">
      <alignment horizontal="center"/>
    </xf>
    <xf numFmtId="4" fontId="3" fillId="0" borderId="9" xfId="0" applyNumberFormat="1" applyFont="1" applyBorder="1" applyAlignment="1">
      <alignment horizontal="right"/>
    </xf>
    <xf numFmtId="0" fontId="3" fillId="0" borderId="9" xfId="0" applyFont="1" applyBorder="1"/>
    <xf numFmtId="4" fontId="3" fillId="0" borderId="9" xfId="0" applyNumberFormat="1" applyFont="1" applyBorder="1"/>
    <xf numFmtId="10" fontId="3" fillId="0" borderId="16" xfId="0" applyNumberFormat="1" applyFont="1" applyBorder="1"/>
    <xf numFmtId="1" fontId="3" fillId="0" borderId="0" xfId="0" applyNumberFormat="1" applyFont="1"/>
    <xf numFmtId="14" fontId="3" fillId="0" borderId="0" xfId="0" applyNumberFormat="1" applyFont="1"/>
    <xf numFmtId="14" fontId="13" fillId="0" borderId="0" xfId="2" applyNumberFormat="1"/>
    <xf numFmtId="1" fontId="13" fillId="0" borderId="0" xfId="2" applyNumberFormat="1"/>
    <xf numFmtId="43" fontId="13" fillId="0" borderId="0" xfId="3" applyFont="1"/>
    <xf numFmtId="175" fontId="3" fillId="0" borderId="0" xfId="0" applyNumberFormat="1" applyFont="1"/>
    <xf numFmtId="0" fontId="4" fillId="2" borderId="7" xfId="1" applyFont="1" applyFill="1" applyBorder="1" applyAlignment="1">
      <alignment horizontal="right"/>
    </xf>
    <xf numFmtId="0" fontId="4" fillId="2" borderId="9" xfId="1" applyFont="1" applyFill="1" applyBorder="1" applyAlignment="1">
      <alignment horizontal="right"/>
    </xf>
    <xf numFmtId="0" fontId="0" fillId="0" borderId="0" xfId="0" applyAlignment="1">
      <alignment wrapText="1"/>
    </xf>
  </cellXfs>
  <cellStyles count="4">
    <cellStyle name="Гиперссылка" xfId="2" builtinId="8"/>
    <cellStyle name="Обычный" xfId="0" builtinId="0"/>
    <cellStyle name="Обычный_Лист1" xfId="1" xr:uid="{00000000-0005-0000-0000-000001000000}"/>
    <cellStyle name="Финансовый" xfId="3" builtinId="3"/>
  </cellStyles>
  <dxfs count="3031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172" formatCode="_-* #,##0_-;\-* #,##0_-;_-* &quot;-&quot;??_-;_-@_-"/>
    </dxf>
    <dxf>
      <numFmt numFmtId="171" formatCode="_-* #,##0.0_-;\-* #,##0.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9" formatCode="dd/mm/yyyy"/>
    </dxf>
    <dxf>
      <numFmt numFmtId="172" formatCode="_-* #,##0_-;\-* #,##0_-;_-* &quot;-&quot;??_-;_-@_-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2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74" formatCode="#,##0.0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numFmt numFmtId="172" formatCode="_-* #,##0_-;\-* #,##0_-;_-* &quot;-&quot;??_-;_-@_-"/>
    </dxf>
    <dxf>
      <numFmt numFmtId="172" formatCode="_-* #,##0_-;\-* #,##0_-;_-* &quot;-&quot;??_-;_-@_-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7" formatCode="[$-419]mmmm\ 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 outline="0">
        <left style="thin">
          <color indexed="6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/>
        <top style="thin">
          <color indexed="6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9" formatCode="dd/mm/yyyy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/>
        <top style="thin">
          <color indexed="6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/>
        <top style="thin">
          <color indexed="6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/>
        <top style="thin">
          <color indexed="6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/>
        <top style="thin">
          <color indexed="6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/>
        <top style="thin">
          <color indexed="6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indexed="60"/>
        </top>
        <bottom/>
        <vertical/>
        <horizontal/>
      </border>
    </dxf>
    <dxf>
      <border outline="0">
        <left style="thin">
          <color indexed="60"/>
        </left>
        <right style="thin">
          <color theme="4" tint="0.3999755851924192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</dxfs>
  <tableStyles count="0" defaultTableStyle="TableStyleMedium2" defaultPivotStyle="PivotStyleMedium9"/>
  <colors>
    <mruColors>
      <color rgb="FFFF7C8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[Кристофер учет.xlsx]Графики!Сводная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Маржа по дате оплаты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Графики!$B$3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Графики!$A$4:$A$11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Графики!$B$4:$B$11</c:f>
              <c:numCache>
                <c:formatCode>_-* #\ ##0_-;\-* #\ ##0_-;_-* "-"??_-;_-@_-</c:formatCode>
                <c:ptCount val="7"/>
                <c:pt idx="0">
                  <c:v>3271356.4420000003</c:v>
                </c:pt>
                <c:pt idx="1">
                  <c:v>3534937.5300000003</c:v>
                </c:pt>
                <c:pt idx="2">
                  <c:v>2913183.34</c:v>
                </c:pt>
                <c:pt idx="3">
                  <c:v>4347982.9499999993</c:v>
                </c:pt>
                <c:pt idx="4">
                  <c:v>4898939.53</c:v>
                </c:pt>
                <c:pt idx="5">
                  <c:v>3362136.9499999997</c:v>
                </c:pt>
                <c:pt idx="6">
                  <c:v>4827200.5399999991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D-4631-96B6-6E4D0A742A5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6337663"/>
        <c:axId val="1256337247"/>
      </c:barChart>
      <c:catAx>
        <c:axId val="125633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337247"/>
        <c:crosses val="autoZero"/>
        <c:auto val="1"/>
        <c:lblAlgn val="ctr"/>
        <c:lblOffset val="100"/>
        <c:noMultiLvlLbl val="0"/>
      </c:catAx>
      <c:valAx>
        <c:axId val="125633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33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[Кристофер учет.xlsx]Графики!Сводная таблица3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Графики!$B$32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Графики!$A$33:$A$41</c:f>
              <c:strCach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Графики!$B$33:$B$41</c:f>
              <c:numCache>
                <c:formatCode>_-* #\ ##0_-;\-* #\ ##0_-;_-* "-"??_-;_-@_-</c:formatCode>
                <c:ptCount val="8"/>
                <c:pt idx="0">
                  <c:v>50500.714554545448</c:v>
                </c:pt>
                <c:pt idx="1">
                  <c:v>68367.669024999996</c:v>
                </c:pt>
                <c:pt idx="2">
                  <c:v>74419.166666666672</c:v>
                </c:pt>
                <c:pt idx="3">
                  <c:v>51194.166666666664</c:v>
                </c:pt>
                <c:pt idx="4">
                  <c:v>74806.666666666672</c:v>
                </c:pt>
                <c:pt idx="5">
                  <c:v>92454.833333333328</c:v>
                </c:pt>
                <c:pt idx="6">
                  <c:v>67603.666666666672</c:v>
                </c:pt>
                <c:pt idx="7">
                  <c:v>85806.5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F-46C0-9DBE-5B60805B3B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34960159"/>
        <c:axId val="1334951007"/>
      </c:barChart>
      <c:catAx>
        <c:axId val="133496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4951007"/>
        <c:crosses val="autoZero"/>
        <c:auto val="1"/>
        <c:lblAlgn val="ctr"/>
        <c:lblOffset val="100"/>
        <c:noMultiLvlLbl val="0"/>
      </c:catAx>
      <c:valAx>
        <c:axId val="133495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4960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[Кристофер учет.xlsx]Графики!Сводная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Маржа по дате отгрузки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Графики!$B$16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Графики!$A$17:$A$24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Графики!$B$17:$B$24</c:f>
              <c:numCache>
                <c:formatCode>_-* #\ ##0_-;\-* #\ ##0_-;_-* "-"??_-;_-@_-</c:formatCode>
                <c:ptCount val="7"/>
                <c:pt idx="0">
                  <c:v>4255046.7300000004</c:v>
                </c:pt>
                <c:pt idx="1">
                  <c:v>3699157.6000000015</c:v>
                </c:pt>
                <c:pt idx="2">
                  <c:v>3730801.8800000008</c:v>
                </c:pt>
                <c:pt idx="3">
                  <c:v>4684490.0999999996</c:v>
                </c:pt>
                <c:pt idx="4">
                  <c:v>5729081.8200000012</c:v>
                </c:pt>
                <c:pt idx="5">
                  <c:v>3397044.11</c:v>
                </c:pt>
                <c:pt idx="6">
                  <c:v>4908098.04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B-465B-8D3D-38C6592BE5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50166544"/>
        <c:axId val="1050142416"/>
      </c:barChart>
      <c:catAx>
        <c:axId val="105016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0142416"/>
        <c:crosses val="autoZero"/>
        <c:auto val="1"/>
        <c:lblAlgn val="ctr"/>
        <c:lblOffset val="100"/>
        <c:noMultiLvlLbl val="0"/>
      </c:catAx>
      <c:valAx>
        <c:axId val="105014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016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0</xdr:row>
      <xdr:rowOff>0</xdr:rowOff>
    </xdr:from>
    <xdr:to>
      <xdr:col>15</xdr:col>
      <xdr:colOff>314325</xdr:colOff>
      <xdr:row>20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F09BEA7-4135-C424-1D70-363DBFA6D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866774</xdr:colOff>
      <xdr:row>39</xdr:row>
      <xdr:rowOff>23812</xdr:rowOff>
    </xdr:from>
    <xdr:to>
      <xdr:col>15</xdr:col>
      <xdr:colOff>285750</xdr:colOff>
      <xdr:row>60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0A26D8E-3525-0134-AD0D-DB3E8D873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</xdr:colOff>
      <xdr:row>20</xdr:row>
      <xdr:rowOff>109536</xdr:rowOff>
    </xdr:from>
    <xdr:to>
      <xdr:col>15</xdr:col>
      <xdr:colOff>304800</xdr:colOff>
      <xdr:row>39</xdr:row>
      <xdr:rowOff>57149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ED0A1960-8A39-4023-1944-56F400DAA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втор" refreshedDate="44933.65727048611" createdVersion="8" refreshedVersion="8" minRefreshableVersion="3" recordCount="95" xr:uid="{3D3ACA28-55D8-4C2E-95A8-9DDEE0E6C771}">
  <cacheSource type="worksheet">
    <worksheetSource name="Таблица98"/>
  </cacheSource>
  <cacheFields count="16">
    <cacheField name="Месяц" numFmtId="167">
      <sharedItems containsSemiMixedTypes="0" containsNonDate="0" containsDate="1" containsString="0" minDate="2015-02-01T00:00:00" maxDate="2022-12-02T00:00:00" count="95"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</sharedItems>
      <fieldGroup par="15" base="0">
        <rangePr groupBy="months" startDate="2015-02-01T00:00:00" endDate="2022-12-02T00:00:00"/>
        <groupItems count="14">
          <s v="&lt;01.02.2015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2.12.2022"/>
        </groupItems>
      </fieldGroup>
    </cacheField>
    <cacheField name="Продажа" numFmtId="4">
      <sharedItems containsSemiMixedTypes="0" containsString="0" containsNumber="1" minValue="126099.84" maxValue="6823456.9400000004"/>
    </cacheField>
    <cacheField name="Продажа НК" numFmtId="4">
      <sharedItems containsSemiMixedTypes="0" containsString="0" containsNumber="1" minValue="0" maxValue="4361000"/>
    </cacheField>
    <cacheField name="Маржа" numFmtId="0">
      <sharedItems containsString="0" containsBlank="1" containsNumber="1" minValue="91619" maxValue="1746448.77"/>
    </cacheField>
    <cacheField name="Маржа НК" numFmtId="0">
      <sharedItems containsString="0" containsBlank="1" containsNumber="1" minValue="0" maxValue="579386"/>
    </cacheField>
    <cacheField name="БонусОлд" numFmtId="3">
      <sharedItems containsSemiMixedTypes="0" containsString="0" containsNumber="1" containsInteger="1" minValue="2964" maxValue="356824"/>
    </cacheField>
    <cacheField name="Бонус" numFmtId="3">
      <sharedItems containsSemiMixedTypes="0" containsString="0" containsNumber="1" containsInteger="1" minValue="2964" maxValue="303060"/>
    </cacheField>
    <cacheField name="Факт" numFmtId="2">
      <sharedItems containsMixedTypes="1" containsNumber="1" minValue="0" maxValue="98167.757800000007"/>
    </cacheField>
    <cacheField name="Премия" numFmtId="0">
      <sharedItems containsString="0" containsBlank="1" containsNumber="1" containsInteger="1" minValue="5000" maxValue="20000"/>
    </cacheField>
    <cacheField name="Штраф" numFmtId="0">
      <sharedItems containsString="0" containsBlank="1" containsNumber="1" containsInteger="1" minValue="3000" maxValue="29227"/>
    </cacheField>
    <cacheField name="ИтогоОлд" numFmtId="3">
      <sharedItems containsSemiMixedTypes="0" containsString="0" containsNumber="1" containsInteger="1" minValue="12825" maxValue="361614"/>
    </cacheField>
    <cacheField name="Итого" numFmtId="3">
      <sharedItems containsSemiMixedTypes="0" containsString="0" containsNumber="1" containsInteger="1" minValue="14790" maxValue="327850"/>
    </cacheField>
    <cacheField name="Итого Факт" numFmtId="3">
      <sharedItems containsSemiMixedTypes="0" containsString="0" containsNumber="1" minValue="14790" maxValue="327850" count="94">
        <n v="21765.2968"/>
        <n v="21738.982400000001"/>
        <n v="62093.690499999997"/>
        <n v="93031.630399999995"/>
        <n v="112957.75780000001"/>
        <n v="27018.603999999999"/>
        <n v="23210.703000000001"/>
        <n v="27730.616999999998"/>
        <n v="56390.922900000005"/>
        <n v="19091.857400000001"/>
        <n v="90477.797900000005"/>
        <n v="17753.825799999999"/>
        <n v="58408.202499999999"/>
        <n v="70690"/>
        <n v="79790"/>
        <n v="63890"/>
        <n v="87490"/>
        <n v="50290"/>
        <n v="105240"/>
        <n v="59190"/>
        <n v="71190"/>
        <n v="99290"/>
        <n v="57190"/>
        <n v="93190"/>
        <n v="76290"/>
        <n v="79590"/>
        <n v="54940"/>
        <n v="81190"/>
        <n v="85690"/>
        <n v="72190"/>
        <n v="40690"/>
        <n v="47790"/>
        <n v="76490"/>
        <n v="70090"/>
        <n v="114890"/>
        <n v="38590"/>
        <n v="21090"/>
        <n v="27790"/>
        <n v="77090"/>
        <n v="109290"/>
        <n v="74490"/>
        <n v="34390"/>
        <n v="35690"/>
        <n v="14790"/>
        <n v="77040"/>
        <n v="32990"/>
        <n v="71090"/>
        <n v="42790"/>
        <n v="97740"/>
        <n v="63990"/>
        <n v="123840"/>
        <n v="44790"/>
        <n v="90240"/>
        <n v="81440"/>
        <n v="105040"/>
        <n v="103840"/>
        <n v="62890"/>
        <n v="20890"/>
        <n v="60190"/>
        <n v="84490"/>
        <n v="106190"/>
        <n v="98540"/>
        <n v="85390"/>
        <n v="43890"/>
        <n v="104490"/>
        <n v="75914"/>
        <n v="327850"/>
        <n v="51305"/>
        <n v="30839"/>
        <n v="85770"/>
        <n v="88591"/>
        <n v="53733"/>
        <n v="94657"/>
        <n v="98561"/>
        <n v="67984"/>
        <n v="30590"/>
        <n v="46172"/>
        <n v="58832"/>
        <n v="81912"/>
        <n v="88045"/>
        <n v="65553"/>
        <n v="36614"/>
        <n v="63798"/>
        <n v="39389"/>
        <n v="122993"/>
        <n v="36309"/>
        <n v="209010"/>
        <n v="116931"/>
        <n v="94874"/>
        <n v="109036"/>
        <n v="71695"/>
        <n v="59580"/>
        <n v="21043"/>
        <n v="85020"/>
      </sharedItems>
    </cacheField>
    <cacheField name="Разница" numFmtId="3">
      <sharedItems containsSemiMixedTypes="0" containsString="0" containsNumber="1" containsInteger="1" minValue="-225032" maxValue="64356"/>
    </cacheField>
    <cacheField name="Кварталы" numFmtId="0" databaseField="0">
      <fieldGroup base="0">
        <rangePr groupBy="quarters" startDate="2015-02-01T00:00:00" endDate="2022-12-02T00:00:00"/>
        <groupItems count="6">
          <s v="&lt;01.02.2015"/>
          <s v="Кв-л1"/>
          <s v="Кв-л2"/>
          <s v="Кв-л3"/>
          <s v="Кв-л4"/>
          <s v="&gt;02.12.2022"/>
        </groupItems>
      </fieldGroup>
    </cacheField>
    <cacheField name="Годы" numFmtId="0" databaseField="0">
      <fieldGroup base="0">
        <rangePr groupBy="years" startDate="2015-02-01T00:00:00" endDate="2022-12-02T00:00:00"/>
        <groupItems count="10">
          <s v="&lt;01.02.2015"/>
          <s v="2015"/>
          <s v="2016"/>
          <s v="2017"/>
          <s v="2018"/>
          <s v="2019"/>
          <s v="2020"/>
          <s v="2021"/>
          <s v="2022"/>
          <s v="&gt;02.12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втор" refreshedDate="44935.562573611111" createdVersion="8" refreshedVersion="8" minRefreshableVersion="3" recordCount="2139" xr:uid="{B5E9FB31-A2CB-4E8E-AECC-9333F3DE3E67}">
  <cacheSource type="worksheet">
    <worksheetSource name="Таблица97"/>
  </cacheSource>
  <cacheFields count="19">
    <cacheField name="Номер" numFmtId="0">
      <sharedItems containsSemiMixedTypes="0" containsString="0" containsNumber="1" containsInteger="1" minValue="1" maxValue="2534"/>
    </cacheField>
    <cacheField name="ИД" numFmtId="0">
      <sharedItems/>
    </cacheField>
    <cacheField name="Дата" numFmtId="0">
      <sharedItems containsSemiMixedTypes="0" containsNonDate="0" containsDate="1" containsString="0" minDate="2015-12-21T00:00:00" maxDate="2022-12-29T00:00:00"/>
    </cacheField>
    <cacheField name="Клиент" numFmtId="0">
      <sharedItems containsMixedTypes="1" containsNumber="1" containsInteger="1" minValue="2019" maxValue="2019" count="465">
        <s v="КАНЦЕЛЯРОВ"/>
        <s v="Тверьгазстрой"/>
        <s v="ПрофиСервис"/>
        <s v="Тверьэнергокабель"/>
        <s v="Интерьерсервис"/>
        <s v="Аванта (Тверь)"/>
        <s v="Монеткина О.В."/>
        <s v="Камилла"/>
        <s v="Афанасий"/>
        <s v="Тверской лакокрасочный завод"/>
        <s v="ЧистоСфера (Тверь)"/>
        <s v="ТВЗ"/>
        <s v="СЕЗОН ОХОТЫ"/>
        <s v="Племзавод Заволжское"/>
        <s v="Тверской экскаватор"/>
        <s v="Агропромтранс (Конаково)"/>
        <s v="Система 5 (Тверь)"/>
        <s v="Кристалл 2000 (Тверь)"/>
        <s v="Центросвармаш"/>
        <s v="Оснабрюк"/>
        <s v="ЗМК"/>
        <s v="Гостиница &quot;Тверская - В"/>
        <s v="Омнитек (Тверь)"/>
        <s v="Мелькомбинат"/>
        <s v="Измайловский МПЗ"/>
        <s v="НикитиН (Тверь)"/>
        <s v="Ателье Камня (Тверь)"/>
        <s v="Отель &quot;Конаково"/>
        <s v="Гулливер"/>
        <s v="ТверьКоммаш"/>
        <s v="Торнадо (Тверь)"/>
        <s v="Промсервис (Тверь)"/>
        <s v="Вышневолоцкий леспромхоз"/>
        <s v="Вино-Гранде (Завидово)"/>
        <s v="Султанов Иван Васильевич"/>
        <s v="Профессорская клиника (Тверь)"/>
        <s v="Коралл (Бежецк)"/>
        <s v="Альстром Тверь"/>
        <s v="Тверьритуалсервис"/>
        <s v="Хлеб (Тверь)"/>
        <s v="Светотехника, ООО"/>
        <s v="ПОЛИГРАН, ОАО"/>
        <s v="Дом плюс (Удомля)"/>
        <s v="Хитачи"/>
        <s v="ЭКОКЛИНИНГ (Тверь)"/>
        <s v="ЭНЕРГОСТРОЙ"/>
        <s v="АВТОРОС (Завидово)"/>
        <s v="Тверской ДСК"/>
        <s v="Завидово Гольф"/>
        <s v="АПС Групп (Тверь)"/>
        <s v="Вектор"/>
        <s v="УК ТЖК (Тверь)"/>
        <s v="НИИБК (Ржев)"/>
        <s v="КСДЮСШОР № 2"/>
        <s v="ТИТАН (Тверь)"/>
        <s v="Бенцингер (Тверь)"/>
        <s v="Дантон- Птицепром (Тверь)"/>
        <s v="Волга, гостиница (Тверь)"/>
        <s v="ТЖБИ-4"/>
        <s v="Парето-Принт, ИПК"/>
        <s v="Водолей (Тверь)"/>
        <s v="Оптимум (Торжок)"/>
        <s v="КПД «Удомля-1"/>
        <s v="ВЭЛЛМАКС (Тверь)"/>
        <s v="Управление противопожарной службы Тверской области"/>
        <s v="Альфастрой (Тверь)"/>
        <s v="Атлант-С (Тверь)"/>
        <s v="Тверьуниверсалбанк"/>
        <s v="Сити Строй (Тверь)"/>
        <s v="ЛАГУНА+ (Тверь)"/>
        <s v="СПЕЦПРИЦЕП (Тверь)"/>
        <s v="Полигон (Тверь)"/>
        <s v="Альтаир (Бежецк)"/>
        <s v="Завидово Плаза"/>
        <s v="Колосницин Константин Викторович"/>
        <s v="ДИАЛ"/>
        <s v="ПРЕМЬЕР-ФРИГО (Тверь)"/>
        <s v="УЮТ (Тверь)"/>
        <s v="МОРОЗОФФ (Тверь)"/>
        <s v="Интерфорест"/>
        <s v="МБМ"/>
        <s v="ДСК (Кесова Гора)"/>
        <s v="Стром"/>
        <s v="Атлант, СК (Тверь)"/>
        <s v="Инвест-Лизинг-Тверь"/>
        <s v="Нилова Елена Владимировна"/>
        <s v="Конаковоагропромэнерго"/>
        <s v="Бологовский арматурный завод"/>
        <s v="Феррум (Тверь)"/>
        <s v="ЭСК"/>
        <s v="Тверь-Гранд"/>
        <s v="Мистрова Г.Ю."/>
        <s v="ИНТЕРРА ДЕКО ГРУПП (Тверь)"/>
        <s v="Агрофирма Дмитрова Гора"/>
        <s v="ЭНЕРГИЯ (Тверь)"/>
        <s v="Профессиональный хоккейный клуб"/>
        <s v="Промтехэнерго (Тверь)"/>
        <s v="Техмаркет (Волочек)"/>
        <s v="Тверь Парк Отель ООО"/>
        <s v="Сибур-ПЭТФ (Тверь)"/>
        <s v="КвадроКом (Тверь)"/>
        <s v="ЦКБ ТМ (Тверь)"/>
        <s v="Ритм (Тверь)"/>
        <s v="ТТК (Тверь)"/>
        <s v="Компания Адвайзер"/>
        <s v="МОНОЛИТ, ПСК (Тверь)"/>
        <s v="Кашинцев А.В., ИП"/>
        <s v="Тверь Водоканал"/>
        <s v="Круглов Илья Андреевич"/>
        <s v="Экоагрофарминг (Старица)"/>
        <s v="Виктори Групп (Тверь)"/>
        <s v="МОНТАЖСПЕЦСТРОЙ (Тверь)"/>
        <s v="Тверь-стрейч"/>
        <s v="ЭКСМАШ (г.Тверь)"/>
        <s v="ТехКлининг (Тверь)"/>
        <s v="Комета (Волочек)"/>
        <s v="Альфа, ТК (Тверь)"/>
        <s v="Здоровье (Тверь)"/>
        <s v="ХОЛДИНВЕСТ (Тверь)"/>
        <s v="Эталон, завод (Тверь)"/>
        <s v="Тверь"/>
        <s v="Энерготехмонтаж (Тверь)"/>
        <s v="ДОЛИНА ЧАЯ, ТД (Тверь)"/>
        <s v="Театр драмы"/>
        <s v="Высота (Тверь)"/>
        <s v="ТАЙГА"/>
        <s v="Бизнес Отражение (Тверь)"/>
        <s v="Управление спецсвязи (Тверь)"/>
        <s v="Новый отель (Тверь)"/>
        <s v="Химпласт (Тверь)"/>
        <s v="ПрофЦентр"/>
        <s v="ПРОМ-ПОСТАВКА (Тверь)"/>
        <s v="Бежецкагроэнерго"/>
        <s v="АЙТИ РЕШЕНИЯ (Тверь)"/>
        <s v="ПРОФИСЕРВИС (Тверь)"/>
        <s v="Славконд (Тверь)"/>
        <s v="Селигер, гостиничный комплекс"/>
        <s v="Павлов Денис Евгеньевич, ИП"/>
        <s v="Альфа (Тверь)"/>
        <s v="РУМОС-Комтранс"/>
        <s v="РОССИЯ, АБ (Тверь)"/>
        <s v="ЕСТ"/>
        <s v="Транспортные системы (Тверь)"/>
        <s v="Топ Кар Тверь"/>
        <s v="Агропромкомплектация (Конаково)"/>
        <s v="ТехЦентр Грузовые машины (Тверь)"/>
        <s v="Ратмир"/>
        <s v="ТВЕРСКАЯ РОЗА ВЕТРОВ"/>
        <s v="Старицкий электромеханический завод"/>
        <s v="Ручьевское (Конаково)"/>
        <s v="Дмитрогорский мясоперерабатывающий завод"/>
        <s v="Лесокомбинат"/>
        <s v="ТЗК"/>
        <s v="СМС (Тверь)"/>
        <s v="СФИНКС-Т (Тверь)"/>
        <s v="МК ЦЭТИ"/>
        <s v="ТЮЗ (Тверь)"/>
        <s v="СЕЗОН ОХОТЫ+"/>
        <s v="Юрченко Людмила Викторовна"/>
        <s v="Тверское городское отделение ТРО ВДПО"/>
        <s v="Тверьлифт"/>
        <s v="Регион-Комплект (Тверь)"/>
        <s v="ПЭК"/>
        <s v="СТП (Тверь)"/>
        <s v="Айсберг (Тверь)"/>
        <s v="Валдайское ПМЭС"/>
        <s v="Транспортные системы"/>
        <s v="УЮТ (клининг, Тверь)"/>
        <s v="Дитсманн Конаково"/>
        <s v="Ростурсервис (Тверь)"/>
        <s v="ТрансТех (Тверь)"/>
        <s v="Домовой, ООО"/>
        <s v="АВТОМОБИЛЬ"/>
        <s v="Бологоенефтепродукт"/>
        <s v="Фаворит (Тверь)"/>
        <s v="Комус- Р2, ООО"/>
        <s v="Тверская межобластная ветеринарная лаборатория"/>
        <s v="ТЗВП"/>
        <s v="Фаворит+ (Тверь)"/>
        <s v="РЕСУРС-СТАНДАРТ (Тверь)"/>
        <s v="Аллер Петфуд"/>
        <s v="СЗНМ (Старица)"/>
        <s v="Ветполиклиника (Тверь)"/>
        <s v="Лазурь, УК"/>
        <s v="Тверьлес"/>
        <s v="РТИТС (Тверь)"/>
        <s v="ИСТОК РАЗВИТИЕ"/>
        <s v="Орбита (Тверь)"/>
        <s v="Афанасий (Тверь)"/>
        <s v="РИТМ-2000"/>
        <s v="МОЛОКО (Ржев)"/>
        <s v="Заполок-Инвест (Конаково)"/>
        <s v="УК &quot;Бизнес-центр &quot;Тверь&quot;"/>
        <s v="ГБУ &quot;Ильинский психоневрологический интернат&quot;"/>
        <s v="Газпром газораспределение Тверь"/>
        <s v="СПЕКТР (Тверь)"/>
        <s v="ХимСнаб"/>
        <s v="АРТЕК-Тверь"/>
        <s v="Афанасий, частная пивоварня"/>
        <s v="Волжская Бумага"/>
        <s v="МГК (Тверь)"/>
        <s v="Гематек (Тверь)"/>
        <s v="КабельПласт (Тверь)"/>
        <s v="ТАСК"/>
        <s v="Оснабрюк (Тверь)"/>
        <s v="Тоннбау (Тверь)"/>
        <s v="Администрация города Твери"/>
        <s v="Патриот (Кимры)"/>
        <s v="Энел Россия, ПАО"/>
        <s v="Эргоцентр, НПП (Тверь)"/>
        <s v="Домовой (Тверь)"/>
        <s v="Парк (Тверь)"/>
        <s v="Форум Тверь"/>
        <s v="Поляков Валерий Борисович, ИП"/>
        <s v="Смирнов Владимир Алексеевич, ИП"/>
        <s v="РЕСУРС (Старица)"/>
        <s v="Смирнов Алексей Алексеевич, ИП"/>
        <s v="Строй-Импульс, ООО СК"/>
        <s v="Потенциал"/>
        <s v="СтройСигнал (Тверь)"/>
        <s v="Шитов Олег Николаевич, ИП"/>
        <s v="Чернышёв Владимир Валентинович, ИП"/>
        <s v="Дункан, ТД (Тверь)"/>
        <s v="Грилькофф (Тверь)"/>
        <s v="ЭКСМАШ (Тверь)"/>
        <s v="Графов Руслан Николаевич, ИП"/>
        <s v="Ампасет"/>
        <s v="Люлько Андрей Евгеньевич"/>
        <s v="КСШОР № 2 (Тверь)"/>
        <s v="ТВЕРСКОЙ ФАСАД"/>
        <s v="Камелия (Медное)"/>
        <s v="ДСК (Удомля)"/>
        <s v="Фрегат, РПК (Тверь)"/>
        <s v="УК &quot;МТК&quot; (Максатиха)"/>
        <s v="ТВЕРСКОЙ МПЗ"/>
        <s v="Зеленюк Виктор Максимович, ИП"/>
        <s v="Строганов Игорь Евгеньевич"/>
        <s v="Перинатальный центр (Тверь)"/>
        <s v="Вышневолоцкий драмтеатр"/>
        <s v="Комплекс (Тверь)"/>
        <s v="Прокуратура Тверской области"/>
        <s v="Дмитрогорский молочный завод"/>
        <s v="Экспресс (Тверь)"/>
        <s v="НАГРАДА (Тверь)"/>
        <s v="СФЕРАТЕНТСЕРВИС (Тверь)"/>
        <s v="Вектор (Афанасий)"/>
        <s v="Рейнарс Рус"/>
        <s v="Верхневолжский кожевенный завод"/>
        <s v="ДРСУ (Тверь)"/>
        <s v="Бемол (Тверь)"/>
        <s v="Тверской трубный завод"/>
        <s v="Север-Скан АВТО"/>
        <s v="ДЮСШ «Единоборств» Конаковского района"/>
        <s v="ПБ Атлант"/>
        <s v="Орион (Тверь)"/>
        <s v="Висторг"/>
        <s v="Верхневолжский продторг (Тверь)"/>
        <s v="ТверьСпецПартнер"/>
        <s v="Санаторий Митино"/>
        <s v="Полимер-Комплект (Тверь)"/>
        <s v="Воровского ДК (Конаково)"/>
        <s v="Дионис (Бежецк)"/>
        <s v="Стерлинг (Тверь)"/>
        <s v="ДСК-Ресурс (Тверь)"/>
        <s v="СФТ логистик"/>
        <s v="ЛЮКСУПАК (Тверь)"/>
        <s v="Тенгри (Тверь)"/>
        <s v="Сокол, пансионат (Осташков)"/>
        <s v="Макон (Тверь)"/>
        <s v="Прорабыч (Тверь)"/>
        <s v="Главкосметика (Удомля)"/>
        <s v="Вергокан (Редкино)"/>
        <s v="Сокол+ (Осташков)"/>
        <s v="ТВЕРЬВИП"/>
        <s v="СаначиноАгро"/>
        <s v="БНК МЕТАЛЛ (Тверь)"/>
        <s v="Рубас (Тверь)"/>
        <s v="Т-ПАК (Тверь)"/>
        <s v="Пикалёвская сода"/>
        <s v="Шидель"/>
        <s v="Оптима Контракт"/>
        <s v="ТрансПриводТверь"/>
        <s v="Атомгидромонтаж (Удомля)"/>
        <s v="ИМПУЛЬС-69"/>
        <s v="ТИЦ ЖТ"/>
        <s v="СИСТЕМА, НПЦ (Тверь)"/>
        <s v="Ваш лифт (Тверь)"/>
        <s v="Омнитек Сети (Тверь)"/>
        <s v="ЦЗН города Твери"/>
        <s v="АРКОСт (Тверь)"/>
        <s v="Михайлова Жанна Сергеевна, ИП"/>
        <s v="КЗСК (Конаково)"/>
        <s v="Ещенков Олег Павлович, ИП"/>
        <s v="Коммунальные системы Калининского района"/>
        <s v="МЕДНОВСКИЙ МОЛОЧНЫЙ ЗАВОД"/>
        <s v="ГЛАПС (Тверь)"/>
        <s v="ИННОВАЦИОННЫЕ ТЕХНОЛОГИИ (Тверь)"/>
        <s v="Техинком (Тверь)"/>
        <s v="ВитОМЭК (Лихославль)"/>
        <s v="Тверская стекольная компания"/>
        <s v="ТЕКОС (Редкино)"/>
        <s v="Андреапольнефтепродукт"/>
        <s v="СССР (Конаково)"/>
        <s v="АКТАВА СЕРВИС (Тверь)"/>
        <s v="Спецавиа (Редкино)"/>
        <s v="ТЕХУНИВЕРСАЛ (Тверь)"/>
        <s v="Мир (Тверь)"/>
        <s v="Ресайклер (Тверь)"/>
        <s v="Рубинпроект (Тверь)"/>
        <s v="Торжокский мясокомбинат"/>
        <s v="Эко-Продукт (Тверь)"/>
        <s v="ПАТП-1 (Тверь)"/>
        <s v="ГАЛЛА (Тверь)"/>
        <s v="Колкуново-Сервис (Кимры)"/>
        <s v="Актрус (Тверь)"/>
        <s v="ЭкоТех (Тверь)"/>
        <s v="ФАСАД Строй (Тверь)"/>
        <s v="Спецавтоматика (Тверь)"/>
        <s v="Григорьев В.В., ИП"/>
        <s v="Жилсервис (Тверь)"/>
        <s v="Галерея вкусов (Ржев)"/>
        <s v="СТРОЙКРАС (Тверь)"/>
        <s v="Торопецкое ДРСУ"/>
        <s v="САХ (Тверь)"/>
        <s v="ТДИ 2008 (Тверь)"/>
        <s v="Барская усадьба"/>
        <s v="ТехноСталь (Тверь)"/>
        <s v="Бастет (Тверь)"/>
        <s v="ПЕРФЕКТ (Тверь)"/>
        <s v="АМЖ КОНСТРАКШН"/>
        <s v="АРтек-сервис (Тверь)"/>
        <s v="РАТИБОР (Селижарово)"/>
        <s v="Усадьба Толстых"/>
        <s v="ФитнесМир (Тверь)"/>
        <s v="Техстрой (Тверь)"/>
        <s v="Ангажемент (Волочек)"/>
        <s v="Термит (Максатиха)"/>
        <s v="Спектр Строй (Тверь)"/>
        <s v="Шуко (Солнечногорск)"/>
        <s v="Дорстрой"/>
        <s v="ДОКБ (Тверь)"/>
        <s v="ТверьпромтехЪ"/>
        <s v="Калининское, ЗАО (Тверь)"/>
        <s v="МЕГАСТАЛЬ"/>
        <s v="СМС"/>
        <s v="Золотое Кольцо (Тверь)"/>
        <s v="Бизнес-Сервис (Тверь)"/>
        <s v="МАРИНА ЗАВИДОВО"/>
        <s v="ТЕХСВАРМЕТ (Тверь)"/>
        <s v="Полиматериал (Тверь)"/>
        <s v="Торопецкий ДК"/>
        <s v="Марина (Тверь)"/>
        <s v="Максфит Тверь"/>
        <s v="СТМ (Тверь)"/>
        <s v="Альфа"/>
        <s v="Ржевзернопродукт"/>
        <s v="ДТС (Тверь)"/>
        <s v="АТП Тверь"/>
        <s v="ТВЕРЬСТРОЙМАШ"/>
        <s v="Реал Ролл (Тверь)"/>
        <s v="Максатихаавтодор"/>
        <s v="КСК, ТД (Тверь)"/>
        <s v="Профметалл (Тверь)"/>
        <s v="Конверс Авиа (Тверь)"/>
        <s v="РОСИНКАС (Тверь)"/>
        <s v="КОМПАНИЯ МПИ"/>
        <s v="Меринг (Тверь)"/>
        <s v="КСК Эксплуатация (Тверь)"/>
        <s v="Атлант, ПБ (Тверь)"/>
        <s v="Центральный рынок"/>
        <s v="Дороги (Кувшиново)"/>
        <s v="Биомедицинские Инновационные Технологии (Медное)"/>
        <s v="Бианит"/>
        <s v="Группрайс (Тверь)"/>
        <s v="АСТ (Тверь)"/>
        <s v="Техно-Сервис (Тверь)"/>
        <s v="МСЧ № 57 (Редкино)"/>
        <s v="Горспецсервис (Старица)"/>
        <s v="МЕТАВР (Тверь)"/>
        <s v="ТСН МКД &quot;ПАВЛОВА, 17&quot; (Тверь)"/>
        <s v="Престиж"/>
        <s v="АМГ (Тверь)"/>
        <s v="Объект-Клининг"/>
        <s v="ТрансАнтиКорр"/>
        <s v="Новый город (Тверь)"/>
        <s v="Чикенхаус (Тверь)"/>
        <s v="Карачарово, санаторий"/>
        <s v="БизнесПромТорг"/>
        <s v="ИП Саратов Александр Владимирович"/>
        <s v="СтанкоМашКомплекс (Тверь)"/>
        <s v="ТДМ Поставка (Тверь)"/>
        <s v="Каравай"/>
        <s v="Тверьтрубпласт"/>
        <s v="Орлинка-Сервис"/>
        <s v="ЮБГ Хэппиленд (Тверь)"/>
        <s v="Верхневолжское АТП (Тверь)"/>
        <s v="Подразделение ПКБ ЦТ ОАО «РЖД» в г. Торжок"/>
        <s v="Инженерные решения, ТД"/>
        <s v="Оптима (Торжок)"/>
        <s v="ЦСК, ТД (Тверь)"/>
        <s v="Штурм (Тверь)"/>
        <s v="Центр гигиены и эпидемиологии в Тверской области"/>
        <s v="ВОСТОРГ 76 (Тверь)"/>
        <s v="КОМПЛЕКСНЫЕ ПОСТАВКИ"/>
        <s v="ГОЛДЕН ПЛАЗА (Тверь)"/>
        <s v="Новиков Сергей Иванович, ИП"/>
        <s v="Розлекс Фарм (Редкино)"/>
        <s v="Стринг"/>
        <s v="Вереск (Кашин)"/>
        <s v="МОБИХИМ"/>
        <s v="ГРАНД (Тверь)"/>
        <s v="МДОК (Максатиха)"/>
        <s v="Лидер (Бежецк)"/>
        <s v="ЛМК-Тверь"/>
        <s v="СПК Юбилейный (Волочек)"/>
        <s v="Гуд флэйк (Брянск)"/>
        <s v="ТСН &quot;2-Я МЕТАЛЛИСТОВ-2&quot;"/>
        <s v="Управление ПС, ЗН и Т Тверской области"/>
        <s v="МОНБЛАН (Тверь)"/>
        <s v="ТАКА (Тверь)"/>
        <s v="ПрофКлининг (Тверь)"/>
        <s v="ТТТ (Тверь)"/>
        <s v="ПОЛИГРАН"/>
        <s v="Всероссийский историко-этнографический музей"/>
        <s v="Новый альянс"/>
        <s v="Энергия, НПП"/>
        <s v="МАКСПЛИТ(Максатиха)"/>
        <s v="Дагомыс"/>
        <s v="Ильин Денис Валерьевич, ИП"/>
        <s v="ИнноФорма (Тверь)"/>
        <s v="Окна Профиль (Тверь)"/>
        <s v="Фитнес Тверь"/>
        <s v="Дженерал Пауэр"/>
        <s v="ГАРАНТ-МЕД"/>
        <s v="СЕРВИС ДОСТАВКИ (Тверь)"/>
        <s v="Принц"/>
        <s v="Гуд флэйк (Бежецк)"/>
        <s v="Инсайт (Тверь)"/>
        <s v="ШЕЛЬФ-2000"/>
        <s v="ПромКонструкция (Тверь)"/>
        <n v="2019"/>
        <s v="Альфа, ТК"/>
        <s v="ТверьТехКом"/>
        <s v="Измайлов Р. Ф."/>
        <s v="ИНК"/>
        <s v="СФТ ПАКЕДЖИНГ"/>
        <s v="Молчанова Н.М."/>
        <s v="Матрица"/>
        <s v="Орион Интернейшнл Евро"/>
        <s v="ЭкоТрансСервис"/>
        <s v="РЗК"/>
        <s v="Агримедиа"/>
        <s v="Агроимпекс (Тверь)"/>
        <s v="Исток"/>
        <s v="КОМПАНИЯ ТЕХНОСТРОЙ"/>
        <s v="Компания Тверь Пак"/>
        <s v="СК &quot;Бетогор&quot;"/>
        <s v="Пенсионный фонд (Тверь)"/>
        <s v="Пластик-Строймаркет"/>
        <s v="Лиана, ПТФ (Тверь)"/>
        <s v="Светофор (Тверь)"/>
        <s v="Тверской полиграфкомбинат"/>
        <s v="Архипов Ю.Г."/>
        <s v="Администрация Калининского муниципального района Тверской области"/>
        <s v="Завод МАРС"/>
      </sharedItems>
    </cacheField>
    <cacheField name="Сумма" numFmtId="43">
      <sharedItems containsSemiMixedTypes="0" containsString="0" containsNumber="1" minValue="102.03" maxValue="2163000"/>
    </cacheField>
    <cacheField name="Оплата" numFmtId="14">
      <sharedItems containsSemiMixedTypes="0" containsNonDate="0" containsDate="1" containsString="0" minDate="2015-12-31T00:00:00" maxDate="2022-12-30T00:00:00" count="1164">
        <d v="2015-12-31T00:00:00"/>
        <d v="2016-01-11T00:00:00"/>
        <d v="2016-01-15T00:00:00"/>
        <d v="2016-01-18T00:00:00"/>
        <d v="2016-01-19T00:00:00"/>
        <d v="2016-01-20T00:00:00"/>
        <d v="2016-01-22T00:00:00"/>
        <d v="2016-01-25T00:00:00"/>
        <d v="2016-01-27T00:00:00"/>
        <d v="2016-01-28T00:00:00"/>
        <d v="2016-01-29T00:00:00"/>
        <d v="2016-02-05T00:00:00"/>
        <d v="2016-02-03T00:00:00"/>
        <d v="2016-02-09T00:00:00"/>
        <d v="2016-02-10T00:00:00"/>
        <d v="2016-02-11T00:00:00"/>
        <d v="2016-02-15T00:00:00"/>
        <d v="2016-02-16T00:00:00"/>
        <d v="2016-02-17T00:00:00"/>
        <d v="2016-02-26T00:00:00"/>
        <d v="2016-02-19T00:00:00"/>
        <d v="2016-02-24T00:00:00"/>
        <d v="2016-03-23T00:00:00"/>
        <d v="2016-03-01T00:00:00"/>
        <d v="2016-03-02T00:00:00"/>
        <d v="2016-03-21T00:00:00"/>
        <d v="2016-03-15T00:00:00"/>
        <d v="2016-03-09T00:00:00"/>
        <d v="2016-03-10T00:00:00"/>
        <d v="2016-03-11T00:00:00"/>
        <d v="2016-03-14T00:00:00"/>
        <d v="2016-03-16T00:00:00"/>
        <d v="2016-03-17T00:00:00"/>
        <d v="2016-03-18T00:00:00"/>
        <d v="2016-03-22T00:00:00"/>
        <d v="2016-03-24T00:00:00"/>
        <d v="2016-03-28T00:00:00"/>
        <d v="2016-03-31T00:00:00"/>
        <d v="2016-04-15T00:00:00"/>
        <d v="2016-04-20T00:00:00"/>
        <d v="2016-04-26T00:00:00"/>
        <d v="2016-04-01T00:00:00"/>
        <d v="2016-05-05T00:00:00"/>
        <d v="2016-04-08T00:00:00"/>
        <d v="2016-04-06T00:00:00"/>
        <d v="2016-04-11T00:00:00"/>
        <d v="2016-04-13T00:00:00"/>
        <d v="2016-04-14T00:00:00"/>
        <d v="2016-04-22T00:00:00"/>
        <d v="2016-04-18T00:00:00"/>
        <d v="2016-04-21T00:00:00"/>
        <d v="2016-04-25T00:00:00"/>
        <d v="2016-04-27T00:00:00"/>
        <d v="2016-04-29T00:00:00"/>
        <d v="2016-04-28T00:00:00"/>
        <d v="2016-05-17T00:00:00"/>
        <d v="2016-05-11T00:00:00"/>
        <d v="2016-05-12T00:00:00"/>
        <d v="2016-05-04T00:00:00"/>
        <d v="2016-05-24T00:00:00"/>
        <d v="2016-05-19T00:00:00"/>
        <d v="2016-05-20T00:00:00"/>
        <d v="2016-05-30T00:00:00"/>
        <d v="2016-05-25T00:00:00"/>
        <d v="2016-05-31T00:00:00"/>
        <d v="2016-05-18T00:00:00"/>
        <d v="2016-06-07T00:00:00"/>
        <d v="2016-06-01T00:00:00"/>
        <d v="2016-06-03T00:00:00"/>
        <d v="2016-06-09T00:00:00"/>
        <d v="2016-06-08T00:00:00"/>
        <d v="2016-06-10T00:00:00"/>
        <d v="2016-06-27T00:00:00"/>
        <d v="2016-06-14T00:00:00"/>
        <d v="2016-05-14T00:00:00"/>
        <d v="2016-05-15T00:00:00"/>
        <d v="2016-06-16T00:00:00"/>
        <d v="2016-06-17T00:00:00"/>
        <d v="2016-06-21T00:00:00"/>
        <d v="2016-06-22T00:00:00"/>
        <d v="2016-06-23T00:00:00"/>
        <d v="2016-06-29T00:00:00"/>
        <d v="2016-07-08T00:00:00"/>
        <d v="2016-07-11T00:00:00"/>
        <d v="2016-07-12T00:00:00"/>
        <d v="2016-07-14T00:00:00"/>
        <d v="2016-07-13T00:00:00"/>
        <d v="2016-07-15T00:00:00"/>
        <d v="2016-07-19T00:00:00"/>
        <d v="2016-07-20T00:00:00"/>
        <d v="2016-07-22T00:00:00"/>
        <d v="2016-07-25T00:00:00"/>
        <d v="2016-07-26T00:00:00"/>
        <d v="2016-07-28T00:00:00"/>
        <d v="2016-07-29T00:00:00"/>
        <d v="2016-08-02T00:00:00"/>
        <d v="2016-08-04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9T00:00:00"/>
        <d v="2016-08-22T00:00:00"/>
        <d v="2016-08-23T00:00:00"/>
        <d v="2016-08-25T00:00:00"/>
        <d v="2016-08-30T00:00:00"/>
        <d v="2016-08-29T00:00:00"/>
        <d v="2016-08-31T00:00:00"/>
        <d v="2016-09-01T00:00:00"/>
        <d v="2016-09-02T00:00:00"/>
        <d v="2016-09-06T00:00:00"/>
        <d v="2016-09-07T00:00:00"/>
        <d v="2016-09-08T00:00:00"/>
        <d v="2016-09-12T00:00:00"/>
        <d v="2016-09-13T00:00:00"/>
        <d v="2016-09-14T00:00:00"/>
        <d v="2016-09-20T00:00:00"/>
        <d v="2016-09-19T00:00:00"/>
        <d v="2016-09-22T00:00:00"/>
        <d v="2016-09-23T00:00:00"/>
        <d v="2016-09-27T00:00:00"/>
        <d v="2016-09-29T00:00:00"/>
        <d v="2016-09-30T00:00:00"/>
        <d v="2016-10-03T00:00:00"/>
        <d v="2016-10-06T00:00:00"/>
        <d v="2016-10-07T00:00:00"/>
        <d v="2016-10-12T00:00:00"/>
        <d v="2016-10-11T00:00:00"/>
        <d v="2016-10-13T00:00:00"/>
        <d v="2016-10-14T00:00:00"/>
        <d v="2016-10-18T00:00:00"/>
        <d v="2016-10-19T00:00:00"/>
        <d v="2016-10-20T00:00:00"/>
        <d v="2016-10-25T00:00:00"/>
        <d v="2016-10-27T00:00:00"/>
        <d v="2016-10-28T00:00:00"/>
        <d v="2016-10-31T00:00:00"/>
        <d v="2016-11-01T00:00:00"/>
        <d v="2016-11-02T00:00:00"/>
        <d v="2016-11-03T00:00:00"/>
        <d v="2016-11-08T00:00:00"/>
        <d v="2016-11-11T00:00:00"/>
        <d v="2016-11-14T00:00:00"/>
        <d v="2016-11-15T00:00:00"/>
        <d v="2016-11-16T00:00:00"/>
        <d v="2016-11-17T00:00:00"/>
        <d v="2016-11-18T00:00:00"/>
        <d v="2016-11-22T00:00:00"/>
        <d v="2016-11-23T00:00:00"/>
        <d v="2016-11-24T00:00:00"/>
        <d v="2016-11-28T00:00:00"/>
        <d v="2016-11-30T00:00:00"/>
        <d v="2016-12-01T00:00:00"/>
        <d v="2016-12-02T00:00:00"/>
        <d v="2016-12-05T00:00:00"/>
        <d v="2016-12-07T00:00:00"/>
        <d v="2016-12-08T00:00:00"/>
        <d v="2016-12-09T00:00:00"/>
        <d v="2016-12-12T00:00:00"/>
        <d v="2016-12-13T00:00:00"/>
        <d v="2016-12-15T00:00:00"/>
        <d v="2016-12-16T00:00:00"/>
        <d v="2016-12-19T00:00:00"/>
        <d v="2016-12-20T00:00:00"/>
        <d v="2016-12-21T00:00:00"/>
        <d v="2016-12-22T00:00:00"/>
        <d v="2016-12-27T00:00:00"/>
        <d v="2016-12-28T00:00:00"/>
        <d v="2017-12-30T00:00:00"/>
        <d v="2017-01-09T00:00:00"/>
        <d v="2017-01-10T00:00:00"/>
        <d v="2017-01-11T00:00:00"/>
        <d v="2017-01-12T00:00:00"/>
        <d v="2017-01-13T00:00:00"/>
        <d v="2017-01-16T00:00:00"/>
        <d v="2017-01-19T00:00:00"/>
        <d v="2017-01-20T00:00:00"/>
        <d v="2017-01-23T00:00:00"/>
        <d v="2017-01-24T00:00:00"/>
        <d v="2017-01-26T00:00:00"/>
        <d v="2017-01-30T00:00:00"/>
        <d v="2017-02-02T00:00:00"/>
        <d v="2017-02-03T00:00:00"/>
        <d v="2017-02-07T00:00:00"/>
        <d v="2017-02-08T00:00:00"/>
        <d v="2017-02-09T00:00:00"/>
        <d v="2017-02-10T00:00:00"/>
        <d v="2017-02-13T00:00:00"/>
        <d v="2017-02-14T00:00:00"/>
        <d v="2017-02-16T00:00:00"/>
        <d v="2017-02-17T00:00:00"/>
        <d v="2017-02-20T00:00:00"/>
        <d v="2017-02-22T00:00:00"/>
        <d v="2017-02-27T00:00:00"/>
        <d v="2017-02-28T00:00:00"/>
        <d v="2017-03-01T00:00:00"/>
        <d v="2017-03-02T00:00:00"/>
        <d v="2017-03-06T00:00:00"/>
        <d v="2017-03-13T00:00:00"/>
        <d v="2017-03-14T00:00:00"/>
        <d v="2017-03-17T00:00:00"/>
        <d v="2017-03-21T00:00:00"/>
        <d v="2017-03-22T00:00:00"/>
        <d v="2017-03-24T00:00:00"/>
        <d v="2017-03-28T00:00:00"/>
        <d v="2017-03-29T00:00:00"/>
        <d v="2017-03-30T00:00:00"/>
        <d v="2017-03-31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9T00:00:00"/>
        <d v="2017-04-20T00:00:00"/>
        <d v="2017-04-21T00:00:00"/>
        <d v="2017-04-24T00:00:00"/>
        <d v="2017-04-26T00:00:00"/>
        <d v="2017-04-27T00:00:00"/>
        <d v="2017-04-28T00:00:00"/>
        <d v="2017-05-02T00:00:00"/>
        <d v="2017-05-03T00:00:00"/>
        <d v="2017-05-05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6T00:00:00"/>
        <d v="2017-06-07T00:00:00"/>
        <d v="2017-06-08T00:00:00"/>
        <d v="2017-06-09T00:00:00"/>
        <d v="2017-06-13T00:00:00"/>
        <d v="2017-06-14T00:00:00"/>
        <d v="2017-06-15T00:00:00"/>
        <d v="2017-06-20T00:00:00"/>
        <d v="2017-06-21T00:00:00"/>
        <d v="2017-06-22T00:00:00"/>
        <d v="2017-06-26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2T00:00:00"/>
        <d v="2017-07-17T00:00:00"/>
        <d v="2017-07-19T00:00:00"/>
        <d v="2017-07-20T00:00:00"/>
        <d v="2017-07-21T00:00:00"/>
        <d v="2017-07-25T00:00:00"/>
        <d v="2017-07-27T00:00:00"/>
        <d v="2017-08-01T00:00:00"/>
        <d v="2017-08-03T00:00:00"/>
        <d v="2017-08-04T00:00:00"/>
        <d v="2017-08-08T00:00:00"/>
        <d v="2017-08-09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8T00:00:00"/>
        <d v="2017-08-29T00:00:00"/>
        <d v="2017-08-30T00:00:00"/>
        <d v="2017-08-31T00:00:00"/>
        <d v="2017-09-05T00:00:00"/>
        <d v="2017-09-07T00:00:00"/>
        <d v="2017-09-11T00:00:00"/>
        <d v="2017-09-12T00:00:00"/>
        <d v="2017-09-13T00:00:00"/>
        <d v="2017-09-15T00:00:00"/>
        <d v="2017-09-20T00:00:00"/>
        <d v="2017-09-21T00:00:00"/>
        <d v="2017-09-25T00:00:00"/>
        <d v="2017-09-26T00:00:00"/>
        <d v="2017-09-27T00:00:00"/>
        <d v="2017-10-02T00:00:00"/>
        <d v="2017-10-03T00:00:00"/>
        <d v="2017-10-05T00:00:00"/>
        <d v="2017-10-06T00:00:00"/>
        <d v="2017-10-10T00:00:00"/>
        <d v="2017-10-11T00:00:00"/>
        <d v="2017-10-12T00:00:00"/>
        <d v="2017-10-13T00:00:00"/>
        <d v="2017-10-16T00:00:00"/>
        <d v="2017-10-17T00:00:00"/>
        <d v="2017-10-19T00:00:00"/>
        <d v="2017-10-20T00:00:00"/>
        <d v="2017-10-23T00:00:00"/>
        <d v="2017-10-24T00:00:00"/>
        <d v="2017-10-25T00:00:00"/>
        <d v="2017-10-30T00:00:00"/>
        <d v="2017-10-31T00:00:00"/>
        <d v="2017-11-01T00:00:00"/>
        <d v="2017-11-02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8T00:00:00"/>
        <d v="2017-12-11T00:00:00"/>
        <d v="2017-12-12T00:00:00"/>
        <d v="2017-12-13T00:00:00"/>
        <d v="2017-12-14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8-01-09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30T00:00:00"/>
        <d v="2018-01-31T00:00:00"/>
        <d v="2018-02-01T00:00:00"/>
        <d v="2018-02-05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1T00:00:00"/>
        <d v="2018-02-22T00:00:00"/>
        <d v="2018-02-26T00:00:00"/>
        <d v="2018-02-27T00:00:00"/>
        <d v="2018-03-01T00:00:00"/>
        <d v="2018-03-02T00:00:00"/>
        <d v="2018-03-05T00:00:00"/>
        <d v="2018-03-07T00:00:00"/>
        <d v="2018-03-13T00:00:00"/>
        <d v="2018-03-15T00:00:00"/>
        <d v="2018-03-19T00:00:00"/>
        <d v="2018-03-20T00:00:00"/>
        <d v="2018-03-21T00:00:00"/>
        <d v="2018-03-23T00:00:00"/>
        <d v="2018-03-27T00:00:00"/>
        <d v="2018-03-28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1T00:00:00"/>
        <d v="2018-12-12T00:00:00"/>
        <d v="2018-12-13T00:00:00"/>
        <d v="2018-04-16T00:00:00"/>
        <d v="2018-04-18T00:00:00"/>
        <d v="2018-04-19T00:00:00"/>
        <d v="2018-04-20T00:00:00"/>
        <d v="2018-04-23T00:00:00"/>
        <d v="2018-04-24T00:00:00"/>
        <d v="2018-04-26T00:00:00"/>
        <d v="2018-04-28T00:00:00"/>
        <d v="2018-05-03T00:00:00"/>
        <d v="2018-05-04T00:00:00"/>
        <d v="2018-05-07T00:00:00"/>
        <d v="2018-05-08T00:00:00"/>
        <d v="2018-05-10T00:00:00"/>
        <d v="2018-05-11T00:00:00"/>
        <d v="2018-05-14T00:00:00"/>
        <d v="2018-05-15T00:00:00"/>
        <d v="2018-05-16T00:00:00"/>
        <d v="2018-05-17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6-01T00:00:00"/>
        <d v="2018-06-04T00:00:00"/>
        <d v="2018-06-05T00:00:00"/>
        <d v="2018-06-06T00:00:00"/>
        <d v="2018-06-07T00:00:00"/>
        <d v="2018-06-08T00:00:00"/>
        <d v="2018-06-09T00:00:00"/>
        <d v="2018-06-13T00:00:00"/>
        <d v="2018-06-14T00:00:00"/>
        <d v="2018-06-15T00:00:00"/>
        <d v="2018-06-18T00:00:00"/>
        <d v="2018-06-19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4T00:00:00"/>
        <d v="2018-07-05T00:00:00"/>
        <d v="2018-07-09T00:00:00"/>
        <d v="2018-07-10T00:00:00"/>
        <d v="2018-07-12T00:00:00"/>
        <d v="2018-07-13T00:00:00"/>
        <d v="2018-07-16T00:00:00"/>
        <d v="2018-07-17T00:00:00"/>
        <d v="2018-07-18T00:00:00"/>
        <d v="2018-07-19T00:00:00"/>
        <d v="2018-07-24T00:00:00"/>
        <d v="2018-07-25T00:00:00"/>
        <d v="2018-07-27T00:00:00"/>
        <d v="2018-07-31T00:00:00"/>
        <d v="2018-08-01T00:00:00"/>
        <d v="2018-08-02T00:00:00"/>
        <d v="2018-08-03T00:00:00"/>
        <d v="2018-08-06T00:00:00"/>
        <d v="2018-08-07T00:00:00"/>
        <d v="2018-08-09T00:00:00"/>
        <d v="2018-08-10T00:00:00"/>
        <d v="2018-08-13T00:00:00"/>
        <d v="2018-08-14T00:00:00"/>
        <d v="2018-08-15T00:00:00"/>
        <d v="2018-08-16T00:00:00"/>
        <d v="2018-08-22T00:00:00"/>
        <d v="2018-08-23T00:00:00"/>
        <d v="2018-08-24T00:00:00"/>
        <d v="2018-08-28T00:00:00"/>
        <d v="2018-08-30T00:00:00"/>
        <d v="2018-09-03T00:00:00"/>
        <d v="2018-09-04T00:00:00"/>
        <d v="2018-09-05T00:00:00"/>
        <d v="2018-09-06T00:00:00"/>
        <d v="2018-09-07T00:00:00"/>
        <d v="2018-09-11T00:00:00"/>
        <d v="2018-09-12T00:00:00"/>
        <d v="2018-09-13T00:00:00"/>
        <d v="2018-09-20T00:00:00"/>
        <d v="2018-09-24T00:00:00"/>
        <d v="2018-09-25T00:00:00"/>
        <d v="2018-09-28T00:00:00"/>
        <d v="2018-10-01T00:00:00"/>
        <d v="2018-10-03T00:00:00"/>
        <d v="2018-10-04T00:00:00"/>
        <d v="2018-10-05T00:00:00"/>
        <d v="2018-10-08T00:00:00"/>
        <d v="2018-10-09T00:00:00"/>
        <d v="2018-10-11T00:00:00"/>
        <d v="2018-10-12T00:00:00"/>
        <d v="2018-10-15T00:00:00"/>
        <d v="2018-10-16T00:00:00"/>
        <d v="2018-10-17T00:00:00"/>
        <d v="2018-10-19T00:00:00"/>
        <d v="2018-10-23T00:00:00"/>
        <d v="2018-10-24T00:00:00"/>
        <d v="2018-10-29T00:00:00"/>
        <d v="2018-10-31T00:00:00"/>
        <d v="2018-11-01T00:00:00"/>
        <d v="2018-11-02T00:00:00"/>
        <d v="2018-11-09T00:00:00"/>
        <d v="2018-11-12T00:00:00"/>
        <d v="2018-11-13T00:00:00"/>
        <d v="2018-11-16T00:00:00"/>
        <d v="2018-11-19T00:00:00"/>
        <d v="2018-11-22T00:00:00"/>
        <d v="2018-11-23T00:00:00"/>
        <d v="2018-11-26T00:00:00"/>
        <d v="2018-11-27T00:00:00"/>
        <d v="2018-11-28T00:00:00"/>
        <d v="2018-11-30T00:00:00"/>
        <d v="2018-12-03T00:00:00"/>
        <d v="2018-12-04T00:00:00"/>
        <d v="2018-12-06T00:00:00"/>
        <d v="2018-12-11T00:00:00"/>
        <d v="2018-12-14T00:00:00"/>
        <d v="2018-12-17T00:00:00"/>
        <d v="2018-12-18T00:00:00"/>
        <d v="2018-12-19T00:00:00"/>
        <d v="2018-12-24T00:00:00"/>
        <d v="2018-12-26T00:00:00"/>
        <d v="2018-12-27T00:00:00"/>
        <d v="2019-12-26T00:00:00"/>
        <d v="2019-01-09T00:00:00"/>
        <d v="2019-01-11T00:00:00"/>
        <d v="2019-01-16T00:00:00"/>
        <d v="2019-01-17T00:00:00"/>
        <d v="2019-01-18T00:00:00"/>
        <d v="2019-01-21T00:00:00"/>
        <d v="2019-01-22T00:00:00"/>
        <d v="2019-01-24T00:00:00"/>
        <d v="2019-01-28T00:00:00"/>
        <d v="2019-01-29T00:00:00"/>
        <d v="2019-01-30T00:00:00"/>
        <d v="2019-02-01T00:00:00"/>
        <d v="2019-02-07T00:00:00"/>
        <d v="2019-02-11T00:00:00"/>
        <d v="2019-02-12T00:00:00"/>
        <d v="2019-02-13T00:00:00"/>
        <d v="2019-02-15T00:00:00"/>
        <d v="2019-02-19T00:00:00"/>
        <d v="2019-02-20T00:00:00"/>
        <d v="2019-02-21T00:00:00"/>
        <d v="2019-02-26T00:00:00"/>
        <d v="2019-02-27T00:00:00"/>
        <d v="2019-02-28T00:00:00"/>
        <d v="2019-03-04T00:00:00"/>
        <d v="2019-03-05T00:00:00"/>
        <d v="2019-03-07T00:00:00"/>
        <d v="2019-03-12T00:00:00"/>
        <d v="2019-03-13T00:00:00"/>
        <d v="2019-03-14T00:00:00"/>
        <d v="2019-03-15T00:00:00"/>
        <d v="2019-03-19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5T00:00:00"/>
        <d v="2019-04-08T00:00:00"/>
        <d v="2019-04-10T00:00:00"/>
        <d v="2019-04-11T00:00:00"/>
        <d v="2019-04-15T00:00:00"/>
        <d v="2019-04-16T00:00:00"/>
        <d v="2019-04-17T00:00:00"/>
        <d v="2019-04-18T00:00:00"/>
        <d v="2019-04-19T00:00:00"/>
        <d v="2019-04-24T00:00:00"/>
        <d v="2019-04-25T00:00:00"/>
        <d v="2019-04-26T00:00:00"/>
        <d v="2019-04-29T00:00:00"/>
        <d v="2019-04-30T00:00:00"/>
        <d v="2019-05-06T00:00:00"/>
        <d v="2019-05-07T00:00:00"/>
        <d v="2019-05-13T00:00:00"/>
        <d v="2019-05-14T00:00:00"/>
        <d v="2019-05-15T00:00:00"/>
        <d v="2019-05-16T00:00:00"/>
        <d v="2019-05-20T00:00:00"/>
        <d v="2019-05-21T00:00:00"/>
        <d v="2019-05-22T00:00:00"/>
        <d v="2019-05-23T00:00:00"/>
        <d v="2019-05-27T00:00:00"/>
        <d v="2019-05-28T00:00:00"/>
        <d v="2019-05-29T00:00:00"/>
        <d v="2019-05-30T00:00:00"/>
        <d v="2019-06-03T00:00:00"/>
        <d v="2019-06-04T00:00:00"/>
        <d v="2019-06-05T00:00:00"/>
        <d v="2019-06-06T00:00:00"/>
        <d v="2019-06-07T00:00:00"/>
        <d v="2019-06-11T00:00:00"/>
        <d v="2019-06-13T00:00:00"/>
        <d v="2019-06-14T00:00:00"/>
        <d v="2019-06-15T00:00:00"/>
        <d v="2019-06-18T00:00:00"/>
        <d v="2019-06-19T00:00:00"/>
        <d v="2019-06-20T00:00:00"/>
        <d v="2019-06-21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6T00:00:00"/>
        <d v="2019-07-09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3T00:00:00"/>
        <d v="2019-07-24T00:00:00"/>
        <d v="2019-07-25T00:00:00"/>
        <d v="2019-07-26T00:00:00"/>
        <d v="2019-07-29T00:00:00"/>
        <d v="2019-07-31T00:00:00"/>
        <d v="2019-07-30T00:00:00"/>
        <d v="2019-08-02T00:00:00"/>
        <d v="2019-08-05T00:00:00"/>
        <d v="2019-08-06T00:00:00"/>
        <d v="2019-08-08T00:00:00"/>
        <d v="2019-08-09T00:00:00"/>
        <d v="2019-08-12T00:00:00"/>
        <d v="2019-08-13T00:00:00"/>
        <d v="2019-08-15T00:00:00"/>
        <d v="2019-08-19T00:00:00"/>
        <d v="2019-08-20T00:00:00"/>
        <d v="2019-08-21T00:00:00"/>
        <d v="2019-08-22T00:00:00"/>
        <d v="2019-08-26T00:00:00"/>
        <d v="2019-08-29T00:00:00"/>
        <d v="2019-09-02T00:00:00"/>
        <d v="2019-09-03T00:00:00"/>
        <d v="2019-09-04T00:00:00"/>
        <d v="2019-09-05T00:00:00"/>
        <d v="2019-09-06T00:00:00"/>
        <d v="2019-09-09T00:00:00"/>
        <d v="2019-09-11T00:00:00"/>
        <d v="2019-09-12T00:00:00"/>
        <d v="2019-09-17T00:00:00"/>
        <d v="2019-09-18T00:00:00"/>
        <d v="2019-09-19T00:00:00"/>
        <d v="2019-09-20T00:00:00"/>
        <d v="2019-09-24T00:00:00"/>
        <d v="2019-09-25T00:00:00"/>
        <d v="2019-09-27T00:00:00"/>
        <d v="2019-10-01T00:00:00"/>
        <d v="2019-10-02T00:00:00"/>
        <d v="2019-10-03T00:00:00"/>
        <d v="2019-10-04T00:00:00"/>
        <d v="2019-10-07T00:00:00"/>
        <d v="2019-10-09T00:00:00"/>
        <d v="2019-10-14T00:00:00"/>
        <d v="2019-10-15T00:00:00"/>
        <d v="2019-10-17T00:00:00"/>
        <d v="2019-10-18T00:00:00"/>
        <d v="2019-10-22T00:00:00"/>
        <d v="2019-10-23T00:00:00"/>
        <d v="2019-10-24T00:00:00"/>
        <d v="2019-10-25T00:00:00"/>
        <d v="2019-10-29T00:00:00"/>
        <d v="2019-10-31T00:00:00"/>
        <d v="2019-11-01T00:00:00"/>
        <d v="2019-11-05T00:00:00"/>
        <d v="2019-11-06T00:00:00"/>
        <d v="2019-11-07T00:00:00"/>
        <d v="2019-11-11T00:00:00"/>
        <d v="2019-11-15T00:00:00"/>
        <d v="2019-11-19T00:00:00"/>
        <d v="2019-11-21T00:00:00"/>
        <d v="2019-11-25T00:00:00"/>
        <d v="2019-11-26T00:00:00"/>
        <d v="2019-11-27T00:00:00"/>
        <d v="2019-11-29T00:00:00"/>
        <d v="2019-12-04T00:00:00"/>
        <d v="2019-12-05T00:00:00"/>
        <d v="2019-12-06T00:00:00"/>
        <d v="2019-12-09T00:00:00"/>
        <d v="2019-12-11T00:00:00"/>
        <d v="2019-12-12T00:00:00"/>
        <d v="2019-12-13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30T00:00:00"/>
        <d v="2020-01-14T00:00:00"/>
        <d v="2020-01-15T00:00:00"/>
        <d v="2020-01-16T00:00:00"/>
        <d v="2020-01-21T00:00:00"/>
        <d v="2020-01-22T00:00:00"/>
        <d v="2020-01-23T00:00:00"/>
        <d v="2020-01-24T00:00:00"/>
        <d v="2020-01-27T00:00:00"/>
        <d v="2020-01-28T00:00:00"/>
        <d v="2020-01-30T00:00:00"/>
        <d v="2020-01-31T00:00:00"/>
        <d v="2020-02-03T00:00:00"/>
        <d v="2020-02-04T00:00:00"/>
        <d v="2020-02-10T00:00:00"/>
        <d v="2020-02-11T00:00:00"/>
        <d v="2020-02-14T00:00:00"/>
        <d v="2020-02-18T00:00:00"/>
        <d v="2020-02-20T00:00:00"/>
        <d v="2020-02-25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10T00:00:00"/>
        <d v="2020-03-11T00:00:00"/>
        <d v="2020-03-12T00:00:00"/>
        <d v="2020-03-13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9T00:00:00"/>
        <d v="2020-04-17T00:00:00"/>
        <d v="2020-04-22T00:00:00"/>
        <d v="2020-04-23T00:00:00"/>
        <d v="2020-04-24T00:00:00"/>
        <d v="2020-04-27T00:00:00"/>
        <d v="2020-04-30T00:00:00"/>
        <d v="2020-05-06T00:00:00"/>
        <d v="2020-05-12T00:00:00"/>
        <d v="2020-05-13T00:00:00"/>
        <d v="2020-05-14T00:00:00"/>
        <d v="2020-05-15T00:00:00"/>
        <d v="2020-05-18T00:00:00"/>
        <d v="2020-05-20T00:00:00"/>
        <d v="2020-05-21T00:00:00"/>
        <d v="2020-05-22T00:00:00"/>
        <d v="2020-05-27T00:00:00"/>
        <d v="2020-05-28T00:00:00"/>
        <d v="2020-06-01T00:00:00"/>
        <d v="2020-06-02T00:00:00"/>
        <d v="2020-06-03T00:00:00"/>
        <d v="2020-06-04T00:00:00"/>
        <d v="2020-06-08T00:00:00"/>
        <d v="2020-06-09T00:00:00"/>
        <d v="2020-06-16T00:00:00"/>
        <d v="2020-06-18T00:00:00"/>
        <d v="2020-06-22T00:00:00"/>
        <d v="2020-05-26T00:00:00"/>
        <d v="2020-06-29T00:00:00"/>
        <d v="2020-06-30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4T00:00:00"/>
        <d v="2020-07-16T00:00:00"/>
        <d v="2020-07-17T00:00:00"/>
        <d v="2020-07-21T00:00:00"/>
        <d v="2020-07-23T00:00:00"/>
        <d v="2020-07-24T00:00:00"/>
        <d v="2020-07-28T00:00:00"/>
        <d v="2020-07-29T00:00:00"/>
        <d v="2020-07-30T00:00:00"/>
        <d v="2020-07-31T00:00:00"/>
        <d v="2020-08-03T00:00:00"/>
        <d v="2020-08-06T00:00:00"/>
        <d v="2020-08-07T00:00:00"/>
        <d v="2020-08-10T00:00:00"/>
        <d v="2020-08-13T00:00:00"/>
        <d v="2020-08-14T00:00:00"/>
        <d v="2020-08-17T00:00:00"/>
        <d v="2020-08-19T00:00:00"/>
        <d v="2020-08-20T00:00:00"/>
        <d v="2020-08-21T00:00:00"/>
        <d v="2020-08-24T00:00:00"/>
        <d v="2020-08-25T00:00:00"/>
        <d v="2020-08-26T00:00:00"/>
        <d v="2020-08-31T00:00:00"/>
        <d v="2020-09-02T00:00:00"/>
        <d v="2020-09-03T00:00:00"/>
        <d v="2020-09-10T00:00:00"/>
        <d v="2020-09-14T00:00:00"/>
        <d v="2020-09-17T00:00:00"/>
        <d v="2020-09-22T00:00:00"/>
        <d v="2020-09-23T00:00:00"/>
        <d v="2020-09-25T00:00:00"/>
        <d v="2020-09-28T00:00:00"/>
        <d v="2020-09-29T00:00:00"/>
        <d v="2020-09-30T00:00:00"/>
        <d v="2020-10-01T00:00:00"/>
        <d v="2020-10-05T00:00:00"/>
        <d v="2020-10-13T00:00:00"/>
        <d v="2020-10-15T00:00:00"/>
        <d v="2020-10-16T00:00:00"/>
        <d v="2020-10-22T00:00:00"/>
        <d v="2020-10-26T00:00:00"/>
        <d v="2020-10-27T00:00:00"/>
        <d v="2020-10-29T00:00:00"/>
        <d v="2020-10-30T00:00:00"/>
        <d v="2020-11-05T00:00:00"/>
        <d v="2020-11-06T00:00:00"/>
        <d v="2020-11-09T00:00:00"/>
        <d v="2020-11-16T00:00:00"/>
        <d v="2020-11-18T00:00:00"/>
        <d v="2020-11-20T00:00:00"/>
        <d v="2020-11-23T00:00:00"/>
        <d v="2020-11-24T00:00:00"/>
        <d v="2020-11-25T00:00:00"/>
        <d v="2020-11-26T00:00:00"/>
        <d v="2020-11-30T00:00:00"/>
        <d v="2020-12-02T00:00:00"/>
        <d v="2020-12-04T00:00:00"/>
        <d v="2020-12-09T00:00:00"/>
        <d v="2020-12-10T00:00:00"/>
        <d v="2020-12-11T00:00:00"/>
        <d v="2020-12-15T00:00:00"/>
        <d v="2020-12-21T00:00:00"/>
        <d v="2020-12-23T00:00:00"/>
        <d v="2020-12-28T00:00:00"/>
        <d v="2020-12-30T00:00:00"/>
        <d v="2021-01-11T00:00:00"/>
        <d v="2021-01-12T00:00:00"/>
        <d v="2021-01-13T00:00:00"/>
        <d v="2021-01-14T00:00:00"/>
        <d v="2021-01-15T00:00:00"/>
        <d v="2021-01-26T00:00:00"/>
        <d v="2021-01-27T00:00:00"/>
        <d v="2021-01-28T00:00:00"/>
        <d v="2021-02-01T00:00:00"/>
        <d v="2021-02-02T00:00:00"/>
        <d v="2021-02-03T00:00:00"/>
        <d v="2021-02-04T00:00:00"/>
        <d v="2021-02-05T00:00:00"/>
        <d v="2021-02-08T00:00:00"/>
        <d v="2021-02-10T00:00:00"/>
        <d v="2021-02-11T00:00:00"/>
        <d v="2021-02-16T00:00:00"/>
        <d v="2021-02-17T00:00:00"/>
        <d v="2021-02-18T00:00:00"/>
        <d v="2021-02-19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11T00:00:00"/>
        <d v="2021-03-16T00:00:00"/>
        <d v="2021-03-17T00:00:00"/>
        <d v="2021-03-18T00:00:00"/>
        <d v="2021-03-19T00:00:00"/>
        <d v="2021-03-22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5T00:00:00"/>
        <d v="2021-04-07T00:00:00"/>
        <d v="2021-04-08T00:00:00"/>
        <d v="2021-04-09T00:00:00"/>
        <d v="2021-04-12T00:00:00"/>
        <d v="2021-04-13T00:00:00"/>
        <d v="2021-04-15T00:00:00"/>
        <d v="2021-04-20T00:00:00"/>
        <d v="2021-04-22T00:00:00"/>
        <d v="2021-04-24T00:00:00"/>
        <d v="2021-04-27T00:00:00"/>
        <d v="2021-04-28T00:00:00"/>
        <d v="2021-04-29T00:00:00"/>
        <d v="2021-05-04T00:00:00"/>
        <d v="2021-05-06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1T00:00:00"/>
        <d v="2021-05-24T00:00:00"/>
        <d v="2021-05-26T00:00:00"/>
        <d v="2021-05-27T00:00:00"/>
        <d v="2021-05-28T00:00:00"/>
        <d v="2021-05-31T00:00:00"/>
        <d v="2021-06-01T00:00:00"/>
        <d v="2021-06-03T00:00:00"/>
        <d v="2021-06-04T00:00:00"/>
        <d v="2021-06-08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4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14T00:00:00"/>
        <d v="2021-07-16T00:00:00"/>
        <d v="2021-07-20T00:00:00"/>
        <d v="2021-07-22T00:00:00"/>
        <d v="2021-07-23T00:00:00"/>
        <d v="2021-07-28T00:00:00"/>
        <d v="2021-07-29T00:00:00"/>
        <d v="2021-08-03T00:00:00"/>
        <d v="2021-08-04T00:00:00"/>
        <d v="2021-08-05T00:00:00"/>
        <d v="2021-08-06T00:00:00"/>
        <d v="2021-08-10T00:00:00"/>
        <d v="2021-08-11T00:00:00"/>
        <d v="2021-08-12T00:00:00"/>
        <d v="2021-08-13T00:00:00"/>
        <d v="2021-08-16T00:00:00"/>
        <d v="2021-08-18T00:00:00"/>
        <d v="2021-08-20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7T00:00:00"/>
        <d v="2021-09-09T00:00:00"/>
        <d v="2021-09-14T00:00:00"/>
        <d v="2021-09-16T00:00:00"/>
        <d v="2021-09-17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10-01T00:00:00"/>
        <d v="2021-10-04T00:00:00"/>
        <d v="2021-10-06T00:00:00"/>
        <d v="2021-10-07T00:00:00"/>
        <d v="2021-10-08T00:00:00"/>
        <d v="2021-10-11T00:00:00"/>
        <d v="2021-10-13T00:00:00"/>
        <d v="2021-10-15T00:00:00"/>
        <d v="2021-10-19T00:00:00"/>
        <d v="2021-10-22T00:00:00"/>
        <d v="2021-10-25T00:00:00"/>
        <d v="2021-10-27T00:00:00"/>
        <d v="2021-10-28T00:00:00"/>
        <d v="2021-10-29T00:00:00"/>
        <d v="2021-11-08T00:00:00"/>
        <d v="2021-11-09T00:00:00"/>
        <d v="2021-11-10T00:00:00"/>
        <d v="2021-11-11T00:00:00"/>
        <d v="2021-11-12T00:00:00"/>
        <d v="2021-11-15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30T00:00:00"/>
        <d v="2021-12-01T00:00:00"/>
        <d v="2021-12-02T00:00:00"/>
        <d v="2021-12-03T00:00:00"/>
        <d v="2021-12-06T00:00:00"/>
        <d v="2021-12-08T00:00:00"/>
        <d v="2021-12-09T00:00:00"/>
        <d v="2021-12-13T00:00:00"/>
        <d v="2021-12-15T00:00:00"/>
        <d v="2021-12-16T00:00:00"/>
        <d v="2021-12-17T00:00:00"/>
        <d v="2021-12-20T00:00:00"/>
        <d v="2021-12-21T00:00:00"/>
        <d v="2021-12-24T00:00:00"/>
        <d v="2021-12-29T00:00:00"/>
        <d v="2021-12-30T00:00:00"/>
        <d v="2022-01-10T00:00:00"/>
        <d v="2022-01-13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31T00:00:00"/>
        <d v="2022-02-02T00:00:00"/>
        <d v="2022-02-04T00:00:00"/>
        <d v="2022-02-07T00:00:00"/>
        <d v="2022-02-08T00:00:00"/>
        <d v="2022-02-11T00:00:00"/>
        <d v="2022-02-17T00:00:00"/>
        <d v="2022-02-21T00:00:00"/>
        <d v="2022-02-22T00:00:00"/>
        <d v="2022-05-24T00:00:00"/>
        <d v="2022-05-25T00:00:00"/>
        <d v="2022-02-28T00:00:00"/>
        <d v="2022-03-01T00:00:00"/>
        <d v="2022-03-02T00:00:00"/>
        <d v="2022-03-05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3T00:00:00"/>
        <d v="2022-03-24T00:00:00"/>
        <d v="2022-03-25T00:00:00"/>
        <d v="2022-03-28T00:00:00"/>
        <d v="2022-03-30T00:00:00"/>
        <d v="2022-03-31T00:00:00"/>
        <d v="2022-04-06T00:00:00"/>
        <d v="2022-04-07T00:00:00"/>
        <d v="2022-04-08T00:00:00"/>
        <d v="2022-04-11T00:00:00"/>
        <d v="2022-04-14T00:00:00"/>
        <d v="2022-04-19T00:00:00"/>
        <d v="2022-04-22T00:00:00"/>
        <d v="2022-05-04T00:00:00"/>
        <d v="2022-05-05T00:00:00"/>
        <d v="2022-05-06T00:00:00"/>
        <d v="2022-05-13T00:00:00"/>
        <d v="2022-05-16T00:00:00"/>
        <d v="2022-05-19T00:00:00"/>
        <d v="2022-05-23T00:00:00"/>
        <d v="2022-05-26T00:00:00"/>
        <d v="2022-05-27T00:00:00"/>
        <d v="2022-05-31T00:00:00"/>
        <d v="2022-06-01T00:00:00"/>
        <d v="2022-06-02T00:00:00"/>
        <d v="2022-06-06T00:00:00"/>
        <d v="2022-06-07T00:00:00"/>
        <d v="2022-06-08T00:00:00"/>
        <d v="2022-06-09T00:00:00"/>
        <d v="2022-06-10T00:00:00"/>
        <d v="2022-06-15T00:00:00"/>
        <d v="2022-06-17T00:00:00"/>
        <d v="2022-06-21T00:00:00"/>
        <d v="2022-06-29T00:00:00"/>
        <d v="2022-06-30T00:00:00"/>
        <d v="2022-07-01T00:00:00"/>
        <d v="2022-07-04T00:00:00"/>
        <d v="2022-07-06T00:00:00"/>
        <d v="2022-07-07T00:00:00"/>
        <d v="2022-07-15T00:00:00"/>
        <d v="2022-07-19T00:00:00"/>
        <d v="2022-07-20T00:00:00"/>
        <d v="2022-07-22T00:00:00"/>
        <d v="2022-07-28T00:00:00"/>
        <d v="2022-08-01T00:00:00"/>
        <d v="2022-08-02T00:00:00"/>
        <d v="2022-08-04T00:00:00"/>
        <d v="2022-08-08T00:00:00"/>
        <d v="2022-08-11T00:00:00"/>
        <d v="2022-08-15T00:00:00"/>
        <d v="2022-08-17T00:00:00"/>
        <d v="2022-08-18T00:00:00"/>
        <d v="2022-08-19T00:00:00"/>
        <d v="2022-08-23T00:00:00"/>
        <d v="2022-08-24T00:00:00"/>
        <d v="2022-08-25T00:00:00"/>
        <d v="2022-08-26T00:00:00"/>
        <d v="2022-08-30T00:00:00"/>
        <d v="2022-09-01T00:00:00"/>
        <d v="2022-09-02T00:00:00"/>
        <d v="2022-09-05T00:00:00"/>
        <d v="2022-09-06T00:00:00"/>
        <d v="2022-09-07T00:00:00"/>
        <d v="2022-09-08T00:00:00"/>
        <d v="2022-09-09T00:00:00"/>
        <d v="2022-09-14T00:00:00"/>
        <d v="2022-09-15T00:00:00"/>
        <d v="2022-09-20T00:00:00"/>
        <d v="2022-10-03T00:00:00"/>
        <d v="2022-10-04T00:00:00"/>
        <d v="2022-10-05T00:00:00"/>
        <d v="2022-10-10T00:00:00"/>
        <d v="2022-10-12T00:00:00"/>
        <d v="2022-10-13T00:00:00"/>
        <d v="2022-10-14T00:00:00"/>
        <d v="2022-10-19T00:00:00"/>
        <d v="2022-10-20T00:00:00"/>
        <d v="2022-10-25T00:00:00"/>
        <d v="2022-10-28T00:00:00"/>
        <d v="2022-10-31T00:00:00"/>
        <d v="2022-11-01T00:00:00"/>
        <d v="2022-11-03T00:00:00"/>
        <d v="2022-11-08T00:00:00"/>
        <d v="2022-11-09T00:00:00"/>
        <d v="2022-11-14T00:00:00"/>
        <d v="2022-11-21T00:00:00"/>
        <d v="2022-11-22T00:00:00"/>
        <d v="2022-11-24T00:00:00"/>
        <d v="2022-11-25T00:00:00"/>
        <d v="2022-12-02T00:00:00"/>
        <d v="2022-12-05T00:00:00"/>
        <d v="2022-12-06T00:00:00"/>
        <d v="2022-12-07T00:00:00"/>
        <d v="2022-12-14T00:00:00"/>
        <d v="2022-12-16T00:00:00"/>
        <d v="2022-12-20T00:00:00"/>
        <d v="2022-12-21T00:00:00"/>
        <d v="2022-12-22T00:00:00"/>
        <d v="2022-12-23T00:00:00"/>
        <d v="2022-12-26T00:00:00"/>
        <d v="2022-12-27T00:00:00"/>
        <d v="2022-12-28T00:00:00"/>
        <d v="2022-12-29T00:00:00"/>
      </sharedItems>
      <fieldGroup par="16" base="5">
        <rangePr groupBy="months" startDate="2015-12-31T00:00:00" endDate="2022-12-30T00:00:00"/>
        <groupItems count="14">
          <s v="&lt;31.12.2015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0.12.2022"/>
        </groupItems>
      </fieldGroup>
    </cacheField>
    <cacheField name="НК" numFmtId="1">
      <sharedItems containsString="0" containsBlank="1" containsNumber="1" containsInteger="1" minValue="1" maxValue="1"/>
    </cacheField>
    <cacheField name="Отгрузка" numFmtId="14">
      <sharedItems containsNonDate="0" containsDate="1" containsString="0" containsBlank="1" minDate="2016-01-12T00:00:00" maxDate="2022-12-30T00:00:00" count="1116">
        <d v="2016-01-15T00:00:00"/>
        <d v="2016-01-12T00:00:00"/>
        <d v="2016-01-21T00:00:00"/>
        <d v="2016-01-19T00:00:00"/>
        <d v="2016-01-26T00:00:00"/>
        <d v="2016-01-20T00:00:00"/>
        <d v="2016-01-22T00:00:00"/>
        <d v="2016-01-25T00:00:00"/>
        <d v="2016-01-27T00:00:00"/>
        <d v="2016-02-05T00:00:00"/>
        <d v="2016-02-01T00:00:00"/>
        <d v="2016-02-04T00:00:00"/>
        <d v="2016-02-18T00:00:00"/>
        <d v="2016-02-10T00:00:00"/>
        <d v="2016-02-11T00:00:00"/>
        <d v="2016-02-19T00:00:00"/>
        <d v="2016-02-17T00:00:00"/>
        <d v="2016-02-16T00:00:00"/>
        <d v="2016-03-01T00:00:00"/>
        <d v="2016-02-24T00:00:00"/>
        <d v="2016-05-18T00:00:00"/>
        <d v="2016-02-08T00:00:00"/>
        <d v="2016-03-03T00:00:00"/>
        <d v="2016-03-02T00:00:00"/>
        <d v="2016-03-28T00:00:00"/>
        <d v="2016-03-09T00:00:00"/>
        <d v="2016-03-14T00:00:00"/>
        <d v="2016-03-29T00:00:00"/>
        <d v="2016-03-15T00:00:00"/>
        <d v="2016-03-17T00:00:00"/>
        <d v="2016-03-31T00:00:00"/>
        <d v="2016-03-30T00:00:00"/>
        <d v="2016-03-25T00:00:00"/>
        <d v="2016-03-23T00:00:00"/>
        <d v="2016-03-22T00:00:00"/>
        <d v="2016-02-29T00:00:00"/>
        <d v="2016-04-01T00:00:00"/>
        <d v="2016-05-05T00:00:00"/>
        <d v="2016-04-12T00:00:00"/>
        <d v="2016-04-11T00:00:00"/>
        <d v="2016-04-14T00:00:00"/>
        <d v="2016-05-06T00:00:00"/>
        <d v="2016-05-13T00:00:00"/>
        <d v="2016-04-21T00:00:00"/>
        <d v="2016-04-18T00:00:00"/>
        <d v="2016-05-26T00:00:00"/>
        <d v="2016-04-19T00:00:00"/>
        <d v="2016-04-22T00:00:00"/>
        <d v="2016-04-20T00:00:00"/>
        <d v="2016-04-25T00:00:00"/>
        <d v="2016-03-24T00:00:00"/>
        <d v="2016-06-02T00:00:00"/>
        <d v="2016-04-29T00:00:00"/>
        <d v="2016-04-28T00:00:00"/>
        <d v="2016-05-20T00:00:00"/>
        <d v="2016-06-06T00:00:00"/>
        <d v="2016-05-24T00:00:00"/>
        <d v="2016-06-30T00:00:00"/>
        <d v="2016-05-23T00:00:00"/>
        <d v="2016-05-27T00:00:00"/>
        <d v="2016-05-30T00:00:00"/>
        <d v="2016-05-31T00:00:00"/>
        <d v="2016-06-01T00:00:00"/>
        <d v="2016-07-26T00:00:00"/>
        <d v="2016-07-04T00:00:00"/>
        <d v="2016-06-03T00:00:00"/>
        <d v="2016-06-10T00:00:00"/>
        <d v="2016-06-07T00:00:00"/>
        <d v="2016-06-08T00:00:00"/>
        <d v="2016-06-14T00:00:00"/>
        <d v="2016-06-15T00:00:00"/>
        <d v="2016-05-15T00:00:00"/>
        <d v="2016-06-16T00:00:00"/>
        <d v="2016-06-21T00:00:00"/>
        <d v="2016-06-24T00:00:00"/>
        <d v="2016-06-23T00:00:00"/>
        <d v="2016-07-12T00:00:00"/>
        <d v="2016-07-05T00:00:00"/>
        <d v="2016-07-11T00:00:00"/>
        <d v="2016-07-14T00:00:00"/>
        <d v="2016-07-15T00:00:00"/>
        <d v="2016-08-01T00:00:00"/>
        <d v="2016-08-09T00:00:00"/>
        <d v="2016-07-21T00:00:00"/>
        <d v="2016-08-05T00:00:00"/>
        <d v="2016-09-05T00:00:00"/>
        <d v="2016-08-08T00:00:00"/>
        <d v="2016-08-22T00:00:00"/>
        <d v="2016-08-04T00:00:00"/>
        <d v="2016-08-16T00:00:00"/>
        <d v="2016-07-29T00:00:00"/>
        <d v="2016-08-10T00:00:00"/>
        <d v="2016-07-25T00:00:00"/>
        <d v="2016-07-27T00:00:00"/>
        <d v="2016-07-28T00:00:00"/>
        <d v="2016-08-12T00:00:00"/>
        <d v="2016-08-11T00:00:00"/>
        <d v="2016-08-24T00:00:00"/>
        <d v="2016-08-15T00:00:00"/>
        <d v="2016-08-23T00:00:00"/>
        <d v="2016-07-19T00:00:00"/>
        <d v="2016-08-30T00:00:00"/>
        <d v="2016-08-19T00:00:00"/>
        <d v="2016-08-18T00:00:00"/>
        <d v="2016-08-31T00:00:00"/>
        <d v="2016-09-26T00:00:00"/>
        <d v="2016-09-15T00:00:00"/>
        <d v="2016-09-07T00:00:00"/>
        <d v="2016-09-06T00:00:00"/>
        <d v="2016-09-13T00:00:00"/>
        <d v="2016-10-14T00:00:00"/>
        <d v="2016-09-09T00:00:00"/>
        <d v="2016-09-02T00:00:00"/>
        <d v="2016-10-04T00:00:00"/>
        <d v="2016-10-24T00:00:00"/>
        <d v="2016-09-22T00:00:00"/>
        <d v="2016-09-23T00:00:00"/>
        <d v="2016-10-12T00:00:00"/>
        <d v="2016-08-02T00:00:00"/>
        <d v="2016-08-26T00:00:00"/>
        <d v="2016-09-29T00:00:00"/>
        <d v="2016-10-03T00:00:00"/>
        <d v="2016-10-27T00:00:00"/>
        <d v="2016-10-11T00:00:00"/>
        <d v="2016-11-08T00:00:00"/>
        <d v="2016-10-13T00:00:00"/>
        <d v="2016-10-17T00:00:00"/>
        <d v="2016-10-18T00:00:00"/>
        <d v="2016-12-22T00:00:00"/>
        <d v="2016-10-31T00:00:00"/>
        <d v="2016-10-25T00:00:00"/>
        <d v="2016-11-09T00:00:00"/>
        <d v="2016-10-28T00:00:00"/>
        <d v="2016-11-16T00:00:00"/>
        <d v="2016-11-29T00:00:00"/>
        <d v="2016-11-30T00:00:00"/>
        <d v="2016-11-15T00:00:00"/>
        <d v="2016-11-22T00:00:00"/>
        <d v="2016-12-16T00:00:00"/>
        <d v="2016-12-08T00:00:00"/>
        <d v="2016-11-21T00:00:00"/>
        <d v="2016-11-10T00:00:00"/>
        <d v="2016-11-11T00:00:00"/>
        <d v="2016-12-01T00:00:00"/>
        <d v="2016-12-14T00:00:00"/>
        <d v="2016-12-09T00:00:00"/>
        <d v="2016-12-29T00:00:00"/>
        <d v="2016-12-13T00:00:00"/>
        <d v="2016-12-21T00:00:00"/>
        <d v="2016-12-12T00:00:00"/>
        <d v="2016-12-20T00:00:00"/>
        <d v="2017-01-31T00:00:00"/>
        <d v="2017-02-03T00:00:00"/>
        <d v="2016-12-23T00:00:00"/>
        <d v="2017-01-26T00:00:00"/>
        <d v="2016-12-28T00:00:00"/>
        <d v="2017-01-13T00:00:00"/>
        <d v="2017-01-25T00:00:00"/>
        <d v="2017-01-16T00:00:00"/>
        <d v="2017-02-08T00:00:00"/>
        <d v="2017-02-09T00:00:00"/>
        <d v="2017-02-02T00:00:00"/>
        <d v="2017-01-27T00:00:00"/>
        <d v="2017-02-28T00:00:00"/>
        <d v="2017-03-10T00:00:00"/>
        <d v="2017-02-13T00:00:00"/>
        <d v="2017-02-15T00:00:00"/>
        <d v="2017-02-21T00:00:00"/>
        <d v="2017-02-07T00:00:00"/>
        <d v="2017-03-03T00:00:00"/>
        <d v="2017-02-27T00:00:00"/>
        <d v="2017-02-10T00:00:00"/>
        <d v="2017-03-22T00:00:00"/>
        <d v="2017-03-06T00:00:00"/>
        <d v="2017-02-06T00:00:00"/>
        <d v="2017-03-14T00:00:00"/>
        <d v="2017-02-20T00:00:00"/>
        <d v="2017-03-20T00:00:00"/>
        <d v="2017-03-13T00:00:00"/>
        <d v="2017-02-01T00:00:00"/>
        <d v="2017-03-07T00:00:00"/>
        <d v="2017-03-09T00:00:00"/>
        <d v="2017-03-16T00:00:00"/>
        <d v="2017-03-27T00:00:00"/>
        <d v="2017-03-17T00:00:00"/>
        <d v="2017-04-04T00:00:00"/>
        <d v="2017-04-06T00:00:00"/>
        <d v="2017-03-23T00:00:00"/>
        <d v="2017-04-18T00:00:00"/>
        <d v="2017-03-24T00:00:00"/>
        <d v="2017-04-10T00:00:00"/>
        <d v="2017-04-20T00:00:00"/>
        <d v="2017-03-28T00:00:00"/>
        <d v="2017-04-28T00:00:00"/>
        <d v="2017-03-29T00:00:00"/>
        <d v="2017-03-31T00:00:00"/>
        <d v="2017-03-21T00:00:00"/>
        <d v="2017-04-03T00:00:00"/>
        <d v="2017-04-11T00:00:00"/>
        <d v="2017-04-07T00:00:00"/>
        <d v="2017-04-12T00:00:00"/>
        <d v="2017-04-13T00:00:00"/>
        <d v="2017-05-10T00:00:00"/>
        <d v="2017-04-05T00:00:00"/>
        <d v="2017-04-14T00:00:00"/>
        <d v="2017-04-19T00:00:00"/>
        <d v="2017-04-21T00:00:00"/>
        <d v="2017-04-25T00:00:00"/>
        <d v="2017-05-11T00:00:00"/>
        <d v="2017-05-12T00:00:00"/>
        <d v="2017-05-18T00:00:00"/>
        <d v="2017-05-05T00:00:00"/>
        <d v="2017-05-22T00:00:00"/>
        <d v="2017-06-06T00:00:00"/>
        <d v="2017-06-05T00:00:00"/>
        <d v="2017-05-19T00:00:00"/>
        <d v="2017-06-09T00:00:00"/>
        <d v="2017-05-24T00:00:00"/>
        <d v="2017-04-24T00:00:00"/>
        <d v="2017-05-23T00:00:00"/>
        <d v="2017-05-26T00:00:00"/>
        <d v="2017-06-07T00:00:00"/>
        <d v="2017-05-30T00:00:00"/>
        <d v="2017-05-29T00:00:00"/>
        <d v="2017-07-07T00:00:00"/>
        <d v="2017-07-05T00:00:00"/>
        <d v="2017-07-06T00:00:00"/>
        <d v="2017-06-13T00:00:00"/>
        <d v="2017-05-17T00:00:00"/>
        <d v="2017-06-02T00:00:00"/>
        <d v="2017-07-04T00:00:00"/>
        <d v="2017-06-27T00:00:00"/>
        <d v="2017-05-06T00:00:00"/>
        <d v="2017-06-15T00:00:00"/>
        <d v="2017-06-14T00:00:00"/>
        <d v="2017-06-16T00:00:00"/>
        <d v="2017-05-31T00:00:00"/>
        <d v="2017-06-23T00:00:00"/>
        <d v="2017-07-28T00:00:00"/>
        <d v="2017-06-28T00:00:00"/>
        <d v="2017-07-03T00:00:00"/>
        <d v="2017-07-14T00:00:00"/>
        <d v="2017-08-01T00:00:00"/>
        <d v="2017-06-21T00:00:00"/>
        <d v="2017-07-18T00:00:00"/>
        <d v="2017-07-12T00:00:00"/>
        <d v="2017-07-13T00:00:00"/>
        <d v="2017-07-11T00:00:00"/>
        <d v="2018-03-07T00:00:00"/>
        <d v="2017-07-26T00:00:00"/>
        <d v="2017-07-24T00:00:00"/>
        <d v="2017-08-09T00:00:00"/>
        <d v="2017-08-02T00:00:00"/>
        <d v="2017-07-17T00:00:00"/>
        <d v="2017-08-04T00:00:00"/>
        <d v="2017-08-07T00:00:00"/>
        <d v="2017-08-08T00:00:00"/>
        <d v="2017-08-03T00:00:00"/>
        <d v="2017-08-11T00:00:00"/>
        <d v="2017-08-10T00:00:00"/>
        <d v="2017-08-14T00:00:00"/>
        <d v="2017-08-15T00:00:00"/>
        <d v="2017-09-12T00:00:00"/>
        <d v="2017-08-16T00:00:00"/>
        <d v="2017-08-17T00:00:00"/>
        <d v="2017-07-31T00:00:00"/>
        <d v="2017-08-23T00:00:00"/>
        <d v="2017-08-24T00:00:00"/>
        <d v="2017-09-11T00:00:00"/>
        <d v="2017-09-14T00:00:00"/>
        <d v="2017-08-25T00:00:00"/>
        <d v="2017-09-01T00:00:00"/>
        <d v="2017-09-04T00:00:00"/>
        <d v="2017-10-05T00:00:00"/>
        <d v="2017-09-05T00:00:00"/>
        <d v="2017-10-02T00:00:00"/>
        <d v="2017-09-06T00:00:00"/>
        <d v="2017-10-04T00:00:00"/>
        <d v="2017-10-24T00:00:00"/>
        <d v="2017-10-13T00:00:00"/>
        <d v="2017-09-29T00:00:00"/>
        <d v="2017-09-20T00:00:00"/>
        <d v="2017-09-21T00:00:00"/>
        <d v="2017-09-28T00:00:00"/>
        <d v="2017-10-09T00:00:00"/>
        <d v="2017-10-03T00:00:00"/>
        <d v="2017-11-03T00:00:00"/>
        <d v="2017-09-26T00:00:00"/>
        <d v="2017-10-06T00:00:00"/>
        <d v="2017-10-18T00:00:00"/>
        <d v="2017-11-17T00:00:00"/>
        <d v="2017-10-27T00:00:00"/>
        <d v="2017-10-19T00:00:00"/>
        <d v="2017-09-08T00:00:00"/>
        <d v="2017-10-20T00:00:00"/>
        <d v="2017-10-10T00:00:00"/>
        <d v="2017-10-16T00:00:00"/>
        <d v="2017-10-23T00:00:00"/>
        <d v="2017-10-31T00:00:00"/>
        <d v="2017-11-23T00:00:00"/>
        <d v="2017-10-11T00:00:00"/>
        <d v="2017-11-16T00:00:00"/>
        <d v="2017-10-25T00:00:00"/>
        <d v="2017-09-18T00:00:00"/>
        <d v="2017-10-26T00:00:00"/>
        <d v="2017-10-30T00:00:00"/>
        <d v="2017-11-15T00:00:00"/>
        <d v="2017-11-02T00:00:00"/>
        <d v="2017-11-08T00:00:00"/>
        <d v="2017-11-09T00:00:00"/>
        <d v="2017-11-11T00:00:00"/>
        <d v="2017-11-14T00:00:00"/>
        <d v="2017-12-29T00:00:00"/>
        <d v="2017-11-21T00:00:00"/>
        <d v="2017-12-07T00:00:00"/>
        <d v="2017-11-24T00:00:00"/>
        <d v="2017-11-20T00:00:00"/>
        <d v="2017-11-27T00:00:00"/>
        <d v="2017-12-06T00:00:00"/>
        <d v="2017-11-22T00:00:00"/>
        <d v="2017-12-15T00:00:00"/>
        <d v="2017-11-30T00:00:00"/>
        <d v="2017-12-14T00:00:00"/>
        <d v="2017-12-08T00:00:00"/>
        <d v="2017-12-05T00:00:00"/>
        <d v="2017-12-04T00:00:00"/>
        <d v="2017-12-11T00:00:00"/>
        <d v="2017-12-12T00:00:00"/>
        <d v="2017-12-18T00:00:00"/>
        <d v="2017-12-13T00:00:00"/>
        <d v="2018-02-20T00:00:00"/>
        <d v="2017-12-20T00:00:00"/>
        <d v="2018-03-27T00:00:00"/>
        <d v="2018-01-23T00:00:00"/>
        <d v="2018-03-30T00:00:00"/>
        <d v="2017-12-22T00:00:00"/>
        <d v="2017-12-26T00:00:00"/>
        <d v="2017-11-28T00:00:00"/>
        <d v="2017-12-28T00:00:00"/>
        <d v="2017-12-27T00:00:00"/>
        <d v="2018-01-11T00:00:00"/>
        <d v="2018-02-02T00:00:00"/>
        <d v="2018-01-15T00:00:00"/>
        <d v="2018-01-29T00:00:00"/>
        <d v="2018-01-31T00:00:00"/>
        <d v="2017-12-25T00:00:00"/>
        <d v="2018-01-26T00:00:00"/>
        <d v="2018-01-22T00:00:00"/>
        <d v="2018-01-24T00:00:00"/>
        <d v="2018-01-18T00:00:00"/>
        <d v="2018-02-01T00:00:00"/>
        <d v="2018-02-21T00:00:00"/>
        <d v="2018-04-16T00:00:00"/>
        <d v="2018-02-13T00:00:00"/>
        <d v="2018-02-07T00:00:00"/>
        <d v="2018-02-16T00:00:00"/>
        <d v="2018-02-19T00:00:00"/>
        <d v="2018-02-22T00:00:00"/>
        <d v="2018-03-06T00:00:00"/>
        <d v="2018-03-28T00:00:00"/>
        <d v="2018-02-27T00:00:00"/>
        <d v="2018-03-01T00:00:00"/>
        <d v="2018-02-15T00:00:00"/>
        <d v="2018-03-02T00:00:00"/>
        <d v="2018-03-29T00:00:00"/>
        <d v="2018-04-04T00:00:00"/>
        <d v="2018-03-05T00:00:00"/>
        <d v="2018-03-23T00:00:00"/>
        <d v="2018-03-26T00:00:00"/>
        <d v="2018-03-22T00:00:00"/>
        <d v="2018-03-19T00:00:00"/>
        <d v="2018-03-20T00:00:00"/>
        <d v="2018-04-17T00:00:00"/>
        <d v="2018-05-16T00:00:00"/>
        <d v="2018-04-11T00:00:00"/>
        <d v="2018-05-15T00:00:00"/>
        <d v="2018-04-19T00:00:00"/>
        <d v="2018-03-14T00:00:00"/>
        <d v="2018-05-28T00:00:00"/>
        <d v="2018-04-09T00:00:00"/>
        <d v="2018-04-13T00:00:00"/>
        <d v="2018-04-03T00:00:00"/>
        <d v="2018-04-21T00:00:00"/>
        <d v="2017-12-19T00:00:00"/>
        <d v="2018-05-11T00:00:00"/>
        <d v="2018-04-25T00:00:00"/>
        <d v="2018-04-20T00:00:00"/>
        <d v="2018-04-27T00:00:00"/>
        <d v="2018-05-10T00:00:00"/>
        <d v="2018-05-04T00:00:00"/>
        <d v="2018-05-23T00:00:00"/>
        <d v="2018-04-18T00:00:00"/>
        <d v="2018-06-15T00:00:00"/>
        <d v="2018-04-02T00:00:00"/>
        <d v="2018-04-26T00:00:00"/>
        <d v="2018-05-18T00:00:00"/>
        <d v="2018-05-17T00:00:00"/>
        <d v="2018-05-30T00:00:00"/>
        <d v="2018-06-01T00:00:00"/>
        <d v="2018-05-21T00:00:00"/>
        <d v="2018-05-08T00:00:00"/>
        <d v="2018-05-22T00:00:00"/>
        <d v="2018-06-06T00:00:00"/>
        <d v="2018-06-08T00:00:00"/>
        <d v="2018-05-03T00:00:00"/>
        <d v="2018-06-05T00:00:00"/>
        <d v="2018-06-07T00:00:00"/>
        <d v="2018-06-02T00:00:00"/>
        <d v="2018-06-18T00:00:00"/>
        <d v="2018-05-29T00:00:00"/>
        <d v="2018-06-13T00:00:00"/>
        <d v="2018-06-14T00:00:00"/>
        <d v="2018-06-26T00:00:00"/>
        <d v="2018-06-25T00:00:00"/>
        <d v="2018-08-15T00:00:00"/>
        <d v="2018-07-04T00:00:00"/>
        <d v="2018-06-28T00:00:00"/>
        <d v="2018-06-19T00:00:00"/>
        <d v="2018-06-22T00:00:00"/>
        <d v="2018-06-20T00:00:00"/>
        <d v="2018-07-06T00:00:00"/>
        <d v="2018-07-24T00:00:00"/>
        <d v="2018-07-10T00:00:00"/>
        <d v="2018-07-09T00:00:00"/>
        <d v="2018-06-21T00:00:00"/>
        <d v="2018-07-02T00:00:00"/>
        <d v="2018-06-09T00:00:00"/>
        <d v="2018-07-18T00:00:00"/>
        <d v="2018-07-17T00:00:00"/>
        <d v="2018-07-27T00:00:00"/>
        <d v="2018-07-31T00:00:00"/>
        <d v="2018-07-13T00:00:00"/>
        <d v="2018-07-25T00:00:00"/>
        <d v="2018-07-20T00:00:00"/>
        <d v="2018-08-07T00:00:00"/>
        <d v="2018-07-19T00:00:00"/>
        <d v="2018-08-01T00:00:00"/>
        <d v="2018-08-03T00:00:00"/>
        <d v="2018-08-02T00:00:00"/>
        <d v="2018-08-06T00:00:00"/>
        <d v="2018-08-29T00:00:00"/>
        <d v="2018-08-13T00:00:00"/>
        <d v="2018-08-16T00:00:00"/>
        <d v="2018-08-21T00:00:00"/>
        <d v="2018-07-30T00:00:00"/>
        <d v="2018-09-25T00:00:00"/>
        <d v="2018-08-22T00:00:00"/>
        <d v="2018-09-24T00:00:00"/>
        <d v="2018-08-20T00:00:00"/>
        <d v="2018-08-17T00:00:00"/>
        <d v="2018-08-27T00:00:00"/>
        <d v="2018-08-14T00:00:00"/>
        <d v="2018-08-08T00:00:00"/>
        <d v="2018-09-04T00:00:00"/>
        <d v="2018-09-27T00:00:00"/>
        <d v="2018-09-18T00:00:00"/>
        <d v="2018-10-08T00:00:00"/>
        <d v="2018-09-10T00:00:00"/>
        <d v="2018-09-17T00:00:00"/>
        <d v="2018-09-06T00:00:00"/>
        <d v="2018-09-11T00:00:00"/>
        <d v="2018-09-14T00:00:00"/>
        <d v="2018-08-24T00:00:00"/>
        <d v="2018-08-09T00:00:00"/>
        <d v="2018-10-04T00:00:00"/>
        <d v="2018-10-05T00:00:00"/>
        <d v="2018-10-30T00:00:00"/>
        <d v="2018-10-19T00:00:00"/>
        <d v="2018-09-28T00:00:00"/>
        <d v="2018-10-24T00:00:00"/>
        <d v="2018-10-12T00:00:00"/>
        <d v="2018-10-26T00:00:00"/>
        <d v="2018-10-25T00:00:00"/>
        <d v="2018-10-16T00:00:00"/>
        <d v="2018-10-17T00:00:00"/>
        <d v="2018-10-09T00:00:00"/>
        <d v="2018-11-14T00:00:00"/>
        <d v="2018-12-05T00:00:00"/>
        <d v="2018-11-21T00:00:00"/>
        <d v="2018-10-22T00:00:00"/>
        <d v="2018-11-07T00:00:00"/>
        <d v="2018-10-23T00:00:00"/>
        <d v="2018-10-01T00:00:00"/>
        <d v="2018-11-01T00:00:00"/>
        <d v="2018-12-04T00:00:00"/>
        <d v="2018-12-03T00:00:00"/>
        <d v="2018-11-26T00:00:00"/>
        <d v="2018-11-12T00:00:00"/>
        <d v="2018-11-29T00:00:00"/>
        <d v="2018-11-28T00:00:00"/>
        <d v="2018-12-27T00:00:00"/>
        <d v="2018-12-13T00:00:00"/>
        <d v="2018-12-06T00:00:00"/>
        <d v="2018-11-19T00:00:00"/>
        <d v="2018-12-19T00:00:00"/>
        <d v="2018-12-07T00:00:00"/>
        <d v="2018-12-12T00:00:00"/>
        <d v="2018-12-18T00:00:00"/>
        <d v="2018-12-14T00:00:00"/>
        <d v="2018-12-20T00:00:00"/>
        <d v="2019-01-11T00:00:00"/>
        <d v="2018-12-25T00:00:00"/>
        <d v="2018-12-11T00:00:00"/>
        <d v="2019-01-21T00:00:00"/>
        <d v="2018-12-24T00:00:00"/>
        <d v="2019-01-22T00:00:00"/>
        <d v="2019-01-17T00:00:00"/>
        <d v="2018-12-26T00:00:00"/>
        <d v="2019-01-10T00:00:00"/>
        <d v="2019-01-23T00:00:00"/>
        <d v="2019-02-22T00:00:00"/>
        <d v="2019-02-04T00:00:00"/>
        <d v="2019-02-08T00:00:00"/>
        <d v="2018-12-28T00:00:00"/>
        <d v="2019-01-18T00:00:00"/>
        <d v="2018-12-21T00:00:00"/>
        <d v="2019-01-31T00:00:00"/>
        <d v="2019-02-13T00:00:00"/>
        <d v="2019-02-14T00:00:00"/>
        <d v="2019-03-05T00:00:00"/>
        <d v="2019-02-18T00:00:00"/>
        <d v="2019-03-06T00:00:00"/>
        <d v="2019-02-20T00:00:00"/>
        <d v="2019-03-19T00:00:00"/>
        <d v="2019-02-26T00:00:00"/>
        <d v="2019-02-27T00:00:00"/>
        <d v="2019-03-04T00:00:00"/>
        <d v="2019-03-13T00:00:00"/>
        <d v="2019-03-20T00:00:00"/>
        <d v="2019-03-14T00:00:00"/>
        <d v="2019-03-15T00:00:00"/>
        <d v="2019-03-28T00:00:00"/>
        <d v="2019-03-21T00:00:00"/>
        <d v="2019-04-02T00:00:00"/>
        <d v="2019-04-03T00:00:00"/>
        <d v="2019-03-22T00:00:00"/>
        <d v="2019-03-11T00:00:00"/>
        <d v="2019-06-18T00:00:00"/>
        <d v="2019-04-04T00:00:00"/>
        <d v="2019-04-01T00:00:00"/>
        <d v="2019-03-29T00:00:00"/>
        <d v="2019-04-11T00:00:00"/>
        <d v="2019-04-10T00:00:00"/>
        <d v="2019-04-05T00:00:00"/>
        <d v="2019-04-15T00:00:00"/>
        <d v="2019-04-08T00:00:00"/>
        <d v="2019-03-25T00:00:00"/>
        <d v="2019-03-27T00:00:00"/>
        <d v="2019-04-16T00:00:00"/>
        <d v="2019-05-13T00:00:00"/>
        <d v="2019-04-22T00:00:00"/>
        <d v="2019-04-18T00:00:00"/>
        <d v="2019-04-17T00:00:00"/>
        <d v="2019-04-12T00:00:00"/>
        <d v="2019-05-06T00:00:00"/>
        <d v="2019-03-18T00:00:00"/>
        <d v="2019-05-14T00:00:00"/>
        <d v="2019-04-24T00:00:00"/>
        <d v="2019-04-29T00:00:00"/>
        <d v="2019-05-07T00:00:00"/>
        <d v="2019-04-30T00:00:00"/>
        <d v="2019-05-24T00:00:00"/>
        <d v="2019-06-13T00:00:00"/>
        <d v="2019-05-16T00:00:00"/>
        <d v="2019-06-06T00:00:00"/>
        <d v="2019-05-30T00:00:00"/>
        <d v="2019-05-20T00:00:00"/>
        <d v="2019-06-17T00:00:00"/>
        <d v="2019-05-08T00:00:00"/>
        <d v="2019-05-23T00:00:00"/>
        <d v="2019-05-28T00:00:00"/>
        <d v="2019-05-17T00:00:00"/>
        <d v="2019-06-03T00:00:00"/>
        <d v="2019-06-11T00:00:00"/>
        <d v="2019-06-19T00:00:00"/>
        <d v="2019-06-10T00:00:00"/>
        <d v="2019-05-22T00:00:00"/>
        <d v="2019-06-14T00:00:00"/>
        <d v="2019-06-21T00:00:00"/>
        <d v="2019-06-20T00:00:00"/>
        <d v="2019-07-05T00:00:00"/>
        <d v="2019-07-10T00:00:00"/>
        <d v="2019-06-27T00:00:00"/>
        <d v="2019-07-08T00:00:00"/>
        <d v="2019-06-25T00:00:00"/>
        <d v="2019-07-03T00:00:00"/>
        <d v="2019-07-11T00:00:00"/>
        <d v="2019-08-19T00:00:00"/>
        <d v="2019-07-09T00:00:00"/>
        <d v="2019-07-19T00:00:00"/>
        <d v="2019-07-02T00:00:00"/>
        <d v="2019-07-04T00:00:00"/>
        <d v="2019-07-17T00:00:00"/>
        <d v="2019-07-06T00:00:00"/>
        <d v="2019-08-07T00:00:00"/>
        <d v="2019-07-12T00:00:00"/>
        <d v="2019-08-28T00:00:00"/>
        <d v="2019-07-15T00:00:00"/>
        <d v="2019-08-16T00:00:00"/>
        <d v="2019-07-18T00:00:00"/>
        <d v="2019-07-16T00:00:00"/>
        <d v="2019-08-06T00:00:00"/>
        <d v="2019-07-25T00:00:00"/>
        <d v="2019-08-26T00:00:00"/>
        <d v="2019-07-26T00:00:00"/>
        <d v="2019-07-31T00:00:00"/>
        <d v="2019-08-01T00:00:00"/>
        <d v="2019-08-29T00:00:00"/>
        <d v="2019-08-05T00:00:00"/>
        <d v="2019-09-02T00:00:00"/>
        <d v="2019-08-09T00:00:00"/>
        <d v="2019-08-20T00:00:00"/>
        <d v="2019-08-15T00:00:00"/>
        <d v="2019-09-23T00:00:00"/>
        <d v="2019-08-30T00:00:00"/>
        <d v="2019-09-11T00:00:00"/>
        <d v="2019-08-22T00:00:00"/>
        <d v="2019-08-21T00:00:00"/>
        <d v="2019-08-23T00:00:00"/>
        <d v="2019-09-03T00:00:00"/>
        <d v="2019-10-07T00:00:00"/>
        <d v="2019-09-05T00:00:00"/>
        <d v="2019-09-18T00:00:00"/>
        <d v="2019-11-19T00:00:00"/>
        <d v="2019-09-06T00:00:00"/>
        <d v="2019-09-12T00:00:00"/>
        <d v="2019-09-20T00:00:00"/>
        <d v="2019-09-17T00:00:00"/>
        <d v="2019-09-13T00:00:00"/>
        <d v="2019-10-22T00:00:00"/>
        <d v="2019-10-18T00:00:00"/>
        <d v="2019-09-19T00:00:00"/>
        <d v="2019-09-25T00:00:00"/>
        <d v="2019-11-18T00:00:00"/>
        <d v="2019-10-01T00:00:00"/>
        <d v="2019-10-03T00:00:00"/>
        <d v="2019-10-04T00:00:00"/>
        <d v="2019-10-08T00:00:00"/>
        <d v="2019-11-01T00:00:00"/>
        <d v="2019-10-31T00:00:00"/>
        <d v="2019-10-17T00:00:00"/>
        <d v="2019-10-10T00:00:00"/>
        <d v="2019-10-25T00:00:00"/>
        <d v="2019-10-14T00:00:00"/>
        <d v="2019-10-29T00:00:00"/>
        <d v="2019-09-26T00:00:00"/>
        <d v="2019-11-08T00:00:00"/>
        <d v="2019-11-05T00:00:00"/>
        <d v="2019-11-12T00:00:00"/>
        <d v="2019-10-30T00:00:00"/>
        <d v="2020-01-09T00:00:00"/>
        <d v="2019-11-13T00:00:00"/>
        <d v="2019-12-06T00:00:00"/>
        <d v="2019-12-10T00:00:00"/>
        <d v="2019-11-29T00:00:00"/>
        <d v="2019-11-27T00:00:00"/>
        <d v="2019-11-26T00:00:00"/>
        <d v="2019-12-02T00:00:00"/>
        <d v="2019-10-16T00:00:00"/>
        <d v="2019-12-09T00:00:00"/>
        <d v="2019-11-25T00:00:00"/>
        <d v="2019-12-05T00:00:00"/>
        <d v="2020-02-14T00:00:00"/>
        <d v="2019-11-07T00:00:00"/>
        <d v="2019-12-13T00:00:00"/>
        <d v="2020-01-15T00:00:00"/>
        <d v="2020-01-22T00:00:00"/>
        <d v="2019-12-18T00:00:00"/>
        <d v="2019-12-27T00:00:00"/>
        <d v="2019-11-22T00:00:00"/>
        <d v="2019-12-16T00:00:00"/>
        <d v="2019-12-24T00:00:00"/>
        <d v="2019-12-19T00:00:00"/>
        <d v="2019-12-23T00:00:00"/>
        <d v="2019-12-20T00:00:00"/>
        <d v="2020-01-28T00:00:00"/>
        <d v="2019-12-25T00:00:00"/>
        <d v="2019-12-26T00:00:00"/>
        <d v="2020-01-20T00:00:00"/>
        <d v="2020-01-21T00:00:00"/>
        <d v="2020-03-13T00:00:00"/>
        <d v="2019-12-17T00:00:00"/>
        <d v="2020-01-31T00:00:00"/>
        <d v="2020-02-07T00:00:00"/>
        <d v="2020-01-24T00:00:00"/>
        <d v="2020-01-29T00:00:00"/>
        <d v="2020-01-30T00:00:00"/>
        <d v="2020-01-17T00:00:00"/>
        <d v="2020-02-05T00:00:00"/>
        <d v="2020-02-25T00:00:00"/>
        <d v="2020-02-06T00:00:00"/>
        <d v="2020-02-27T00:00:00"/>
        <d v="2020-01-27T00:00:00"/>
        <d v="2020-02-10T00:00:00"/>
        <d v="2020-02-28T00:00:00"/>
        <d v="2020-03-03T00:00:00"/>
        <d v="2020-03-02T00:00:00"/>
        <d v="2020-03-23T00:00:00"/>
        <d v="2020-02-19T00:00:00"/>
        <d v="2020-02-20T00:00:00"/>
        <d v="2020-02-26T00:00:00"/>
        <d v="2020-07-23T00:00:00"/>
        <d v="2020-03-11T00:00:00"/>
        <d v="2020-03-24T00:00:00"/>
        <d v="2020-03-06T00:00:00"/>
        <d v="2020-04-07T00:00:00"/>
        <d v="2020-03-20T00:00:00"/>
        <d v="2020-03-18T00:00:00"/>
        <d v="2020-03-04T00:00:00"/>
        <d v="2020-03-19T00:00:00"/>
        <d v="2020-03-10T00:00:00"/>
        <d v="2020-03-05T00:00:00"/>
        <d v="2020-03-17T00:00:00"/>
        <d v="2020-03-27T00:00:00"/>
        <d v="2020-03-16T00:00:00"/>
        <d v="2020-04-09T00:00:00"/>
        <d v="2020-03-25T00:00:00"/>
        <d v="2020-04-10T00:00:00"/>
        <d v="2020-03-30T00:00:00"/>
        <d v="2020-03-26T00:00:00"/>
        <d v="2020-02-17T00:00:00"/>
        <d v="2020-04-17T00:00:00"/>
        <d v="2020-05-08T00:00:00"/>
        <d v="2020-04-06T00:00:00"/>
        <d v="2020-04-13T00:00:00"/>
        <d v="2020-05-15T00:00:00"/>
        <d v="2020-04-21T00:00:00"/>
        <d v="2020-04-16T00:00:00"/>
        <d v="2020-04-24T00:00:00"/>
        <d v="2020-04-30T00:00:00"/>
        <d v="2020-04-27T00:00:00"/>
        <d v="2020-04-29T00:00:00"/>
        <d v="2020-05-07T00:00:00"/>
        <d v="2020-04-14T00:00:00"/>
        <d v="2020-05-18T00:00:00"/>
        <d v="2020-04-22T00:00:00"/>
        <d v="2020-05-22T00:00:00"/>
        <d v="2020-05-26T00:00:00"/>
        <d v="2020-05-14T00:00:00"/>
        <d v="2020-05-19T00:00:00"/>
        <d v="2020-10-13T00:00:00"/>
        <d v="2020-06-05T00:00:00"/>
        <d v="2020-05-25T00:00:00"/>
        <d v="2020-06-02T00:00:00"/>
        <d v="2020-06-09T00:00:00"/>
        <d v="2020-06-10T00:00:00"/>
        <d v="2020-07-02T00:00:00"/>
        <d v="2020-05-20T00:00:00"/>
        <d v="2020-06-08T00:00:00"/>
        <d v="2020-06-11T00:00:00"/>
        <d v="2020-06-29T00:00:00"/>
        <d v="2020-07-20T00:00:00"/>
        <d v="2020-10-19T00:00:00"/>
        <d v="2020-06-25T00:00:00"/>
        <d v="2020-06-30T00:00:00"/>
        <d v="2020-07-17T00:00:00"/>
        <d v="2020-07-07T00:00:00"/>
        <d v="2020-07-04T00:00:00"/>
        <d v="2020-07-28T00:00:00"/>
        <d v="2020-07-03T00:00:00"/>
        <d v="2020-07-15T00:00:00"/>
        <d v="2020-07-08T00:00:00"/>
        <d v="2020-07-10T00:00:00"/>
        <d v="2020-07-16T00:00:00"/>
        <d v="2020-07-30T00:00:00"/>
        <d v="2020-06-04T00:00:00"/>
        <d v="2020-07-21T00:00:00"/>
        <d v="2020-08-14T00:00:00"/>
        <d v="2020-05-27T00:00:00"/>
        <d v="2020-08-06T00:00:00"/>
        <d v="2020-08-05T00:00:00"/>
        <d v="2020-08-12T00:00:00"/>
        <d v="2020-07-29T00:00:00"/>
        <d v="2020-08-26T00:00:00"/>
        <d v="2020-08-13T00:00:00"/>
        <d v="2020-07-27T00:00:00"/>
        <d v="2020-08-21T00:00:00"/>
        <d v="2020-07-22T00:00:00"/>
        <d v="2020-05-21T00:00:00"/>
        <d v="2020-06-01T00:00:00"/>
        <d v="2020-08-19T00:00:00"/>
        <d v="2020-09-02T00:00:00"/>
        <d v="2020-08-24T00:00:00"/>
        <d v="2020-09-16T00:00:00"/>
        <d v="2020-09-09T00:00:00"/>
        <d v="2020-09-30T00:00:00"/>
        <d v="2020-09-07T00:00:00"/>
        <d v="2020-11-12T00:00:00"/>
        <d v="2020-09-10T00:00:00"/>
        <d v="2020-09-29T00:00:00"/>
        <d v="2020-10-05T00:00:00"/>
        <d v="2020-08-04T00:00:00"/>
        <d v="2020-10-12T00:00:00"/>
        <d v="2020-09-24T00:00:00"/>
        <d v="2020-10-07T00:00:00"/>
        <d v="2020-09-18T00:00:00"/>
        <d v="2020-10-15T00:00:00"/>
        <d v="2020-10-16T00:00:00"/>
        <d v="2020-10-23T00:00:00"/>
        <d v="2020-11-27T00:00:00"/>
        <d v="2020-10-29T00:00:00"/>
        <d v="2020-11-19T00:00:00"/>
        <d v="2020-10-20T00:00:00"/>
        <d v="2020-11-13T00:00:00"/>
        <d v="2020-11-03T00:00:00"/>
        <d v="2020-09-25T00:00:00"/>
        <d v="2020-09-28T00:00:00"/>
        <d v="2020-11-23T00:00:00"/>
        <d v="2020-11-02T00:00:00"/>
        <d v="2020-10-06T00:00:00"/>
        <d v="2020-12-24T00:00:00"/>
        <d v="2020-10-28T00:00:00"/>
        <d v="2020-10-30T00:00:00"/>
        <d v="2020-12-06T00:00:00"/>
        <d v="2020-11-18T00:00:00"/>
        <d v="2021-01-12T00:00:00"/>
        <d v="2020-11-25T00:00:00"/>
        <d v="2020-12-04T00:00:00"/>
        <d v="2020-11-26T00:00:00"/>
        <d v="2020-11-20T00:00:00"/>
        <d v="2020-12-03T00:00:00"/>
        <d v="2020-12-09T00:00:00"/>
        <d v="2020-12-10T00:00:00"/>
        <d v="2020-12-16T00:00:00"/>
        <d v="2021-02-05T00:00:00"/>
        <d v="2020-12-11T00:00:00"/>
        <d v="2020-12-18T00:00:00"/>
        <d v="2020-12-30T00:00:00"/>
        <d v="2021-01-26T00:00:00"/>
        <d v="2020-11-06T00:00:00"/>
        <d v="2021-01-20T00:00:00"/>
        <d v="2021-01-13T00:00:00"/>
        <d v="2021-02-11T00:00:00"/>
        <d v="2021-01-11T00:00:00"/>
        <d v="2021-01-25T00:00:00"/>
        <d v="2021-02-18T00:00:00"/>
        <d v="2020-12-22T00:00:00"/>
        <d v="2021-01-29T00:00:00"/>
        <d v="2021-02-08T00:00:00"/>
        <d v="2021-03-09T00:00:00"/>
        <d v="2021-03-16T00:00:00"/>
        <d v="2020-12-29T00:00:00"/>
        <d v="2021-02-02T00:00:00"/>
        <d v="2021-02-03T00:00:00"/>
        <d v="2021-03-15T00:00:00"/>
        <d v="2021-03-02T00:00:00"/>
        <d v="2021-02-25T00:00:00"/>
        <d v="2021-02-12T00:00:00"/>
        <d v="2021-02-16T00:00:00"/>
        <d v="2021-02-26T00:00:00"/>
        <d v="2021-04-07T00:00:00"/>
        <d v="2021-03-01T00:00:00"/>
        <d v="2021-04-13T00:00:00"/>
        <d v="2021-03-10T00:00:00"/>
        <d v="2021-01-28T00:00:00"/>
        <d v="2021-04-19T00:00:00"/>
        <d v="2021-01-22T00:00:00"/>
        <d v="2021-04-12T00:00:00"/>
        <d v="2021-04-09T00:00:00"/>
        <d v="2021-03-17T00:00:00"/>
        <d v="2021-03-04T00:00:00"/>
        <d v="2021-02-27T00:00:00"/>
        <d v="2021-03-22T00:00:00"/>
        <d v="2021-03-29T00:00:00"/>
        <d v="2021-03-25T00:00:00"/>
        <d v="2021-03-11T00:00:00"/>
        <d v="2021-04-16T00:00:00"/>
        <d v="2020-12-08T00:00:00"/>
        <d v="2021-04-08T00:00:00"/>
        <d v="2021-04-20T00:00:00"/>
        <d v="2021-04-22T00:00:00"/>
        <d v="2021-04-21T00:00:00"/>
        <d v="2021-04-15T00:00:00"/>
        <d v="2021-04-27T00:00:00"/>
        <d v="2021-05-06T00:00:00"/>
        <d v="2021-03-23T00:00:00"/>
        <d v="2021-05-17T00:00:00"/>
        <d v="2021-04-29T00:00:00"/>
        <d v="2021-05-05T00:00:00"/>
        <d v="2021-03-31T00:00:00"/>
        <d v="2021-04-28T00:00:00"/>
        <d v="2021-05-26T00:00:00"/>
        <d v="2021-05-14T00:00:00"/>
        <d v="2021-05-13T00:00:00"/>
        <d v="2021-05-12T00:00:00"/>
        <d v="2021-05-18T00:00:00"/>
        <d v="2021-05-20T00:00:00"/>
        <d v="2021-05-11T00:00:00"/>
        <d v="2021-06-08T00:00:00"/>
        <d v="2021-06-02T00:00:00"/>
        <d v="2021-05-25T00:00:00"/>
        <d v="2021-05-27T00:00:00"/>
        <d v="2021-05-31T00:00:00"/>
        <d v="2021-05-28T00:00:00"/>
        <d v="2021-06-10T00:00:00"/>
        <d v="2021-06-24T00:00:00"/>
        <d v="2021-06-05T00:00:00"/>
        <d v="2021-06-09T00:00:00"/>
        <d v="2021-04-05T00:00:00"/>
        <d v="2021-06-22T00:00:00"/>
        <d v="2021-06-03T00:00:00"/>
        <d v="2021-06-15T00:00:00"/>
        <d v="2021-06-01T00:00:00"/>
        <d v="2021-06-21T00:00:00"/>
        <d v="2021-06-29T00:00:00"/>
        <d v="2021-06-17T00:00:00"/>
        <d v="2021-06-28T00:00:00"/>
        <d v="2021-07-20T00:00:00"/>
        <d v="2021-07-29T00:00:00"/>
        <d v="2021-06-16T00:00:00"/>
        <d v="2021-07-02T00:00:00"/>
        <d v="2021-07-05T00:00:00"/>
        <d v="2021-07-06T00:00:00"/>
        <d v="2021-07-07T00:00:00"/>
        <d v="2021-07-22T00:00:00"/>
        <d v="2021-07-09T00:00:00"/>
        <d v="2021-07-15T00:00:00"/>
        <d v="2021-08-04T00:00:00"/>
        <d v="2021-07-27T00:00:00"/>
        <d v="2021-07-28T00:00:00"/>
        <d v="2021-08-19T00:00:00"/>
        <d v="2021-08-17T00:00:00"/>
        <d v="2021-08-05T00:00:00"/>
        <d v="2021-08-18T00:00:00"/>
        <d v="2021-08-12T00:00:00"/>
        <d v="2021-08-11T00:00:00"/>
        <d v="2021-09-01T00:00:00"/>
        <d v="2021-08-16T00:00:00"/>
        <d v="2021-08-02T00:00:00"/>
        <d v="2021-08-24T00:00:00"/>
        <d v="2021-09-22T00:00:00"/>
        <d v="2021-09-30T00:00:00"/>
        <d v="2021-08-26T00:00:00"/>
        <d v="2021-09-02T00:00:00"/>
        <d v="2021-08-31T00:00:00"/>
        <d v="2021-09-10T00:00:00"/>
        <d v="2021-09-23T00:00:00"/>
        <d v="2021-09-03T00:00:00"/>
        <d v="2021-10-08T00:00:00"/>
        <d v="2021-09-08T00:00:00"/>
        <m/>
        <d v="2021-09-15T00:00:00"/>
        <d v="2021-09-13T00:00:00"/>
        <d v="2021-09-14T00:00:00"/>
        <d v="2021-09-29T00:00:00"/>
        <d v="2021-09-28T00:00:00"/>
        <d v="2021-09-21T00:00:00"/>
        <d v="2021-10-05T00:00:00"/>
        <d v="2021-09-27T00:00:00"/>
        <d v="2021-09-24T00:00:00"/>
        <d v="2021-08-25T00:00:00"/>
        <d v="2021-10-22T00:00:00"/>
        <d v="2021-12-27T00:00:00"/>
        <d v="2021-10-13T00:00:00"/>
        <d v="2021-10-07T00:00:00"/>
        <d v="2021-10-27T00:00:00"/>
        <d v="2021-07-08T00:00:00"/>
        <d v="2021-10-19T00:00:00"/>
        <d v="2021-11-08T00:00:00"/>
        <d v="2021-10-26T00:00:00"/>
        <d v="2021-11-29T00:00:00"/>
        <d v="2021-10-25T00:00:00"/>
        <d v="2021-12-22T00:00:00"/>
        <d v="2021-10-04T00:00:00"/>
        <d v="2021-10-29T00:00:00"/>
        <d v="2021-11-12T00:00:00"/>
        <d v="2021-11-17T00:00:00"/>
        <d v="2021-10-12T00:00:00"/>
        <d v="2021-11-22T00:00:00"/>
        <d v="2021-11-18T00:00:00"/>
        <d v="2021-11-19T00:00:00"/>
        <d v="2021-10-20T00:00:00"/>
        <d v="2021-11-15T00:00:00"/>
        <d v="2021-11-26T00:00:00"/>
        <d v="2021-11-09T00:00:00"/>
        <d v="2021-11-24T00:00:00"/>
        <d v="2022-01-10T00:00:00"/>
        <d v="2022-01-18T00:00:00"/>
        <d v="2021-12-01T00:00:00"/>
        <d v="2021-12-02T00:00:00"/>
        <d v="2021-12-06T00:00:00"/>
        <d v="2021-12-28T00:00:00"/>
        <d v="2021-12-07T00:00:00"/>
        <d v="2021-11-10T00:00:00"/>
        <d v="2021-12-16T00:00:00"/>
        <d v="2021-12-20T00:00:00"/>
        <d v="2021-12-29T00:00:00"/>
        <d v="2021-12-13T00:00:00"/>
        <d v="2021-09-07T00:00:00"/>
        <d v="2021-12-24T00:00:00"/>
        <d v="2021-11-30T00:00:00"/>
        <d v="2022-03-04T00:00:00"/>
        <d v="2022-02-15T00:00:00"/>
        <d v="2022-01-14T00:00:00"/>
        <d v="2022-01-20T00:00:00"/>
        <d v="2022-01-17T00:00:00"/>
        <d v="2022-03-02T00:00:00"/>
        <d v="2022-01-27T00:00:00"/>
        <d v="2022-02-03T00:00:00"/>
        <d v="2022-03-30T00:00:00"/>
        <d v="2021-12-14T00:00:00"/>
        <d v="2022-02-17T00:00:00"/>
        <d v="2022-02-04T00:00:00"/>
        <d v="2022-02-28T00:00:00"/>
        <d v="2022-01-24T00:00:00"/>
        <d v="2022-02-14T00:00:00"/>
        <d v="2022-03-31T00:00:00"/>
        <d v="2022-01-28T00:00:00"/>
        <d v="2022-02-26T00:00:00"/>
        <d v="2022-02-25T00:00:00"/>
        <d v="2022-02-22T00:00:00"/>
        <d v="2022-03-21T00:00:00"/>
        <d v="2022-05-11T00:00:00"/>
        <d v="2022-03-03T00:00:00"/>
        <d v="2022-03-09T00:00:00"/>
        <d v="2022-05-19T00:00:00"/>
        <d v="2022-03-05T00:00:00"/>
        <d v="2022-03-12T00:00:00"/>
        <d v="2022-03-28T00:00:00"/>
        <d v="2022-04-01T00:00:00"/>
        <d v="2022-03-25T00:00:00"/>
        <d v="2022-03-15T00:00:00"/>
        <d v="2022-03-17T00:00:00"/>
        <d v="2022-02-08T00:00:00"/>
        <d v="2022-03-24T00:00:00"/>
        <d v="2022-05-18T00:00:00"/>
        <d v="2022-05-12T00:00:00"/>
        <d v="2022-03-14T00:00:00"/>
        <d v="2022-04-06T00:00:00"/>
        <d v="2022-05-17T00:00:00"/>
        <d v="2022-04-07T00:00:00"/>
        <d v="2022-06-16T00:00:00"/>
        <d v="2022-06-01T00:00:00"/>
        <d v="2022-05-04T00:00:00"/>
        <d v="2022-06-21T00:00:00"/>
        <d v="2022-05-24T00:00:00"/>
        <d v="2022-06-03T00:00:00"/>
        <d v="2022-05-23T00:00:00"/>
        <d v="2022-05-26T00:00:00"/>
        <d v="2022-04-28T00:00:00"/>
        <d v="2022-04-29T00:00:00"/>
        <d v="2022-05-20T00:00:00"/>
        <d v="2022-05-25T00:00:00"/>
        <d v="2022-06-02T00:00:00"/>
        <d v="2022-06-07T00:00:00"/>
        <d v="2022-05-27T00:00:00"/>
        <d v="2022-06-06T00:00:00"/>
        <d v="2022-06-30T00:00:00"/>
        <d v="2022-06-09T00:00:00"/>
        <d v="2022-05-30T00:00:00"/>
        <d v="2022-06-23T00:00:00"/>
        <d v="2022-07-05T00:00:00"/>
        <d v="2022-06-17T00:00:00"/>
        <d v="2022-07-01T00:00:00"/>
        <d v="2022-06-20T00:00:00"/>
        <d v="2022-07-08T00:00:00"/>
        <d v="2022-07-18T00:00:00"/>
        <d v="2022-07-27T00:00:00"/>
        <d v="2022-07-22T00:00:00"/>
        <d v="2022-07-25T00:00:00"/>
        <d v="2022-08-12T00:00:00"/>
        <d v="2022-06-29T00:00:00"/>
        <d v="2022-08-03T00:00:00"/>
        <d v="2022-08-05T00:00:00"/>
        <d v="2022-08-09T00:00:00"/>
        <d v="2022-08-15T00:00:00"/>
        <d v="2022-08-17T00:00:00"/>
        <d v="2022-08-24T00:00:00"/>
        <d v="2022-08-19T00:00:00"/>
        <d v="2022-08-22T00:00:00"/>
        <d v="2022-09-20T00:00:00"/>
        <d v="2022-08-25T00:00:00"/>
        <d v="2022-10-03T00:00:00"/>
        <d v="2022-10-11T00:00:00"/>
        <d v="2022-09-19T00:00:00"/>
        <d v="2022-09-21T00:00:00"/>
        <d v="2022-09-06T00:00:00"/>
        <d v="2022-07-26T00:00:00"/>
        <d v="2022-08-16T00:00:00"/>
        <d v="2022-09-05T00:00:00"/>
        <d v="2022-09-23T00:00:00"/>
        <d v="2022-08-31T00:00:00"/>
        <d v="2022-09-07T00:00:00"/>
        <d v="2022-09-01T00:00:00"/>
        <d v="2022-08-11T00:00:00"/>
        <d v="2022-11-02T00:00:00"/>
        <d v="2022-09-16T00:00:00"/>
        <d v="2022-10-07T00:00:00"/>
        <d v="2022-10-12T00:00:00"/>
        <d v="2022-10-14T00:00:00"/>
        <d v="2022-10-13T00:00:00"/>
        <d v="2022-12-06T00:00:00"/>
        <d v="2022-10-17T00:00:00"/>
        <d v="2022-10-20T00:00:00"/>
        <d v="2022-10-24T00:00:00"/>
        <d v="2022-10-26T00:00:00"/>
        <d v="2022-09-28T00:00:00"/>
        <d v="2022-11-08T00:00:00"/>
        <d v="2022-10-31T00:00:00"/>
        <d v="2022-12-16T00:00:00"/>
        <d v="2022-11-10T00:00:00"/>
        <d v="2022-11-09T00:00:00"/>
        <d v="2022-11-23T00:00:00"/>
        <d v="2022-11-15T00:00:00"/>
        <d v="2022-11-16T00:00:00"/>
        <d v="2022-11-28T00:00:00"/>
        <d v="2022-12-09T00:00:00"/>
        <d v="2022-12-01T00:00:00"/>
        <d v="2022-12-07T00:00:00"/>
        <d v="2022-10-28T00:00:00"/>
        <d v="2022-12-13T00:00:00"/>
        <d v="2022-12-20T00:00:00"/>
        <d v="2022-12-23T00:00:00"/>
        <d v="2022-12-19T00:00:00"/>
        <d v="2022-11-14T00:00:00"/>
        <d v="2022-12-29T00:00:00"/>
      </sharedItems>
      <fieldGroup par="18" base="7">
        <rangePr groupBy="months" startDate="2016-01-12T00:00:00" endDate="2022-12-30T00:00:00"/>
        <groupItems count="14">
          <s v="(пусто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0.12.2022"/>
        </groupItems>
      </fieldGroup>
    </cacheField>
    <cacheField name="Продажа" numFmtId="43">
      <sharedItems containsSemiMixedTypes="0" containsString="0" containsNumber="1" minValue="102.03" maxValue="2163000" count="1785">
        <n v="2112"/>
        <n v="2488"/>
        <n v="1898.44"/>
        <n v="5379.86"/>
        <n v="3892.65"/>
        <n v="4590"/>
        <n v="5541.45"/>
        <n v="37813.65"/>
        <n v="13509.53"/>
        <n v="7000"/>
        <n v="9436.42"/>
        <n v="11960"/>
        <n v="4900"/>
        <n v="5439.84"/>
        <n v="12250"/>
        <n v="110643.69"/>
        <n v="2602"/>
        <n v="22546.15"/>
        <n v="230580"/>
        <n v="47737.52"/>
        <n v="91916"/>
        <n v="93165.63"/>
        <n v="7176.69"/>
        <n v="5991.38"/>
        <n v="9432.16"/>
        <n v="17890.689999999999"/>
        <n v="21519.439999999999"/>
        <n v="2922.15"/>
        <n v="49238.18"/>
        <n v="40937.79"/>
        <n v="85747.9"/>
        <n v="177592.3"/>
        <n v="3065.36"/>
        <n v="32080"/>
        <n v="11831.82"/>
        <n v="5198.91"/>
        <n v="27187.55"/>
        <n v="6482.92"/>
        <n v="4404.5200000000004"/>
        <n v="2719.92"/>
        <n v="18399"/>
        <n v="17625.8"/>
        <n v="6000"/>
        <n v="13108.33"/>
        <n v="15665.44"/>
        <n v="43290"/>
        <n v="5117.42"/>
        <n v="8000"/>
        <n v="110090"/>
        <n v="1433.98"/>
        <n v="79323.59"/>
        <n v="4509.96"/>
        <n v="121192.7"/>
        <n v="97890.96"/>
        <n v="14835.91"/>
        <n v="85251.28"/>
        <n v="13724.5"/>
        <n v="142294.54"/>
        <n v="142294.54999999999"/>
        <n v="47199"/>
        <n v="9224.4500000000007"/>
        <n v="64589"/>
        <n v="5174.4799999999996"/>
        <n v="22668"/>
        <n v="10741.99"/>
        <n v="32890"/>
        <n v="30699"/>
        <n v="9890"/>
        <n v="95305.56"/>
        <n v="18078.89"/>
        <n v="8952.5400000000009"/>
        <n v="28771.63"/>
        <n v="64470.33"/>
        <n v="2127.96"/>
        <n v="4130.76"/>
        <n v="31590"/>
        <n v="1950.13"/>
        <n v="9701.02"/>
        <n v="1568.36"/>
        <n v="9490"/>
        <n v="10900.87"/>
        <n v="7290"/>
        <n v="28257.17"/>
        <n v="7637.56"/>
        <n v="5040.08"/>
        <n v="267240.5"/>
        <n v="153394.79999999999"/>
        <n v="44761.39"/>
        <n v="4154.7"/>
        <n v="2181.5300000000002"/>
        <n v="5411"/>
        <n v="3200.16"/>
        <n v="15540.7"/>
        <n v="38590"/>
        <n v="10721"/>
        <n v="1537.25"/>
        <n v="20587.62"/>
        <n v="34980"/>
        <n v="12656.39"/>
        <n v="3069.18"/>
        <n v="3074.5"/>
        <n v="74912"/>
        <n v="689.42"/>
        <n v="3807.27"/>
        <n v="41690"/>
        <n v="7425.15"/>
        <n v="24877"/>
        <n v="9021.69"/>
        <n v="1073.51"/>
        <n v="4755.1099999999997"/>
        <n v="2587.2399999999998"/>
        <n v="34021.25"/>
        <n v="4256.8500000000004"/>
        <n v="10014"/>
        <n v="4611.75"/>
        <n v="1084"/>
        <n v="6028"/>
        <n v="17490"/>
        <n v="16890"/>
        <n v="1978.86"/>
        <n v="4138.28"/>
        <n v="21563.51"/>
        <n v="3555"/>
        <n v="10041.94"/>
        <n v="57078.96"/>
        <n v="5200"/>
        <n v="2450"/>
        <n v="4848.03"/>
        <n v="14580"/>
        <n v="40639.22"/>
        <n v="583257.27"/>
        <n v="52890"/>
        <n v="7761.72"/>
        <n v="10058.42"/>
        <n v="34090"/>
        <n v="62462.54"/>
        <n v="4000"/>
        <n v="3834"/>
        <n v="6618"/>
        <n v="39990"/>
        <n v="346"/>
        <n v="44290"/>
        <n v="14190"/>
        <n v="18871.810000000001"/>
        <n v="47648.27"/>
        <n v="187184.77"/>
        <n v="1304.99"/>
        <n v="1650"/>
        <n v="5392"/>
        <n v="33004.15"/>
        <n v="30390"/>
        <n v="51272"/>
        <n v="5234.9399999999996"/>
        <n v="4865.66"/>
        <n v="8177.48"/>
        <n v="29524"/>
        <n v="5194.45"/>
        <n v="22631.64"/>
        <n v="4723.78"/>
        <n v="1935"/>
        <n v="84104"/>
        <n v="23868.76"/>
        <n v="68104.240000000005"/>
        <n v="62500"/>
        <n v="125230.53"/>
        <n v="44990"/>
        <n v="2742"/>
        <n v="29590"/>
        <n v="1252.9000000000001"/>
        <n v="43590"/>
        <n v="8714"/>
        <n v="451098"/>
        <n v="5300"/>
        <n v="14688.08"/>
        <n v="5764.9"/>
        <n v="22810"/>
        <n v="658.44"/>
        <n v="8672.7199999999993"/>
        <n v="19105.84"/>
        <n v="4296.43"/>
        <n v="90590"/>
        <n v="4776.46"/>
        <n v="4472.28"/>
        <n v="9552.92"/>
        <n v="15106.39"/>
        <n v="53080"/>
        <n v="46173"/>
        <n v="26134.53"/>
        <n v="135590"/>
        <n v="51250"/>
        <n v="20504.27"/>
        <n v="22690"/>
        <n v="328"/>
        <n v="7150"/>
        <n v="7254.62"/>
        <n v="2285"/>
        <n v="3890"/>
        <n v="16380"/>
        <n v="758.15"/>
        <n v="1584"/>
        <n v="7806.96"/>
        <n v="20164.97"/>
        <n v="2951.52"/>
        <n v="9362.6"/>
        <n v="34119.74"/>
        <n v="31775"/>
        <n v="17742.22"/>
        <n v="2284.5700000000002"/>
        <n v="38790"/>
        <n v="13063.12"/>
        <n v="70397"/>
        <n v="61465.19"/>
        <n v="99507.12"/>
        <n v="1080"/>
        <n v="253571.45"/>
        <n v="867"/>
        <n v="18725.2"/>
        <n v="37646.5"/>
        <n v="770.95"/>
        <n v="54483.14"/>
        <n v="4990"/>
        <n v="98070"/>
        <n v="3855"/>
        <n v="232221.58"/>
        <n v="15990"/>
        <n v="5955"/>
        <n v="200529.71"/>
        <n v="57918"/>
        <n v="10031"/>
        <n v="5621"/>
        <n v="78380.960000000006"/>
        <n v="6130.72"/>
        <n v="12090"/>
        <n v="4335"/>
        <n v="3476"/>
        <n v="10601.29"/>
        <n v="63528.14"/>
        <n v="64300"/>
        <n v="97553.72"/>
        <n v="6050"/>
        <n v="22291"/>
        <n v="12067.86"/>
        <n v="310291.42"/>
        <n v="19260"/>
        <n v="42699.22"/>
        <n v="1319"/>
        <n v="21029"/>
        <n v="20146.669999999998"/>
        <n v="78600"/>
        <n v="32841.24"/>
        <n v="28194"/>
        <n v="168380"/>
        <n v="1517"/>
        <n v="15834.94"/>
        <n v="24714.9"/>
        <n v="4700"/>
        <n v="16795"/>
        <n v="57490"/>
        <n v="12657"/>
        <n v="10026"/>
        <n v="316630.71000000002"/>
        <n v="14598"/>
        <n v="56595"/>
        <n v="9958"/>
        <n v="9588.58"/>
        <n v="6249.67"/>
        <n v="663"/>
        <n v="10276.5"/>
        <n v="6200"/>
        <n v="19112"/>
        <n v="1324"/>
        <n v="8451"/>
        <n v="47237.8"/>
        <n v="2312.85"/>
        <n v="161626.99"/>
        <n v="11941.15"/>
        <n v="3873.32"/>
        <n v="19890"/>
        <n v="106722"/>
        <n v="48190"/>
        <n v="49578.400000000001"/>
        <n v="20777.8"/>
        <n v="45283.57"/>
        <n v="11352.22"/>
        <n v="51271.16"/>
        <n v="51565.24"/>
        <n v="3962.53"/>
        <n v="26432.799999999999"/>
        <n v="24180"/>
        <n v="28590"/>
        <n v="30700"/>
        <n v="63327.01"/>
        <n v="61580"/>
        <n v="3990"/>
        <n v="9556"/>
        <n v="238082.1"/>
        <n v="150176.26"/>
        <n v="23617.48"/>
        <n v="1206.44"/>
        <n v="120618.58"/>
        <n v="2870.12"/>
        <n v="96378"/>
        <n v="12945.82"/>
        <n v="4654"/>
        <n v="317428"/>
        <n v="4128.68"/>
        <n v="2717.33"/>
        <n v="32931"/>
        <n v="31013.27"/>
        <n v="4953.28"/>
        <n v="1932.84"/>
        <n v="97176.4"/>
        <n v="26340.09"/>
        <n v="20875.86"/>
        <n v="8948"/>
        <n v="132870"/>
        <n v="5138.8999999999996"/>
        <n v="1800"/>
        <n v="4086"/>
        <n v="12000"/>
        <n v="11500"/>
        <n v="7890"/>
        <n v="18960"/>
        <n v="8480"/>
        <n v="1504.7"/>
        <n v="8032.8"/>
        <n v="149900"/>
        <n v="4552.58"/>
        <n v="39853.15"/>
        <n v="199080"/>
        <n v="4627"/>
        <n v="9790"/>
        <n v="20895"/>
        <n v="7718.16"/>
        <n v="18242.62"/>
        <n v="1190"/>
        <n v="4190.75"/>
        <n v="104590"/>
        <n v="4468.54"/>
        <n v="115310.5"/>
        <n v="30000"/>
        <n v="118322.5"/>
        <n v="5770.92"/>
        <n v="66789.83"/>
        <n v="20100"/>
        <n v="1331.52"/>
        <n v="31673"/>
        <n v="17890"/>
        <n v="102.03"/>
        <n v="582"/>
        <n v="4920.6000000000004"/>
        <n v="6736.9"/>
        <n v="16542.93"/>
        <n v="2090"/>
        <n v="4474.68"/>
        <n v="10400"/>
        <n v="20999"/>
        <n v="68628.84"/>
        <n v="2345.4899999999998"/>
        <n v="9480"/>
        <n v="6490"/>
        <n v="28440"/>
        <n v="5444"/>
        <n v="5358"/>
        <n v="19194.18"/>
        <n v="34418.81"/>
        <n v="22236"/>
        <n v="4985"/>
        <n v="48997.09"/>
        <n v="2161"/>
        <n v="18490"/>
        <n v="26389.17"/>
        <n v="2579.42"/>
        <n v="44087.199999999997"/>
        <n v="6513"/>
        <n v="9048.24"/>
        <n v="1760.27"/>
        <n v="100945.52"/>
        <n v="12512.85"/>
        <n v="72699"/>
        <n v="18114.240000000002"/>
        <n v="16125.42"/>
        <n v="14800"/>
        <n v="4496.92"/>
        <n v="18790"/>
        <n v="4013.71"/>
        <n v="83811.37"/>
        <n v="163265.54999999999"/>
        <n v="3291"/>
        <n v="44988.79"/>
        <n v="16358.48"/>
        <n v="596.73"/>
        <n v="280640"/>
        <n v="8216.1"/>
        <n v="5390"/>
        <n v="11092.54"/>
        <n v="41400"/>
        <n v="8817.44"/>
        <n v="2179.81"/>
        <n v="18012"/>
        <n v="600"/>
        <n v="4468"/>
        <n v="7180"/>
        <n v="22199"/>
        <n v="21000"/>
        <n v="2991.3"/>
        <n v="2239.64"/>
        <n v="107.38"/>
        <n v="101974.45"/>
        <n v="11479.33"/>
        <n v="8670"/>
        <n v="10374.44"/>
        <n v="11107"/>
        <n v="17124"/>
        <n v="40190"/>
        <n v="5615.97"/>
        <n v="23099.040000000001"/>
        <n v="962"/>
        <n v="52690"/>
        <n v="4919.54"/>
        <n v="1924"/>
        <n v="203.26"/>
        <n v="23246.5"/>
        <n v="40658.120000000003"/>
        <n v="14874"/>
        <n v="11799"/>
        <n v="1495.65"/>
        <n v="1119.82"/>
        <n v="15010.96"/>
        <n v="14455"/>
        <n v="4410"/>
        <n v="4885.79"/>
        <n v="2675.3"/>
        <n v="740.16"/>
        <n v="42797.23"/>
        <n v="1279.3599999999999"/>
        <n v="114880"/>
        <n v="37636"/>
        <n v="11990"/>
        <n v="294927.26"/>
        <n v="212853.94"/>
        <n v="1529"/>
        <n v="3083.8"/>
        <n v="14730"/>
        <n v="33940"/>
        <n v="5299.97"/>
        <n v="8346.5"/>
        <n v="34034"/>
        <n v="2870"/>
        <n v="37690.639999999999"/>
        <n v="9764.1"/>
        <n v="16744"/>
        <n v="928.05"/>
        <n v="19651"/>
        <n v="5068"/>
        <n v="32878.980000000003"/>
        <n v="39483.43"/>
        <n v="10500"/>
        <n v="2100.04"/>
        <n v="2094.2600000000002"/>
        <n v="3046.53"/>
        <n v="120950"/>
        <n v="604750"/>
        <n v="99147"/>
        <n v="2286"/>
        <n v="14903.97"/>
        <n v="9390"/>
        <n v="10344"/>
        <n v="10624.15"/>
        <n v="5790"/>
        <n v="2230"/>
        <n v="553"/>
        <n v="18156.400000000001"/>
        <n v="1036"/>
        <n v="7820.34"/>
        <n v="1267"/>
        <n v="3554"/>
        <n v="1466"/>
        <n v="2500"/>
        <n v="41845.07"/>
        <n v="8938"/>
        <n v="6199"/>
        <n v="1769.7"/>
        <n v="35890"/>
        <n v="31343"/>
        <n v="32186"/>
        <n v="16090"/>
        <n v="6837.59"/>
        <n v="10704.96"/>
        <n v="3436"/>
        <n v="20919.8"/>
        <n v="999"/>
        <n v="16999"/>
        <n v="6958"/>
        <n v="2932"/>
        <n v="1279"/>
        <n v="3350"/>
        <n v="4708"/>
        <n v="17980"/>
        <n v="20970"/>
        <n v="77990"/>
        <n v="33843"/>
        <n v="134047"/>
        <n v="97484"/>
        <n v="5769"/>
        <n v="3027"/>
        <n v="1467"/>
        <n v="24442"/>
        <n v="18580"/>
        <n v="49916"/>
        <n v="8951"/>
        <n v="57043"/>
        <n v="1881"/>
        <n v="821.87"/>
        <n v="13501"/>
        <n v="13535"/>
        <n v="7954"/>
        <n v="30914"/>
        <n v="5460"/>
        <n v="7633"/>
        <n v="4843"/>
        <n v="92900"/>
        <n v="9972.0499999999993"/>
        <n v="1530"/>
        <n v="17528"/>
        <n v="8102"/>
        <n v="5914.3"/>
        <n v="1365"/>
        <n v="52538"/>
        <n v="30790"/>
        <n v="4812"/>
        <n v="18299.2"/>
        <n v="82637"/>
        <n v="1949"/>
        <n v="3242"/>
        <n v="5863"/>
        <n v="17696"/>
        <n v="9630"/>
        <n v="4499"/>
        <n v="8590"/>
        <n v="93779"/>
        <n v="70992"/>
        <n v="19708"/>
        <n v="394710"/>
        <n v="11832"/>
        <n v="12499"/>
        <n v="9420"/>
        <n v="34890"/>
        <n v="9290"/>
        <n v="27967"/>
        <n v="259208"/>
        <n v="1286"/>
        <n v="2676"/>
        <n v="2061"/>
        <n v="268598.68"/>
        <n v="2445"/>
        <n v="37221.5"/>
        <n v="62895.5"/>
        <n v="1445"/>
        <n v="4748"/>
        <n v="1002"/>
        <n v="1399.95"/>
        <n v="3701.75"/>
        <n v="6274.7"/>
        <n v="71056"/>
        <n v="30882"/>
        <n v="19399"/>
        <n v="1246.0999999999999"/>
        <n v="9847"/>
        <n v="6172"/>
        <n v="4842.84"/>
        <n v="28091.64"/>
        <n v="71886"/>
        <n v="42547"/>
        <n v="229537"/>
        <n v="6193"/>
        <n v="5915"/>
        <n v="8290"/>
        <n v="7095"/>
        <n v="1266"/>
        <n v="47790"/>
        <n v="14990"/>
        <n v="4398"/>
        <n v="4163.04"/>
        <n v="7701"/>
        <n v="1575"/>
        <n v="7307.4"/>
        <n v="1647"/>
        <n v="4552.92"/>
        <n v="16497.7"/>
        <n v="19232"/>
        <n v="25330"/>
        <n v="40646"/>
        <n v="95140"/>
        <n v="2215"/>
        <n v="155542.17000000001"/>
        <n v="2072"/>
        <n v="14246"/>
        <n v="3083"/>
        <n v="1197.6600000000001"/>
        <n v="5686"/>
        <n v="13401"/>
        <n v="124562"/>
        <n v="20044"/>
        <n v="102898"/>
        <n v="201144"/>
        <n v="1906"/>
        <n v="14571"/>
        <n v="10210"/>
        <n v="12999"/>
        <n v="35913"/>
        <n v="25250"/>
        <n v="4095"/>
        <n v="25463.8"/>
        <n v="13047"/>
        <n v="24371"/>
        <n v="5049"/>
        <n v="10012"/>
        <n v="20664"/>
        <n v="2492.1999999999998"/>
        <n v="24460"/>
        <n v="110000"/>
        <n v="5180"/>
        <n v="240815.5"/>
        <n v="7125"/>
        <n v="26212"/>
        <n v="4088"/>
        <n v="777"/>
        <n v="26908"/>
        <n v="19968"/>
        <n v="5643"/>
        <n v="134299"/>
        <n v="8848"/>
        <n v="112.2"/>
        <n v="23106"/>
        <n v="3170.5"/>
        <n v="5513"/>
        <n v="4440"/>
        <n v="11035"/>
        <n v="12340"/>
        <n v="10000"/>
        <n v="16780.8"/>
        <n v="19984.2"/>
        <n v="10032"/>
        <n v="6881"/>
        <n v="18532"/>
        <n v="2728"/>
        <n v="3209"/>
        <n v="29117.5"/>
        <n v="4090"/>
        <n v="65650"/>
        <n v="5650"/>
        <n v="4847"/>
        <n v="10179"/>
        <n v="4750"/>
        <n v="6749"/>
        <n v="10502"/>
        <n v="44500"/>
        <n v="2565"/>
        <n v="6461"/>
        <n v="4515.5"/>
        <n v="9681"/>
        <n v="23790"/>
        <n v="13190"/>
        <n v="35690"/>
        <n v="4936"/>
        <n v="4568"/>
        <n v="138060"/>
        <n v="48891"/>
        <n v="31957"/>
        <n v="72790"/>
        <n v="7910"/>
        <n v="15185"/>
        <n v="1907"/>
        <n v="859118"/>
        <n v="5064.3"/>
        <n v="3153"/>
        <n v="17694"/>
        <n v="42939"/>
        <n v="2439"/>
        <n v="838"/>
        <n v="1065"/>
        <n v="22689"/>
        <n v="12885"/>
        <n v="12396"/>
        <n v="123255"/>
        <n v="45990"/>
        <n v="95068"/>
        <n v="108570"/>
        <n v="3176"/>
        <n v="17990"/>
        <n v="1051"/>
        <n v="2108"/>
        <n v="11570"/>
        <n v="28170"/>
        <n v="1671"/>
        <n v="15761"/>
        <n v="15241"/>
        <n v="15411"/>
        <n v="13798.05"/>
        <n v="7842"/>
        <n v="6065"/>
        <n v="217556"/>
        <n v="19586"/>
        <n v="138500"/>
        <n v="1350"/>
        <n v="42484"/>
        <n v="3342"/>
        <n v="5946"/>
        <n v="669"/>
        <n v="1187"/>
        <n v="5289"/>
        <n v="2815.2"/>
        <n v="5426.4"/>
        <n v="5549"/>
        <n v="234400"/>
        <n v="7211.4"/>
        <n v="14175"/>
        <n v="37199.919999999998"/>
        <n v="99439"/>
        <n v="46230"/>
        <n v="123596"/>
        <n v="425670"/>
        <n v="53490"/>
        <n v="9208"/>
        <n v="735"/>
        <n v="9640"/>
        <n v="2544"/>
        <n v="7245"/>
        <n v="4435.3"/>
        <n v="38540"/>
        <n v="16259"/>
        <n v="63390"/>
        <n v="2160"/>
        <n v="84000.08"/>
        <n v="2953.75"/>
        <n v="9600"/>
        <n v="2120"/>
        <n v="13198"/>
        <n v="479"/>
        <n v="25440"/>
        <n v="19990"/>
        <n v="6296"/>
        <n v="1385"/>
        <n v="87407"/>
        <n v="9044"/>
        <n v="2812"/>
        <n v="20305"/>
        <n v="33590"/>
        <n v="6301"/>
        <n v="3915"/>
        <n v="11010"/>
        <n v="52190"/>
        <n v="4890"/>
        <n v="89360"/>
        <n v="24691"/>
        <n v="22533"/>
        <n v="1246"/>
        <n v="82640"/>
        <n v="9338"/>
        <n v="5664"/>
        <n v="19336"/>
        <n v="91674"/>
        <n v="10386"/>
        <n v="21413"/>
        <n v="19334.400000000001"/>
        <n v="7350"/>
        <n v="20400"/>
        <n v="6984"/>
        <n v="416"/>
        <n v="4344"/>
        <n v="3018"/>
        <n v="8585.4"/>
        <n v="7041"/>
        <n v="6690"/>
        <n v="58600"/>
        <n v="296000"/>
        <n v="17790"/>
        <n v="18290"/>
        <n v="30642"/>
        <n v="7402"/>
        <n v="1922.7"/>
        <n v="2543"/>
        <n v="4613"/>
        <n v="9226"/>
        <n v="8490.65"/>
        <n v="4400"/>
        <n v="1656"/>
        <n v="21990"/>
        <n v="4010"/>
        <n v="5148"/>
        <n v="9908"/>
        <n v="4954"/>
        <n v="13990"/>
        <n v="5314"/>
        <n v="8910"/>
        <n v="524"/>
        <n v="19815.98"/>
        <n v="5235"/>
        <n v="25487"/>
        <n v="11540"/>
        <n v="34171"/>
        <n v="10094"/>
        <n v="2642"/>
        <n v="3810"/>
        <n v="974"/>
        <n v="22634.7"/>
        <n v="39706"/>
        <n v="3978"/>
        <n v="53558"/>
        <n v="3670"/>
        <n v="21444"/>
        <n v="151760"/>
        <n v="9613"/>
        <n v="10155"/>
        <n v="6015"/>
        <n v="9362.75"/>
        <n v="6237"/>
        <n v="78122"/>
        <n v="10706.5"/>
        <n v="6771"/>
        <n v="7242"/>
        <n v="16264"/>
        <n v="157125.75"/>
        <n v="15700"/>
        <n v="128579.91"/>
        <n v="3240"/>
        <n v="10296"/>
        <n v="9232"/>
        <n v="30089.15"/>
        <n v="15596"/>
        <n v="111443"/>
        <n v="18621"/>
        <n v="9925"/>
        <n v="6694"/>
        <n v="5100"/>
        <n v="3232"/>
        <n v="1272"/>
        <n v="1748"/>
        <n v="60781.5"/>
        <n v="5000"/>
        <n v="12412"/>
        <n v="49361"/>
        <n v="7108"/>
        <n v="51854"/>
        <n v="16722"/>
        <n v="583960"/>
        <n v="48063"/>
        <n v="4910"/>
        <n v="140640"/>
        <n v="16156"/>
        <n v="34390"/>
        <n v="9109"/>
        <n v="8086"/>
        <n v="35700"/>
        <n v="74519.899999999994"/>
        <n v="6255"/>
        <n v="29990"/>
        <n v="420000"/>
        <n v="2446"/>
        <n v="6814"/>
        <n v="44680"/>
        <n v="28766"/>
        <n v="19175.75"/>
        <n v="32588"/>
        <n v="24066"/>
        <n v="6599"/>
        <n v="6731"/>
        <n v="9800"/>
        <n v="9738"/>
        <n v="273689.65000000002"/>
        <n v="5368.6"/>
        <n v="1532"/>
        <n v="6316"/>
        <n v="5832"/>
        <n v="19816"/>
        <n v="4320"/>
        <n v="5518"/>
        <n v="25248"/>
        <n v="247758"/>
        <n v="35031"/>
        <n v="18990"/>
        <n v="8972"/>
        <n v="22231.200000000001"/>
        <n v="18105.400000000001"/>
        <n v="166"/>
        <n v="8610"/>
        <n v="8609"/>
        <n v="273486.96000000002"/>
        <n v="23078"/>
        <n v="2880"/>
        <n v="6400"/>
        <n v="4791"/>
        <n v="5486"/>
        <n v="15980"/>
        <n v="29188"/>
        <n v="20019"/>
        <n v="89715.3"/>
        <n v="3387"/>
        <n v="10352"/>
        <n v="1500"/>
        <n v="12810"/>
        <n v="412500"/>
        <n v="8018"/>
        <n v="825000"/>
        <n v="20775"/>
        <n v="7932.9"/>
        <n v="7038"/>
        <n v="63547"/>
        <n v="175800"/>
        <n v="2556"/>
        <n v="13681"/>
        <n v="6388"/>
        <n v="5561"/>
        <n v="1597"/>
        <n v="5176"/>
        <n v="914"/>
        <n v="60196"/>
        <n v="23478.3"/>
        <n v="8982"/>
        <n v="21303"/>
        <n v="51518"/>
        <n v="8996"/>
        <n v="1795"/>
        <n v="294341"/>
        <n v="8924"/>
        <n v="2000"/>
        <n v="300"/>
        <n v="1695"/>
        <n v="1203"/>
        <n v="154590"/>
        <n v="5431"/>
        <n v="1290"/>
        <n v="2162"/>
        <n v="9153.25"/>
        <n v="1535"/>
        <n v="104549"/>
        <n v="74898"/>
        <n v="13770"/>
        <n v="51860.5"/>
        <n v="55248"/>
        <n v="21918"/>
        <n v="24595"/>
        <n v="17260"/>
        <n v="2412"/>
        <n v="13277"/>
        <n v="39002"/>
        <n v="6030"/>
        <n v="10760"/>
        <n v="77058"/>
        <n v="9720"/>
        <n v="980"/>
        <n v="7700"/>
        <n v="1390"/>
        <n v="196722.6"/>
        <n v="5822"/>
        <n v="122942.6"/>
        <n v="27880"/>
        <n v="216495"/>
        <n v="24463"/>
        <n v="34990"/>
        <n v="28492"/>
        <n v="29843"/>
        <n v="10653.05"/>
        <n v="806556"/>
        <n v="205"/>
        <n v="7689"/>
        <n v="5118"/>
        <n v="2258"/>
        <n v="4050"/>
        <n v="1524"/>
        <n v="17522"/>
        <n v="869"/>
        <n v="15078"/>
        <n v="5551"/>
        <n v="5490"/>
        <n v="127056"/>
        <n v="154046.39999999999"/>
        <n v="12490"/>
        <n v="1150"/>
        <n v="11119"/>
        <n v="290937.5"/>
        <n v="21204"/>
        <n v="1688"/>
        <n v="3148"/>
        <n v="1232"/>
        <n v="2001"/>
        <n v="1278"/>
        <n v="103113"/>
        <n v="31890"/>
        <n v="21404"/>
        <n v="36921"/>
        <n v="63990"/>
        <n v="10034"/>
        <n v="4224"/>
        <n v="25165"/>
        <n v="6929"/>
        <n v="2190"/>
        <n v="3142"/>
        <n v="44619"/>
        <n v="17815"/>
        <n v="4820"/>
        <n v="4360"/>
        <n v="55580"/>
        <n v="208464"/>
        <n v="36990"/>
        <n v="14490"/>
        <n v="17640"/>
        <n v="8078"/>
        <n v="22180"/>
        <n v="3860"/>
        <n v="10255"/>
        <n v="22653"/>
        <n v="108390"/>
        <n v="32022"/>
        <n v="96790"/>
        <n v="1252"/>
        <n v="9990"/>
        <n v="41390"/>
        <n v="5040"/>
        <n v="45818"/>
        <n v="292890"/>
        <n v="10490"/>
        <n v="159515"/>
        <n v="22450.400000000001"/>
        <n v="3735.5"/>
        <n v="2183"/>
        <n v="8388"/>
        <n v="6508"/>
        <n v="15519"/>
        <n v="137266.79999999999"/>
        <n v="25202"/>
        <n v="9076"/>
        <n v="7269.5"/>
        <n v="37962"/>
        <n v="14390"/>
        <n v="26438"/>
        <n v="3194"/>
        <n v="37681"/>
        <n v="3667"/>
        <n v="19705.2"/>
        <n v="442"/>
        <n v="24990"/>
        <n v="306429"/>
        <n v="284"/>
        <n v="4792"/>
        <n v="8724"/>
        <n v="183658"/>
        <n v="1812"/>
        <n v="18598"/>
        <n v="138550.79999999999"/>
        <n v="21124"/>
        <n v="43487"/>
        <n v="1355"/>
        <n v="5138"/>
        <n v="9285"/>
        <n v="30389"/>
        <n v="27149"/>
        <n v="136296"/>
        <n v="8292.61"/>
        <n v="2001050"/>
        <n v="1314"/>
        <n v="4986"/>
        <n v="248000"/>
        <n v="81758"/>
        <n v="66090"/>
        <n v="30086"/>
        <n v="472173"/>
        <n v="3324"/>
        <n v="62000"/>
        <n v="62666.75"/>
        <n v="7730"/>
        <n v="3590"/>
        <n v="6161"/>
        <n v="4696.5"/>
        <n v="9440"/>
        <n v="78159"/>
        <n v="163114.80000000002"/>
        <n v="134619"/>
        <n v="7962"/>
        <n v="5400"/>
        <n v="998"/>
        <n v="12678"/>
        <n v="2588"/>
        <n v="12658"/>
        <n v="17108"/>
        <n v="147765"/>
        <n v="350850"/>
        <n v="15220"/>
        <n v="31104"/>
        <n v="182248"/>
        <n v="3939"/>
        <n v="66780"/>
        <n v="5604.05"/>
        <n v="5786"/>
        <n v="49390"/>
        <n v="3868"/>
        <n v="7764"/>
        <n v="18834"/>
        <n v="2690"/>
        <n v="22094"/>
        <n v="23309"/>
        <n v="4814"/>
        <n v="65490"/>
        <n v="20333"/>
        <n v="39725"/>
        <n v="11358"/>
        <n v="2700"/>
        <n v="60750"/>
        <n v="38490"/>
        <n v="10654"/>
        <n v="4880"/>
        <n v="12007"/>
        <n v="4909"/>
        <n v="4374"/>
        <n v="8223"/>
        <n v="4570"/>
        <n v="6450"/>
        <n v="22111"/>
        <n v="2315"/>
        <n v="177622.8"/>
        <n v="12940"/>
        <n v="2895"/>
        <n v="242962"/>
        <n v="9706"/>
        <n v="13294"/>
        <n v="9184"/>
        <n v="9769"/>
        <n v="50611"/>
        <n v="16824"/>
        <n v="6990"/>
        <n v="17190"/>
        <n v="2916"/>
        <n v="37619"/>
        <n v="4221"/>
        <n v="6950"/>
        <n v="4500"/>
        <n v="9942"/>
        <n v="12998"/>
        <n v="10862"/>
        <n v="32877"/>
        <n v="32961"/>
        <n v="2609"/>
        <n v="21909"/>
        <n v="5500"/>
        <n v="6600"/>
        <n v="972"/>
        <n v="2012.8"/>
        <n v="6583"/>
        <n v="1220"/>
        <n v="1118370"/>
        <n v="117500"/>
        <n v="261134.4"/>
        <n v="177516"/>
        <n v="4516"/>
        <n v="588"/>
        <n v="670"/>
        <n v="5182"/>
        <n v="118043"/>
        <n v="62215.5"/>
        <n v="30752"/>
        <n v="16900.5"/>
        <n v="8358"/>
        <n v="39690"/>
        <n v="71276"/>
        <n v="1378"/>
        <n v="1079"/>
        <n v="5772"/>
        <n v="165266"/>
        <n v="24600"/>
        <n v="51590"/>
        <n v="1333"/>
        <n v="7465"/>
        <n v="4341"/>
        <n v="19960"/>
        <n v="50688"/>
        <n v="66195"/>
        <n v="1943.95"/>
        <n v="2282"/>
        <n v="1325.15"/>
        <n v="2101.5"/>
        <n v="72540.399999999994"/>
        <n v="3213"/>
        <n v="22852"/>
        <n v="3807"/>
        <n v="17484"/>
        <n v="16458"/>
        <n v="32970"/>
        <n v="72488"/>
        <n v="22465"/>
        <n v="505"/>
        <n v="6742"/>
        <n v="4372"/>
        <n v="2538"/>
        <n v="9732"/>
        <n v="78748"/>
        <n v="19236"/>
        <n v="2494"/>
        <n v="73472"/>
        <n v="49990"/>
        <n v="5820"/>
        <n v="1934920"/>
        <n v="2559"/>
        <n v="301385"/>
        <n v="47490.5"/>
        <n v="11202"/>
        <n v="32490"/>
        <n v="541.45000000000005"/>
        <n v="1818"/>
        <n v="3805"/>
        <n v="2498"/>
        <n v="181136"/>
        <n v="335490"/>
        <n v="3952"/>
        <n v="102084"/>
        <n v="3959.3"/>
        <n v="2901.9"/>
        <n v="61125"/>
        <n v="20980"/>
        <n v="3423"/>
        <n v="2697"/>
        <n v="8689"/>
        <n v="24920"/>
        <n v="7669.55"/>
        <n v="3858"/>
        <n v="15043"/>
        <n v="7990"/>
        <n v="2055"/>
        <n v="200523"/>
        <n v="6464"/>
        <n v="615"/>
        <n v="73382"/>
        <n v="28055"/>
        <n v="22490"/>
        <n v="5458"/>
        <n v="6093.95"/>
        <n v="10766"/>
        <n v="78992"/>
        <n v="7092"/>
        <n v="6703"/>
        <n v="41580"/>
        <n v="257754"/>
        <n v="190664"/>
        <n v="9746"/>
        <n v="3726"/>
        <n v="16548"/>
        <n v="2832"/>
        <n v="56490"/>
        <n v="63767"/>
        <n v="6218"/>
        <n v="23531"/>
        <n v="155989"/>
        <n v="21800"/>
        <n v="2787"/>
        <n v="7324"/>
        <n v="33140"/>
        <n v="7162"/>
        <n v="1831"/>
        <n v="7325"/>
        <n v="7909"/>
        <n v="13310"/>
        <n v="30894"/>
        <n v="104490"/>
        <n v="49289"/>
        <n v="4682"/>
        <n v="101966"/>
        <n v="9023"/>
        <n v="90882"/>
        <n v="4905"/>
        <n v="204290"/>
        <n v="71693"/>
        <n v="38990"/>
        <n v="9904"/>
        <n v="4203"/>
        <n v="1536"/>
        <n v="53665.5"/>
        <n v="2020"/>
        <n v="17456"/>
        <n v="259378"/>
        <n v="212603"/>
        <n v="21171"/>
        <n v="71718"/>
        <n v="4325"/>
        <n v="2824"/>
        <n v="2301.8000000000002"/>
        <n v="21290"/>
        <n v="60990"/>
        <n v="10577"/>
        <n v="741"/>
        <n v="36256"/>
        <n v="38423"/>
        <n v="5928"/>
        <n v="20237"/>
        <n v="2964"/>
        <n v="205990"/>
        <n v="5944"/>
        <n v="62640"/>
        <n v="3434"/>
        <n v="9122"/>
        <n v="169090"/>
        <n v="1921"/>
        <n v="5442"/>
        <n v="7567"/>
        <n v="3328"/>
        <n v="3012"/>
        <n v="20390.650000000001"/>
        <n v="2478"/>
        <n v="3060"/>
        <n v="15888"/>
        <n v="15490"/>
        <n v="54379"/>
        <n v="4248"/>
        <n v="26190"/>
        <n v="816"/>
        <n v="886680"/>
        <n v="110793"/>
        <n v="740092"/>
        <n v="1442508"/>
        <n v="1329777"/>
        <n v="1034720"/>
        <n v="12436"/>
        <n v="5528"/>
        <n v="11017.04"/>
        <n v="10533"/>
        <n v="712000"/>
        <n v="5667"/>
        <n v="31570"/>
        <n v="7100"/>
        <n v="3879"/>
        <n v="246624"/>
        <n v="23866"/>
        <n v="108426"/>
        <n v="2204.9"/>
        <n v="2381"/>
        <n v="19041"/>
        <n v="42147"/>
        <n v="8892"/>
        <n v="2119"/>
        <n v="4389"/>
        <n v="68297"/>
        <n v="211450.3"/>
        <n v="19278"/>
        <n v="184248"/>
        <n v="14636"/>
        <n v="6620"/>
        <n v="220412"/>
        <n v="4391"/>
        <n v="9554"/>
        <n v="3138"/>
        <n v="65687"/>
        <n v="7106"/>
        <n v="146725.5"/>
        <n v="13690"/>
        <n v="3665"/>
        <n v="246537.07"/>
        <n v="6043.5"/>
        <n v="2156"/>
        <n v="12144"/>
        <n v="3269.55"/>
        <n v="7501"/>
        <n v="5702"/>
        <n v="9874"/>
        <n v="9054"/>
        <n v="2998"/>
        <n v="5799.98"/>
        <n v="40990"/>
        <n v="25886.97"/>
        <n v="698"/>
        <n v="48908.5"/>
        <n v="15002"/>
        <n v="2303"/>
        <n v="7400"/>
        <n v="69929"/>
        <n v="4128"/>
        <n v="18750"/>
        <n v="91482"/>
        <n v="7492"/>
        <n v="48970"/>
        <n v="828"/>
        <n v="17870"/>
        <n v="9498"/>
        <n v="9593.7999999999993"/>
        <n v="37990"/>
        <n v="42990"/>
        <n v="43300.800000000003"/>
        <n v="19417"/>
        <n v="46466"/>
        <n v="35561"/>
        <n v="4836"/>
        <n v="7094"/>
        <n v="1506"/>
        <n v="26648"/>
        <n v="324146"/>
        <n v="108687.6"/>
        <n v="77347.199999999997"/>
        <n v="8280"/>
        <n v="5213.05"/>
        <n v="11590"/>
        <n v="120000"/>
        <n v="2046"/>
        <n v="13909"/>
        <n v="17602"/>
        <n v="280000"/>
        <n v="11775"/>
        <n v="2658"/>
        <n v="363398"/>
        <n v="15716.5"/>
        <n v="66990"/>
        <n v="5864"/>
        <n v="744171.82"/>
        <n v="12607"/>
        <n v="84000"/>
        <n v="8534"/>
        <n v="60300"/>
        <n v="6724"/>
        <n v="8566"/>
        <n v="17713"/>
        <n v="24444"/>
        <n v="2710"/>
        <n v="38947"/>
        <n v="98783"/>
        <n v="2299"/>
        <n v="3110"/>
        <n v="2660"/>
        <n v="13590"/>
        <n v="191394"/>
        <n v="3212"/>
        <n v="102645.4"/>
        <n v="4020"/>
        <n v="20955"/>
        <n v="8564"/>
        <n v="54003"/>
        <n v="3362"/>
        <n v="7111"/>
        <n v="120490"/>
        <n v="6985"/>
        <n v="4659.7"/>
        <n v="39550"/>
        <n v="145656"/>
        <n v="31430"/>
        <n v="7416"/>
        <n v="9733"/>
        <n v="5512"/>
        <n v="70599"/>
        <n v="108424"/>
        <n v="6332"/>
        <n v="20835"/>
        <n v="3576"/>
        <n v="63920"/>
        <n v="52866"/>
        <n v="332587.2"/>
        <n v="13448"/>
        <n v="41220"/>
        <n v="11756"/>
        <n v="2150"/>
        <n v="31764"/>
        <n v="7587.95"/>
        <n v="30509"/>
        <n v="207414"/>
        <n v="49564"/>
        <n v="137560"/>
        <n v="6220"/>
        <n v="1250"/>
        <n v="9196"/>
        <n v="2336"/>
        <n v="8976"/>
        <n v="72980"/>
        <n v="4280"/>
        <n v="6890"/>
        <n v="121022.39999999999"/>
        <n v="7360"/>
        <n v="775"/>
        <n v="86102.5"/>
        <n v="24433.99"/>
        <n v="8126.85"/>
        <n v="18924"/>
        <n v="198990"/>
        <n v="14355"/>
        <n v="1725817.5"/>
        <n v="70190"/>
        <n v="84546"/>
        <n v="65583"/>
        <n v="394717"/>
        <n v="98720"/>
        <n v="4993"/>
        <n v="11377"/>
        <n v="9911"/>
        <n v="71485"/>
        <n v="26115.5"/>
        <n v="21056.5"/>
        <n v="19901"/>
        <n v="2248"/>
        <n v="43490"/>
        <n v="24964.1"/>
        <n v="4300"/>
        <n v="24956"/>
        <n v="8683"/>
        <n v="6396"/>
        <n v="1032"/>
        <n v="1320"/>
        <n v="7175"/>
        <n v="10377"/>
        <n v="2440"/>
        <n v="88090"/>
        <n v="5330"/>
        <n v="4031"/>
        <n v="4208"/>
        <n v="13836"/>
        <n v="4309"/>
        <n v="29339"/>
        <n v="35682"/>
        <n v="24200"/>
        <n v="51552"/>
        <n v="9157"/>
        <n v="6639"/>
        <n v="984"/>
        <n v="28495"/>
        <n v="3330"/>
        <n v="9544"/>
        <n v="8894.4"/>
        <n v="7574.4"/>
        <n v="10050"/>
        <n v="120290"/>
        <n v="116980"/>
        <n v="6032"/>
        <n v="9348"/>
        <n v="24149"/>
        <n v="3537"/>
        <n v="21357"/>
        <n v="143169"/>
        <n v="132040"/>
        <n v="65290"/>
        <n v="42361"/>
        <n v="69990"/>
        <n v="2780"/>
        <n v="3250"/>
        <n v="3459"/>
        <n v="3016"/>
        <n v="32662"/>
        <n v="6918"/>
        <n v="11180"/>
        <n v="25490"/>
        <n v="11290"/>
        <n v="3900"/>
        <n v="4496"/>
        <n v="2126"/>
        <n v="5810"/>
        <n v="384400"/>
        <n v="3630.8"/>
        <n v="1762"/>
        <n v="4134"/>
        <n v="971"/>
        <n v="7852"/>
        <n v="6329"/>
        <n v="24494"/>
        <n v="1998"/>
        <n v="8345"/>
        <n v="12395"/>
        <n v="40756"/>
        <n v="1652"/>
        <n v="7680"/>
        <n v="673676.4"/>
        <n v="108458"/>
        <n v="3432"/>
        <n v="2990"/>
        <n v="56873"/>
        <n v="22890"/>
        <n v="9071"/>
        <n v="81000"/>
        <n v="24432"/>
        <n v="26127"/>
        <n v="117750"/>
        <n v="73296"/>
        <n v="12990"/>
        <n v="432"/>
        <n v="32158"/>
        <n v="1001096.12"/>
        <n v="24080"/>
        <n v="36864"/>
        <n v="13157.5"/>
        <n v="24812"/>
        <n v="16292"/>
        <n v="6770"/>
        <n v="8110"/>
        <n v="10211"/>
        <n v="36644"/>
        <n v="44190"/>
        <n v="4062"/>
        <n v="9672"/>
        <n v="60638"/>
        <n v="544275.9"/>
        <n v="177100"/>
        <n v="4524"/>
        <n v="28647"/>
        <n v="170000"/>
        <n v="6341"/>
        <n v="97728"/>
        <n v="15182"/>
        <n v="21525"/>
        <n v="9000"/>
        <n v="8940"/>
        <n v="4715"/>
        <n v="2840.5"/>
        <n v="9918"/>
        <n v="921"/>
        <n v="259900"/>
        <n v="525"/>
        <n v="1950"/>
        <n v="23301"/>
        <n v="8328"/>
        <n v="34866"/>
        <n v="3660"/>
        <n v="18719"/>
        <n v="3000"/>
        <n v="50490"/>
        <n v="977"/>
        <n v="97583"/>
        <n v="165000"/>
        <n v="20000"/>
        <n v="17774.5"/>
        <n v="24582"/>
        <n v="10464"/>
        <n v="18348"/>
        <n v="135840.5"/>
        <n v="4403"/>
        <n v="38446"/>
        <n v="12616"/>
        <n v="1684"/>
        <n v="310040"/>
        <n v="2776"/>
        <n v="209250"/>
        <n v="1260"/>
        <n v="36557"/>
        <n v="7338"/>
        <n v="4550"/>
        <n v="191000"/>
        <n v="3630"/>
        <n v="207000"/>
        <n v="8498"/>
        <n v="4720"/>
        <n v="18160"/>
        <n v="6211.3"/>
        <n v="26507"/>
        <n v="2340"/>
        <n v="22290"/>
        <n v="45420"/>
        <n v="40490"/>
        <n v="1930"/>
        <n v="10979"/>
        <n v="8728"/>
        <n v="2163000"/>
        <n v="9118"/>
        <n v="19930"/>
        <n v="5470"/>
        <n v="150596"/>
        <n v="4782"/>
        <n v="35000"/>
        <n v="17680"/>
        <n v="26000"/>
        <n v="113740"/>
        <n v="7668"/>
        <n v="1480"/>
        <n v="15920"/>
        <n v="601"/>
        <n v="222400"/>
        <n v="492"/>
        <n v="17150"/>
        <n v="24100"/>
        <n v="21400"/>
        <n v="30380"/>
        <n v="3300"/>
        <n v="8050"/>
        <n v="15070"/>
        <n v="24620"/>
        <n v="11350"/>
        <n v="19600"/>
        <n v="11100"/>
        <n v="296"/>
        <n v="111890"/>
        <n v="553185"/>
        <n v="41430"/>
        <n v="68040"/>
        <n v="128793.60000000001"/>
        <n v="19855"/>
        <n v="303400"/>
        <n v="18105"/>
        <n v="250"/>
        <n v="61099"/>
        <n v="18700"/>
        <n v="85470"/>
        <n v="5280"/>
        <n v="75952"/>
        <n v="48297.599999999999"/>
        <n v="13580"/>
        <n v="26750"/>
        <n v="144470"/>
        <n v="12150"/>
        <n v="201240"/>
        <n v="279725"/>
        <n v="93290"/>
        <n v="4800"/>
        <n v="5260"/>
        <n v="5310"/>
        <n v="171290"/>
        <n v="187500"/>
        <n v="185000"/>
        <n v="217500"/>
        <n v="20450"/>
        <n v="104360"/>
        <n v="37490"/>
        <n v="10030"/>
        <n v="3800"/>
        <n v="43600"/>
        <n v="23940"/>
        <n v="9860"/>
        <n v="2180"/>
        <n v="7200"/>
        <n v="4930"/>
        <n v="13995"/>
        <n v="10520"/>
        <n v="350350.5"/>
        <n v="77890"/>
        <n v="16070"/>
        <n v="8100"/>
        <n v="4520"/>
        <n v="22380"/>
        <n v="15400"/>
        <n v="367686"/>
        <n v="1000"/>
        <n v="1038"/>
        <n v="950"/>
        <n v="44600"/>
        <n v="6560"/>
        <n v="79620"/>
        <n v="81940"/>
        <n v="6970"/>
        <n v="14700"/>
        <n v="8720"/>
        <n v="5190"/>
        <n v="9840"/>
        <n v="4030"/>
        <n v="69370"/>
        <n v="60020"/>
        <n v="84950"/>
        <n v="399886"/>
        <n v="13170"/>
        <n v="7480"/>
        <n v="217441.5"/>
        <n v="55750"/>
        <n v="15500"/>
        <n v="23990"/>
        <n v="51990"/>
        <n v="10780"/>
        <n v="559936"/>
        <n v="49800"/>
        <n v="7950"/>
        <n v="8030"/>
        <n v="227"/>
        <n v="35235"/>
        <n v="15000"/>
        <n v="23390"/>
        <n v="83910"/>
        <n v="4920"/>
        <n v="8850"/>
        <n v="8300"/>
        <n v="105670"/>
        <n v="7570"/>
        <n v="11241"/>
        <n v="34313"/>
        <n v="3540"/>
        <n v="844110"/>
        <n v="10970"/>
        <n v="5272"/>
        <n v="3960"/>
        <n v="63840"/>
        <n v="16730"/>
        <n v="59440"/>
        <n v="8560"/>
        <n v="14960"/>
        <n v="10058"/>
        <n v="65580"/>
        <n v="94561"/>
        <n v="30600"/>
        <n v="7500"/>
        <n v="3460"/>
      </sharedItems>
    </cacheField>
    <cacheField name="ПродажаНК" numFmtId="43">
      <sharedItems containsMixedTypes="1" containsNumber="1" minValue="553" maxValue="2163000"/>
    </cacheField>
    <cacheField name="отк" numFmtId="43">
      <sharedItems containsString="0" containsBlank="1" containsNumber="1" minValue="274.49" maxValue="120000"/>
    </cacheField>
    <cacheField name="шланги" numFmtId="43">
      <sharedItems containsString="0" containsBlank="1" containsNumber="1" containsInteger="1" minValue="300" maxValue="46800"/>
    </cacheField>
    <cacheField name="Закупка" numFmtId="43">
      <sharedItems containsString="0" containsBlank="1" containsNumber="1" minValue="50" maxValue="2007520"/>
    </cacheField>
    <cacheField name="Маржа" numFmtId="43">
      <sharedItems containsSemiMixedTypes="0" containsString="0" containsNumber="1" minValue="-141" maxValue="656494.82999999996"/>
    </cacheField>
    <cacheField name="МаржаНК" numFmtId="43">
      <sharedItems containsMixedTypes="1" containsNumber="1" minValue="0" maxValue="270826"/>
    </cacheField>
    <cacheField name="Кварталы" numFmtId="0" databaseField="0">
      <fieldGroup base="5">
        <rangePr groupBy="quarters" startDate="2015-12-31T00:00:00" endDate="2022-12-30T00:00:00"/>
        <groupItems count="6">
          <s v="&lt;31.12.2015"/>
          <s v="Кв-л1"/>
          <s v="Кв-л2"/>
          <s v="Кв-л3"/>
          <s v="Кв-л4"/>
          <s v="&gt;30.12.2022"/>
        </groupItems>
      </fieldGroup>
    </cacheField>
    <cacheField name="Годы" numFmtId="0" databaseField="0">
      <fieldGroup base="5">
        <rangePr groupBy="years" startDate="2015-12-31T00:00:00" endDate="2022-12-30T00:00:00"/>
        <groupItems count="10">
          <s v="&lt;31.12.2015"/>
          <s v="2015"/>
          <s v="2016"/>
          <s v="2017"/>
          <s v="2018"/>
          <s v="2019"/>
          <s v="2020"/>
          <s v="2021"/>
          <s v="2022"/>
          <s v="&gt;30.12.2022"/>
        </groupItems>
      </fieldGroup>
    </cacheField>
    <cacheField name="Кварталы2" numFmtId="0" databaseField="0">
      <fieldGroup base="7">
        <rangePr groupBy="quarters" startDate="2016-01-12T00:00:00" endDate="2022-12-30T00:00:00"/>
        <groupItems count="6">
          <s v="&lt;12.01.2016"/>
          <s v="Кв-л1"/>
          <s v="Кв-л2"/>
          <s v="Кв-л3"/>
          <s v="Кв-л4"/>
          <s v="&gt;30.12.2022"/>
        </groupItems>
      </fieldGroup>
    </cacheField>
    <cacheField name="Годы2" numFmtId="0" databaseField="0">
      <fieldGroup base="7">
        <rangePr groupBy="years" startDate="2016-01-12T00:00:00" endDate="2022-12-30T00:00:00"/>
        <groupItems count="9">
          <s v="&lt;12.01.2016"/>
          <s v="2016"/>
          <s v="2017"/>
          <s v="2018"/>
          <s v="2019"/>
          <s v="2020"/>
          <s v="2021"/>
          <s v="2022"/>
          <s v="&gt;30.12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">
  <r>
    <x v="0"/>
    <n v="174382.41999999998"/>
    <n v="174382.41999999998"/>
    <m/>
    <m/>
    <n v="6975"/>
    <n v="6975"/>
    <n v="6975.2967999999992"/>
    <m/>
    <m/>
    <n v="21765"/>
    <n v="21765"/>
    <x v="0"/>
    <n v="0"/>
  </r>
  <r>
    <x v="1"/>
    <n v="182189.76"/>
    <n v="165259.35999999999"/>
    <m/>
    <m/>
    <n v="6949"/>
    <n v="6949"/>
    <n v="6948.9824000000008"/>
    <m/>
    <m/>
    <n v="21739"/>
    <n v="21739"/>
    <x v="1"/>
    <n v="0"/>
  </r>
  <r>
    <x v="2"/>
    <n v="908520.11"/>
    <n v="93884.25"/>
    <m/>
    <m/>
    <n v="47304"/>
    <n v="47304"/>
    <n v="47303.690499999997"/>
    <m/>
    <m/>
    <n v="62094"/>
    <n v="62094"/>
    <x v="2"/>
    <n v="0"/>
  </r>
  <r>
    <x v="3"/>
    <n v="1503359.38"/>
    <n v="153683.06999999998"/>
    <m/>
    <m/>
    <n v="78242"/>
    <n v="78242"/>
    <n v="78241.630399999995"/>
    <m/>
    <m/>
    <n v="93032"/>
    <n v="93032"/>
    <x v="3"/>
    <n v="0"/>
  </r>
  <r>
    <x v="4"/>
    <n v="1871788.58"/>
    <n v="228916.44"/>
    <m/>
    <m/>
    <n v="98168"/>
    <n v="98168"/>
    <n v="98167.757800000007"/>
    <m/>
    <m/>
    <n v="112958"/>
    <n v="112958"/>
    <x v="4"/>
    <n v="0"/>
  </r>
  <r>
    <x v="5"/>
    <n v="455340.28"/>
    <n v="156089.91999999998"/>
    <m/>
    <m/>
    <n v="12229"/>
    <n v="12229"/>
    <n v="12228.604000000001"/>
    <m/>
    <m/>
    <n v="27019"/>
    <n v="27019"/>
    <x v="5"/>
    <n v="0"/>
  </r>
  <r>
    <x v="6"/>
    <n v="300239.33"/>
    <n v="120795.81999999999"/>
    <m/>
    <m/>
    <n v="8421"/>
    <n v="8421"/>
    <n v="8420.7030000000013"/>
    <m/>
    <m/>
    <n v="23211"/>
    <n v="23211"/>
    <x v="6"/>
    <n v="0"/>
  </r>
  <r>
    <x v="7"/>
    <n v="393600.1"/>
    <n v="253430.75000000003"/>
    <m/>
    <m/>
    <n v="12941"/>
    <n v="12941"/>
    <n v="12940.617"/>
    <m/>
    <m/>
    <n v="27731"/>
    <n v="27731"/>
    <x v="7"/>
    <n v="0"/>
  </r>
  <r>
    <x v="8"/>
    <n v="818045.69"/>
    <n v="34931.919999999998"/>
    <m/>
    <m/>
    <n v="41601"/>
    <n v="41601"/>
    <n v="41600.922900000005"/>
    <m/>
    <m/>
    <n v="56391"/>
    <n v="56391"/>
    <x v="8"/>
    <n v="0"/>
  </r>
  <r>
    <x v="9"/>
    <n v="132431.05000000002"/>
    <n v="82661.820000000007"/>
    <m/>
    <m/>
    <n v="4302"/>
    <n v="4302"/>
    <n v="4301.8574000000008"/>
    <m/>
    <m/>
    <n v="19092"/>
    <n v="19092"/>
    <x v="9"/>
    <n v="0"/>
  </r>
  <r>
    <x v="10"/>
    <n v="1388698.6300000001"/>
    <n v="312643.32"/>
    <m/>
    <m/>
    <n v="75688"/>
    <n v="75688"/>
    <n v="75687.797900000005"/>
    <m/>
    <m/>
    <n v="90478"/>
    <n v="90478"/>
    <x v="10"/>
    <n v="0"/>
  </r>
  <r>
    <x v="11"/>
    <n v="126099.84"/>
    <n v="22091.45"/>
    <m/>
    <m/>
    <n v="2964"/>
    <n v="2964"/>
    <n v="2963.8258000000001"/>
    <m/>
    <m/>
    <n v="17754"/>
    <n v="17754"/>
    <x v="11"/>
    <n v="0"/>
  </r>
  <r>
    <x v="12"/>
    <n v="771929.33"/>
    <n v="251086.80000000002"/>
    <m/>
    <m/>
    <n v="43618"/>
    <n v="43618"/>
    <n v="43618.202499999999"/>
    <m/>
    <m/>
    <n v="58408"/>
    <n v="58408"/>
    <x v="12"/>
    <n v="0"/>
  </r>
  <r>
    <x v="13"/>
    <n v="903398.21999999974"/>
    <n v="101984.88"/>
    <n v="318259.10679999995"/>
    <n v="33816.879999999997"/>
    <n v="47210"/>
    <n v="56133"/>
    <s v="55 900,00"/>
    <m/>
    <m/>
    <n v="62000"/>
    <n v="70923"/>
    <x v="13"/>
    <n v="8923"/>
  </r>
  <r>
    <x v="14"/>
    <n v="1014294.04"/>
    <n v="228900.28000000003"/>
    <n v="328757.03820000001"/>
    <n v="55574.76"/>
    <n v="55293"/>
    <n v="59223"/>
    <s v="65000,00"/>
    <m/>
    <m/>
    <n v="70083"/>
    <n v="74013"/>
    <x v="14"/>
    <n v="3930"/>
  </r>
  <r>
    <x v="15"/>
    <n v="784596.76000000013"/>
    <n v="130251.29"/>
    <n v="272335.34999999998"/>
    <n v="30723.29"/>
    <n v="41835"/>
    <n v="48140"/>
    <s v="49100,00"/>
    <m/>
    <m/>
    <n v="56625"/>
    <n v="62930"/>
    <x v="15"/>
    <n v="6305"/>
  </r>
  <r>
    <x v="16"/>
    <n v="1042223.2200000001"/>
    <n v="221015.45"/>
    <n v="386019.67000000004"/>
    <n v="48806.26"/>
    <n v="56531"/>
    <n v="68552"/>
    <s v="72700,00"/>
    <m/>
    <m/>
    <n v="71321"/>
    <n v="83342"/>
    <x v="16"/>
    <n v="12021"/>
  </r>
  <r>
    <x v="17"/>
    <n v="504276.93"/>
    <n v="173527.96"/>
    <n v="192572.10459999999"/>
    <n v="42785.279999999999"/>
    <n v="28684"/>
    <n v="25676"/>
    <s v="35500,00"/>
    <m/>
    <m/>
    <n v="43474"/>
    <n v="40466"/>
    <x v="17"/>
    <n v="-3008"/>
  </r>
  <r>
    <x v="18"/>
    <n v="1626820.6999999997"/>
    <n v="740778.03999999992"/>
    <n v="466958.91880000016"/>
    <n v="174871.24"/>
    <n v="96157"/>
    <n v="89875"/>
    <s v="90450,00"/>
    <m/>
    <m/>
    <n v="110947"/>
    <n v="104665"/>
    <x v="18"/>
    <n v="-6282"/>
  </r>
  <r>
    <x v="19"/>
    <n v="757843.39"/>
    <n v="110838.31"/>
    <n v="248408.54620000001"/>
    <n v="29027.309999999998"/>
    <n v="40109"/>
    <n v="31551"/>
    <s v="44 400  "/>
    <m/>
    <m/>
    <n v="54899"/>
    <n v="46341"/>
    <x v="19"/>
    <n v="-8558"/>
  </r>
  <r>
    <x v="20"/>
    <n v="1109584.6300000001"/>
    <n v="78830.11"/>
    <n v="326967.55559999996"/>
    <n v="13691.11"/>
    <n v="57056"/>
    <n v="56406"/>
    <s v="56 400  "/>
    <m/>
    <m/>
    <n v="71846"/>
    <n v="71196"/>
    <x v="20"/>
    <n v="-650"/>
  </r>
  <r>
    <x v="21"/>
    <n v="1599650.02"/>
    <n v="148054.85999999999"/>
    <n v="488252.46179999999"/>
    <n v="28706.86"/>
    <n v="82944"/>
    <n v="84725"/>
    <s v="84 500  "/>
    <m/>
    <m/>
    <n v="97734"/>
    <n v="99515"/>
    <x v="21"/>
    <n v="1781"/>
  </r>
  <r>
    <x v="22"/>
    <n v="1000492.4899999999"/>
    <n v="87142.51999999999"/>
    <n v="242825.68999999997"/>
    <n v="22543.52"/>
    <n v="51767"/>
    <n v="30492"/>
    <s v="42 400  "/>
    <m/>
    <m/>
    <n v="66557"/>
    <n v="45282"/>
    <x v="22"/>
    <n v="-21275"/>
  </r>
  <r>
    <x v="23"/>
    <n v="1077626.7999999998"/>
    <n v="134472.72"/>
    <n v="396573.67"/>
    <n v="50352.72"/>
    <n v="56571"/>
    <n v="70439"/>
    <s v="78 400  "/>
    <n v="8000"/>
    <m/>
    <n v="63361"/>
    <n v="93229"/>
    <x v="23"/>
    <n v="13868"/>
  </r>
  <r>
    <x v="24"/>
    <n v="1051963.1800000002"/>
    <n v="500489.68"/>
    <n v="277741.18"/>
    <n v="104392.68"/>
    <n v="62608"/>
    <n v="53480"/>
    <s v="61 500  "/>
    <n v="8000"/>
    <m/>
    <n v="69398"/>
    <n v="76270"/>
    <x v="24"/>
    <n v="-9128"/>
  </r>
  <r>
    <x v="25"/>
    <n v="1041219.1800000002"/>
    <n v="455024.42"/>
    <n v="303617.18000000005"/>
    <n v="94246.92"/>
    <n v="61161"/>
    <n v="57270"/>
    <s v="64 800  "/>
    <n v="8000"/>
    <m/>
    <n v="67951"/>
    <n v="80060"/>
    <x v="25"/>
    <n v="-3891"/>
  </r>
  <r>
    <x v="26"/>
    <n v="703675.89999999991"/>
    <n v="289968.63"/>
    <n v="167614.14999999997"/>
    <n v="61010.87999999999"/>
    <n v="40983"/>
    <n v="23774"/>
    <s v="40 150  "/>
    <n v="8000"/>
    <m/>
    <n v="47773"/>
    <n v="46564"/>
    <x v="26"/>
    <n v="-17209"/>
  </r>
  <r>
    <x v="27"/>
    <n v="1208758.48"/>
    <n v="237205.68"/>
    <n v="325249.07"/>
    <n v="52420.770000000004"/>
    <n v="65182"/>
    <n v="58438"/>
    <s v="66 400  "/>
    <n v="8000"/>
    <m/>
    <n v="71972"/>
    <n v="81228"/>
    <x v="27"/>
    <n v="-6744"/>
  </r>
  <r>
    <x v="28"/>
    <n v="986942.44"/>
    <n v="288855.07999999996"/>
    <n v="361423.24000000005"/>
    <n v="69476.08"/>
    <n v="55124"/>
    <n v="65611"/>
    <s v="70 900  "/>
    <n v="8000"/>
    <m/>
    <n v="61914"/>
    <n v="88401"/>
    <x v="28"/>
    <n v="10487"/>
  </r>
  <r>
    <x v="29"/>
    <n v="1211341.5"/>
    <n v="123025"/>
    <n v="279675.53000000003"/>
    <n v="28731"/>
    <n v="63028"/>
    <n v="49269"/>
    <s v="57 400  "/>
    <n v="8000"/>
    <m/>
    <n v="69818"/>
    <n v="72059"/>
    <x v="29"/>
    <n v="-13759"/>
  </r>
  <r>
    <x v="30"/>
    <n v="475471.54000000004"/>
    <n v="141315"/>
    <n v="136331.53999999998"/>
    <n v="35987"/>
    <n v="12336"/>
    <n v="8976"/>
    <s v="25 900  "/>
    <n v="8000"/>
    <m/>
    <n v="19126"/>
    <n v="31766"/>
    <x v="30"/>
    <n v="-3360"/>
  </r>
  <r>
    <x v="31"/>
    <n v="625315.87"/>
    <n v="220688"/>
    <n v="183410.87"/>
    <n v="62210"/>
    <n v="35680"/>
    <n v="25742"/>
    <s v="33 000  "/>
    <n v="8000"/>
    <m/>
    <n v="42470"/>
    <n v="48532"/>
    <x v="31"/>
    <n v="-9938"/>
  </r>
  <r>
    <x v="32"/>
    <n v="1170224.25"/>
    <n v="130979"/>
    <n v="300737.25"/>
    <n v="31835"/>
    <n v="61131"/>
    <n v="53035"/>
    <s v="61 700  "/>
    <n v="8000"/>
    <m/>
    <n v="67921"/>
    <n v="75825"/>
    <x v="32"/>
    <n v="-8096"/>
  </r>
  <r>
    <x v="33"/>
    <n v="1030734.1199999998"/>
    <n v="171268.5"/>
    <n v="267636.12000000005"/>
    <n v="38501.5"/>
    <n v="54962"/>
    <n v="47808"/>
    <s v="55 300  "/>
    <n v="8000"/>
    <m/>
    <n v="61752"/>
    <n v="70598"/>
    <x v="33"/>
    <n v="-7154"/>
  </r>
  <r>
    <x v="34"/>
    <n v="1460952.53"/>
    <n v="104903"/>
    <n v="534927.7300000001"/>
    <n v="21446"/>
    <n v="75146"/>
    <n v="92224"/>
    <s v="100 100  "/>
    <n v="8000"/>
    <m/>
    <n v="81936"/>
    <n v="115014"/>
    <x v="34"/>
    <n v="17078"/>
  </r>
  <r>
    <x v="35"/>
    <n v="722919.5"/>
    <n v="135529"/>
    <n v="179451.22"/>
    <n v="40428"/>
    <n v="38857"/>
    <n v="23960"/>
    <s v="23 800  "/>
    <m/>
    <m/>
    <n v="53647"/>
    <n v="38750"/>
    <x v="35"/>
    <n v="-14897"/>
  </r>
  <r>
    <x v="36"/>
    <n v="311207.2"/>
    <n v="49654"/>
    <n v="97621.2"/>
    <n v="18366"/>
    <n v="7217"/>
    <n v="5983"/>
    <s v="6 300  "/>
    <m/>
    <m/>
    <n v="22007"/>
    <n v="20773"/>
    <x v="36"/>
    <n v="-1234"/>
  </r>
  <r>
    <x v="37"/>
    <n v="381169.5"/>
    <n v="72670"/>
    <n v="101592.86"/>
    <n v="18652"/>
    <n v="9077"/>
    <n v="6199"/>
    <s v="13 000  "/>
    <m/>
    <m/>
    <n v="23867"/>
    <n v="20989"/>
    <x v="37"/>
    <n v="-2878"/>
  </r>
  <r>
    <x v="38"/>
    <n v="1628300.3"/>
    <n v="0"/>
    <n v="366524.19"/>
    <n v="0"/>
    <n v="81415"/>
    <n v="62309"/>
    <s v="62 300  "/>
    <m/>
    <m/>
    <n v="96205"/>
    <n v="77099"/>
    <x v="38"/>
    <n v="-19106"/>
  </r>
  <r>
    <x v="39"/>
    <n v="1677366.8900000001"/>
    <n v="119104"/>
    <n v="545972.99"/>
    <n v="35862"/>
    <n v="86250"/>
    <n v="94967"/>
    <s v="94 500  "/>
    <m/>
    <m/>
    <n v="101040"/>
    <n v="109757"/>
    <x v="39"/>
    <n v="8717"/>
  </r>
  <r>
    <x v="40"/>
    <n v="952275.53"/>
    <n v="412650"/>
    <n v="308334.83"/>
    <n v="121156"/>
    <n v="55867"/>
    <n v="59686"/>
    <s v="59 700  "/>
    <m/>
    <m/>
    <n v="70657"/>
    <n v="74476"/>
    <x v="40"/>
    <n v="3819"/>
  </r>
  <r>
    <x v="41"/>
    <n v="562653.75"/>
    <n v="42964"/>
    <n v="157992.05000000002"/>
    <n v="11207"/>
    <n v="28992"/>
    <n v="19631"/>
    <s v="19 600  "/>
    <m/>
    <m/>
    <n v="43782"/>
    <n v="34421"/>
    <x v="41"/>
    <n v="-9361"/>
  </r>
  <r>
    <x v="42"/>
    <n v="497392.43"/>
    <n v="57820"/>
    <n v="167386.43"/>
    <n v="14007"/>
    <n v="11104"/>
    <n v="20927"/>
    <s v="20 900  "/>
    <m/>
    <m/>
    <n v="25894"/>
    <n v="35717"/>
    <x v="42"/>
    <n v="9823"/>
  </r>
  <r>
    <x v="43"/>
    <n v="468913.86"/>
    <n v="0"/>
    <n v="145199.85999999999"/>
    <n v="0"/>
    <n v="9378"/>
    <n v="7260"/>
    <n v="0"/>
    <m/>
    <m/>
    <n v="24168"/>
    <n v="22050"/>
    <x v="43"/>
    <n v="-2118"/>
  </r>
  <r>
    <x v="44"/>
    <n v="1251788.3500000001"/>
    <n v="33913"/>
    <n v="363048.09"/>
    <n v="8904"/>
    <n v="63268"/>
    <n v="62252"/>
    <s v="62 250  "/>
    <m/>
    <m/>
    <n v="78058"/>
    <n v="77042"/>
    <x v="44"/>
    <n v="-1016"/>
  </r>
  <r>
    <x v="45"/>
    <n v="818142.65"/>
    <n v="13413"/>
    <n v="150110.91999999998"/>
    <n v="3425"/>
    <n v="41175"/>
    <n v="18219"/>
    <s v="18 200  "/>
    <m/>
    <m/>
    <n v="55965"/>
    <n v="33009"/>
    <x v="45"/>
    <n v="-22956"/>
  </r>
  <r>
    <x v="46"/>
    <n v="1072301.81"/>
    <n v="16531"/>
    <n v="329948.70000000007"/>
    <n v="3607"/>
    <n v="53946"/>
    <n v="56308"/>
    <s v="56 300  "/>
    <m/>
    <m/>
    <n v="68736"/>
    <n v="71098"/>
    <x v="46"/>
    <n v="2362"/>
  </r>
  <r>
    <x v="47"/>
    <n v="1076404.3"/>
    <n v="45168"/>
    <n v="226610.3"/>
    <n v="13016"/>
    <n v="54724"/>
    <n v="27974"/>
    <s v="28 000  "/>
    <m/>
    <m/>
    <n v="69514"/>
    <n v="42764"/>
    <x v="47"/>
    <n v="-26750"/>
  </r>
  <r>
    <x v="48"/>
    <n v="1608172.2"/>
    <n v="80352"/>
    <n v="480316.2"/>
    <n v="21522"/>
    <n v="82016"/>
    <n v="82945"/>
    <s v="82 950  "/>
    <m/>
    <m/>
    <n v="96806"/>
    <n v="97735"/>
    <x v="48"/>
    <n v="929"/>
  </r>
  <r>
    <x v="49"/>
    <n v="962589.35"/>
    <n v="98583"/>
    <n v="281484.34999999998"/>
    <n v="28118"/>
    <n v="50101"/>
    <n v="49539"/>
    <s v="49 200  "/>
    <m/>
    <m/>
    <n v="64891"/>
    <n v="64329"/>
    <x v="49"/>
    <n v="-562"/>
  </r>
  <r>
    <x v="50"/>
    <n v="2149215.5499999998"/>
    <n v="323635.59999999998"/>
    <n v="616399.55000000005"/>
    <n v="71103.600000000006"/>
    <n v="113933"/>
    <n v="109054"/>
    <s v="109 050  "/>
    <m/>
    <m/>
    <n v="128723"/>
    <n v="123844"/>
    <x v="50"/>
    <n v="-4879"/>
  </r>
  <r>
    <x v="51"/>
    <n v="663356"/>
    <n v="200481"/>
    <n v="222199"/>
    <n v="55624"/>
    <n v="37177"/>
    <n v="30001"/>
    <s v="30 000  "/>
    <m/>
    <m/>
    <n v="51967"/>
    <n v="44791"/>
    <x v="51"/>
    <n v="-7176"/>
  </r>
  <r>
    <x v="52"/>
    <n v="1178637.2"/>
    <n v="204792"/>
    <n v="422548.2"/>
    <n v="60447"/>
    <n v="63028"/>
    <n v="75460"/>
    <s v="75 450  "/>
    <m/>
    <m/>
    <n v="77818"/>
    <n v="90250"/>
    <x v="52"/>
    <n v="12432"/>
  </r>
  <r>
    <x v="53"/>
    <n v="1254919.6100000001"/>
    <n v="161901"/>
    <n v="377514.73"/>
    <n v="41137.119999999995"/>
    <n v="65984"/>
    <n v="66646"/>
    <s v="66 650  "/>
    <m/>
    <m/>
    <n v="80774"/>
    <n v="81436"/>
    <x v="53"/>
    <n v="662"/>
  </r>
  <r>
    <x v="54"/>
    <n v="3511123.05"/>
    <n v="2079209"/>
    <n v="619341.17000000004"/>
    <n v="261643"/>
    <n v="217140"/>
    <n v="120987"/>
    <s v="90 250  "/>
    <m/>
    <m/>
    <n v="231930"/>
    <n v="135777"/>
    <x v="54"/>
    <n v="-96153"/>
  </r>
  <r>
    <x v="55"/>
    <n v="1148606.05"/>
    <n v="116927"/>
    <n v="333233.05"/>
    <n v="34745"/>
    <n v="59769"/>
    <n v="58734"/>
    <s v="89 050  "/>
    <m/>
    <m/>
    <n v="74559"/>
    <n v="73524"/>
    <x v="55"/>
    <n v="-1035"/>
  </r>
  <r>
    <x v="56"/>
    <n v="769465.8"/>
    <n v="128552"/>
    <n v="270854.8"/>
    <n v="34000"/>
    <n v="41044"/>
    <n v="48085"/>
    <s v="48 100  "/>
    <m/>
    <m/>
    <n v="55834"/>
    <n v="62875"/>
    <x v="56"/>
    <n v="7041"/>
  </r>
  <r>
    <x v="57"/>
    <n v="327739"/>
    <n v="96450"/>
    <n v="91619"/>
    <n v="25619"/>
    <n v="8484"/>
    <n v="6118"/>
    <s v="6 100  "/>
    <m/>
    <m/>
    <n v="23274"/>
    <n v="20908"/>
    <x v="57"/>
    <n v="-2366"/>
  </r>
  <r>
    <x v="58"/>
    <n v="2132659"/>
    <n v="194327"/>
    <n v="405862.59999999992"/>
    <n v="45878"/>
    <n v="110519"/>
    <n v="71749"/>
    <s v="45 400  "/>
    <m/>
    <m/>
    <n v="125309"/>
    <n v="86539"/>
    <x v="58"/>
    <n v="-38770"/>
  </r>
  <r>
    <x v="59"/>
    <n v="625627"/>
    <n v="96512"/>
    <n v="187414"/>
    <n v="25064"/>
    <n v="33212"/>
    <n v="23994"/>
    <s v="69 700  "/>
    <n v="10000"/>
    <m/>
    <n v="38002"/>
    <n v="48784"/>
    <x v="59"/>
    <n v="-9218"/>
  </r>
  <r>
    <x v="60"/>
    <n v="2699055"/>
    <n v="404131"/>
    <n v="440212.5"/>
    <n v="110513.5"/>
    <n v="143035"/>
    <n v="81467"/>
    <s v="91 400  "/>
    <n v="10000"/>
    <m/>
    <n v="147825"/>
    <n v="106257"/>
    <x v="60"/>
    <n v="-61568"/>
  </r>
  <r>
    <x v="61"/>
    <n v="1267436.6500000001"/>
    <n v="102792"/>
    <n v="422616.65"/>
    <n v="30908"/>
    <n v="65428"/>
    <n v="73699"/>
    <s v="83 750  "/>
    <n v="10000"/>
    <m/>
    <n v="70218"/>
    <n v="98489"/>
    <x v="61"/>
    <n v="8271"/>
  </r>
  <r>
    <x v="62"/>
    <n v="1088627"/>
    <n v="658199"/>
    <n v="305325.12"/>
    <n v="145022.67000000001"/>
    <n v="67595"/>
    <n v="60607"/>
    <s v="70 600  "/>
    <n v="10000"/>
    <m/>
    <n v="72385"/>
    <n v="85397"/>
    <x v="62"/>
    <n v="-6988"/>
  </r>
  <r>
    <x v="63"/>
    <n v="499489"/>
    <n v="22490"/>
    <n v="156064.50000000003"/>
    <n v="6355"/>
    <n v="10440"/>
    <n v="19109"/>
    <s v="29 100  "/>
    <n v="10000"/>
    <m/>
    <n v="15230"/>
    <n v="43899"/>
    <x v="63"/>
    <n v="8669"/>
  </r>
  <r>
    <x v="64"/>
    <n v="1313724.3"/>
    <n v="226879"/>
    <n v="443690.95"/>
    <n v="71262"/>
    <n v="70224"/>
    <n v="79703"/>
    <s v="89 700  "/>
    <n v="10000"/>
    <m/>
    <n v="75014"/>
    <n v="104493"/>
    <x v="64"/>
    <n v="9479"/>
  </r>
  <r>
    <x v="65"/>
    <n v="877140.15"/>
    <n v="392491"/>
    <n v="245945.41999999998"/>
    <n v="110167.56"/>
    <n v="51707"/>
    <n v="36124"/>
    <s v="61 124  "/>
    <n v="10000"/>
    <m/>
    <n v="56497"/>
    <n v="60914"/>
    <x v="65"/>
    <n v="-15583"/>
  </r>
  <r>
    <x v="66"/>
    <n v="6823456.9400000004"/>
    <n v="782560"/>
    <n v="1746448.77"/>
    <n v="102731"/>
    <n v="356824"/>
    <n v="303060"/>
    <s v="313 060  "/>
    <n v="10000"/>
    <m/>
    <n v="361614"/>
    <n v="327850"/>
    <x v="66"/>
    <n v="-53764"/>
  </r>
  <r>
    <x v="67"/>
    <n v="1025191.8"/>
    <n v="6508"/>
    <n v="317554.89999999997"/>
    <n v="1335"/>
    <n v="51390"/>
    <n v="54064"/>
    <s v="36 515  "/>
    <n v="10000"/>
    <n v="27549"/>
    <n v="83729"/>
    <n v="51305"/>
    <x v="67"/>
    <n v="2674"/>
  </r>
  <r>
    <x v="68"/>
    <n v="542293.56999999995"/>
    <n v="2156"/>
    <n v="159900.79"/>
    <n v="652"/>
    <n v="27158"/>
    <n v="19227"/>
    <s v="0  "/>
    <n v="10000"/>
    <n v="29227"/>
    <n v="61175"/>
    <n v="14790"/>
    <x v="43"/>
    <n v="-7931"/>
  </r>
  <r>
    <x v="69"/>
    <n v="423459.6"/>
    <n v="109600"/>
    <n v="137432.08000000002"/>
    <n v="36294"/>
    <n v="10661"/>
    <n v="9049"/>
    <s v="16 049  "/>
    <n v="10000"/>
    <n v="3000"/>
    <n v="18451"/>
    <n v="30839"/>
    <x v="68"/>
    <n v="-1612"/>
  </r>
  <r>
    <x v="70"/>
    <n v="1063640.8500000001"/>
    <n v="764430"/>
    <n v="336333.85"/>
    <n v="230045"/>
    <n v="68471"/>
    <n v="70979"/>
    <s v="70 980  "/>
    <m/>
    <m/>
    <n v="83261"/>
    <n v="85769"/>
    <x v="69"/>
    <n v="2508"/>
  </r>
  <r>
    <x v="71"/>
    <n v="1313939.3199999998"/>
    <n v="0"/>
    <n v="316475.31999999995"/>
    <n v="0"/>
    <n v="65697"/>
    <n v="53801"/>
    <s v="73 801  "/>
    <n v="20000"/>
    <m/>
    <n v="60487"/>
    <n v="88591"/>
    <x v="70"/>
    <n v="-11896"/>
  </r>
  <r>
    <x v="72"/>
    <n v="813289.4"/>
    <n v="137286.39999999999"/>
    <n v="216596.32"/>
    <n v="49195.469999999994"/>
    <n v="43410"/>
    <n v="28943"/>
    <s v="38 943  "/>
    <n v="10000"/>
    <m/>
    <n v="48200"/>
    <n v="53733"/>
    <x v="71"/>
    <n v="-14467"/>
  </r>
  <r>
    <x v="73"/>
    <n v="1356988.8499999999"/>
    <n v="227845"/>
    <n v="384739.29000000004"/>
    <n v="74359.69"/>
    <n v="72406"/>
    <n v="69867"/>
    <s v="79 867  "/>
    <n v="10000"/>
    <m/>
    <n v="77196"/>
    <n v="94657"/>
    <x v="72"/>
    <n v="-2539"/>
  </r>
  <r>
    <x v="74"/>
    <n v="2381022.2400000002"/>
    <n v="198990"/>
    <n v="388099.52"/>
    <n v="52852"/>
    <n v="123031"/>
    <n v="69148"/>
    <s v="83 771  "/>
    <n v="10000"/>
    <m/>
    <n v="127821"/>
    <n v="93938"/>
    <x v="73"/>
    <n v="-53883"/>
  </r>
  <r>
    <x v="75"/>
    <n v="1052639.1000000001"/>
    <n v="26115.5"/>
    <n v="251816.06"/>
    <n v="6418.5"/>
    <n v="53154"/>
    <n v="43194"/>
    <s v="53 194  "/>
    <n v="10000"/>
    <m/>
    <n v="57944"/>
    <n v="67984"/>
    <x v="74"/>
    <n v="-9960"/>
  </r>
  <r>
    <x v="76"/>
    <n v="356541.80000000005"/>
    <n v="45226"/>
    <n v="99860.26"/>
    <n v="13447.3"/>
    <n v="8035"/>
    <n v="5800"/>
    <s v="15 800  "/>
    <n v="10000"/>
    <m/>
    <n v="12825"/>
    <n v="30590"/>
    <x v="75"/>
    <n v="-2235"/>
  </r>
  <r>
    <x v="77"/>
    <n v="817518"/>
    <n v="237270"/>
    <n v="220152.59"/>
    <n v="82725.62"/>
    <n v="45621"/>
    <n v="31382"/>
    <s v="31 382  "/>
    <m/>
    <m/>
    <n v="60411"/>
    <n v="46172"/>
    <x v="76"/>
    <n v="-14239"/>
  </r>
  <r>
    <x v="78"/>
    <n v="609983.80000000005"/>
    <n v="54610.8"/>
    <n v="254016.97"/>
    <n v="14308.8"/>
    <n v="31591"/>
    <n v="44041"/>
    <s v="44 042  "/>
    <m/>
    <m/>
    <n v="46381"/>
    <n v="58831"/>
    <x v="77"/>
    <n v="12450"/>
  </r>
  <r>
    <x v="79"/>
    <n v="1356093.4"/>
    <n v="678676.4"/>
    <n v="348696.67000000004"/>
    <n v="130724.40000000002"/>
    <n v="81378"/>
    <n v="67122"/>
    <s v="67 122  "/>
    <m/>
    <m/>
    <n v="96168"/>
    <n v="81912"/>
    <x v="78"/>
    <n v="-14256"/>
  </r>
  <r>
    <x v="80"/>
    <n v="2065149.52"/>
    <n v="0"/>
    <n v="430910.36"/>
    <n v="0"/>
    <n v="103257"/>
    <n v="73255"/>
    <s v="73 255  "/>
    <m/>
    <m/>
    <n v="118047"/>
    <n v="88045"/>
    <x v="79"/>
    <n v="-30002"/>
  </r>
  <r>
    <x v="81"/>
    <n v="708836.5"/>
    <n v="171536"/>
    <n v="268907.99"/>
    <n v="809"/>
    <n v="38873"/>
    <n v="45763"/>
    <s v="50 763  "/>
    <n v="5000"/>
    <m/>
    <n v="48663"/>
    <n v="65553"/>
    <x v="80"/>
    <n v="6890"/>
  </r>
  <r>
    <x v="82"/>
    <n v="766894"/>
    <n v="0"/>
    <n v="181865.60000000001"/>
    <n v="0"/>
    <n v="38345"/>
    <n v="21824"/>
    <s v="21 824  "/>
    <m/>
    <m/>
    <n v="53135"/>
    <n v="36614"/>
    <x v="81"/>
    <n v="-16521"/>
  </r>
  <r>
    <x v="83"/>
    <n v="701613"/>
    <n v="0"/>
    <n v="288281.34999999998"/>
    <n v="0"/>
    <n v="35081"/>
    <n v="49008"/>
    <s v="49 008  "/>
    <m/>
    <m/>
    <n v="49871"/>
    <n v="63798"/>
    <x v="82"/>
    <n v="13927"/>
  </r>
  <r>
    <x v="84"/>
    <n v="521221.3"/>
    <n v="191000"/>
    <n v="204992.66999999998"/>
    <n v="39678"/>
    <n v="29881"/>
    <n v="26980"/>
    <s v="24 599  "/>
    <m/>
    <m/>
    <n v="44671"/>
    <n v="41770"/>
    <x v="83"/>
    <n v="-2901"/>
  </r>
  <r>
    <x v="85"/>
    <n v="4920286"/>
    <n v="4361000"/>
    <n v="522054.25"/>
    <n v="324220"/>
    <n v="333234"/>
    <n v="108202"/>
    <s v="108 203  "/>
    <m/>
    <m/>
    <n v="348024"/>
    <n v="122992"/>
    <x v="84"/>
    <n v="-225032"/>
  </r>
  <r>
    <x v="86"/>
    <n v="352313"/>
    <n v="601"/>
    <n v="179332.1"/>
    <n v="0"/>
    <n v="7058"/>
    <n v="21520"/>
    <s v="21 519  "/>
    <m/>
    <m/>
    <n v="21848"/>
    <n v="36310"/>
    <x v="85"/>
    <n v="14462"/>
  </r>
  <r>
    <x v="87"/>
    <n v="2065209.6"/>
    <n v="1330150"/>
    <n v="937977.39999999991"/>
    <n v="579386"/>
    <n v="129863"/>
    <n v="194219"/>
    <s v="194 220  "/>
    <m/>
    <m/>
    <n v="144653"/>
    <n v="209009"/>
    <x v="86"/>
    <n v="64356"/>
  </r>
  <r>
    <x v="88"/>
    <n v="1365838.6"/>
    <n v="0"/>
    <n v="600825.59999999998"/>
    <n v="0"/>
    <n v="68292"/>
    <n v="102140"/>
    <s v="102 141  "/>
    <m/>
    <m/>
    <n v="83082"/>
    <n v="116930"/>
    <x v="87"/>
    <n v="33848"/>
  </r>
  <r>
    <x v="89"/>
    <n v="1027870"/>
    <n v="3800"/>
    <n v="471084"/>
    <n v="836"/>
    <n v="51470"/>
    <n v="80134"/>
    <s v="80 084  "/>
    <m/>
    <m/>
    <n v="66260"/>
    <n v="94924"/>
    <x v="88"/>
    <n v="28664"/>
  </r>
  <r>
    <x v="90"/>
    <n v="1554070"/>
    <n v="81480"/>
    <n v="546868.28"/>
    <n v="21317.5"/>
    <n v="79333"/>
    <n v="94247"/>
    <n v="94246"/>
    <m/>
    <m/>
    <n v="94123"/>
    <n v="109037"/>
    <x v="89"/>
    <n v="14914"/>
  </r>
  <r>
    <x v="91"/>
    <n v="959997.5"/>
    <n v="277221.5"/>
    <n v="294596.07"/>
    <n v="113728.35"/>
    <n v="53544"/>
    <n v="56905"/>
    <s v="56 905  "/>
    <m/>
    <m/>
    <n v="68334"/>
    <n v="71695"/>
    <x v="90"/>
    <n v="3361"/>
  </r>
  <r>
    <x v="92"/>
    <n v="801996"/>
    <n v="29990"/>
    <n v="259109.82"/>
    <n v="12359"/>
    <n v="40700"/>
    <n v="44790"/>
    <s v="44 790  "/>
    <m/>
    <m/>
    <n v="55490"/>
    <n v="59580"/>
    <x v="91"/>
    <n v="4090"/>
  </r>
  <r>
    <x v="93"/>
    <n v="342562"/>
    <n v="7570"/>
    <n v="110231.5"/>
    <n v="1666"/>
    <n v="7003"/>
    <n v="5612"/>
    <s v="6 253  "/>
    <m/>
    <m/>
    <n v="21793"/>
    <n v="20402"/>
    <x v="92"/>
    <n v="-1391"/>
  </r>
  <r>
    <x v="94"/>
    <n v="1445125"/>
    <n v="13590"/>
    <n v="411847.5"/>
    <n v="3602"/>
    <n v="72528"/>
    <n v="70230"/>
    <s v="70 230  "/>
    <m/>
    <m/>
    <n v="87318"/>
    <n v="85020"/>
    <x v="93"/>
    <n v="-22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9">
  <r>
    <n v="388"/>
    <s v="150388"/>
    <d v="2015-12-28T00:00:00"/>
    <x v="0"/>
    <n v="2112"/>
    <x v="0"/>
    <m/>
    <x v="0"/>
    <x v="0"/>
    <s v=""/>
    <m/>
    <m/>
    <n v="1315.91"/>
    <n v="796.08999999999992"/>
    <s v=""/>
  </r>
  <r>
    <n v="389"/>
    <s v="150389"/>
    <d v="2015-12-30T00:00:00"/>
    <x v="1"/>
    <n v="2488"/>
    <x v="1"/>
    <m/>
    <x v="1"/>
    <x v="1"/>
    <s v=""/>
    <m/>
    <m/>
    <n v="1781"/>
    <n v="707"/>
    <s v=""/>
  </r>
  <r>
    <n v="5"/>
    <s v="160005"/>
    <d v="2016-01-14T00:00:00"/>
    <x v="2"/>
    <n v="1898.44"/>
    <x v="2"/>
    <m/>
    <x v="2"/>
    <x v="2"/>
    <s v=""/>
    <m/>
    <m/>
    <n v="1320"/>
    <n v="578.44000000000005"/>
    <s v=""/>
  </r>
  <r>
    <n v="6"/>
    <s v="160006"/>
    <d v="2016-01-15T00:00:00"/>
    <x v="3"/>
    <n v="5379.86"/>
    <x v="3"/>
    <m/>
    <x v="3"/>
    <x v="3"/>
    <s v=""/>
    <m/>
    <m/>
    <n v="3505"/>
    <n v="1874.8599999999997"/>
    <s v=""/>
  </r>
  <r>
    <n v="7"/>
    <s v="160007"/>
    <d v="2016-01-15T00:00:00"/>
    <x v="4"/>
    <n v="3892.65"/>
    <x v="3"/>
    <m/>
    <x v="4"/>
    <x v="4"/>
    <s v=""/>
    <m/>
    <m/>
    <n v="2550"/>
    <n v="1342.65"/>
    <s v=""/>
  </r>
  <r>
    <n v="11"/>
    <s v="160011"/>
    <d v="2016-01-19T00:00:00"/>
    <x v="5"/>
    <n v="4590"/>
    <x v="4"/>
    <n v="1"/>
    <x v="5"/>
    <x v="5"/>
    <n v="4590"/>
    <m/>
    <m/>
    <n v="3356"/>
    <n v="1234"/>
    <n v="1234"/>
  </r>
  <r>
    <n v="9"/>
    <s v="160009"/>
    <d v="2016-01-18T00:00:00"/>
    <x v="6"/>
    <n v="5541.45"/>
    <x v="5"/>
    <n v="1"/>
    <x v="6"/>
    <x v="6"/>
    <n v="5541.45"/>
    <m/>
    <m/>
    <n v="3542"/>
    <n v="1999.4499999999998"/>
    <n v="1999.4499999999998"/>
  </r>
  <r>
    <n v="381"/>
    <s v="150381"/>
    <d v="2015-12-23T00:00:00"/>
    <x v="7"/>
    <n v="37813.65"/>
    <x v="6"/>
    <m/>
    <x v="7"/>
    <x v="7"/>
    <s v=""/>
    <m/>
    <m/>
    <n v="28192"/>
    <n v="9621.6500000000015"/>
    <s v=""/>
  </r>
  <r>
    <n v="374"/>
    <s v="150374"/>
    <d v="2015-12-21T00:00:00"/>
    <x v="8"/>
    <n v="13509.53"/>
    <x v="6"/>
    <m/>
    <x v="7"/>
    <x v="8"/>
    <s v=""/>
    <m/>
    <m/>
    <n v="10663"/>
    <n v="2846.5300000000007"/>
    <s v=""/>
  </r>
  <r>
    <n v="10"/>
    <s v="160010"/>
    <d v="2016-01-18T00:00:00"/>
    <x v="8"/>
    <n v="7000"/>
    <x v="6"/>
    <m/>
    <x v="7"/>
    <x v="9"/>
    <s v=""/>
    <m/>
    <n v="600"/>
    <n v="3384.62"/>
    <n v="3615.38"/>
    <s v=""/>
  </r>
  <r>
    <n v="17"/>
    <s v="160017"/>
    <d v="2016-01-21T00:00:00"/>
    <x v="9"/>
    <n v="9436.42"/>
    <x v="6"/>
    <m/>
    <x v="7"/>
    <x v="10"/>
    <s v=""/>
    <m/>
    <m/>
    <n v="5221.8"/>
    <n v="4214.62"/>
    <s v=""/>
  </r>
  <r>
    <n v="19"/>
    <s v="160019"/>
    <d v="2016-01-22T00:00:00"/>
    <x v="10"/>
    <n v="11960"/>
    <x v="7"/>
    <n v="1"/>
    <x v="7"/>
    <x v="11"/>
    <n v="11960"/>
    <m/>
    <m/>
    <n v="7890"/>
    <n v="4070"/>
    <n v="4070"/>
  </r>
  <r>
    <n v="27"/>
    <s v="160027"/>
    <d v="2016-01-26T00:00:00"/>
    <x v="11"/>
    <n v="4900"/>
    <x v="8"/>
    <m/>
    <x v="8"/>
    <x v="12"/>
    <s v=""/>
    <m/>
    <m/>
    <n v="4348"/>
    <n v="552"/>
    <s v=""/>
  </r>
  <r>
    <n v="30"/>
    <s v="160030"/>
    <d v="2016-01-27T00:00:00"/>
    <x v="1"/>
    <n v="5439.84"/>
    <x v="9"/>
    <m/>
    <x v="9"/>
    <x v="13"/>
    <s v=""/>
    <m/>
    <m/>
    <n v="3486"/>
    <n v="1953.8400000000001"/>
    <s v=""/>
  </r>
  <r>
    <n v="31"/>
    <s v="160031"/>
    <d v="2016-01-28T00:00:00"/>
    <x v="12"/>
    <n v="12250"/>
    <x v="10"/>
    <m/>
    <x v="10"/>
    <x v="14"/>
    <s v=""/>
    <m/>
    <m/>
    <n v="10870"/>
    <n v="1380"/>
    <s v=""/>
  </r>
  <r>
    <n v="1"/>
    <s v="160001"/>
    <d v="2016-01-11T00:00:00"/>
    <x v="13"/>
    <n v="110643.69"/>
    <x v="11"/>
    <m/>
    <x v="2"/>
    <x v="15"/>
    <s v=""/>
    <n v="18000"/>
    <n v="1800"/>
    <n v="39625.83"/>
    <n v="71017.86"/>
    <s v=""/>
  </r>
  <r>
    <n v="36"/>
    <s v="160036"/>
    <d v="2016-02-02T00:00:00"/>
    <x v="1"/>
    <n v="2602"/>
    <x v="12"/>
    <m/>
    <x v="11"/>
    <x v="16"/>
    <s v=""/>
    <m/>
    <m/>
    <n v="1800"/>
    <n v="802"/>
    <s v=""/>
  </r>
  <r>
    <n v="15"/>
    <s v="160015"/>
    <d v="2016-01-20T00:00:00"/>
    <x v="14"/>
    <n v="22546.15"/>
    <x v="11"/>
    <m/>
    <x v="12"/>
    <x v="17"/>
    <s v=""/>
    <m/>
    <m/>
    <n v="12571"/>
    <n v="9975.1500000000015"/>
    <s v=""/>
  </r>
  <r>
    <n v="42"/>
    <s v="160042"/>
    <d v="2016-02-05T00:00:00"/>
    <x v="12"/>
    <n v="230580"/>
    <x v="13"/>
    <m/>
    <x v="13"/>
    <x v="18"/>
    <s v=""/>
    <m/>
    <m/>
    <n v="171825.04"/>
    <n v="58754.959999999992"/>
    <s v=""/>
  </r>
  <r>
    <n v="37"/>
    <s v="160037"/>
    <d v="2016-02-03T00:00:00"/>
    <x v="11"/>
    <n v="47737.52"/>
    <x v="14"/>
    <m/>
    <x v="13"/>
    <x v="19"/>
    <s v=""/>
    <m/>
    <m/>
    <n v="35976"/>
    <n v="11761.519999999997"/>
    <s v=""/>
  </r>
  <r>
    <n v="46"/>
    <s v="160046"/>
    <d v="2016-02-09T00:00:00"/>
    <x v="15"/>
    <n v="91916"/>
    <x v="15"/>
    <n v="1"/>
    <x v="14"/>
    <x v="20"/>
    <n v="91916"/>
    <m/>
    <m/>
    <n v="67858.490000000005"/>
    <n v="24057.509999999995"/>
    <n v="24057.509999999995"/>
  </r>
  <r>
    <n v="12"/>
    <s v="160012"/>
    <d v="2016-01-19T00:00:00"/>
    <x v="16"/>
    <n v="93165.63"/>
    <x v="16"/>
    <n v="1"/>
    <x v="15"/>
    <x v="21"/>
    <n v="93165.63"/>
    <m/>
    <m/>
    <n v="75819.12"/>
    <n v="17346.510000000009"/>
    <n v="17346.510000000009"/>
  </r>
  <r>
    <n v="52"/>
    <s v="160052"/>
    <d v="2016-02-12T00:00:00"/>
    <x v="17"/>
    <n v="7176.69"/>
    <x v="17"/>
    <n v="1"/>
    <x v="16"/>
    <x v="22"/>
    <n v="7176.69"/>
    <m/>
    <m/>
    <n v="4962"/>
    <n v="2214.6899999999996"/>
    <n v="2214.6899999999996"/>
  </r>
  <r>
    <n v="59"/>
    <s v="160059"/>
    <d v="2016-02-16T00:00:00"/>
    <x v="18"/>
    <n v="5991.38"/>
    <x v="17"/>
    <m/>
    <x v="17"/>
    <x v="23"/>
    <s v=""/>
    <m/>
    <m/>
    <n v="3782"/>
    <n v="2209.38"/>
    <s v=""/>
  </r>
  <r>
    <n v="47"/>
    <s v="160047"/>
    <d v="2016-02-11T00:00:00"/>
    <x v="19"/>
    <n v="9432.16"/>
    <x v="17"/>
    <m/>
    <x v="12"/>
    <x v="24"/>
    <s v=""/>
    <m/>
    <m/>
    <n v="6366.91"/>
    <n v="3065.25"/>
    <s v=""/>
  </r>
  <r>
    <n v="55"/>
    <s v="160055"/>
    <d v="2016-02-12T00:00:00"/>
    <x v="9"/>
    <n v="5379.86"/>
    <x v="18"/>
    <m/>
    <x v="12"/>
    <x v="3"/>
    <s v=""/>
    <m/>
    <m/>
    <n v="3505"/>
    <n v="1874.8599999999997"/>
    <s v=""/>
  </r>
  <r>
    <n v="69"/>
    <s v="160069"/>
    <d v="2016-02-19T00:00:00"/>
    <x v="20"/>
    <n v="12250"/>
    <x v="19"/>
    <m/>
    <x v="15"/>
    <x v="14"/>
    <s v=""/>
    <m/>
    <m/>
    <n v="10870"/>
    <n v="1380"/>
    <s v=""/>
  </r>
  <r>
    <n v="68"/>
    <s v="160068"/>
    <d v="2016-02-19T00:00:00"/>
    <x v="21"/>
    <n v="17890.689999999999"/>
    <x v="20"/>
    <n v="1"/>
    <x v="18"/>
    <x v="25"/>
    <n v="17890.689999999999"/>
    <m/>
    <m/>
    <n v="12908"/>
    <n v="4982.6899999999987"/>
    <n v="4982.6899999999987"/>
  </r>
  <r>
    <n v="65"/>
    <s v="160065"/>
    <d v="2016-02-17T00:00:00"/>
    <x v="9"/>
    <n v="21519.439999999999"/>
    <x v="20"/>
    <m/>
    <x v="19"/>
    <x v="26"/>
    <s v=""/>
    <m/>
    <m/>
    <n v="16572"/>
    <n v="4947.4399999999987"/>
    <s v=""/>
  </r>
  <r>
    <n v="64"/>
    <s v="160064"/>
    <d v="2016-02-17T00:00:00"/>
    <x v="11"/>
    <n v="2922.15"/>
    <x v="21"/>
    <m/>
    <x v="19"/>
    <x v="27"/>
    <s v=""/>
    <m/>
    <m/>
    <n v="1755"/>
    <n v="1167.1500000000001"/>
    <s v=""/>
  </r>
  <r>
    <n v="57"/>
    <s v="160057"/>
    <d v="2016-02-15T00:00:00"/>
    <x v="11"/>
    <n v="49238.18"/>
    <x v="21"/>
    <m/>
    <x v="19"/>
    <x v="28"/>
    <s v=""/>
    <m/>
    <m/>
    <n v="37437"/>
    <n v="11801.18"/>
    <s v=""/>
  </r>
  <r>
    <n v="74"/>
    <s v="160074"/>
    <d v="2016-02-26T00:00:00"/>
    <x v="22"/>
    <n v="40937.79"/>
    <x v="19"/>
    <n v="1"/>
    <x v="20"/>
    <x v="29"/>
    <n v="40937.79"/>
    <m/>
    <m/>
    <n v="24692"/>
    <n v="16245.79"/>
    <n v="16245.79"/>
  </r>
  <r>
    <n v="43"/>
    <s v="160043"/>
    <d v="2016-02-05T00:00:00"/>
    <x v="13"/>
    <n v="85747.9"/>
    <x v="22"/>
    <m/>
    <x v="21"/>
    <x v="30"/>
    <s v=""/>
    <n v="21000"/>
    <n v="2100"/>
    <n v="17895.490000000002"/>
    <n v="67852.409999999989"/>
    <s v=""/>
  </r>
  <r>
    <n v="44"/>
    <s v="160044"/>
    <d v="2016-02-15T00:00:00"/>
    <x v="13"/>
    <n v="177592.3"/>
    <x v="22"/>
    <m/>
    <x v="22"/>
    <x v="31"/>
    <s v=""/>
    <n v="9000"/>
    <n v="900"/>
    <n v="103773.69"/>
    <n v="73818.609999999986"/>
    <s v=""/>
  </r>
  <r>
    <n v="79"/>
    <s v="160079"/>
    <d v="2016-03-01T00:00:00"/>
    <x v="9"/>
    <n v="3065.36"/>
    <x v="23"/>
    <m/>
    <x v="23"/>
    <x v="32"/>
    <s v=""/>
    <m/>
    <m/>
    <n v="1390"/>
    <n v="1675.3600000000001"/>
    <s v=""/>
  </r>
  <r>
    <n v="76"/>
    <s v="160076"/>
    <d v="2016-02-29T00:00:00"/>
    <x v="19"/>
    <n v="32080"/>
    <x v="24"/>
    <m/>
    <x v="24"/>
    <x v="33"/>
    <s v=""/>
    <m/>
    <m/>
    <n v="22586"/>
    <n v="9494"/>
    <s v=""/>
  </r>
  <r>
    <n v="50"/>
    <s v="160050"/>
    <d v="2016-02-11T00:00:00"/>
    <x v="23"/>
    <n v="11831.82"/>
    <x v="25"/>
    <m/>
    <x v="22"/>
    <x v="34"/>
    <s v=""/>
    <m/>
    <m/>
    <n v="7100"/>
    <n v="4731.82"/>
    <s v=""/>
  </r>
  <r>
    <n v="94"/>
    <s v="160094"/>
    <d v="2016-03-09T00:00:00"/>
    <x v="24"/>
    <n v="5198.91"/>
    <x v="26"/>
    <m/>
    <x v="25"/>
    <x v="35"/>
    <s v=""/>
    <m/>
    <m/>
    <n v="3330"/>
    <n v="1868.9099999999999"/>
    <s v=""/>
  </r>
  <r>
    <n v="33"/>
    <s v="160033"/>
    <d v="2016-02-01T00:00:00"/>
    <x v="25"/>
    <n v="5439.84"/>
    <x v="27"/>
    <m/>
    <x v="26"/>
    <x v="13"/>
    <s v=""/>
    <m/>
    <m/>
    <n v="3486"/>
    <n v="1953.8400000000001"/>
    <s v=""/>
  </r>
  <r>
    <n v="93"/>
    <s v="160093"/>
    <d v="2016-03-09T00:00:00"/>
    <x v="26"/>
    <n v="27187.55"/>
    <x v="28"/>
    <n v="1"/>
    <x v="24"/>
    <x v="36"/>
    <n v="27187.55"/>
    <m/>
    <m/>
    <n v="18569"/>
    <n v="8618.5499999999993"/>
    <n v="8618.5499999999993"/>
  </r>
  <r>
    <n v="95"/>
    <s v="160095"/>
    <d v="2016-03-10T00:00:00"/>
    <x v="27"/>
    <n v="6482.92"/>
    <x v="29"/>
    <m/>
    <x v="27"/>
    <x v="37"/>
    <s v=""/>
    <m/>
    <m/>
    <n v="4792"/>
    <n v="1690.92"/>
    <s v=""/>
  </r>
  <r>
    <n v="87"/>
    <s v="160087"/>
    <d v="2016-03-03T00:00:00"/>
    <x v="28"/>
    <n v="4404.5200000000004"/>
    <x v="29"/>
    <m/>
    <x v="28"/>
    <x v="38"/>
    <s v=""/>
    <m/>
    <m/>
    <n v="2893"/>
    <n v="1511.5200000000004"/>
    <s v=""/>
  </r>
  <r>
    <n v="89"/>
    <s v="160089"/>
    <d v="2016-03-04T00:00:00"/>
    <x v="28"/>
    <n v="2719.92"/>
    <x v="29"/>
    <m/>
    <x v="28"/>
    <x v="39"/>
    <s v=""/>
    <m/>
    <m/>
    <n v="1743"/>
    <n v="976.92000000000007"/>
    <s v=""/>
  </r>
  <r>
    <n v="97"/>
    <s v="160097"/>
    <d v="2016-03-11T00:00:00"/>
    <x v="29"/>
    <n v="18399"/>
    <x v="30"/>
    <n v="1"/>
    <x v="28"/>
    <x v="40"/>
    <n v="18399"/>
    <m/>
    <m/>
    <n v="14876"/>
    <n v="3523"/>
    <n v="3523"/>
  </r>
  <r>
    <n v="100"/>
    <s v="160100"/>
    <d v="2016-03-15T00:00:00"/>
    <x v="30"/>
    <n v="17625.8"/>
    <x v="31"/>
    <m/>
    <x v="29"/>
    <x v="41"/>
    <s v=""/>
    <m/>
    <m/>
    <n v="11082"/>
    <n v="6543.7999999999993"/>
    <s v=""/>
  </r>
  <r>
    <n v="98"/>
    <s v="160098"/>
    <d v="2016-03-14T00:00:00"/>
    <x v="9"/>
    <n v="6000"/>
    <x v="31"/>
    <m/>
    <x v="29"/>
    <x v="42"/>
    <s v=""/>
    <m/>
    <n v="300"/>
    <n v="2711.56"/>
    <n v="3288.44"/>
    <s v=""/>
  </r>
  <r>
    <n v="102"/>
    <s v="160102"/>
    <d v="2016-03-17T00:00:00"/>
    <x v="31"/>
    <n v="13108.33"/>
    <x v="32"/>
    <n v="1"/>
    <x v="30"/>
    <x v="43"/>
    <n v="13108.33"/>
    <m/>
    <m/>
    <n v="5909"/>
    <n v="7199.33"/>
    <n v="7199.33"/>
  </r>
  <r>
    <n v="51"/>
    <s v="160051"/>
    <d v="2016-02-19T00:00:00"/>
    <x v="32"/>
    <n v="15665.44"/>
    <x v="33"/>
    <m/>
    <x v="31"/>
    <x v="44"/>
    <s v=""/>
    <m/>
    <m/>
    <n v="10916"/>
    <n v="4749.4400000000005"/>
    <s v=""/>
  </r>
  <r>
    <n v="106"/>
    <s v="160106"/>
    <d v="2016-03-21T00:00:00"/>
    <x v="33"/>
    <n v="43290"/>
    <x v="25"/>
    <n v="1"/>
    <x v="32"/>
    <x v="45"/>
    <n v="43290"/>
    <m/>
    <m/>
    <n v="28814"/>
    <n v="14476"/>
    <n v="14476"/>
  </r>
  <r>
    <n v="108"/>
    <s v="160108"/>
    <d v="2016-03-21T00:00:00"/>
    <x v="30"/>
    <n v="5117.42"/>
    <x v="34"/>
    <m/>
    <x v="33"/>
    <x v="46"/>
    <s v=""/>
    <m/>
    <m/>
    <n v="3990"/>
    <n v="1127.42"/>
    <s v=""/>
  </r>
  <r>
    <n v="104"/>
    <s v="160104"/>
    <d v="2016-03-18T00:00:00"/>
    <x v="11"/>
    <n v="8000"/>
    <x v="34"/>
    <m/>
    <x v="34"/>
    <x v="47"/>
    <s v=""/>
    <m/>
    <m/>
    <n v="3778.2"/>
    <n v="4221.8"/>
    <s v=""/>
  </r>
  <r>
    <n v="85"/>
    <s v="160085"/>
    <d v="2016-03-03T00:00:00"/>
    <x v="8"/>
    <n v="110090"/>
    <x v="35"/>
    <m/>
    <x v="27"/>
    <x v="48"/>
    <s v=""/>
    <m/>
    <m/>
    <n v="83228"/>
    <n v="26862"/>
    <s v=""/>
  </r>
  <r>
    <n v="112"/>
    <s v="160112"/>
    <d v="2016-03-24T00:00:00"/>
    <x v="34"/>
    <n v="1433.98"/>
    <x v="36"/>
    <m/>
    <x v="24"/>
    <x v="49"/>
    <s v=""/>
    <m/>
    <m/>
    <n v="1140"/>
    <n v="293.98"/>
    <s v=""/>
  </r>
  <r>
    <n v="88"/>
    <s v="160088"/>
    <d v="2016-03-23T00:00:00"/>
    <x v="20"/>
    <n v="79323.59"/>
    <x v="37"/>
    <m/>
    <x v="33"/>
    <x v="50"/>
    <s v=""/>
    <m/>
    <m/>
    <n v="50516.85"/>
    <n v="28806.739999999998"/>
    <s v=""/>
  </r>
  <r>
    <n v="128"/>
    <s v="160128"/>
    <d v="2016-03-31T00:00:00"/>
    <x v="35"/>
    <n v="4509.96"/>
    <x v="37"/>
    <m/>
    <x v="30"/>
    <x v="51"/>
    <s v=""/>
    <m/>
    <m/>
    <n v="2631.81"/>
    <n v="1878.15"/>
    <s v=""/>
  </r>
  <r>
    <n v="22"/>
    <s v="160022"/>
    <d v="2016-01-25T00:00:00"/>
    <x v="36"/>
    <n v="121192.7"/>
    <x v="37"/>
    <m/>
    <x v="35"/>
    <x v="52"/>
    <s v=""/>
    <n v="2423.8539999999998"/>
    <m/>
    <n v="78960.92"/>
    <n v="42231.78"/>
    <s v=""/>
  </r>
  <r>
    <n v="23"/>
    <s v="160023"/>
    <d v="2016-01-25T00:00:00"/>
    <x v="36"/>
    <n v="97890.96"/>
    <x v="37"/>
    <m/>
    <x v="35"/>
    <x v="53"/>
    <s v=""/>
    <n v="1957.8192000000001"/>
    <m/>
    <n v="61344.92"/>
    <n v="36546.040000000008"/>
    <s v=""/>
  </r>
  <r>
    <n v="107"/>
    <s v="160107"/>
    <d v="2016-03-21T00:00:00"/>
    <x v="37"/>
    <n v="14835.91"/>
    <x v="38"/>
    <m/>
    <x v="30"/>
    <x v="54"/>
    <s v=""/>
    <m/>
    <m/>
    <n v="10365"/>
    <n v="4470.91"/>
    <s v=""/>
  </r>
  <r>
    <n v="127"/>
    <s v="160127"/>
    <d v="2016-03-30T00:00:00"/>
    <x v="20"/>
    <n v="85251.28"/>
    <x v="39"/>
    <m/>
    <x v="30"/>
    <x v="55"/>
    <s v=""/>
    <m/>
    <n v="2400"/>
    <n v="43754.37"/>
    <n v="41496.909999999996"/>
    <s v=""/>
  </r>
  <r>
    <n v="24"/>
    <s v="160024"/>
    <d v="2016-01-25T00:00:00"/>
    <x v="36"/>
    <n v="13724.5"/>
    <x v="40"/>
    <m/>
    <x v="35"/>
    <x v="56"/>
    <s v=""/>
    <n v="274.49"/>
    <m/>
    <n v="9710"/>
    <n v="4014.5"/>
    <s v=""/>
  </r>
  <r>
    <n v="25"/>
    <s v="160025"/>
    <d v="2016-01-25T00:00:00"/>
    <x v="36"/>
    <n v="142294.54"/>
    <x v="40"/>
    <m/>
    <x v="35"/>
    <x v="57"/>
    <s v=""/>
    <n v="2845.8908000000001"/>
    <n v="1200"/>
    <n v="82212.84"/>
    <n v="60081.700000000012"/>
    <s v=""/>
  </r>
  <r>
    <n v="26"/>
    <s v="160026"/>
    <d v="2016-01-25T00:00:00"/>
    <x v="36"/>
    <n v="142294.54999999999"/>
    <x v="40"/>
    <m/>
    <x v="35"/>
    <x v="58"/>
    <s v=""/>
    <n v="2845.8909999999996"/>
    <n v="1200"/>
    <n v="82212.84"/>
    <n v="60081.709999999992"/>
    <s v=""/>
  </r>
  <r>
    <n v="129"/>
    <s v="160129"/>
    <d v="2016-03-31T00:00:00"/>
    <x v="38"/>
    <n v="47199"/>
    <x v="41"/>
    <n v="1"/>
    <x v="36"/>
    <x v="59"/>
    <n v="47199"/>
    <m/>
    <m/>
    <n v="33644"/>
    <n v="13555"/>
    <n v="13555"/>
  </r>
  <r>
    <n v="130"/>
    <s v="160130"/>
    <d v="2016-03-31T00:00:00"/>
    <x v="38"/>
    <n v="9224.4500000000007"/>
    <x v="41"/>
    <n v="1"/>
    <x v="36"/>
    <x v="60"/>
    <n v="9224.4500000000007"/>
    <m/>
    <m/>
    <n v="5270.52"/>
    <n v="3953.9300000000003"/>
    <n v="3953.9300000000003"/>
  </r>
  <r>
    <n v="131"/>
    <s v="160131"/>
    <d v="2016-04-04T00:00:00"/>
    <x v="39"/>
    <n v="64589"/>
    <x v="42"/>
    <m/>
    <x v="37"/>
    <x v="61"/>
    <s v=""/>
    <m/>
    <m/>
    <n v="34400"/>
    <n v="30189"/>
    <s v=""/>
  </r>
  <r>
    <n v="142"/>
    <s v="160142"/>
    <d v="2016-04-08T00:00:00"/>
    <x v="1"/>
    <n v="5174.4799999999996"/>
    <x v="43"/>
    <m/>
    <x v="38"/>
    <x v="62"/>
    <s v=""/>
    <m/>
    <m/>
    <n v="3486"/>
    <n v="1688.4799999999996"/>
    <s v=""/>
  </r>
  <r>
    <n v="137"/>
    <s v="160137"/>
    <d v="2016-04-06T00:00:00"/>
    <x v="40"/>
    <n v="22668"/>
    <x v="43"/>
    <n v="1"/>
    <x v="39"/>
    <x v="63"/>
    <n v="22668"/>
    <m/>
    <m/>
    <n v="17875"/>
    <n v="4793"/>
    <n v="4793"/>
  </r>
  <r>
    <n v="117"/>
    <s v="160117"/>
    <d v="2016-03-28T00:00:00"/>
    <x v="3"/>
    <n v="10741.99"/>
    <x v="44"/>
    <m/>
    <x v="40"/>
    <x v="64"/>
    <s v=""/>
    <m/>
    <m/>
    <n v="7876"/>
    <n v="2865.99"/>
    <s v=""/>
  </r>
  <r>
    <n v="138"/>
    <s v="160138"/>
    <d v="2016-04-06T00:00:00"/>
    <x v="41"/>
    <n v="32890"/>
    <x v="43"/>
    <n v="1"/>
    <x v="39"/>
    <x v="65"/>
    <n v="32890"/>
    <m/>
    <m/>
    <n v="25556"/>
    <n v="7334"/>
    <n v="7334"/>
  </r>
  <r>
    <n v="145"/>
    <s v="160145"/>
    <d v="2016-04-08T00:00:00"/>
    <x v="42"/>
    <n v="30699"/>
    <x v="45"/>
    <n v="1"/>
    <x v="41"/>
    <x v="66"/>
    <n v="30699"/>
    <m/>
    <m/>
    <n v="21551"/>
    <n v="9148"/>
    <n v="9148"/>
  </r>
  <r>
    <n v="111"/>
    <s v="160111"/>
    <d v="2016-04-05T00:00:00"/>
    <x v="43"/>
    <n v="9890"/>
    <x v="45"/>
    <m/>
    <x v="40"/>
    <x v="67"/>
    <s v=""/>
    <m/>
    <m/>
    <n v="7269"/>
    <n v="2621"/>
    <s v=""/>
  </r>
  <r>
    <n v="105"/>
    <s v="160105"/>
    <d v="2016-04-01T00:00:00"/>
    <x v="18"/>
    <n v="95305.56"/>
    <x v="46"/>
    <m/>
    <x v="42"/>
    <x v="68"/>
    <s v=""/>
    <m/>
    <m/>
    <n v="70459"/>
    <n v="24846.559999999998"/>
    <s v=""/>
  </r>
  <r>
    <n v="153"/>
    <s v="160153"/>
    <d v="2016-04-12T00:00:00"/>
    <x v="44"/>
    <n v="18078.89"/>
    <x v="47"/>
    <n v="1"/>
    <x v="43"/>
    <x v="69"/>
    <n v="18078.89"/>
    <m/>
    <m/>
    <n v="16045"/>
    <n v="2033.8899999999994"/>
    <n v="2033.8899999999994"/>
  </r>
  <r>
    <n v="154"/>
    <s v="160154"/>
    <d v="2016-04-12T00:00:00"/>
    <x v="44"/>
    <n v="8952.5400000000009"/>
    <x v="47"/>
    <n v="1"/>
    <x v="43"/>
    <x v="70"/>
    <n v="8952.5400000000009"/>
    <m/>
    <m/>
    <n v="6941"/>
    <n v="2011.5400000000009"/>
    <n v="2011.5400000000009"/>
  </r>
  <r>
    <n v="143"/>
    <s v="160143"/>
    <d v="2016-04-08T00:00:00"/>
    <x v="20"/>
    <n v="28771.63"/>
    <x v="40"/>
    <m/>
    <x v="44"/>
    <x v="71"/>
    <s v=""/>
    <m/>
    <m/>
    <n v="18068.16"/>
    <n v="10703.470000000001"/>
    <s v=""/>
  </r>
  <r>
    <n v="134"/>
    <s v="160134"/>
    <d v="2016-04-05T00:00:00"/>
    <x v="45"/>
    <n v="64470.33"/>
    <x v="38"/>
    <m/>
    <x v="45"/>
    <x v="72"/>
    <s v=""/>
    <m/>
    <m/>
    <n v="47668"/>
    <n v="16802.330000000002"/>
    <s v=""/>
  </r>
  <r>
    <n v="144"/>
    <s v="160144"/>
    <d v="2016-04-14T00:00:00"/>
    <x v="37"/>
    <n v="2127.96"/>
    <x v="48"/>
    <m/>
    <x v="46"/>
    <x v="73"/>
    <s v=""/>
    <m/>
    <m/>
    <n v="1608"/>
    <n v="519.96"/>
    <s v=""/>
  </r>
  <r>
    <n v="158"/>
    <s v="160158"/>
    <d v="2016-04-18T00:00:00"/>
    <x v="46"/>
    <n v="4130.76"/>
    <x v="49"/>
    <n v="1"/>
    <x v="47"/>
    <x v="74"/>
    <n v="4130.76"/>
    <m/>
    <m/>
    <n v="3114"/>
    <n v="1016.7600000000002"/>
    <n v="1016.7600000000002"/>
  </r>
  <r>
    <n v="164"/>
    <s v="160164"/>
    <d v="2016-04-20T00:00:00"/>
    <x v="24"/>
    <n v="31590"/>
    <x v="50"/>
    <m/>
    <x v="48"/>
    <x v="75"/>
    <s v=""/>
    <m/>
    <m/>
    <n v="25556"/>
    <n v="6034"/>
    <s v=""/>
  </r>
  <r>
    <n v="161"/>
    <s v="160161"/>
    <d v="2016-04-19T00:00:00"/>
    <x v="2"/>
    <n v="1950.13"/>
    <x v="39"/>
    <m/>
    <x v="49"/>
    <x v="76"/>
    <s v=""/>
    <m/>
    <m/>
    <n v="1866"/>
    <n v="84.130000000000109"/>
    <s v=""/>
  </r>
  <r>
    <n v="20"/>
    <s v="160020"/>
    <d v="2016-03-22T00:00:00"/>
    <x v="23"/>
    <n v="5174.4799999999996"/>
    <x v="39"/>
    <m/>
    <x v="50"/>
    <x v="62"/>
    <s v=""/>
    <m/>
    <m/>
    <n v="3486"/>
    <n v="1688.4799999999996"/>
    <s v=""/>
  </r>
  <r>
    <n v="156"/>
    <s v="160156"/>
    <d v="2016-04-14T00:00:00"/>
    <x v="47"/>
    <n v="9701.02"/>
    <x v="39"/>
    <m/>
    <x v="43"/>
    <x v="77"/>
    <s v=""/>
    <m/>
    <m/>
    <n v="7334"/>
    <n v="2367.0200000000004"/>
    <s v=""/>
  </r>
  <r>
    <n v="152"/>
    <s v="160152"/>
    <d v="2016-04-11T00:00:00"/>
    <x v="48"/>
    <n v="1568.36"/>
    <x v="50"/>
    <m/>
    <x v="37"/>
    <x v="78"/>
    <s v=""/>
    <m/>
    <m/>
    <n v="941"/>
    <n v="627.3599999999999"/>
    <s v=""/>
  </r>
  <r>
    <n v="170"/>
    <s v="160170"/>
    <d v="2016-04-25T00:00:00"/>
    <x v="49"/>
    <n v="9490"/>
    <x v="51"/>
    <n v="1"/>
    <x v="49"/>
    <x v="79"/>
    <n v="9490"/>
    <m/>
    <m/>
    <n v="8036"/>
    <n v="1454"/>
    <n v="1454"/>
  </r>
  <r>
    <n v="169"/>
    <s v="160169"/>
    <d v="2016-04-22T00:00:00"/>
    <x v="50"/>
    <n v="10900.87"/>
    <x v="51"/>
    <m/>
    <x v="51"/>
    <x v="80"/>
    <s v=""/>
    <m/>
    <m/>
    <n v="7060"/>
    <n v="3840.8700000000008"/>
    <s v=""/>
  </r>
  <r>
    <n v="175"/>
    <s v="160175"/>
    <d v="2016-04-27T00:00:00"/>
    <x v="2"/>
    <n v="7290"/>
    <x v="52"/>
    <m/>
    <x v="52"/>
    <x v="81"/>
    <s v=""/>
    <m/>
    <m/>
    <n v="5897"/>
    <n v="1393"/>
    <s v=""/>
  </r>
  <r>
    <n v="159"/>
    <s v="160159"/>
    <d v="2016-04-18T00:00:00"/>
    <x v="51"/>
    <n v="32890"/>
    <x v="52"/>
    <n v="1"/>
    <x v="53"/>
    <x v="65"/>
    <n v="32890"/>
    <m/>
    <m/>
    <n v="25556"/>
    <n v="7334"/>
    <n v="7334"/>
  </r>
  <r>
    <n v="176"/>
    <s v="160176"/>
    <d v="2016-04-28T00:00:00"/>
    <x v="12"/>
    <n v="28257.17"/>
    <x v="53"/>
    <m/>
    <x v="54"/>
    <x v="82"/>
    <s v=""/>
    <m/>
    <m/>
    <n v="22180"/>
    <n v="6077.1699999999983"/>
    <s v=""/>
  </r>
  <r>
    <n v="177"/>
    <s v="160177"/>
    <d v="2016-04-28T00:00:00"/>
    <x v="10"/>
    <n v="9490"/>
    <x v="54"/>
    <m/>
    <x v="52"/>
    <x v="79"/>
    <s v=""/>
    <m/>
    <m/>
    <n v="8036"/>
    <n v="1454"/>
    <s v=""/>
  </r>
  <r>
    <n v="179"/>
    <s v="160179"/>
    <d v="2016-04-29T00:00:00"/>
    <x v="51"/>
    <n v="7637.56"/>
    <x v="53"/>
    <n v="1"/>
    <x v="20"/>
    <x v="83"/>
    <n v="7637.56"/>
    <m/>
    <m/>
    <n v="5775"/>
    <n v="1862.5600000000004"/>
    <n v="1862.5600000000004"/>
  </r>
  <r>
    <n v="173"/>
    <s v="160173"/>
    <d v="2016-04-26T00:00:00"/>
    <x v="52"/>
    <n v="5040.08"/>
    <x v="53"/>
    <n v="1"/>
    <x v="41"/>
    <x v="84"/>
    <n v="5040.08"/>
    <m/>
    <m/>
    <n v="3962"/>
    <n v="1078.08"/>
    <n v="1078.08"/>
  </r>
  <r>
    <n v="110"/>
    <s v="160110"/>
    <d v="2016-03-23T00:00:00"/>
    <x v="13"/>
    <n v="267240.5"/>
    <x v="55"/>
    <m/>
    <x v="38"/>
    <x v="85"/>
    <s v=""/>
    <n v="60000"/>
    <n v="6000"/>
    <n v="63317.94"/>
    <n v="203922.56"/>
    <s v=""/>
  </r>
  <r>
    <n v="125"/>
    <s v="160125"/>
    <d v="2016-03-29T00:00:00"/>
    <x v="13"/>
    <n v="153394.79999999999"/>
    <x v="55"/>
    <m/>
    <x v="41"/>
    <x v="86"/>
    <s v=""/>
    <m/>
    <m/>
    <n v="112650"/>
    <n v="40744.799999999988"/>
    <s v=""/>
  </r>
  <r>
    <n v="171"/>
    <s v="160171"/>
    <d v="2016-04-25T00:00:00"/>
    <x v="20"/>
    <n v="44761.39"/>
    <x v="55"/>
    <m/>
    <x v="37"/>
    <x v="87"/>
    <s v=""/>
    <m/>
    <m/>
    <n v="32798"/>
    <n v="11963.39"/>
    <s v=""/>
  </r>
  <r>
    <n v="162"/>
    <s v="160162"/>
    <d v="2016-04-29T00:00:00"/>
    <x v="53"/>
    <n v="4154.7"/>
    <x v="56"/>
    <m/>
    <x v="37"/>
    <x v="88"/>
    <s v=""/>
    <m/>
    <m/>
    <n v="3020"/>
    <n v="1134.6999999999998"/>
    <s v=""/>
  </r>
  <r>
    <n v="184"/>
    <s v="160184"/>
    <d v="2016-05-04T00:00:00"/>
    <x v="54"/>
    <n v="2181.5300000000002"/>
    <x v="42"/>
    <n v="1"/>
    <x v="20"/>
    <x v="89"/>
    <n v="2181.5300000000002"/>
    <m/>
    <m/>
    <n v="1803"/>
    <n v="378.5300000000002"/>
    <n v="378.5300000000002"/>
  </r>
  <r>
    <n v="193"/>
    <s v="160193"/>
    <d v="2016-05-11T00:00:00"/>
    <x v="54"/>
    <n v="5411"/>
    <x v="57"/>
    <n v="1"/>
    <x v="20"/>
    <x v="90"/>
    <n v="5411"/>
    <m/>
    <m/>
    <n v="3377"/>
    <n v="2034"/>
    <n v="2034"/>
  </r>
  <r>
    <n v="180"/>
    <s v="160180"/>
    <d v="2016-04-29T00:00:00"/>
    <x v="55"/>
    <n v="3200.16"/>
    <x v="58"/>
    <n v="1"/>
    <x v="20"/>
    <x v="91"/>
    <n v="3200.16"/>
    <m/>
    <m/>
    <n v="1920"/>
    <n v="1280.1599999999999"/>
    <n v="1280.1599999999999"/>
  </r>
  <r>
    <n v="166"/>
    <s v="160166"/>
    <d v="2016-04-21T00:00:00"/>
    <x v="56"/>
    <n v="15540.7"/>
    <x v="55"/>
    <m/>
    <x v="37"/>
    <x v="92"/>
    <s v=""/>
    <m/>
    <m/>
    <n v="10829"/>
    <n v="4711.7000000000007"/>
    <s v=""/>
  </r>
  <r>
    <n v="188"/>
    <s v="160188"/>
    <d v="2016-05-06T00:00:00"/>
    <x v="57"/>
    <n v="38590"/>
    <x v="56"/>
    <n v="1"/>
    <x v="20"/>
    <x v="93"/>
    <n v="38590"/>
    <m/>
    <m/>
    <n v="31571"/>
    <n v="7019"/>
    <n v="7019"/>
  </r>
  <r>
    <n v="194"/>
    <s v="160194"/>
    <d v="2016-05-12T00:00:00"/>
    <x v="58"/>
    <n v="10721"/>
    <x v="55"/>
    <m/>
    <x v="55"/>
    <x v="94"/>
    <s v=""/>
    <m/>
    <m/>
    <n v="7593"/>
    <n v="3128"/>
    <s v=""/>
  </r>
  <r>
    <n v="199"/>
    <s v="160199"/>
    <d v="2016-05-16T00:00:00"/>
    <x v="59"/>
    <n v="1537.25"/>
    <x v="55"/>
    <m/>
    <x v="54"/>
    <x v="95"/>
    <s v=""/>
    <m/>
    <m/>
    <n v="1163"/>
    <n v="374.25"/>
    <s v=""/>
  </r>
  <r>
    <n v="206"/>
    <s v="160206"/>
    <d v="2016-05-16T00:00:00"/>
    <x v="14"/>
    <n v="20587.62"/>
    <x v="59"/>
    <m/>
    <x v="20"/>
    <x v="96"/>
    <s v=""/>
    <m/>
    <m/>
    <n v="15222"/>
    <n v="5365.619999999999"/>
    <s v=""/>
  </r>
  <r>
    <n v="140"/>
    <s v="160140"/>
    <d v="2016-04-07T00:00:00"/>
    <x v="11"/>
    <n v="34980"/>
    <x v="60"/>
    <m/>
    <x v="56"/>
    <x v="97"/>
    <s v=""/>
    <m/>
    <m/>
    <n v="27312"/>
    <n v="7668"/>
    <s v=""/>
  </r>
  <r>
    <n v="207"/>
    <s v="160207"/>
    <d v="2016-05-16T00:00:00"/>
    <x v="14"/>
    <n v="12656.39"/>
    <x v="61"/>
    <m/>
    <x v="57"/>
    <x v="98"/>
    <s v=""/>
    <m/>
    <m/>
    <n v="10397"/>
    <n v="2259.3899999999994"/>
    <s v=""/>
  </r>
  <r>
    <n v="214"/>
    <s v="160214"/>
    <d v="2016-05-19T00:00:00"/>
    <x v="60"/>
    <n v="3069.18"/>
    <x v="61"/>
    <n v="1"/>
    <x v="58"/>
    <x v="99"/>
    <n v="3069.18"/>
    <m/>
    <m/>
    <n v="1758"/>
    <n v="1311.1799999999998"/>
    <n v="1311.1799999999998"/>
  </r>
  <r>
    <n v="215"/>
    <s v="160215"/>
    <d v="2016-05-19T00:00:00"/>
    <x v="59"/>
    <n v="3074.5"/>
    <x v="59"/>
    <m/>
    <x v="59"/>
    <x v="100"/>
    <s v=""/>
    <m/>
    <m/>
    <n v="2326"/>
    <n v="748.5"/>
    <s v=""/>
  </r>
  <r>
    <n v="141"/>
    <s v="160141"/>
    <d v="2016-05-25T00:00:00"/>
    <x v="11"/>
    <n v="74912"/>
    <x v="62"/>
    <m/>
    <x v="60"/>
    <x v="101"/>
    <s v=""/>
    <m/>
    <m/>
    <n v="55273"/>
    <n v="19639"/>
    <s v=""/>
  </r>
  <r>
    <n v="201"/>
    <s v="160201"/>
    <d v="2016-05-16T00:00:00"/>
    <x v="41"/>
    <n v="689.42"/>
    <x v="63"/>
    <m/>
    <x v="59"/>
    <x v="102"/>
    <s v=""/>
    <m/>
    <m/>
    <n v="542"/>
    <n v="147.41999999999996"/>
    <s v=""/>
  </r>
  <r>
    <n v="221"/>
    <s v="160221"/>
    <d v="2016-05-26T00:00:00"/>
    <x v="61"/>
    <n v="3807.27"/>
    <x v="62"/>
    <n v="1"/>
    <x v="60"/>
    <x v="103"/>
    <n v="3807.27"/>
    <m/>
    <m/>
    <n v="2879"/>
    <n v="928.27"/>
    <n v="928.27"/>
  </r>
  <r>
    <n v="223"/>
    <s v="160223"/>
    <d v="2016-05-26T00:00:00"/>
    <x v="62"/>
    <n v="41690"/>
    <x v="62"/>
    <n v="1"/>
    <x v="61"/>
    <x v="104"/>
    <n v="41690"/>
    <m/>
    <m/>
    <n v="32727"/>
    <n v="8963"/>
    <n v="8963"/>
  </r>
  <r>
    <n v="217"/>
    <s v="160217"/>
    <d v="2016-05-20T00:00:00"/>
    <x v="54"/>
    <n v="7425.15"/>
    <x v="62"/>
    <n v="1"/>
    <x v="62"/>
    <x v="105"/>
    <n v="7425.15"/>
    <m/>
    <m/>
    <n v="4960"/>
    <n v="2465.1499999999996"/>
    <n v="2465.1499999999996"/>
  </r>
  <r>
    <n v="234"/>
    <s v="160234"/>
    <d v="2016-05-31T00:00:00"/>
    <x v="63"/>
    <n v="24877"/>
    <x v="64"/>
    <n v="1"/>
    <x v="61"/>
    <x v="106"/>
    <n v="24877"/>
    <m/>
    <m/>
    <n v="18533"/>
    <n v="6344"/>
    <n v="6344"/>
  </r>
  <r>
    <n v="232"/>
    <s v="160232"/>
    <d v="2016-05-30T00:00:00"/>
    <x v="32"/>
    <n v="9021.69"/>
    <x v="64"/>
    <m/>
    <x v="63"/>
    <x v="107"/>
    <s v=""/>
    <m/>
    <m/>
    <n v="3522.47"/>
    <n v="5499.2200000000012"/>
    <s v=""/>
  </r>
  <r>
    <n v="203"/>
    <s v="160203"/>
    <d v="2016-05-16T00:00:00"/>
    <x v="44"/>
    <n v="1073.51"/>
    <x v="65"/>
    <m/>
    <x v="64"/>
    <x v="108"/>
    <s v=""/>
    <m/>
    <m/>
    <n v="768"/>
    <n v="305.51"/>
    <s v=""/>
  </r>
  <r>
    <n v="224"/>
    <s v="160224"/>
    <d v="2016-05-27T00:00:00"/>
    <x v="64"/>
    <n v="4755.1099999999997"/>
    <x v="66"/>
    <n v="1"/>
    <x v="59"/>
    <x v="109"/>
    <n v="4755.1099999999997"/>
    <m/>
    <m/>
    <n v="3739"/>
    <n v="1016.1099999999997"/>
    <n v="1016.1099999999997"/>
  </r>
  <r>
    <n v="209"/>
    <s v="160209"/>
    <d v="2016-05-17T00:00:00"/>
    <x v="23"/>
    <n v="2587.2399999999998"/>
    <x v="67"/>
    <m/>
    <x v="58"/>
    <x v="110"/>
    <s v=""/>
    <m/>
    <m/>
    <n v="1956"/>
    <n v="631.23999999999978"/>
    <s v=""/>
  </r>
  <r>
    <n v="191"/>
    <s v="160191"/>
    <d v="2016-05-13T00:00:00"/>
    <x v="20"/>
    <n v="34021.25"/>
    <x v="66"/>
    <m/>
    <x v="60"/>
    <x v="111"/>
    <s v=""/>
    <m/>
    <m/>
    <n v="25870.14"/>
    <n v="8151.1100000000006"/>
    <s v=""/>
  </r>
  <r>
    <n v="236"/>
    <s v="160236"/>
    <d v="2016-06-01T00:00:00"/>
    <x v="65"/>
    <n v="4256.8500000000004"/>
    <x v="67"/>
    <n v="1"/>
    <x v="62"/>
    <x v="112"/>
    <n v="4256.8500000000004"/>
    <m/>
    <m/>
    <n v="2792"/>
    <n v="1464.8500000000004"/>
    <n v="1464.8500000000004"/>
  </r>
  <r>
    <n v="239"/>
    <s v="160239"/>
    <d v="2016-06-03T00:00:00"/>
    <x v="19"/>
    <n v="10014"/>
    <x v="68"/>
    <m/>
    <x v="65"/>
    <x v="113"/>
    <s v=""/>
    <m/>
    <m/>
    <n v="7445"/>
    <n v="2569"/>
    <s v=""/>
  </r>
  <r>
    <n v="208"/>
    <s v="160208"/>
    <d v="2016-05-17T00:00:00"/>
    <x v="66"/>
    <n v="4611.75"/>
    <x v="68"/>
    <n v="1"/>
    <x v="55"/>
    <x v="114"/>
    <n v="4611.75"/>
    <m/>
    <m/>
    <n v="3489"/>
    <n v="1122.75"/>
    <n v="1122.75"/>
  </r>
  <r>
    <n v="235"/>
    <s v="160235"/>
    <d v="2016-05-31T00:00:00"/>
    <x v="67"/>
    <n v="1084"/>
    <x v="69"/>
    <m/>
    <x v="66"/>
    <x v="115"/>
    <s v=""/>
    <m/>
    <m/>
    <n v="853"/>
    <n v="231"/>
    <s v=""/>
  </r>
  <r>
    <n v="238"/>
    <s v="160238"/>
    <d v="2016-06-02T00:00:00"/>
    <x v="67"/>
    <n v="6028"/>
    <x v="66"/>
    <m/>
    <x v="67"/>
    <x v="116"/>
    <s v=""/>
    <m/>
    <m/>
    <n v="4189"/>
    <n v="1839"/>
    <s v=""/>
  </r>
  <r>
    <n v="213"/>
    <s v="160213"/>
    <d v="2016-05-25T00:00:00"/>
    <x v="68"/>
    <n v="17490"/>
    <x v="66"/>
    <n v="1"/>
    <x v="68"/>
    <x v="117"/>
    <n v="17490"/>
    <m/>
    <m/>
    <n v="13656"/>
    <n v="3834"/>
    <n v="3834"/>
  </r>
  <r>
    <n v="251"/>
    <s v="160251"/>
    <d v="2016-06-08T00:00:00"/>
    <x v="69"/>
    <n v="16890"/>
    <x v="70"/>
    <n v="1"/>
    <x v="68"/>
    <x v="118"/>
    <n v="16890"/>
    <m/>
    <m/>
    <n v="13656"/>
    <n v="3234"/>
    <n v="3234"/>
  </r>
  <r>
    <n v="187"/>
    <s v="160187"/>
    <d v="2016-05-06T00:00:00"/>
    <x v="44"/>
    <n v="1978.86"/>
    <x v="70"/>
    <m/>
    <x v="64"/>
    <x v="119"/>
    <s v=""/>
    <m/>
    <m/>
    <n v="1187"/>
    <n v="791.8599999999999"/>
    <s v=""/>
  </r>
  <r>
    <n v="198"/>
    <s v="160198"/>
    <d v="2016-05-13T00:00:00"/>
    <x v="70"/>
    <n v="4138.28"/>
    <x v="71"/>
    <m/>
    <x v="69"/>
    <x v="120"/>
    <s v=""/>
    <m/>
    <m/>
    <n v="3285"/>
    <n v="853.27999999999975"/>
    <s v=""/>
  </r>
  <r>
    <n v="205"/>
    <s v="160205"/>
    <d v="2016-05-16T00:00:00"/>
    <x v="71"/>
    <n v="21563.51"/>
    <x v="71"/>
    <n v="1"/>
    <x v="69"/>
    <x v="121"/>
    <n v="21563.51"/>
    <m/>
    <m/>
    <n v="16585"/>
    <n v="4978.5099999999984"/>
    <n v="4978.5099999999984"/>
  </r>
  <r>
    <n v="242"/>
    <s v="160242"/>
    <d v="2016-06-06T00:00:00"/>
    <x v="41"/>
    <n v="3555"/>
    <x v="69"/>
    <m/>
    <x v="70"/>
    <x v="122"/>
    <s v=""/>
    <m/>
    <m/>
    <n v="1748.08"/>
    <n v="1806.92"/>
    <s v=""/>
  </r>
  <r>
    <n v="246"/>
    <s v="160246"/>
    <d v="2016-06-07T00:00:00"/>
    <x v="20"/>
    <n v="10041.94"/>
    <x v="72"/>
    <m/>
    <x v="70"/>
    <x v="123"/>
    <s v=""/>
    <m/>
    <m/>
    <n v="5053.88"/>
    <n v="4988.0600000000004"/>
    <s v=""/>
  </r>
  <r>
    <n v="243"/>
    <s v="160243"/>
    <d v="2016-06-06T00:00:00"/>
    <x v="11"/>
    <n v="57078.96"/>
    <x v="73"/>
    <m/>
    <x v="69"/>
    <x v="124"/>
    <s v=""/>
    <m/>
    <m/>
    <n v="43152"/>
    <n v="13926.96"/>
    <s v=""/>
  </r>
  <r>
    <n v="247"/>
    <s v="160247"/>
    <d v="2016-06-07T00:00:00"/>
    <x v="72"/>
    <n v="5200"/>
    <x v="74"/>
    <n v="1"/>
    <x v="71"/>
    <x v="125"/>
    <n v="5200"/>
    <m/>
    <m/>
    <n v="2147.88"/>
    <n v="3052.12"/>
    <n v="3052.12"/>
  </r>
  <r>
    <n v="259"/>
    <s v="160259"/>
    <d v="2016-05-15T00:00:00"/>
    <x v="72"/>
    <n v="2450"/>
    <x v="75"/>
    <n v="1"/>
    <x v="71"/>
    <x v="126"/>
    <n v="2450"/>
    <m/>
    <m/>
    <n v="2174"/>
    <n v="276"/>
    <n v="276"/>
  </r>
  <r>
    <n v="185"/>
    <s v="160185"/>
    <d v="2016-06-09T00:00:00"/>
    <x v="73"/>
    <n v="4848.03"/>
    <x v="75"/>
    <m/>
    <x v="72"/>
    <x v="127"/>
    <s v=""/>
    <m/>
    <m/>
    <n v="3533"/>
    <n v="1315.0299999999997"/>
    <s v=""/>
  </r>
  <r>
    <n v="258"/>
    <s v="160258"/>
    <d v="2016-06-14T00:00:00"/>
    <x v="74"/>
    <n v="14580"/>
    <x v="76"/>
    <n v="1"/>
    <x v="73"/>
    <x v="128"/>
    <n v="14580"/>
    <m/>
    <m/>
    <n v="11328"/>
    <n v="3252"/>
    <n v="3252"/>
  </r>
  <r>
    <n v="204"/>
    <s v="160204"/>
    <d v="2016-05-16T00:00:00"/>
    <x v="18"/>
    <n v="40639.22"/>
    <x v="77"/>
    <m/>
    <x v="73"/>
    <x v="129"/>
    <s v=""/>
    <m/>
    <m/>
    <n v="32526"/>
    <n v="8113.2200000000012"/>
    <s v=""/>
  </r>
  <r>
    <n v="200"/>
    <s v="160200"/>
    <d v="2016-05-16T00:00:00"/>
    <x v="13"/>
    <n v="583257.27"/>
    <x v="78"/>
    <m/>
    <x v="59"/>
    <x v="130"/>
    <s v=""/>
    <n v="108000"/>
    <n v="10800"/>
    <n v="187299.46"/>
    <n v="395957.81000000006"/>
    <s v=""/>
  </r>
  <r>
    <n v="265"/>
    <s v="160265"/>
    <d v="2016-06-20T00:00:00"/>
    <x v="75"/>
    <n v="52890"/>
    <x v="79"/>
    <n v="1"/>
    <x v="74"/>
    <x v="131"/>
    <n v="52890"/>
    <m/>
    <m/>
    <n v="36103.31"/>
    <n v="16786.690000000002"/>
    <n v="16786.690000000002"/>
  </r>
  <r>
    <n v="249"/>
    <s v="160249"/>
    <d v="2016-06-07T00:00:00"/>
    <x v="76"/>
    <n v="3807.27"/>
    <x v="80"/>
    <n v="1"/>
    <x v="75"/>
    <x v="103"/>
    <n v="3807.27"/>
    <m/>
    <m/>
    <n v="2380"/>
    <n v="1427.27"/>
    <n v="1427.27"/>
  </r>
  <r>
    <n v="253"/>
    <s v="160253"/>
    <d v="2016-06-09T00:00:00"/>
    <x v="23"/>
    <n v="7761.72"/>
    <x v="80"/>
    <m/>
    <x v="66"/>
    <x v="132"/>
    <s v=""/>
    <m/>
    <m/>
    <n v="5868"/>
    <n v="1893.7200000000003"/>
    <s v=""/>
  </r>
  <r>
    <n v="266"/>
    <s v="160266"/>
    <d v="2016-06-21T00:00:00"/>
    <x v="12"/>
    <n v="12250"/>
    <x v="79"/>
    <m/>
    <x v="76"/>
    <x v="14"/>
    <s v=""/>
    <m/>
    <m/>
    <n v="10870"/>
    <n v="1380"/>
    <s v=""/>
  </r>
  <r>
    <n v="272"/>
    <s v="160272"/>
    <d v="2016-06-24T00:00:00"/>
    <x v="77"/>
    <n v="10058.42"/>
    <x v="72"/>
    <n v="1"/>
    <x v="76"/>
    <x v="133"/>
    <n v="10058.42"/>
    <m/>
    <m/>
    <n v="7914"/>
    <n v="2144.42"/>
    <n v="2144.42"/>
  </r>
  <r>
    <n v="264"/>
    <s v="160264"/>
    <d v="2016-06-17T00:00:00"/>
    <x v="28"/>
    <n v="34090"/>
    <x v="72"/>
    <m/>
    <x v="77"/>
    <x v="134"/>
    <s v=""/>
    <m/>
    <m/>
    <n v="26000"/>
    <n v="8090"/>
    <s v=""/>
  </r>
  <r>
    <n v="216"/>
    <s v="160216"/>
    <d v="2016-05-19T00:00:00"/>
    <x v="78"/>
    <n v="62462.54"/>
    <x v="72"/>
    <n v="1"/>
    <x v="78"/>
    <x v="135"/>
    <n v="62462.54"/>
    <m/>
    <m/>
    <n v="45445"/>
    <n v="17017.54"/>
    <n v="17017.54"/>
  </r>
  <r>
    <n v="271"/>
    <s v="160271"/>
    <d v="2016-05-23T00:00:00"/>
    <x v="79"/>
    <n v="4000"/>
    <x v="72"/>
    <m/>
    <x v="77"/>
    <x v="136"/>
    <s v=""/>
    <m/>
    <n v="300"/>
    <n v="1758.8"/>
    <n v="2241.1999999999998"/>
    <s v=""/>
  </r>
  <r>
    <n v="269"/>
    <s v="160269"/>
    <d v="2016-06-22T00:00:00"/>
    <x v="48"/>
    <n v="3834"/>
    <x v="81"/>
    <m/>
    <x v="79"/>
    <x v="137"/>
    <s v=""/>
    <m/>
    <m/>
    <n v="2300"/>
    <n v="1534"/>
    <s v=""/>
  </r>
  <r>
    <n v="280"/>
    <s v="160280"/>
    <d v="2016-06-30T00:00:00"/>
    <x v="54"/>
    <n v="6618"/>
    <x v="82"/>
    <m/>
    <x v="79"/>
    <x v="138"/>
    <s v=""/>
    <m/>
    <m/>
    <n v="5698"/>
    <n v="920"/>
    <s v=""/>
  </r>
  <r>
    <n v="299"/>
    <s v="160299"/>
    <d v="2016-07-11T00:00:00"/>
    <x v="80"/>
    <n v="39990"/>
    <x v="83"/>
    <n v="1"/>
    <x v="76"/>
    <x v="139"/>
    <n v="39990"/>
    <m/>
    <m/>
    <n v="30232"/>
    <n v="9758"/>
    <n v="9758"/>
  </r>
  <r>
    <n v="302"/>
    <s v="160302"/>
    <d v="2016-07-12T00:00:00"/>
    <x v="44"/>
    <n v="346"/>
    <x v="84"/>
    <m/>
    <x v="80"/>
    <x v="140"/>
    <s v=""/>
    <m/>
    <m/>
    <n v="260"/>
    <n v="86"/>
    <s v=""/>
  </r>
  <r>
    <n v="311"/>
    <s v="160311"/>
    <d v="2016-07-13T00:00:00"/>
    <x v="21"/>
    <n v="44290"/>
    <x v="85"/>
    <m/>
    <x v="81"/>
    <x v="141"/>
    <s v=""/>
    <m/>
    <m/>
    <n v="33483"/>
    <n v="10807"/>
    <s v=""/>
  </r>
  <r>
    <n v="312"/>
    <s v="160312"/>
    <d v="2016-07-13T00:00:00"/>
    <x v="34"/>
    <n v="14190"/>
    <x v="86"/>
    <m/>
    <x v="81"/>
    <x v="142"/>
    <s v=""/>
    <m/>
    <m/>
    <n v="11324"/>
    <n v="2866"/>
    <s v=""/>
  </r>
  <r>
    <n v="303"/>
    <s v="160303"/>
    <d v="2016-07-12T00:00:00"/>
    <x v="81"/>
    <n v="18871.810000000001"/>
    <x v="85"/>
    <n v="1"/>
    <x v="80"/>
    <x v="143"/>
    <n v="18871.810000000001"/>
    <m/>
    <n v="300"/>
    <n v="12523.68"/>
    <n v="6348.130000000001"/>
    <n v="6348.130000000001"/>
  </r>
  <r>
    <n v="218"/>
    <s v="160218"/>
    <d v="2016-05-23T00:00:00"/>
    <x v="36"/>
    <n v="47648.27"/>
    <x v="85"/>
    <m/>
    <x v="74"/>
    <x v="144"/>
    <s v=""/>
    <n v="952.96539999999993"/>
    <n v="900"/>
    <n v="16804.400000000001"/>
    <n v="30843.869999999995"/>
    <s v=""/>
  </r>
  <r>
    <n v="125"/>
    <s v="160125"/>
    <d v="2016-03-29T00:00:00"/>
    <x v="13"/>
    <n v="187184.77"/>
    <x v="87"/>
    <m/>
    <x v="41"/>
    <x v="145"/>
    <s v=""/>
    <n v="45000"/>
    <n v="4500"/>
    <n v="39397.78"/>
    <n v="147786.99"/>
    <s v=""/>
  </r>
  <r>
    <n v="314"/>
    <s v="160314"/>
    <d v="2016-07-14T00:00:00"/>
    <x v="2"/>
    <n v="1304.99"/>
    <x v="88"/>
    <m/>
    <x v="82"/>
    <x v="146"/>
    <s v=""/>
    <m/>
    <m/>
    <n v="783"/>
    <n v="521.99"/>
    <s v=""/>
  </r>
  <r>
    <n v="316"/>
    <s v="160316"/>
    <d v="2016-07-15T00:00:00"/>
    <x v="60"/>
    <n v="1650"/>
    <x v="89"/>
    <m/>
    <x v="83"/>
    <x v="147"/>
    <s v=""/>
    <m/>
    <m/>
    <n v="864"/>
    <n v="786"/>
    <s v=""/>
  </r>
  <r>
    <n v="321"/>
    <s v="160321"/>
    <d v="2016-07-20T00:00:00"/>
    <x v="82"/>
    <n v="5392"/>
    <x v="89"/>
    <m/>
    <x v="83"/>
    <x v="148"/>
    <s v=""/>
    <m/>
    <m/>
    <n v="4076"/>
    <n v="1316"/>
    <s v=""/>
  </r>
  <r>
    <n v="323"/>
    <s v="160323"/>
    <d v="2016-07-21T00:00:00"/>
    <x v="83"/>
    <n v="33004.15"/>
    <x v="90"/>
    <n v="1"/>
    <x v="84"/>
    <x v="149"/>
    <n v="33004.15"/>
    <m/>
    <m/>
    <n v="24705"/>
    <n v="8299.1500000000015"/>
    <n v="8299.1500000000015"/>
  </r>
  <r>
    <n v="326"/>
    <s v="160326"/>
    <d v="2016-07-25T00:00:00"/>
    <x v="84"/>
    <n v="30390"/>
    <x v="91"/>
    <n v="1"/>
    <x v="63"/>
    <x v="150"/>
    <n v="30390"/>
    <m/>
    <m/>
    <n v="23613"/>
    <n v="6777"/>
    <n v="6777"/>
  </r>
  <r>
    <n v="263"/>
    <s v="160263"/>
    <d v="2016-06-17T00:00:00"/>
    <x v="18"/>
    <n v="16890"/>
    <x v="92"/>
    <m/>
    <x v="85"/>
    <x v="118"/>
    <s v=""/>
    <m/>
    <m/>
    <n v="12928"/>
    <n v="3962"/>
    <s v=""/>
  </r>
  <r>
    <n v="333"/>
    <s v="160333"/>
    <d v="2016-07-26T00:00:00"/>
    <x v="85"/>
    <n v="51272"/>
    <x v="93"/>
    <n v="1"/>
    <x v="86"/>
    <x v="151"/>
    <n v="51272"/>
    <m/>
    <m/>
    <n v="39369"/>
    <n v="11903"/>
    <n v="11903"/>
  </r>
  <r>
    <n v="349"/>
    <s v="160349"/>
    <d v="2016-07-29T00:00:00"/>
    <x v="51"/>
    <n v="5234.9399999999996"/>
    <x v="94"/>
    <m/>
    <x v="81"/>
    <x v="152"/>
    <s v=""/>
    <m/>
    <m/>
    <n v="3991"/>
    <n v="1243.9399999999996"/>
    <s v=""/>
  </r>
  <r>
    <n v="355"/>
    <s v="160355"/>
    <d v="2016-08-01T00:00:00"/>
    <x v="86"/>
    <n v="4865.66"/>
    <x v="95"/>
    <n v="1"/>
    <x v="87"/>
    <x v="153"/>
    <n v="4865.66"/>
    <m/>
    <m/>
    <n v="4189"/>
    <n v="676.65999999999985"/>
    <n v="676.65999999999985"/>
  </r>
  <r>
    <n v="353"/>
    <s v="160353"/>
    <d v="2016-08-01T00:00:00"/>
    <x v="87"/>
    <n v="8177.48"/>
    <x v="95"/>
    <n v="1"/>
    <x v="88"/>
    <x v="154"/>
    <n v="8177.48"/>
    <m/>
    <n v="600"/>
    <n v="5249.8"/>
    <n v="2927.6799999999994"/>
    <n v="2927.6799999999994"/>
  </r>
  <r>
    <n v="351"/>
    <s v="160351"/>
    <d v="2016-07-29T00:00:00"/>
    <x v="88"/>
    <n v="29524"/>
    <x v="95"/>
    <n v="1"/>
    <x v="89"/>
    <x v="155"/>
    <n v="29524"/>
    <m/>
    <m/>
    <n v="21996"/>
    <n v="7528"/>
    <n v="7528"/>
  </r>
  <r>
    <n v="350"/>
    <s v="160350"/>
    <d v="2016-08-01T00:00:00"/>
    <x v="89"/>
    <n v="5194.45"/>
    <x v="95"/>
    <m/>
    <x v="84"/>
    <x v="156"/>
    <s v=""/>
    <m/>
    <m/>
    <n v="3247"/>
    <n v="1947.4499999999998"/>
    <s v=""/>
  </r>
  <r>
    <n v="340"/>
    <s v="160340"/>
    <d v="2016-07-27T00:00:00"/>
    <x v="37"/>
    <n v="22631.64"/>
    <x v="96"/>
    <m/>
    <x v="90"/>
    <x v="157"/>
    <s v=""/>
    <m/>
    <m/>
    <n v="17604"/>
    <n v="5027.6399999999994"/>
    <s v=""/>
  </r>
  <r>
    <n v="341"/>
    <s v="160341"/>
    <d v="2016-07-27T00:00:00"/>
    <x v="3"/>
    <n v="4723.78"/>
    <x v="96"/>
    <m/>
    <x v="91"/>
    <x v="158"/>
    <s v=""/>
    <m/>
    <m/>
    <n v="3637"/>
    <n v="1086.7799999999997"/>
    <s v=""/>
  </r>
  <r>
    <n v="344"/>
    <s v="160344"/>
    <d v="2016-07-28T00:00:00"/>
    <x v="25"/>
    <n v="1935"/>
    <x v="96"/>
    <m/>
    <x v="90"/>
    <x v="159"/>
    <s v=""/>
    <m/>
    <m/>
    <n v="1583"/>
    <n v="352"/>
    <s v=""/>
  </r>
  <r>
    <n v="291"/>
    <s v="160291"/>
    <d v="2016-07-06T00:00:00"/>
    <x v="20"/>
    <n v="84104"/>
    <x v="97"/>
    <m/>
    <x v="92"/>
    <x v="160"/>
    <s v=""/>
    <m/>
    <m/>
    <n v="59790.879999999997"/>
    <n v="24313.120000000003"/>
    <s v=""/>
  </r>
  <r>
    <n v="334"/>
    <s v="160334"/>
    <d v="2016-07-26T00:00:00"/>
    <x v="20"/>
    <n v="4900"/>
    <x v="97"/>
    <m/>
    <x v="93"/>
    <x v="12"/>
    <s v=""/>
    <m/>
    <m/>
    <n v="4348"/>
    <n v="552"/>
    <s v=""/>
  </r>
  <r>
    <n v="293"/>
    <s v="160293"/>
    <d v="2016-07-11T00:00:00"/>
    <x v="36"/>
    <n v="23868.76"/>
    <x v="97"/>
    <m/>
    <x v="94"/>
    <x v="161"/>
    <s v=""/>
    <n v="477.37519999999995"/>
    <m/>
    <n v="16339"/>
    <n v="7529.7599999999984"/>
    <s v=""/>
  </r>
  <r>
    <n v="288"/>
    <s v="160288"/>
    <d v="2016-07-11T00:00:00"/>
    <x v="36"/>
    <n v="68104.240000000005"/>
    <x v="97"/>
    <m/>
    <x v="94"/>
    <x v="162"/>
    <s v=""/>
    <n v="1362.0848000000001"/>
    <n v="1200"/>
    <n v="36079.599999999999"/>
    <n v="32024.640000000007"/>
    <s v=""/>
  </r>
  <r>
    <n v="287"/>
    <s v="160287"/>
    <d v="2016-07-11T00:00:00"/>
    <x v="36"/>
    <n v="62500"/>
    <x v="97"/>
    <m/>
    <x v="94"/>
    <x v="163"/>
    <s v=""/>
    <n v="1250"/>
    <n v="3000"/>
    <n v="18455.14"/>
    <n v="44044.86"/>
    <s v=""/>
  </r>
  <r>
    <n v="286"/>
    <s v="160286"/>
    <d v="2016-07-11T00:00:00"/>
    <x v="36"/>
    <n v="125230.53"/>
    <x v="97"/>
    <m/>
    <x v="94"/>
    <x v="164"/>
    <s v=""/>
    <n v="2504.6106"/>
    <n v="3000"/>
    <n v="60514"/>
    <n v="64716.53"/>
    <s v=""/>
  </r>
  <r>
    <n v="352"/>
    <s v="160352"/>
    <d v="2016-08-01T00:00:00"/>
    <x v="88"/>
    <n v="44990"/>
    <x v="98"/>
    <n v="1"/>
    <x v="82"/>
    <x v="165"/>
    <n v="44990"/>
    <m/>
    <m/>
    <n v="36703"/>
    <n v="8287"/>
    <n v="8287"/>
  </r>
  <r>
    <n v="372"/>
    <s v="160372"/>
    <d v="2016-08-08T00:00:00"/>
    <x v="89"/>
    <n v="2742"/>
    <x v="99"/>
    <m/>
    <x v="95"/>
    <x v="166"/>
    <s v=""/>
    <m/>
    <m/>
    <n v="2244"/>
    <n v="498"/>
    <s v=""/>
  </r>
  <r>
    <n v="378"/>
    <s v="160378"/>
    <d v="2016-08-09T00:00:00"/>
    <x v="90"/>
    <n v="29590"/>
    <x v="99"/>
    <n v="1"/>
    <x v="91"/>
    <x v="167"/>
    <n v="29590"/>
    <m/>
    <m/>
    <n v="28387"/>
    <n v="1203"/>
    <n v="1203"/>
  </r>
  <r>
    <n v="381"/>
    <s v="160381"/>
    <d v="2016-08-10T00:00:00"/>
    <x v="91"/>
    <n v="30390"/>
    <x v="99"/>
    <n v="1"/>
    <x v="96"/>
    <x v="150"/>
    <n v="30390"/>
    <m/>
    <m/>
    <n v="23613"/>
    <n v="6777"/>
    <n v="6777"/>
  </r>
  <r>
    <n v="386"/>
    <s v="160386"/>
    <d v="2016-08-11T00:00:00"/>
    <x v="91"/>
    <n v="1252.9000000000001"/>
    <x v="100"/>
    <n v="1"/>
    <x v="96"/>
    <x v="168"/>
    <n v="1252.9000000000001"/>
    <m/>
    <m/>
    <n v="917"/>
    <n v="335.90000000000009"/>
    <n v="335.90000000000009"/>
  </r>
  <r>
    <n v="382"/>
    <s v="160382"/>
    <d v="2016-08-10T00:00:00"/>
    <x v="92"/>
    <n v="43590"/>
    <x v="100"/>
    <n v="1"/>
    <x v="95"/>
    <x v="169"/>
    <n v="43590"/>
    <m/>
    <m/>
    <n v="32954"/>
    <n v="10636"/>
    <n v="10636"/>
  </r>
  <r>
    <n v="339"/>
    <s v="160339"/>
    <d v="2016-07-27T00:00:00"/>
    <x v="28"/>
    <n v="8714"/>
    <x v="100"/>
    <m/>
    <x v="95"/>
    <x v="170"/>
    <s v=""/>
    <m/>
    <m/>
    <n v="6586"/>
    <n v="2128"/>
    <s v=""/>
  </r>
  <r>
    <n v="324"/>
    <s v="160324"/>
    <d v="2016-07-21T00:00:00"/>
    <x v="93"/>
    <n v="451098"/>
    <x v="100"/>
    <n v="1"/>
    <x v="97"/>
    <x v="171"/>
    <n v="451098"/>
    <m/>
    <n v="6600"/>
    <n v="331100"/>
    <n v="119998"/>
    <n v="119998"/>
  </r>
  <r>
    <n v="389"/>
    <s v="160389"/>
    <d v="2016-08-12T00:00:00"/>
    <x v="72"/>
    <n v="5300"/>
    <x v="101"/>
    <m/>
    <x v="98"/>
    <x v="172"/>
    <s v=""/>
    <m/>
    <m/>
    <n v="2126"/>
    <n v="3174"/>
    <s v=""/>
  </r>
  <r>
    <n v="369"/>
    <s v="160369"/>
    <d v="2016-08-04T00:00:00"/>
    <x v="94"/>
    <n v="14688.08"/>
    <x v="102"/>
    <m/>
    <x v="99"/>
    <x v="173"/>
    <s v=""/>
    <m/>
    <m/>
    <n v="12444.5"/>
    <n v="2243.58"/>
    <s v=""/>
  </r>
  <r>
    <n v="318"/>
    <s v="160318"/>
    <d v="2016-07-19T00:00:00"/>
    <x v="95"/>
    <n v="5764.9"/>
    <x v="102"/>
    <m/>
    <x v="100"/>
    <x v="174"/>
    <s v=""/>
    <m/>
    <m/>
    <n v="4101"/>
    <n v="1663.8999999999996"/>
    <s v=""/>
  </r>
  <r>
    <n v="370"/>
    <s v="160370"/>
    <d v="2016-08-04T00:00:00"/>
    <x v="20"/>
    <n v="22810"/>
    <x v="103"/>
    <m/>
    <x v="96"/>
    <x v="175"/>
    <s v=""/>
    <m/>
    <m/>
    <n v="18452"/>
    <n v="4358"/>
    <s v=""/>
  </r>
  <r>
    <n v="392"/>
    <s v="160392"/>
    <d v="2016-08-15T00:00:00"/>
    <x v="96"/>
    <n v="658.44"/>
    <x v="103"/>
    <n v="1"/>
    <x v="101"/>
    <x v="176"/>
    <n v="658.44"/>
    <m/>
    <m/>
    <n v="498"/>
    <n v="160.44000000000005"/>
    <n v="160.44000000000005"/>
  </r>
  <r>
    <n v="359"/>
    <s v="160359"/>
    <d v="2016-08-02T00:00:00"/>
    <x v="97"/>
    <n v="8672.7199999999993"/>
    <x v="103"/>
    <n v="1"/>
    <x v="102"/>
    <x v="177"/>
    <n v="8672.7199999999993"/>
    <m/>
    <m/>
    <n v="5364"/>
    <n v="3308.7199999999993"/>
    <n v="3308.7199999999993"/>
  </r>
  <r>
    <n v="380"/>
    <s v="160380"/>
    <d v="2016-08-10T00:00:00"/>
    <x v="88"/>
    <n v="19105.84"/>
    <x v="104"/>
    <n v="1"/>
    <x v="103"/>
    <x v="178"/>
    <n v="19105.84"/>
    <m/>
    <m/>
    <n v="15648"/>
    <n v="3457.84"/>
    <n v="3457.84"/>
  </r>
  <r>
    <n v="397"/>
    <s v="160397"/>
    <d v="2016-08-15T00:00:00"/>
    <x v="98"/>
    <n v="4296.43"/>
    <x v="104"/>
    <m/>
    <x v="87"/>
    <x v="179"/>
    <s v=""/>
    <m/>
    <m/>
    <n v="3248"/>
    <n v="1048.4300000000003"/>
    <s v=""/>
  </r>
  <r>
    <n v="401"/>
    <s v="160401"/>
    <d v="2016-08-18T00:00:00"/>
    <x v="58"/>
    <n v="90590"/>
    <x v="105"/>
    <m/>
    <x v="87"/>
    <x v="180"/>
    <s v=""/>
    <m/>
    <m/>
    <n v="79453"/>
    <n v="11137"/>
    <s v=""/>
  </r>
  <r>
    <n v="402"/>
    <s v="160402"/>
    <d v="2016-08-19T00:00:00"/>
    <x v="1"/>
    <n v="4776.46"/>
    <x v="106"/>
    <m/>
    <x v="87"/>
    <x v="181"/>
    <s v=""/>
    <m/>
    <m/>
    <n v="3912"/>
    <n v="864.46"/>
    <s v=""/>
  </r>
  <r>
    <n v="391"/>
    <s v="160391"/>
    <d v="2016-08-12T00:00:00"/>
    <x v="2"/>
    <n v="4472.28"/>
    <x v="106"/>
    <m/>
    <x v="104"/>
    <x v="182"/>
    <s v=""/>
    <m/>
    <m/>
    <n v="2926"/>
    <n v="1546.2799999999997"/>
    <s v=""/>
  </r>
  <r>
    <n v="390"/>
    <s v="160390"/>
    <d v="2016-08-12T00:00:00"/>
    <x v="54"/>
    <n v="9552.92"/>
    <x v="106"/>
    <m/>
    <x v="81"/>
    <x v="183"/>
    <s v=""/>
    <m/>
    <m/>
    <n v="7824"/>
    <n v="1728.92"/>
    <s v=""/>
  </r>
  <r>
    <n v="398"/>
    <s v="160398"/>
    <d v="2016-08-16T00:00:00"/>
    <x v="14"/>
    <n v="15106.39"/>
    <x v="107"/>
    <m/>
    <x v="105"/>
    <x v="184"/>
    <s v=""/>
    <m/>
    <m/>
    <n v="11683"/>
    <n v="3423.3899999999994"/>
    <s v=""/>
  </r>
  <r>
    <n v="327"/>
    <s v="160327"/>
    <d v="2016-07-25T00:00:00"/>
    <x v="99"/>
    <n v="53080"/>
    <x v="108"/>
    <m/>
    <x v="86"/>
    <x v="185"/>
    <s v=""/>
    <m/>
    <m/>
    <n v="40767"/>
    <n v="12313"/>
    <s v=""/>
  </r>
  <r>
    <n v="405"/>
    <s v="160405"/>
    <d v="2016-08-24T00:00:00"/>
    <x v="12"/>
    <n v="46173"/>
    <x v="108"/>
    <n v="1"/>
    <x v="106"/>
    <x v="186"/>
    <n v="46173"/>
    <m/>
    <m/>
    <n v="34934"/>
    <n v="11239"/>
    <n v="11239"/>
  </r>
  <r>
    <n v="332"/>
    <s v="160332"/>
    <d v="2016-07-26T00:00:00"/>
    <x v="36"/>
    <n v="26134.53"/>
    <x v="109"/>
    <m/>
    <x v="98"/>
    <x v="187"/>
    <s v=""/>
    <n v="522.69060000000002"/>
    <m/>
    <n v="16798"/>
    <n v="9336.5299999999988"/>
    <s v=""/>
  </r>
  <r>
    <n v="335"/>
    <s v="160335"/>
    <d v="2016-07-26T00:00:00"/>
    <x v="36"/>
    <n v="135590"/>
    <x v="109"/>
    <m/>
    <x v="98"/>
    <x v="188"/>
    <s v=""/>
    <n v="2711.8"/>
    <m/>
    <n v="102506"/>
    <n v="33084"/>
    <s v=""/>
  </r>
  <r>
    <n v="336"/>
    <s v="160336"/>
    <d v="2016-07-26T00:00:00"/>
    <x v="36"/>
    <n v="51250"/>
    <x v="109"/>
    <m/>
    <x v="98"/>
    <x v="189"/>
    <s v=""/>
    <n v="1025"/>
    <n v="3000"/>
    <n v="16645.3"/>
    <n v="34604.699999999997"/>
    <s v=""/>
  </r>
  <r>
    <n v="325"/>
    <s v="160325"/>
    <d v="2016-07-22T00:00:00"/>
    <x v="23"/>
    <n v="20504.27"/>
    <x v="110"/>
    <m/>
    <x v="87"/>
    <x v="190"/>
    <s v=""/>
    <m/>
    <m/>
    <n v="15823"/>
    <n v="4681.2700000000004"/>
    <s v=""/>
  </r>
  <r>
    <n v="404"/>
    <s v="160404"/>
    <d v="2016-08-23T00:00:00"/>
    <x v="100"/>
    <n v="22690"/>
    <x v="110"/>
    <n v="1"/>
    <x v="101"/>
    <x v="191"/>
    <n v="22690"/>
    <m/>
    <m/>
    <n v="17154"/>
    <n v="5536"/>
    <n v="5536"/>
  </r>
  <r>
    <n v="417"/>
    <s v="160417"/>
    <d v="2016-08-31T00:00:00"/>
    <x v="99"/>
    <n v="328"/>
    <x v="111"/>
    <m/>
    <x v="104"/>
    <x v="192"/>
    <s v=""/>
    <m/>
    <m/>
    <n v="241"/>
    <n v="87"/>
    <s v=""/>
  </r>
  <r>
    <n v="395"/>
    <s v="160395"/>
    <d v="2016-08-15T00:00:00"/>
    <x v="20"/>
    <n v="7150"/>
    <x v="109"/>
    <m/>
    <x v="99"/>
    <x v="193"/>
    <s v=""/>
    <m/>
    <m/>
    <n v="4524"/>
    <n v="2626"/>
    <s v=""/>
  </r>
  <r>
    <n v="322"/>
    <s v="160322"/>
    <d v="2016-08-29T00:00:00"/>
    <x v="101"/>
    <n v="29590"/>
    <x v="112"/>
    <m/>
    <x v="107"/>
    <x v="167"/>
    <s v=""/>
    <m/>
    <m/>
    <n v="23329"/>
    <n v="6261"/>
    <s v=""/>
  </r>
  <r>
    <n v="399"/>
    <s v="160399"/>
    <d v="2016-08-16T00:00:00"/>
    <x v="102"/>
    <n v="7254.62"/>
    <x v="112"/>
    <m/>
    <x v="108"/>
    <x v="194"/>
    <s v=""/>
    <m/>
    <m/>
    <n v="4920"/>
    <n v="2334.62"/>
    <s v=""/>
  </r>
  <r>
    <n v="418"/>
    <s v="160418"/>
    <d v="2016-09-01T00:00:00"/>
    <x v="103"/>
    <n v="2285"/>
    <x v="113"/>
    <n v="1"/>
    <x v="85"/>
    <x v="195"/>
    <n v="2285"/>
    <m/>
    <m/>
    <n v="1727"/>
    <n v="558"/>
    <n v="558"/>
  </r>
  <r>
    <n v="408"/>
    <s v="160408"/>
    <d v="2016-08-29T00:00:00"/>
    <x v="73"/>
    <n v="3890"/>
    <x v="113"/>
    <m/>
    <x v="109"/>
    <x v="196"/>
    <s v=""/>
    <m/>
    <m/>
    <n v="3472"/>
    <n v="418"/>
    <s v=""/>
  </r>
  <r>
    <n v="409"/>
    <s v="160409"/>
    <d v="2016-08-29T00:00:00"/>
    <x v="73"/>
    <n v="16380"/>
    <x v="113"/>
    <m/>
    <x v="109"/>
    <x v="197"/>
    <s v=""/>
    <m/>
    <m/>
    <n v="12728"/>
    <n v="3652"/>
    <s v=""/>
  </r>
  <r>
    <n v="420"/>
    <s v="160420"/>
    <d v="2016-09-05T00:00:00"/>
    <x v="2"/>
    <n v="758.15"/>
    <x v="114"/>
    <m/>
    <x v="110"/>
    <x v="198"/>
    <s v=""/>
    <m/>
    <m/>
    <n v="557"/>
    <n v="201.14999999999998"/>
    <s v=""/>
  </r>
  <r>
    <n v="419"/>
    <s v="160419"/>
    <d v="2016-09-02T00:00:00"/>
    <x v="103"/>
    <n v="1584"/>
    <x v="114"/>
    <n v="1"/>
    <x v="111"/>
    <x v="199"/>
    <n v="1584"/>
    <m/>
    <m/>
    <n v="1552"/>
    <n v="32"/>
    <n v="32"/>
  </r>
  <r>
    <n v="346"/>
    <s v="160346"/>
    <d v="2016-08-01T00:00:00"/>
    <x v="37"/>
    <n v="7806.96"/>
    <x v="115"/>
    <m/>
    <x v="112"/>
    <x v="200"/>
    <s v=""/>
    <m/>
    <m/>
    <n v="6078"/>
    <n v="1728.96"/>
    <s v=""/>
  </r>
  <r>
    <n v="430"/>
    <s v="160430"/>
    <d v="2016-09-08T00:00:00"/>
    <x v="90"/>
    <n v="20164.97"/>
    <x v="116"/>
    <m/>
    <x v="111"/>
    <x v="201"/>
    <s v=""/>
    <m/>
    <m/>
    <n v="17775"/>
    <n v="2389.9700000000012"/>
    <s v=""/>
  </r>
  <r>
    <n v="427"/>
    <s v="160427"/>
    <d v="2016-09-07T00:00:00"/>
    <x v="104"/>
    <n v="2951.52"/>
    <x v="116"/>
    <m/>
    <x v="113"/>
    <x v="202"/>
    <s v=""/>
    <m/>
    <m/>
    <n v="2326"/>
    <n v="625.52"/>
    <s v=""/>
  </r>
  <r>
    <n v="428"/>
    <s v="160428"/>
    <d v="2016-09-07T00:00:00"/>
    <x v="28"/>
    <n v="9362.6"/>
    <x v="117"/>
    <m/>
    <x v="106"/>
    <x v="203"/>
    <s v=""/>
    <m/>
    <m/>
    <n v="7186"/>
    <n v="2176.6000000000004"/>
    <s v=""/>
  </r>
  <r>
    <n v="429"/>
    <s v="160429"/>
    <d v="2016-09-07T00:00:00"/>
    <x v="28"/>
    <n v="9362.6"/>
    <x v="117"/>
    <m/>
    <x v="114"/>
    <x v="203"/>
    <s v=""/>
    <m/>
    <m/>
    <n v="7186"/>
    <n v="2176.6000000000004"/>
    <s v=""/>
  </r>
  <r>
    <n v="435"/>
    <s v="160435"/>
    <d v="2016-09-13T00:00:00"/>
    <x v="105"/>
    <n v="34119.74"/>
    <x v="118"/>
    <n v="1"/>
    <x v="110"/>
    <x v="204"/>
    <n v="34119.74"/>
    <m/>
    <m/>
    <n v="26550"/>
    <n v="7569.739999999998"/>
    <n v="7569.739999999998"/>
  </r>
  <r>
    <n v="441"/>
    <s v="160441"/>
    <d v="2016-09-14T00:00:00"/>
    <x v="106"/>
    <n v="31775"/>
    <x v="119"/>
    <n v="1"/>
    <x v="106"/>
    <x v="205"/>
    <n v="31775"/>
    <m/>
    <m/>
    <n v="21744"/>
    <n v="10031"/>
    <n v="10031"/>
  </r>
  <r>
    <n v="431"/>
    <s v="160431"/>
    <d v="2016-09-08T00:00:00"/>
    <x v="23"/>
    <n v="17742.22"/>
    <x v="120"/>
    <m/>
    <x v="109"/>
    <x v="206"/>
    <s v=""/>
    <m/>
    <m/>
    <n v="13779"/>
    <n v="3963.2200000000012"/>
    <s v=""/>
  </r>
  <r>
    <n v="434"/>
    <s v="160434"/>
    <d v="2016-09-20T00:00:00"/>
    <x v="9"/>
    <n v="3065.36"/>
    <x v="120"/>
    <m/>
    <x v="115"/>
    <x v="32"/>
    <s v=""/>
    <m/>
    <m/>
    <n v="1422"/>
    <n v="1643.3600000000001"/>
    <s v=""/>
  </r>
  <r>
    <n v="439"/>
    <s v="160439"/>
    <d v="2016-09-14T00:00:00"/>
    <x v="107"/>
    <n v="2284.5700000000002"/>
    <x v="121"/>
    <n v="1"/>
    <x v="116"/>
    <x v="207"/>
    <n v="2284.5700000000002"/>
    <m/>
    <m/>
    <n v="1727"/>
    <n v="557.57000000000016"/>
    <n v="557.57000000000016"/>
  </r>
  <r>
    <n v="2534"/>
    <s v="162534"/>
    <d v="2016-09-13T00:00:00"/>
    <x v="107"/>
    <n v="38790"/>
    <x v="122"/>
    <n v="1"/>
    <x v="116"/>
    <x v="208"/>
    <n v="38790"/>
    <m/>
    <m/>
    <n v="28511"/>
    <n v="10279"/>
    <n v="10279"/>
  </r>
  <r>
    <n v="456"/>
    <s v="160456"/>
    <d v="2016-09-22T00:00:00"/>
    <x v="9"/>
    <n v="13063.12"/>
    <x v="123"/>
    <m/>
    <x v="117"/>
    <x v="209"/>
    <s v=""/>
    <m/>
    <m/>
    <n v="9876"/>
    <n v="3187.1200000000008"/>
    <s v=""/>
  </r>
  <r>
    <n v="403"/>
    <s v="160403"/>
    <d v="2016-08-31T00:00:00"/>
    <x v="36"/>
    <n v="70397"/>
    <x v="124"/>
    <m/>
    <x v="106"/>
    <x v="210"/>
    <s v=""/>
    <n v="1407.94"/>
    <n v="2400"/>
    <n v="28639.599999999999"/>
    <n v="41757.4"/>
    <s v=""/>
  </r>
  <r>
    <n v="416"/>
    <s v="160416"/>
    <d v="2016-08-31T00:00:00"/>
    <x v="36"/>
    <n v="61465.19"/>
    <x v="124"/>
    <m/>
    <x v="106"/>
    <x v="211"/>
    <s v=""/>
    <n v="1229.3038000000001"/>
    <m/>
    <n v="34065"/>
    <n v="27400.190000000002"/>
    <s v=""/>
  </r>
  <r>
    <n v="200"/>
    <s v="160200"/>
    <d v="2016-05-16T00:00:00"/>
    <x v="13"/>
    <n v="99507.12"/>
    <x v="125"/>
    <m/>
    <x v="78"/>
    <x v="212"/>
    <s v=""/>
    <m/>
    <m/>
    <n v="72290"/>
    <n v="27217.119999999995"/>
    <s v=""/>
  </r>
  <r>
    <n v="357"/>
    <s v="160357"/>
    <d v="2016-08-02T00:00:00"/>
    <x v="13"/>
    <n v="1080"/>
    <x v="126"/>
    <m/>
    <x v="118"/>
    <x v="213"/>
    <s v=""/>
    <m/>
    <m/>
    <n v="810"/>
    <n v="270"/>
    <s v=""/>
  </r>
  <r>
    <n v="347"/>
    <s v="160347"/>
    <d v="2016-07-28T00:00:00"/>
    <x v="13"/>
    <n v="253571.45"/>
    <x v="126"/>
    <m/>
    <x v="119"/>
    <x v="214"/>
    <s v=""/>
    <n v="12000"/>
    <n v="2400"/>
    <n v="146720"/>
    <n v="106851.45000000001"/>
    <s v=""/>
  </r>
  <r>
    <n v="469"/>
    <s v="160469"/>
    <d v="2016-09-28T00:00:00"/>
    <x v="103"/>
    <n v="867"/>
    <x v="125"/>
    <m/>
    <x v="120"/>
    <x v="215"/>
    <s v=""/>
    <m/>
    <m/>
    <n v="656"/>
    <n v="211"/>
    <s v=""/>
  </r>
  <r>
    <n v="459"/>
    <s v="160459"/>
    <d v="2016-09-23T00:00:00"/>
    <x v="28"/>
    <n v="18725.2"/>
    <x v="126"/>
    <m/>
    <x v="114"/>
    <x v="216"/>
    <s v=""/>
    <m/>
    <m/>
    <n v="14372"/>
    <n v="4353.2000000000007"/>
    <s v=""/>
  </r>
  <r>
    <n v="475"/>
    <s v="160475"/>
    <d v="2016-10-03T00:00:00"/>
    <x v="108"/>
    <n v="37646.5"/>
    <x v="127"/>
    <n v="1"/>
    <x v="121"/>
    <x v="217"/>
    <n v="37646.5"/>
    <m/>
    <m/>
    <n v="33483"/>
    <n v="4163.5"/>
    <n v="4163.5"/>
  </r>
  <r>
    <n v="476"/>
    <s v="160476"/>
    <d v="2016-10-03T00:00:00"/>
    <x v="108"/>
    <n v="770.95"/>
    <x v="127"/>
    <n v="1"/>
    <x v="121"/>
    <x v="218"/>
    <n v="770.95"/>
    <m/>
    <m/>
    <n v="727"/>
    <n v="43.950000000000045"/>
    <n v="43.950000000000045"/>
  </r>
  <r>
    <n v="473"/>
    <s v="160473"/>
    <d v="2016-10-04T00:00:00"/>
    <x v="93"/>
    <n v="54483.14"/>
    <x v="128"/>
    <m/>
    <x v="122"/>
    <x v="219"/>
    <s v=""/>
    <m/>
    <m/>
    <n v="39613"/>
    <n v="14870.14"/>
    <s v=""/>
  </r>
  <r>
    <n v="484"/>
    <s v="160484"/>
    <d v="2016-10-06T00:00:00"/>
    <x v="50"/>
    <n v="4990"/>
    <x v="129"/>
    <m/>
    <x v="123"/>
    <x v="220"/>
    <s v=""/>
    <m/>
    <m/>
    <n v="3850"/>
    <n v="1140"/>
    <s v=""/>
  </r>
  <r>
    <n v="470"/>
    <s v="160470"/>
    <d v="2016-09-29T00:00:00"/>
    <x v="28"/>
    <n v="98070"/>
    <x v="128"/>
    <m/>
    <x v="114"/>
    <x v="221"/>
    <s v=""/>
    <m/>
    <m/>
    <n v="77229"/>
    <n v="20841"/>
    <s v=""/>
  </r>
  <r>
    <n v="467"/>
    <s v="160467"/>
    <d v="2016-09-28T00:00:00"/>
    <x v="28"/>
    <n v="3855"/>
    <x v="128"/>
    <m/>
    <x v="114"/>
    <x v="222"/>
    <s v=""/>
    <m/>
    <m/>
    <n v="2349"/>
    <n v="1506"/>
    <s v=""/>
  </r>
  <r>
    <n v="383"/>
    <s v="160383"/>
    <d v="2016-09-30T00:00:00"/>
    <x v="73"/>
    <n v="232221.58"/>
    <x v="130"/>
    <m/>
    <x v="124"/>
    <x v="223"/>
    <s v=""/>
    <m/>
    <m/>
    <n v="155315"/>
    <n v="76906.579999999987"/>
    <s v=""/>
  </r>
  <r>
    <n v="485"/>
    <s v="160485"/>
    <d v="2016-10-10T00:00:00"/>
    <x v="109"/>
    <n v="15990"/>
    <x v="130"/>
    <n v="1"/>
    <x v="125"/>
    <x v="224"/>
    <n v="15990"/>
    <m/>
    <m/>
    <n v="12928"/>
    <n v="3062"/>
    <n v="3062"/>
  </r>
  <r>
    <n v="474"/>
    <s v="160474"/>
    <d v="2016-10-03T00:00:00"/>
    <x v="43"/>
    <n v="5200"/>
    <x v="131"/>
    <m/>
    <x v="126"/>
    <x v="125"/>
    <s v=""/>
    <m/>
    <m/>
    <n v="2350"/>
    <n v="2850"/>
    <s v=""/>
  </r>
  <r>
    <n v="450"/>
    <s v="160450"/>
    <d v="2016-09-20T00:00:00"/>
    <x v="19"/>
    <n v="5955"/>
    <x v="132"/>
    <m/>
    <x v="125"/>
    <x v="225"/>
    <s v=""/>
    <m/>
    <m/>
    <n v="4918"/>
    <n v="1037"/>
    <s v=""/>
  </r>
  <r>
    <n v="466"/>
    <s v="160466"/>
    <d v="2016-09-27T00:00:00"/>
    <x v="93"/>
    <n v="200529.71"/>
    <x v="132"/>
    <m/>
    <x v="124"/>
    <x v="226"/>
    <s v=""/>
    <m/>
    <n v="3600"/>
    <n v="144180"/>
    <n v="56349.709999999992"/>
    <s v=""/>
  </r>
  <r>
    <n v="290"/>
    <s v="160290"/>
    <d v="2016-06-30T00:00:00"/>
    <x v="18"/>
    <n v="57918"/>
    <x v="133"/>
    <m/>
    <x v="126"/>
    <x v="227"/>
    <s v=""/>
    <m/>
    <m/>
    <n v="44355"/>
    <n v="13563"/>
    <s v=""/>
  </r>
  <r>
    <n v="496"/>
    <s v="160496"/>
    <d v="2016-10-13T00:00:00"/>
    <x v="110"/>
    <n v="10031"/>
    <x v="133"/>
    <n v="1"/>
    <x v="127"/>
    <x v="228"/>
    <n v="10031"/>
    <m/>
    <m/>
    <n v="7164"/>
    <n v="2867"/>
    <n v="2867"/>
  </r>
  <r>
    <n v="343"/>
    <s v="160343"/>
    <d v="2016-07-28T00:00:00"/>
    <x v="60"/>
    <n v="5621"/>
    <x v="134"/>
    <m/>
    <x v="127"/>
    <x v="229"/>
    <s v=""/>
    <m/>
    <m/>
    <n v="4840"/>
    <n v="781"/>
    <s v=""/>
  </r>
  <r>
    <n v="422"/>
    <s v="160422"/>
    <d v="2016-09-06T00:00:00"/>
    <x v="20"/>
    <n v="78380.960000000006"/>
    <x v="134"/>
    <m/>
    <x v="121"/>
    <x v="230"/>
    <s v=""/>
    <m/>
    <m/>
    <n v="55179"/>
    <n v="23201.960000000006"/>
    <s v=""/>
  </r>
  <r>
    <n v="500"/>
    <s v="160500"/>
    <d v="2016-10-17T00:00:00"/>
    <x v="111"/>
    <n v="4865.66"/>
    <x v="134"/>
    <n v="1"/>
    <x v="128"/>
    <x v="153"/>
    <n v="4865.66"/>
    <m/>
    <m/>
    <n v="3678"/>
    <n v="1187.6599999999999"/>
    <n v="1187.6599999999999"/>
  </r>
  <r>
    <n v="498"/>
    <s v="160498"/>
    <d v="2016-10-17T00:00:00"/>
    <x v="9"/>
    <n v="6130.72"/>
    <x v="134"/>
    <m/>
    <x v="129"/>
    <x v="231"/>
    <s v=""/>
    <m/>
    <m/>
    <n v="3004"/>
    <n v="3126.7200000000003"/>
    <s v=""/>
  </r>
  <r>
    <n v="495"/>
    <s v="160495"/>
    <d v="2016-10-13T00:00:00"/>
    <x v="19"/>
    <n v="12090"/>
    <x v="134"/>
    <m/>
    <x v="114"/>
    <x v="232"/>
    <s v=""/>
    <m/>
    <m/>
    <n v="9662"/>
    <n v="2428"/>
    <s v=""/>
  </r>
  <r>
    <n v="494"/>
    <s v="160494"/>
    <d v="2016-10-13T00:00:00"/>
    <x v="3"/>
    <n v="4723.78"/>
    <x v="134"/>
    <m/>
    <x v="130"/>
    <x v="158"/>
    <s v=""/>
    <m/>
    <m/>
    <n v="3637"/>
    <n v="1086.7799999999997"/>
    <s v=""/>
  </r>
  <r>
    <n v="497"/>
    <s v="160497"/>
    <d v="2016-10-14T00:00:00"/>
    <x v="112"/>
    <n v="4335"/>
    <x v="135"/>
    <m/>
    <x v="131"/>
    <x v="233"/>
    <s v=""/>
    <m/>
    <m/>
    <n v="3280"/>
    <n v="1055"/>
    <s v=""/>
  </r>
  <r>
    <n v="503"/>
    <s v="160503"/>
    <d v="2016-10-18T00:00:00"/>
    <x v="113"/>
    <n v="8177.48"/>
    <x v="136"/>
    <m/>
    <x v="130"/>
    <x v="154"/>
    <s v=""/>
    <m/>
    <n v="600"/>
    <n v="4944"/>
    <n v="3233.4799999999996"/>
    <s v=""/>
  </r>
  <r>
    <n v="505"/>
    <s v="160505"/>
    <d v="2016-10-19T00:00:00"/>
    <x v="114"/>
    <n v="3476"/>
    <x v="78"/>
    <n v="1"/>
    <x v="73"/>
    <x v="234"/>
    <n v="3476"/>
    <m/>
    <m/>
    <n v="2585"/>
    <n v="891"/>
    <n v="891"/>
  </r>
  <r>
    <n v="453"/>
    <s v="160453"/>
    <d v="2016-09-22T00:00:00"/>
    <x v="23"/>
    <n v="10601.29"/>
    <x v="137"/>
    <m/>
    <x v="127"/>
    <x v="235"/>
    <s v=""/>
    <m/>
    <m/>
    <n v="8014"/>
    <n v="2587.2900000000009"/>
    <s v=""/>
  </r>
  <r>
    <n v="492"/>
    <s v="160492"/>
    <d v="2016-10-13T00:00:00"/>
    <x v="11"/>
    <n v="63528.14"/>
    <x v="138"/>
    <m/>
    <x v="122"/>
    <x v="236"/>
    <s v=""/>
    <m/>
    <n v="1200"/>
    <n v="46080"/>
    <n v="17448.14"/>
    <s v=""/>
  </r>
  <r>
    <n v="454"/>
    <s v="160454"/>
    <d v="2016-09-22T00:00:00"/>
    <x v="36"/>
    <n v="64300"/>
    <x v="138"/>
    <m/>
    <x v="127"/>
    <x v="237"/>
    <s v=""/>
    <n v="1286"/>
    <n v="2400"/>
    <n v="21968"/>
    <n v="42332"/>
    <s v=""/>
  </r>
  <r>
    <n v="455"/>
    <s v="160455"/>
    <d v="2016-09-22T00:00:00"/>
    <x v="36"/>
    <n v="97553.72"/>
    <x v="138"/>
    <m/>
    <x v="127"/>
    <x v="238"/>
    <s v=""/>
    <n v="1951.0744"/>
    <n v="2400"/>
    <n v="59612"/>
    <n v="37941.72"/>
    <s v=""/>
  </r>
  <r>
    <n v="516"/>
    <s v="160516"/>
    <d v="2016-10-26T00:00:00"/>
    <x v="19"/>
    <n v="12090"/>
    <x v="139"/>
    <m/>
    <x v="132"/>
    <x v="232"/>
    <s v=""/>
    <m/>
    <m/>
    <n v="9662"/>
    <n v="2428"/>
    <s v=""/>
  </r>
  <r>
    <n v="514"/>
    <s v="160514"/>
    <d v="2016-10-25T00:00:00"/>
    <x v="115"/>
    <n v="6050"/>
    <x v="140"/>
    <n v="1"/>
    <x v="133"/>
    <x v="239"/>
    <n v="6050"/>
    <m/>
    <m/>
    <n v="4574"/>
    <n v="1476"/>
    <n v="1476"/>
  </r>
  <r>
    <n v="520"/>
    <s v="160520"/>
    <d v="2016-11-01T00:00:00"/>
    <x v="116"/>
    <n v="22291"/>
    <x v="141"/>
    <n v="1"/>
    <x v="124"/>
    <x v="240"/>
    <n v="22291"/>
    <m/>
    <m/>
    <n v="17692"/>
    <n v="4599"/>
    <n v="4599"/>
  </r>
  <r>
    <n v="523"/>
    <s v="160523"/>
    <d v="2016-11-01T00:00:00"/>
    <x v="50"/>
    <n v="2450"/>
    <x v="142"/>
    <m/>
    <x v="124"/>
    <x v="126"/>
    <s v=""/>
    <m/>
    <m/>
    <n v="2174"/>
    <n v="276"/>
    <s v=""/>
  </r>
  <r>
    <n v="527"/>
    <s v="160527"/>
    <d v="2016-11-02T00:00:00"/>
    <x v="117"/>
    <n v="12067.86"/>
    <x v="143"/>
    <n v="1"/>
    <x v="134"/>
    <x v="241"/>
    <n v="12067.86"/>
    <m/>
    <m/>
    <n v="9124"/>
    <n v="2943.8600000000006"/>
    <n v="2943.8600000000006"/>
  </r>
  <r>
    <n v="515"/>
    <s v="160515"/>
    <d v="2016-10-25T00:00:00"/>
    <x v="37"/>
    <n v="22631.64"/>
    <x v="144"/>
    <m/>
    <x v="132"/>
    <x v="157"/>
    <s v=""/>
    <m/>
    <m/>
    <n v="17604"/>
    <n v="5027.6399999999994"/>
    <s v=""/>
  </r>
  <r>
    <n v="487"/>
    <s v="160487"/>
    <d v="2016-10-12T00:00:00"/>
    <x v="93"/>
    <n v="620582.84"/>
    <x v="145"/>
    <m/>
    <x v="135"/>
    <x v="242"/>
    <s v=""/>
    <m/>
    <n v="6000"/>
    <n v="228398"/>
    <n v="81893.419999999984"/>
    <s v=""/>
  </r>
  <r>
    <n v="524"/>
    <s v="160524"/>
    <d v="2016-11-01T00:00:00"/>
    <x v="118"/>
    <n v="19260"/>
    <x v="146"/>
    <n v="1"/>
    <x v="133"/>
    <x v="243"/>
    <n v="19260"/>
    <m/>
    <m/>
    <n v="17788"/>
    <n v="1472"/>
    <n v="1472"/>
  </r>
  <r>
    <n v="522"/>
    <s v="160522"/>
    <d v="2016-11-07T00:00:00"/>
    <x v="11"/>
    <n v="42699.22"/>
    <x v="147"/>
    <m/>
    <x v="136"/>
    <x v="244"/>
    <s v=""/>
    <m/>
    <m/>
    <n v="30066"/>
    <n v="12633.220000000001"/>
    <s v=""/>
  </r>
  <r>
    <n v="546"/>
    <s v="160546"/>
    <d v="2016-11-14T00:00:00"/>
    <x v="119"/>
    <n v="1319"/>
    <x v="147"/>
    <n v="1"/>
    <x v="137"/>
    <x v="245"/>
    <n v="1319"/>
    <m/>
    <m/>
    <n v="986"/>
    <n v="333"/>
    <n v="333"/>
  </r>
  <r>
    <n v="547"/>
    <s v="160547"/>
    <d v="2016-11-15T00:00:00"/>
    <x v="120"/>
    <n v="21029"/>
    <x v="147"/>
    <n v="1"/>
    <x v="133"/>
    <x v="246"/>
    <n v="21029"/>
    <m/>
    <m/>
    <n v="15898"/>
    <n v="5131"/>
    <n v="5131"/>
  </r>
  <r>
    <n v="508"/>
    <s v="160508"/>
    <d v="2016-10-24T00:00:00"/>
    <x v="36"/>
    <n v="20146.669999999998"/>
    <x v="148"/>
    <m/>
    <x v="131"/>
    <x v="247"/>
    <s v=""/>
    <n v="402.93339999999995"/>
    <m/>
    <n v="14466"/>
    <n v="5680.6699999999983"/>
    <s v=""/>
  </r>
  <r>
    <n v="510"/>
    <s v="160510"/>
    <d v="2016-10-24T00:00:00"/>
    <x v="36"/>
    <n v="78600"/>
    <x v="148"/>
    <m/>
    <x v="131"/>
    <x v="248"/>
    <s v=""/>
    <n v="1572"/>
    <n v="6000"/>
    <n v="29194"/>
    <n v="49406"/>
    <s v=""/>
  </r>
  <r>
    <n v="511"/>
    <s v="160511"/>
    <d v="2016-10-24T00:00:00"/>
    <x v="36"/>
    <n v="32841.24"/>
    <x v="148"/>
    <m/>
    <x v="131"/>
    <x v="249"/>
    <s v=""/>
    <n v="656.82479999999998"/>
    <m/>
    <n v="21348"/>
    <n v="11493.239999999998"/>
    <s v=""/>
  </r>
  <r>
    <n v="536"/>
    <s v="160536"/>
    <d v="2016-11-09T00:00:00"/>
    <x v="93"/>
    <n v="56388"/>
    <x v="149"/>
    <m/>
    <x v="138"/>
    <x v="250"/>
    <s v=""/>
    <m/>
    <m/>
    <n v="19698"/>
    <n v="8496"/>
    <s v=""/>
  </r>
  <r>
    <n v="504"/>
    <s v="160504"/>
    <d v="2016-10-18T00:00:00"/>
    <x v="93"/>
    <n v="336760"/>
    <x v="149"/>
    <m/>
    <x v="139"/>
    <x v="251"/>
    <s v=""/>
    <m/>
    <m/>
    <n v="128064"/>
    <n v="40316"/>
    <s v=""/>
  </r>
  <r>
    <n v="544"/>
    <s v="160544"/>
    <d v="2016-11-14T00:00:00"/>
    <x v="113"/>
    <n v="1517"/>
    <x v="149"/>
    <m/>
    <x v="140"/>
    <x v="252"/>
    <s v=""/>
    <m/>
    <m/>
    <n v="908"/>
    <n v="609"/>
    <s v=""/>
  </r>
  <r>
    <n v="501"/>
    <s v="160501"/>
    <d v="2016-10-17T00:00:00"/>
    <x v="20"/>
    <n v="15834.94"/>
    <x v="150"/>
    <m/>
    <x v="141"/>
    <x v="253"/>
    <s v=""/>
    <m/>
    <m/>
    <n v="11972"/>
    <n v="3862.9400000000005"/>
    <s v=""/>
  </r>
  <r>
    <n v="480"/>
    <s v="160480"/>
    <d v="2016-10-04T00:00:00"/>
    <x v="20"/>
    <n v="24714.9"/>
    <x v="150"/>
    <m/>
    <x v="141"/>
    <x v="254"/>
    <s v=""/>
    <m/>
    <m/>
    <n v="17450"/>
    <n v="7264.9000000000015"/>
    <s v=""/>
  </r>
  <r>
    <n v="540"/>
    <s v="160540"/>
    <d v="2016-11-10T00:00:00"/>
    <x v="20"/>
    <n v="4700"/>
    <x v="150"/>
    <m/>
    <x v="141"/>
    <x v="255"/>
    <s v=""/>
    <m/>
    <m/>
    <n v="2350"/>
    <n v="2350"/>
    <s v=""/>
  </r>
  <r>
    <n v="533"/>
    <s v="160533"/>
    <d v="2016-11-07T00:00:00"/>
    <x v="53"/>
    <n v="16795"/>
    <x v="150"/>
    <m/>
    <x v="142"/>
    <x v="256"/>
    <s v=""/>
    <m/>
    <m/>
    <n v="13469"/>
    <n v="3326"/>
    <s v=""/>
  </r>
  <r>
    <n v="551"/>
    <s v="160551"/>
    <d v="2016-11-17T00:00:00"/>
    <x v="121"/>
    <n v="57490"/>
    <x v="151"/>
    <n v="1"/>
    <x v="143"/>
    <x v="257"/>
    <n v="57490"/>
    <m/>
    <m/>
    <n v="47098"/>
    <n v="10392"/>
    <n v="10392"/>
  </r>
  <r>
    <n v="539"/>
    <s v="160539"/>
    <d v="2016-11-10T00:00:00"/>
    <x v="14"/>
    <n v="12657"/>
    <x v="152"/>
    <m/>
    <x v="144"/>
    <x v="258"/>
    <s v=""/>
    <m/>
    <m/>
    <n v="9129"/>
    <n v="3528"/>
    <s v=""/>
  </r>
  <r>
    <n v="536"/>
    <s v="160536"/>
    <d v="2016-11-09T00:00:00"/>
    <x v="93"/>
    <n v="56388"/>
    <x v="153"/>
    <m/>
    <x v="138"/>
    <x v="250"/>
    <s v=""/>
    <m/>
    <m/>
    <n v="19698"/>
    <n v="8496"/>
    <s v=""/>
  </r>
  <r>
    <n v="553"/>
    <s v="160553"/>
    <d v="2016-11-18T00:00:00"/>
    <x v="93"/>
    <n v="10026"/>
    <x v="153"/>
    <m/>
    <x v="128"/>
    <x v="259"/>
    <s v=""/>
    <m/>
    <m/>
    <n v="8550"/>
    <n v="1476"/>
    <s v=""/>
  </r>
  <r>
    <n v="458"/>
    <s v="160458"/>
    <d v="2016-09-23T00:00:00"/>
    <x v="13"/>
    <n v="316630.71000000002"/>
    <x v="154"/>
    <m/>
    <x v="114"/>
    <x v="260"/>
    <s v=""/>
    <n v="54000"/>
    <n v="10800"/>
    <n v="101273"/>
    <n v="215357.71000000002"/>
    <s v=""/>
  </r>
  <r>
    <n v="487"/>
    <s v="160487"/>
    <d v="2016-10-12T00:00:00"/>
    <x v="93"/>
    <n v="620582.84"/>
    <x v="154"/>
    <m/>
    <x v="135"/>
    <x v="242"/>
    <s v=""/>
    <m/>
    <n v="6000"/>
    <n v="228398"/>
    <n v="81893.419999999984"/>
    <s v=""/>
  </r>
  <r>
    <n v="548"/>
    <s v="160548"/>
    <d v="2016-11-23T00:00:00"/>
    <x v="8"/>
    <n v="4000"/>
    <x v="154"/>
    <m/>
    <x v="134"/>
    <x v="136"/>
    <s v=""/>
    <m/>
    <n v="600"/>
    <n v="1808.8"/>
    <n v="2191.1999999999998"/>
    <s v=""/>
  </r>
  <r>
    <n v="578"/>
    <s v="160578"/>
    <d v="2016-11-30T00:00:00"/>
    <x v="122"/>
    <n v="14598"/>
    <x v="155"/>
    <n v="1"/>
    <x v="143"/>
    <x v="261"/>
    <n v="14598"/>
    <m/>
    <m/>
    <n v="10762"/>
    <n v="3836"/>
    <n v="3836"/>
  </r>
  <r>
    <n v="575"/>
    <s v="160575"/>
    <d v="2016-11-28T00:00:00"/>
    <x v="93"/>
    <n v="113190"/>
    <x v="156"/>
    <m/>
    <x v="138"/>
    <x v="262"/>
    <s v=""/>
    <m/>
    <m/>
    <n v="44603.5"/>
    <n v="11991.5"/>
    <s v=""/>
  </r>
  <r>
    <n v="545"/>
    <s v="160545"/>
    <d v="2016-11-14T00:00:00"/>
    <x v="102"/>
    <n v="9958"/>
    <x v="156"/>
    <m/>
    <x v="145"/>
    <x v="263"/>
    <s v=""/>
    <m/>
    <m/>
    <n v="7719"/>
    <n v="2239"/>
    <s v=""/>
  </r>
  <r>
    <n v="587"/>
    <s v="160587"/>
    <d v="2016-12-01T00:00:00"/>
    <x v="9"/>
    <n v="6130.72"/>
    <x v="157"/>
    <m/>
    <x v="146"/>
    <x v="231"/>
    <s v=""/>
    <m/>
    <m/>
    <n v="3004"/>
    <n v="3126.7200000000003"/>
    <s v=""/>
  </r>
  <r>
    <n v="509"/>
    <s v="160509"/>
    <d v="2016-10-24T00:00:00"/>
    <x v="36"/>
    <n v="51250"/>
    <x v="158"/>
    <m/>
    <x v="131"/>
    <x v="189"/>
    <s v=""/>
    <n v="1025"/>
    <n v="4800"/>
    <n v="16080"/>
    <n v="35170"/>
    <s v=""/>
  </r>
  <r>
    <n v="583"/>
    <s v="160583"/>
    <d v="2016-12-01T00:00:00"/>
    <x v="19"/>
    <n v="9588.58"/>
    <x v="158"/>
    <m/>
    <x v="147"/>
    <x v="264"/>
    <s v=""/>
    <m/>
    <m/>
    <n v="7250"/>
    <n v="2338.58"/>
    <s v=""/>
  </r>
  <r>
    <n v="504"/>
    <s v="160504"/>
    <d v="2016-10-18T00:00:00"/>
    <x v="93"/>
    <n v="336760"/>
    <x v="159"/>
    <m/>
    <x v="139"/>
    <x v="251"/>
    <s v=""/>
    <m/>
    <n v="13800"/>
    <n v="128064"/>
    <n v="40316"/>
    <s v=""/>
  </r>
  <r>
    <n v="586"/>
    <s v="160586"/>
    <d v="2016-12-01T00:00:00"/>
    <x v="123"/>
    <n v="6249.67"/>
    <x v="160"/>
    <n v="1"/>
    <x v="143"/>
    <x v="265"/>
    <n v="6249.67"/>
    <m/>
    <m/>
    <n v="5041"/>
    <n v="1208.67"/>
    <n v="1208.67"/>
  </r>
  <r>
    <n v="602"/>
    <s v="160602"/>
    <d v="2016-12-08T00:00:00"/>
    <x v="124"/>
    <n v="663"/>
    <x v="161"/>
    <m/>
    <x v="148"/>
    <x v="266"/>
    <s v=""/>
    <m/>
    <m/>
    <n v="500"/>
    <n v="163"/>
    <s v=""/>
  </r>
  <r>
    <n v="603"/>
    <s v="160603"/>
    <d v="2016-12-09T00:00:00"/>
    <x v="10"/>
    <n v="10276.5"/>
    <x v="161"/>
    <m/>
    <x v="149"/>
    <x v="267"/>
    <s v=""/>
    <m/>
    <m/>
    <n v="9662"/>
    <n v="614.5"/>
    <s v=""/>
  </r>
  <r>
    <n v="556"/>
    <s v="160556"/>
    <d v="2016-11-21T00:00:00"/>
    <x v="118"/>
    <n v="6200"/>
    <x v="161"/>
    <m/>
    <x v="150"/>
    <x v="268"/>
    <s v=""/>
    <m/>
    <m/>
    <n v="5180"/>
    <n v="1020"/>
    <s v=""/>
  </r>
  <r>
    <n v="559"/>
    <s v="160559"/>
    <d v="2016-11-23T00:00:00"/>
    <x v="79"/>
    <n v="4000"/>
    <x v="161"/>
    <m/>
    <x v="144"/>
    <x v="136"/>
    <s v=""/>
    <m/>
    <n v="600"/>
    <n v="1808.8"/>
    <n v="2191.1999999999998"/>
    <s v=""/>
  </r>
  <r>
    <n v="601"/>
    <s v="160601"/>
    <d v="2016-12-08T00:00:00"/>
    <x v="125"/>
    <n v="30390"/>
    <x v="161"/>
    <n v="1"/>
    <x v="147"/>
    <x v="150"/>
    <n v="30390"/>
    <m/>
    <m/>
    <n v="23613"/>
    <n v="6777"/>
    <n v="6777"/>
  </r>
  <r>
    <n v="463"/>
    <s v="160463"/>
    <d v="2016-09-27T00:00:00"/>
    <x v="88"/>
    <n v="19112"/>
    <x v="162"/>
    <m/>
    <x v="147"/>
    <x v="269"/>
    <s v=""/>
    <m/>
    <m/>
    <n v="14448"/>
    <n v="4664"/>
    <s v=""/>
  </r>
  <r>
    <n v="579"/>
    <s v="160579"/>
    <d v="2016-11-30T00:00:00"/>
    <x v="107"/>
    <n v="1324"/>
    <x v="162"/>
    <m/>
    <x v="147"/>
    <x v="270"/>
    <s v=""/>
    <m/>
    <m/>
    <n v="1000"/>
    <n v="324"/>
    <s v=""/>
  </r>
  <r>
    <n v="538"/>
    <s v="160538"/>
    <d v="2016-11-09T00:00:00"/>
    <x v="8"/>
    <n v="8451"/>
    <x v="163"/>
    <m/>
    <x v="146"/>
    <x v="271"/>
    <s v=""/>
    <m/>
    <m/>
    <n v="5997"/>
    <n v="2454"/>
    <s v=""/>
  </r>
  <r>
    <n v="588"/>
    <s v="160588"/>
    <d v="2016-12-05T00:00:00"/>
    <x v="9"/>
    <n v="47237.8"/>
    <x v="163"/>
    <m/>
    <x v="146"/>
    <x v="272"/>
    <s v=""/>
    <m/>
    <m/>
    <n v="36370"/>
    <n v="10867.800000000003"/>
    <s v=""/>
  </r>
  <r>
    <n v="575"/>
    <s v="160575"/>
    <d v="2016-11-28T00:00:00"/>
    <x v="93"/>
    <n v="113190"/>
    <x v="164"/>
    <m/>
    <x v="138"/>
    <x v="262"/>
    <s v=""/>
    <m/>
    <m/>
    <n v="44603.5"/>
    <n v="11991.5"/>
    <s v=""/>
  </r>
  <r>
    <n v="612"/>
    <s v="160612"/>
    <d v="2016-12-13T00:00:00"/>
    <x v="126"/>
    <n v="2312.85"/>
    <x v="164"/>
    <n v="1"/>
    <x v="138"/>
    <x v="273"/>
    <n v="2312.85"/>
    <m/>
    <m/>
    <n v="2094"/>
    <n v="218.84999999999991"/>
    <n v="218.84999999999991"/>
  </r>
  <r>
    <n v="619"/>
    <s v="160619"/>
    <d v="2016-12-15T00:00:00"/>
    <x v="54"/>
    <n v="9552.92"/>
    <x v="165"/>
    <m/>
    <x v="150"/>
    <x v="183"/>
    <s v=""/>
    <m/>
    <m/>
    <n v="7224"/>
    <n v="2328.92"/>
    <s v=""/>
  </r>
  <r>
    <n v="558"/>
    <s v="160558"/>
    <d v="2016-11-23T00:00:00"/>
    <x v="93"/>
    <n v="323253.98"/>
    <x v="165"/>
    <m/>
    <x v="151"/>
    <x v="274"/>
    <s v=""/>
    <m/>
    <n v="12000"/>
    <n v="116872"/>
    <n v="44754.989999999991"/>
    <s v=""/>
  </r>
  <r>
    <n v="600"/>
    <s v="160600"/>
    <d v="2016-12-08T00:00:00"/>
    <x v="23"/>
    <n v="11941.15"/>
    <x v="166"/>
    <m/>
    <x v="145"/>
    <x v="275"/>
    <s v=""/>
    <m/>
    <m/>
    <n v="9030"/>
    <n v="2911.1499999999996"/>
    <s v=""/>
  </r>
  <r>
    <n v="567"/>
    <s v="160567"/>
    <d v="2016-11-25T00:00:00"/>
    <x v="60"/>
    <n v="3873.32"/>
    <x v="167"/>
    <m/>
    <x v="152"/>
    <x v="276"/>
    <s v=""/>
    <m/>
    <m/>
    <n v="2929"/>
    <n v="944.32000000000016"/>
    <s v=""/>
  </r>
  <r>
    <n v="541"/>
    <s v="160541"/>
    <d v="2016-11-10T00:00:00"/>
    <x v="8"/>
    <n v="19890"/>
    <x v="168"/>
    <m/>
    <x v="128"/>
    <x v="277"/>
    <s v=""/>
    <m/>
    <m/>
    <n v="15037"/>
    <n v="4853"/>
    <s v=""/>
  </r>
  <r>
    <n v="629"/>
    <s v="160629"/>
    <d v="2016-12-21T00:00:00"/>
    <x v="1"/>
    <n v="106722"/>
    <x v="169"/>
    <m/>
    <x v="153"/>
    <x v="278"/>
    <s v=""/>
    <m/>
    <n v="600"/>
    <n v="81376"/>
    <n v="25346"/>
    <s v=""/>
  </r>
  <r>
    <n v="629"/>
    <s v="160629"/>
    <d v="2016-12-22T00:00:00"/>
    <x v="126"/>
    <n v="48190"/>
    <x v="169"/>
    <n v="1"/>
    <x v="153"/>
    <x v="279"/>
    <n v="48190"/>
    <m/>
    <m/>
    <n v="36279"/>
    <n v="11911"/>
    <n v="11911"/>
  </r>
  <r>
    <n v="604"/>
    <s v="160604"/>
    <d v="2016-12-12T00:00:00"/>
    <x v="3"/>
    <n v="49578.400000000001"/>
    <x v="170"/>
    <m/>
    <x v="154"/>
    <x v="280"/>
    <s v=""/>
    <m/>
    <m/>
    <n v="38780"/>
    <n v="10798.400000000001"/>
    <s v=""/>
  </r>
  <r>
    <n v="632"/>
    <s v="160632"/>
    <d v="2016-12-22T00:00:00"/>
    <x v="127"/>
    <n v="12090"/>
    <x v="171"/>
    <n v="1"/>
    <x v="128"/>
    <x v="232"/>
    <n v="12090"/>
    <m/>
    <m/>
    <n v="9662"/>
    <n v="2428"/>
    <n v="2428"/>
  </r>
  <r>
    <n v="423"/>
    <s v="160423"/>
    <d v="2016-09-07T00:00:00"/>
    <x v="88"/>
    <n v="20777.8"/>
    <x v="171"/>
    <m/>
    <x v="155"/>
    <x v="281"/>
    <s v=""/>
    <m/>
    <m/>
    <n v="12468"/>
    <n v="8309.7999999999993"/>
    <s v=""/>
  </r>
  <r>
    <n v="594"/>
    <s v="160594"/>
    <d v="2016-12-07T00:00:00"/>
    <x v="20"/>
    <n v="45283.57"/>
    <x v="171"/>
    <m/>
    <x v="148"/>
    <x v="282"/>
    <s v=""/>
    <m/>
    <n v="3600"/>
    <n v="22259"/>
    <n v="23024.57"/>
    <s v=""/>
  </r>
  <r>
    <n v="623"/>
    <s v="160623"/>
    <d v="2016-12-20T00:00:00"/>
    <x v="20"/>
    <n v="4900"/>
    <x v="171"/>
    <m/>
    <x v="148"/>
    <x v="12"/>
    <s v=""/>
    <m/>
    <m/>
    <n v="4366"/>
    <n v="534"/>
    <s v=""/>
  </r>
  <r>
    <n v="642"/>
    <s v="160642"/>
    <d v="2016-12-28T00:00:00"/>
    <x v="20"/>
    <n v="11352.22"/>
    <x v="172"/>
    <m/>
    <x v="155"/>
    <x v="283"/>
    <s v=""/>
    <m/>
    <m/>
    <n v="7922"/>
    <n v="3430.2199999999993"/>
    <s v=""/>
  </r>
  <r>
    <n v="620"/>
    <s v="160620"/>
    <d v="2016-12-15T00:00:00"/>
    <x v="37"/>
    <n v="22631.64"/>
    <x v="173"/>
    <m/>
    <x v="148"/>
    <x v="157"/>
    <s v=""/>
    <m/>
    <m/>
    <n v="17604"/>
    <n v="5027.6399999999994"/>
    <s v=""/>
  </r>
  <r>
    <n v="634"/>
    <s v="160634"/>
    <d v="2016-12-26T00:00:00"/>
    <x v="128"/>
    <n v="51271.16"/>
    <x v="173"/>
    <m/>
    <x v="156"/>
    <x v="284"/>
    <s v=""/>
    <m/>
    <m/>
    <n v="38651"/>
    <n v="12620.160000000003"/>
    <s v=""/>
  </r>
  <r>
    <n v="3"/>
    <s v="170003"/>
    <d v="2017-01-10T00:00:00"/>
    <x v="129"/>
    <n v="51565.24"/>
    <x v="174"/>
    <n v="1"/>
    <x v="157"/>
    <x v="285"/>
    <n v="51565.24"/>
    <m/>
    <m/>
    <n v="38436"/>
    <n v="13129.239999999998"/>
    <n v="13129.239999999998"/>
  </r>
  <r>
    <n v="621"/>
    <s v="160621"/>
    <d v="2016-12-16T00:00:00"/>
    <x v="130"/>
    <n v="3962.53"/>
    <x v="175"/>
    <m/>
    <x v="158"/>
    <x v="286"/>
    <s v=""/>
    <m/>
    <m/>
    <n v="558.13"/>
    <n v="3404.4"/>
    <s v=""/>
  </r>
  <r>
    <n v="641"/>
    <s v="160641"/>
    <d v="2016-12-28T00:00:00"/>
    <x v="28"/>
    <n v="26432.799999999999"/>
    <x v="176"/>
    <m/>
    <x v="159"/>
    <x v="287"/>
    <s v=""/>
    <m/>
    <m/>
    <n v="18096"/>
    <n v="8336.7999999999993"/>
    <s v=""/>
  </r>
  <r>
    <n v="557"/>
    <s v="170557"/>
    <d v="2017-12-19T00:00:00"/>
    <x v="102"/>
    <n v="24180"/>
    <x v="177"/>
    <m/>
    <x v="160"/>
    <x v="288"/>
    <s v=""/>
    <m/>
    <m/>
    <n v="17840"/>
    <n v="6340"/>
    <s v=""/>
  </r>
  <r>
    <n v="4"/>
    <s v="170004"/>
    <d v="2017-01-10T00:00:00"/>
    <x v="93"/>
    <n v="113190"/>
    <x v="178"/>
    <m/>
    <x v="161"/>
    <x v="262"/>
    <s v=""/>
    <m/>
    <m/>
    <n v="39535"/>
    <n v="17060"/>
    <s v=""/>
  </r>
  <r>
    <n v="16"/>
    <s v="170016"/>
    <d v="2017-01-12T00:00:00"/>
    <x v="131"/>
    <n v="28590"/>
    <x v="178"/>
    <n v="1"/>
    <x v="162"/>
    <x v="289"/>
    <n v="28590"/>
    <m/>
    <m/>
    <n v="21614"/>
    <n v="6976"/>
    <n v="6976"/>
  </r>
  <r>
    <n v="27"/>
    <s v="170027"/>
    <d v="2017-01-18T00:00:00"/>
    <x v="132"/>
    <n v="30700"/>
    <x v="179"/>
    <n v="1"/>
    <x v="163"/>
    <x v="290"/>
    <n v="30700"/>
    <m/>
    <m/>
    <n v="23122"/>
    <n v="7578"/>
    <n v="7578"/>
  </r>
  <r>
    <n v="21"/>
    <s v="170021"/>
    <d v="2017-01-16T00:00:00"/>
    <x v="93"/>
    <n v="126654.02"/>
    <x v="179"/>
    <m/>
    <x v="164"/>
    <x v="291"/>
    <s v=""/>
    <m/>
    <m/>
    <n v="45579"/>
    <n v="17748.010000000002"/>
    <s v=""/>
  </r>
  <r>
    <n v="28"/>
    <s v="170028"/>
    <d v="2017-01-18T00:00:00"/>
    <x v="133"/>
    <n v="61580"/>
    <x v="180"/>
    <n v="1"/>
    <x v="154"/>
    <x v="292"/>
    <n v="61580"/>
    <m/>
    <m/>
    <n v="44108"/>
    <n v="17472"/>
    <n v="17472"/>
  </r>
  <r>
    <n v="32"/>
    <s v="170032"/>
    <d v="2017-01-19T00:00:00"/>
    <x v="134"/>
    <n v="3990"/>
    <x v="180"/>
    <m/>
    <x v="165"/>
    <x v="293"/>
    <s v=""/>
    <m/>
    <m/>
    <n v="2933"/>
    <n v="1057"/>
    <s v=""/>
  </r>
  <r>
    <n v="13"/>
    <s v="170013"/>
    <d v="2017-01-11T00:00:00"/>
    <x v="23"/>
    <n v="11941.15"/>
    <x v="181"/>
    <m/>
    <x v="156"/>
    <x v="275"/>
    <s v=""/>
    <m/>
    <m/>
    <n v="9030"/>
    <n v="2911.1499999999996"/>
    <s v=""/>
  </r>
  <r>
    <n v="12"/>
    <s v="170012"/>
    <d v="2017-01-11T00:00:00"/>
    <x v="88"/>
    <n v="9556"/>
    <x v="182"/>
    <m/>
    <x v="157"/>
    <x v="294"/>
    <s v=""/>
    <m/>
    <m/>
    <n v="7224"/>
    <n v="2332"/>
    <s v=""/>
  </r>
  <r>
    <n v="479"/>
    <s v="160479"/>
    <d v="2016-10-04T00:00:00"/>
    <x v="13"/>
    <n v="238082.1"/>
    <x v="182"/>
    <m/>
    <x v="148"/>
    <x v="295"/>
    <s v=""/>
    <n v="24000"/>
    <m/>
    <n v="61584"/>
    <n v="176498.1"/>
    <s v=""/>
  </r>
  <r>
    <n v="596"/>
    <s v="160596"/>
    <d v="2016-12-07T00:00:00"/>
    <x v="13"/>
    <n v="150176.26"/>
    <x v="182"/>
    <m/>
    <x v="148"/>
    <x v="296"/>
    <s v=""/>
    <n v="45000"/>
    <m/>
    <n v="50490"/>
    <n v="99686.260000000009"/>
    <s v=""/>
  </r>
  <r>
    <n v="40"/>
    <s v="170040"/>
    <d v="2017-01-24T00:00:00"/>
    <x v="135"/>
    <n v="23617.48"/>
    <x v="183"/>
    <n v="1"/>
    <x v="166"/>
    <x v="297"/>
    <n v="23617.48"/>
    <m/>
    <m/>
    <n v="18420"/>
    <n v="5197.4799999999996"/>
    <n v="5197.4799999999996"/>
  </r>
  <r>
    <n v="558"/>
    <s v="160558"/>
    <d v="2016-11-23T00:00:00"/>
    <x v="93"/>
    <n v="323253.98"/>
    <x v="183"/>
    <m/>
    <x v="151"/>
    <x v="274"/>
    <s v=""/>
    <m/>
    <m/>
    <n v="116872"/>
    <n v="44754.989999999991"/>
    <s v=""/>
  </r>
  <r>
    <n v="35"/>
    <s v="170035"/>
    <d v="2017-01-23T00:00:00"/>
    <x v="43"/>
    <n v="1206.44"/>
    <x v="183"/>
    <m/>
    <x v="167"/>
    <x v="298"/>
    <s v=""/>
    <m/>
    <m/>
    <n v="822"/>
    <n v="384.44000000000005"/>
    <s v=""/>
  </r>
  <r>
    <n v="4"/>
    <s v="170004"/>
    <d v="2017-01-10T00:00:00"/>
    <x v="93"/>
    <n v="113190"/>
    <x v="184"/>
    <m/>
    <x v="161"/>
    <x v="262"/>
    <s v=""/>
    <m/>
    <m/>
    <n v="39535"/>
    <n v="17060"/>
    <s v=""/>
  </r>
  <r>
    <n v="10"/>
    <s v="170010"/>
    <d v="2017-01-19T00:00:00"/>
    <x v="20"/>
    <n v="120618.58"/>
    <x v="185"/>
    <m/>
    <x v="162"/>
    <x v="299"/>
    <s v=""/>
    <m/>
    <m/>
    <n v="78228"/>
    <n v="42390.58"/>
    <s v=""/>
  </r>
  <r>
    <n v="51"/>
    <s v="170051"/>
    <d v="2017-02-01T00:00:00"/>
    <x v="136"/>
    <n v="2870.12"/>
    <x v="185"/>
    <m/>
    <x v="168"/>
    <x v="300"/>
    <s v=""/>
    <m/>
    <m/>
    <n v="1976"/>
    <n v="894.11999999999989"/>
    <s v=""/>
  </r>
  <r>
    <n v="43"/>
    <s v="170043"/>
    <d v="2017-01-30T00:00:00"/>
    <x v="125"/>
    <n v="96378"/>
    <x v="186"/>
    <m/>
    <x v="168"/>
    <x v="301"/>
    <s v=""/>
    <n v="8500"/>
    <n v="1200"/>
    <n v="68124"/>
    <n v="28254"/>
    <s v=""/>
  </r>
  <r>
    <n v="45"/>
    <s v="170045"/>
    <d v="2017-01-26T00:00:00"/>
    <x v="137"/>
    <n v="12945.82"/>
    <x v="186"/>
    <n v="1"/>
    <x v="152"/>
    <x v="302"/>
    <n v="12945.82"/>
    <m/>
    <m/>
    <n v="12902"/>
    <n v="43.819999999999709"/>
    <n v="43.819999999999709"/>
  </r>
  <r>
    <n v="67"/>
    <s v="170067"/>
    <d v="2017-02-06T00:00:00"/>
    <x v="1"/>
    <n v="4654"/>
    <x v="187"/>
    <m/>
    <x v="169"/>
    <x v="303"/>
    <s v=""/>
    <m/>
    <m/>
    <n v="3980"/>
    <n v="674"/>
    <s v=""/>
  </r>
  <r>
    <n v="2"/>
    <s v="170002"/>
    <d v="2017-01-19T00:00:00"/>
    <x v="138"/>
    <n v="317428"/>
    <x v="188"/>
    <n v="1"/>
    <x v="170"/>
    <x v="304"/>
    <n v="317428"/>
    <m/>
    <n v="18000"/>
    <n v="239053"/>
    <n v="78375"/>
    <n v="78375"/>
  </r>
  <r>
    <n v="69"/>
    <s v="170069"/>
    <d v="2017-02-06T00:00:00"/>
    <x v="89"/>
    <n v="4128.68"/>
    <x v="188"/>
    <m/>
    <x v="171"/>
    <x v="305"/>
    <s v=""/>
    <m/>
    <m/>
    <n v="3166"/>
    <n v="962.68000000000029"/>
    <s v=""/>
  </r>
  <r>
    <n v="79"/>
    <s v="170079"/>
    <d v="2017-02-08T00:00:00"/>
    <x v="134"/>
    <n v="2717.33"/>
    <x v="189"/>
    <m/>
    <x v="163"/>
    <x v="306"/>
    <s v=""/>
    <m/>
    <m/>
    <n v="2556"/>
    <n v="161.32999999999993"/>
    <s v=""/>
  </r>
  <r>
    <n v="61"/>
    <s v="170061"/>
    <d v="2017-02-03T00:00:00"/>
    <x v="14"/>
    <n v="32931"/>
    <x v="189"/>
    <m/>
    <x v="172"/>
    <x v="307"/>
    <s v=""/>
    <m/>
    <m/>
    <n v="21740"/>
    <n v="11191"/>
    <s v=""/>
  </r>
  <r>
    <n v="70"/>
    <s v="170070"/>
    <d v="2017-02-06T00:00:00"/>
    <x v="93"/>
    <n v="31013.27"/>
    <x v="189"/>
    <m/>
    <x v="164"/>
    <x v="308"/>
    <s v=""/>
    <m/>
    <n v="2400"/>
    <n v="13082"/>
    <n v="17931.27"/>
    <s v=""/>
  </r>
  <r>
    <n v="76"/>
    <s v="170076"/>
    <d v="2017-02-08T00:00:00"/>
    <x v="139"/>
    <n v="4953.28"/>
    <x v="189"/>
    <m/>
    <x v="165"/>
    <x v="309"/>
    <s v=""/>
    <m/>
    <m/>
    <n v="3226"/>
    <n v="1727.2799999999997"/>
    <s v=""/>
  </r>
  <r>
    <n v="77"/>
    <s v="170077"/>
    <d v="2017-02-08T00:00:00"/>
    <x v="73"/>
    <n v="1932.84"/>
    <x v="190"/>
    <m/>
    <x v="173"/>
    <x v="310"/>
    <s v=""/>
    <m/>
    <m/>
    <n v="1508"/>
    <n v="424.83999999999992"/>
    <s v=""/>
  </r>
  <r>
    <n v="73"/>
    <s v="170073"/>
    <d v="2017-02-07T00:00:00"/>
    <x v="11"/>
    <n v="97176.4"/>
    <x v="191"/>
    <m/>
    <x v="165"/>
    <x v="311"/>
    <s v=""/>
    <m/>
    <n v="9000"/>
    <n v="51147"/>
    <n v="46029.399999999994"/>
    <s v=""/>
  </r>
  <r>
    <n v="64"/>
    <s v="170064"/>
    <d v="2017-02-03T00:00:00"/>
    <x v="37"/>
    <n v="26340.09"/>
    <x v="192"/>
    <m/>
    <x v="174"/>
    <x v="312"/>
    <s v=""/>
    <m/>
    <m/>
    <n v="19984"/>
    <n v="6356.09"/>
    <s v=""/>
  </r>
  <r>
    <n v="60"/>
    <s v="170060"/>
    <d v="2017-02-02T00:00:00"/>
    <x v="140"/>
    <n v="20875.86"/>
    <x v="192"/>
    <n v="1"/>
    <x v="170"/>
    <x v="313"/>
    <n v="20875.86"/>
    <m/>
    <m/>
    <n v="16019"/>
    <n v="4856.8600000000006"/>
    <n v="4856.8600000000006"/>
  </r>
  <r>
    <n v="92"/>
    <s v="170092"/>
    <d v="2017-02-15T00:00:00"/>
    <x v="141"/>
    <n v="8948"/>
    <x v="193"/>
    <m/>
    <x v="164"/>
    <x v="314"/>
    <s v=""/>
    <m/>
    <m/>
    <n v="7064"/>
    <n v="1884"/>
    <s v=""/>
  </r>
  <r>
    <n v="89"/>
    <s v="170089"/>
    <d v="2017-02-14T00:00:00"/>
    <x v="142"/>
    <n v="132870"/>
    <x v="194"/>
    <n v="1"/>
    <x v="175"/>
    <x v="315"/>
    <n v="132870"/>
    <m/>
    <m/>
    <n v="100449"/>
    <n v="32421"/>
    <n v="32421"/>
  </r>
  <r>
    <n v="94"/>
    <s v="170094"/>
    <d v="2017-02-16T00:00:00"/>
    <x v="30"/>
    <n v="5138.8999999999996"/>
    <x v="194"/>
    <m/>
    <x v="176"/>
    <x v="316"/>
    <s v=""/>
    <m/>
    <m/>
    <n v="4604"/>
    <n v="534.89999999999964"/>
    <s v=""/>
  </r>
  <r>
    <n v="101"/>
    <s v="170101"/>
    <d v="2017-02-20T00:00:00"/>
    <x v="19"/>
    <n v="1800"/>
    <x v="195"/>
    <m/>
    <x v="176"/>
    <x v="317"/>
    <s v=""/>
    <m/>
    <m/>
    <n v="1485"/>
    <n v="315"/>
    <s v=""/>
  </r>
  <r>
    <n v="99"/>
    <s v="170099"/>
    <d v="2017-02-20T00:00:00"/>
    <x v="0"/>
    <n v="4086"/>
    <x v="195"/>
    <m/>
    <x v="167"/>
    <x v="318"/>
    <s v=""/>
    <m/>
    <m/>
    <n v="3348"/>
    <n v="738"/>
    <s v=""/>
  </r>
  <r>
    <n v="87"/>
    <s v="170087"/>
    <d v="2017-02-14T00:00:00"/>
    <x v="8"/>
    <n v="12000"/>
    <x v="195"/>
    <m/>
    <x v="177"/>
    <x v="319"/>
    <s v=""/>
    <m/>
    <n v="1800"/>
    <n v="4102"/>
    <n v="7898"/>
    <s v=""/>
  </r>
  <r>
    <n v="107"/>
    <s v="170107"/>
    <d v="2017-02-21T00:00:00"/>
    <x v="9"/>
    <n v="11500"/>
    <x v="196"/>
    <m/>
    <x v="170"/>
    <x v="320"/>
    <s v=""/>
    <m/>
    <m/>
    <n v="7814"/>
    <n v="3686"/>
    <s v=""/>
  </r>
  <r>
    <n v="109"/>
    <s v="170109"/>
    <d v="2017-02-21T00:00:00"/>
    <x v="143"/>
    <n v="7890"/>
    <x v="196"/>
    <n v="1"/>
    <x v="170"/>
    <x v="321"/>
    <n v="7890"/>
    <m/>
    <m/>
    <n v="6364"/>
    <n v="1526"/>
    <n v="1526"/>
  </r>
  <r>
    <n v="21"/>
    <s v="170021"/>
    <d v="2017-01-16T00:00:00"/>
    <x v="93"/>
    <n v="126654.02"/>
    <x v="196"/>
    <m/>
    <x v="164"/>
    <x v="291"/>
    <s v=""/>
    <m/>
    <m/>
    <n v="45579"/>
    <n v="17748.010000000002"/>
    <s v=""/>
  </r>
  <r>
    <n v="14"/>
    <s v="170014"/>
    <d v="2017-02-22T00:00:00"/>
    <x v="88"/>
    <n v="18960"/>
    <x v="197"/>
    <m/>
    <x v="178"/>
    <x v="322"/>
    <s v=""/>
    <m/>
    <m/>
    <n v="12512"/>
    <n v="6448"/>
    <s v=""/>
  </r>
  <r>
    <n v="111"/>
    <s v="170111"/>
    <d v="2017-02-27T00:00:00"/>
    <x v="144"/>
    <n v="8480"/>
    <x v="198"/>
    <n v="1"/>
    <x v="179"/>
    <x v="323"/>
    <n v="8480"/>
    <m/>
    <m/>
    <n v="3310"/>
    <n v="5170"/>
    <n v="5170"/>
  </r>
  <r>
    <n v="115"/>
    <s v="170115"/>
    <d v="2017-02-28T00:00:00"/>
    <x v="10"/>
    <n v="1504.7"/>
    <x v="199"/>
    <m/>
    <x v="179"/>
    <x v="324"/>
    <s v=""/>
    <m/>
    <m/>
    <n v="1449"/>
    <n v="55.700000000000045"/>
    <s v=""/>
  </r>
  <r>
    <n v="98"/>
    <s v="170098"/>
    <d v="2017-02-17T00:00:00"/>
    <x v="14"/>
    <n v="8032.8"/>
    <x v="199"/>
    <m/>
    <x v="172"/>
    <x v="325"/>
    <s v=""/>
    <m/>
    <m/>
    <n v="5301"/>
    <n v="2731.8"/>
    <s v=""/>
  </r>
  <r>
    <n v="96"/>
    <s v="170096"/>
    <d v="2017-03-01T00:00:00"/>
    <x v="145"/>
    <n v="149900"/>
    <x v="200"/>
    <n v="1"/>
    <x v="180"/>
    <x v="326"/>
    <n v="149900"/>
    <m/>
    <m/>
    <n v="123642"/>
    <n v="26258"/>
    <n v="26258"/>
  </r>
  <r>
    <n v="133"/>
    <s v="170133"/>
    <d v="2017-03-03T00:00:00"/>
    <x v="146"/>
    <n v="4552.58"/>
    <x v="201"/>
    <m/>
    <x v="181"/>
    <x v="327"/>
    <s v=""/>
    <m/>
    <m/>
    <n v="3463"/>
    <n v="1089.58"/>
    <s v=""/>
  </r>
  <r>
    <n v="80"/>
    <s v="170080"/>
    <d v="2017-02-08T00:00:00"/>
    <x v="20"/>
    <n v="39853.15"/>
    <x v="202"/>
    <m/>
    <x v="163"/>
    <x v="328"/>
    <s v=""/>
    <m/>
    <m/>
    <n v="24593"/>
    <n v="15260.150000000001"/>
    <s v=""/>
  </r>
  <r>
    <n v="6"/>
    <s v="170006"/>
    <d v="2017-01-10T00:00:00"/>
    <x v="36"/>
    <n v="199080"/>
    <x v="203"/>
    <m/>
    <x v="159"/>
    <x v="329"/>
    <s v=""/>
    <m/>
    <n v="1200"/>
    <n v="133598"/>
    <n v="65482"/>
    <s v=""/>
  </r>
  <r>
    <n v="125"/>
    <s v="170125"/>
    <d v="2017-03-02T00:00:00"/>
    <x v="18"/>
    <n v="4627"/>
    <x v="203"/>
    <m/>
    <x v="182"/>
    <x v="330"/>
    <s v=""/>
    <m/>
    <m/>
    <n v="3885"/>
    <n v="742"/>
    <s v=""/>
  </r>
  <r>
    <n v="136"/>
    <s v="170136"/>
    <d v="2017-03-07T00:00:00"/>
    <x v="147"/>
    <n v="9790"/>
    <x v="203"/>
    <n v="1"/>
    <x v="183"/>
    <x v="331"/>
    <n v="9790"/>
    <m/>
    <m/>
    <n v="7196"/>
    <n v="2594"/>
    <n v="2594"/>
  </r>
  <r>
    <n v="124"/>
    <s v="170124"/>
    <d v="2017-03-01T00:00:00"/>
    <x v="11"/>
    <n v="20895"/>
    <x v="204"/>
    <m/>
    <x v="184"/>
    <x v="332"/>
    <s v=""/>
    <m/>
    <m/>
    <n v="17465"/>
    <n v="3430"/>
    <s v=""/>
  </r>
  <r>
    <n v="167"/>
    <s v="170167"/>
    <d v="2017-03-16T00:00:00"/>
    <x v="148"/>
    <n v="7718.16"/>
    <x v="204"/>
    <m/>
    <x v="185"/>
    <x v="333"/>
    <s v=""/>
    <m/>
    <m/>
    <n v="6275"/>
    <n v="1443.1599999999999"/>
    <s v=""/>
  </r>
  <r>
    <n v="112"/>
    <s v="170112"/>
    <d v="2017-02-27T00:00:00"/>
    <x v="102"/>
    <n v="18242.62"/>
    <x v="204"/>
    <m/>
    <x v="186"/>
    <x v="334"/>
    <s v=""/>
    <m/>
    <n v="600"/>
    <n v="12813"/>
    <n v="5429.619999999999"/>
    <s v=""/>
  </r>
  <r>
    <n v="149"/>
    <s v="170149"/>
    <d v="2017-03-13T00:00:00"/>
    <x v="134"/>
    <n v="1190"/>
    <x v="204"/>
    <m/>
    <x v="187"/>
    <x v="335"/>
    <s v=""/>
    <m/>
    <m/>
    <n v="930"/>
    <n v="260"/>
    <s v=""/>
  </r>
  <r>
    <n v="114"/>
    <s v="170114"/>
    <d v="2017-02-28T00:00:00"/>
    <x v="134"/>
    <n v="4190.75"/>
    <x v="204"/>
    <m/>
    <x v="188"/>
    <x v="336"/>
    <s v=""/>
    <m/>
    <m/>
    <n v="3624"/>
    <n v="566.75"/>
    <s v=""/>
  </r>
  <r>
    <n v="150"/>
    <s v="170150"/>
    <d v="2017-03-14T00:00:00"/>
    <x v="47"/>
    <n v="4000"/>
    <x v="204"/>
    <m/>
    <x v="177"/>
    <x v="136"/>
    <s v=""/>
    <m/>
    <n v="600"/>
    <n v="1786"/>
    <n v="2214"/>
    <s v=""/>
  </r>
  <r>
    <n v="135"/>
    <s v="170135"/>
    <d v="2017-03-06T00:00:00"/>
    <x v="149"/>
    <n v="104590"/>
    <x v="205"/>
    <n v="1"/>
    <x v="172"/>
    <x v="337"/>
    <n v="104590"/>
    <m/>
    <m/>
    <n v="79070"/>
    <n v="25520"/>
    <n v="25520"/>
  </r>
  <r>
    <n v="170"/>
    <s v="170170"/>
    <d v="2017-03-17T00:00:00"/>
    <x v="32"/>
    <n v="4468.54"/>
    <x v="205"/>
    <m/>
    <x v="189"/>
    <x v="338"/>
    <s v=""/>
    <m/>
    <m/>
    <n v="3485"/>
    <n v="983.54"/>
    <s v=""/>
  </r>
  <r>
    <n v="93"/>
    <s v="170093"/>
    <d v="2017-02-15T00:00:00"/>
    <x v="150"/>
    <n v="230621"/>
    <x v="205"/>
    <n v="1"/>
    <x v="190"/>
    <x v="339"/>
    <n v="115310.5"/>
    <m/>
    <m/>
    <n v="91534.5"/>
    <n v="23776"/>
    <n v="23776"/>
  </r>
  <r>
    <n v="164"/>
    <s v="170164"/>
    <d v="2017-03-16T00:00:00"/>
    <x v="11"/>
    <n v="30000"/>
    <x v="206"/>
    <m/>
    <x v="172"/>
    <x v="340"/>
    <s v=""/>
    <m/>
    <m/>
    <n v="26557"/>
    <n v="3443"/>
    <s v=""/>
  </r>
  <r>
    <n v="53"/>
    <s v="170053"/>
    <d v="2017-02-01T00:00:00"/>
    <x v="13"/>
    <n v="118322.5"/>
    <x v="206"/>
    <m/>
    <x v="174"/>
    <x v="341"/>
    <s v=""/>
    <n v="30000"/>
    <m/>
    <n v="14980"/>
    <n v="103342.5"/>
    <s v=""/>
  </r>
  <r>
    <n v="147"/>
    <s v="170147"/>
    <d v="2017-03-10T00:00:00"/>
    <x v="151"/>
    <n v="5770.92"/>
    <x v="206"/>
    <n v="1"/>
    <x v="187"/>
    <x v="342"/>
    <n v="5770.92"/>
    <m/>
    <m/>
    <n v="4452"/>
    <n v="1318.92"/>
    <n v="1318.92"/>
  </r>
  <r>
    <n v="144"/>
    <s v="170144"/>
    <d v="2017-03-10T00:00:00"/>
    <x v="23"/>
    <n v="11941.15"/>
    <x v="206"/>
    <m/>
    <x v="175"/>
    <x v="275"/>
    <s v=""/>
    <m/>
    <m/>
    <n v="9030"/>
    <n v="2911.1499999999996"/>
    <s v=""/>
  </r>
  <r>
    <n v="143"/>
    <s v="170143"/>
    <d v="2017-03-09T00:00:00"/>
    <x v="93"/>
    <n v="133579.66"/>
    <x v="206"/>
    <m/>
    <x v="191"/>
    <x v="343"/>
    <s v=""/>
    <m/>
    <n v="1200"/>
    <n v="42302.5"/>
    <n v="24487.33"/>
    <s v=""/>
  </r>
  <r>
    <n v="185"/>
    <s v="170185"/>
    <d v="2017-03-22T00:00:00"/>
    <x v="152"/>
    <n v="8480"/>
    <x v="207"/>
    <m/>
    <x v="183"/>
    <x v="323"/>
    <s v=""/>
    <m/>
    <n v="1200"/>
    <n v="3946"/>
    <n v="4534"/>
    <s v=""/>
  </r>
  <r>
    <n v="197"/>
    <s v="170197"/>
    <d v="2017-03-27T00:00:00"/>
    <x v="153"/>
    <n v="20100"/>
    <x v="208"/>
    <n v="1"/>
    <x v="192"/>
    <x v="344"/>
    <n v="20100"/>
    <m/>
    <m/>
    <n v="17154"/>
    <n v="2946"/>
    <n v="2946"/>
  </r>
  <r>
    <n v="181"/>
    <s v="170181"/>
    <d v="2017-03-21T00:00:00"/>
    <x v="77"/>
    <n v="1331.52"/>
    <x v="208"/>
    <m/>
    <x v="193"/>
    <x v="345"/>
    <s v=""/>
    <m/>
    <m/>
    <n v="1038"/>
    <n v="293.52"/>
    <s v=""/>
  </r>
  <r>
    <n v="202"/>
    <s v="170202"/>
    <d v="2017-03-29T00:00:00"/>
    <x v="154"/>
    <n v="31673"/>
    <x v="209"/>
    <n v="1"/>
    <x v="194"/>
    <x v="346"/>
    <n v="31673"/>
    <m/>
    <m/>
    <n v="24204"/>
    <n v="7469"/>
    <n v="7469"/>
  </r>
  <r>
    <n v="200"/>
    <s v="170200"/>
    <d v="2017-03-28T00:00:00"/>
    <x v="155"/>
    <n v="17890"/>
    <x v="209"/>
    <n v="1"/>
    <x v="188"/>
    <x v="347"/>
    <n v="17890"/>
    <m/>
    <m/>
    <n v="13525"/>
    <n v="4365"/>
    <n v="4365"/>
  </r>
  <r>
    <n v="184"/>
    <s v="170184"/>
    <d v="2017-03-22T00:00:00"/>
    <x v="14"/>
    <n v="102.03"/>
    <x v="209"/>
    <m/>
    <x v="188"/>
    <x v="348"/>
    <s v=""/>
    <m/>
    <m/>
    <n v="57"/>
    <n v="45.03"/>
    <s v=""/>
  </r>
  <r>
    <n v="194"/>
    <s v="170194"/>
    <d v="2017-03-27T00:00:00"/>
    <x v="14"/>
    <n v="582"/>
    <x v="209"/>
    <m/>
    <x v="183"/>
    <x v="349"/>
    <s v=""/>
    <m/>
    <m/>
    <n v="382"/>
    <n v="200"/>
    <s v=""/>
  </r>
  <r>
    <n v="148"/>
    <s v="170148"/>
    <d v="2017-03-10T00:00:00"/>
    <x v="48"/>
    <n v="4920.6000000000004"/>
    <x v="209"/>
    <m/>
    <x v="195"/>
    <x v="350"/>
    <s v=""/>
    <m/>
    <m/>
    <n v="3463"/>
    <n v="1457.6000000000004"/>
    <s v=""/>
  </r>
  <r>
    <n v="129"/>
    <s v="170129"/>
    <d v="2017-03-21T00:00:00"/>
    <x v="156"/>
    <n v="6736.9"/>
    <x v="209"/>
    <m/>
    <x v="196"/>
    <x v="351"/>
    <s v=""/>
    <m/>
    <m/>
    <n v="4833"/>
    <n v="1903.8999999999996"/>
    <s v=""/>
  </r>
  <r>
    <n v="201"/>
    <s v="170201"/>
    <d v="2017-03-28T00:00:00"/>
    <x v="134"/>
    <n v="16542.93"/>
    <x v="210"/>
    <m/>
    <x v="188"/>
    <x v="352"/>
    <s v=""/>
    <m/>
    <m/>
    <n v="15067"/>
    <n v="1475.9300000000003"/>
    <s v=""/>
  </r>
  <r>
    <n v="198"/>
    <s v="170198"/>
    <d v="2017-03-28T00:00:00"/>
    <x v="1"/>
    <n v="2090"/>
    <x v="211"/>
    <m/>
    <x v="197"/>
    <x v="353"/>
    <s v=""/>
    <m/>
    <m/>
    <n v="1702"/>
    <n v="388"/>
    <s v=""/>
  </r>
  <r>
    <n v="204"/>
    <s v="170204"/>
    <d v="2017-03-29T00:00:00"/>
    <x v="150"/>
    <n v="4474.68"/>
    <x v="212"/>
    <m/>
    <x v="190"/>
    <x v="354"/>
    <s v=""/>
    <m/>
    <m/>
    <n v="3446"/>
    <n v="1028.6800000000003"/>
    <s v=""/>
  </r>
  <r>
    <n v="217"/>
    <s v="170217"/>
    <d v="2017-04-03T00:00:00"/>
    <x v="157"/>
    <n v="10400"/>
    <x v="213"/>
    <m/>
    <x v="198"/>
    <x v="355"/>
    <s v=""/>
    <m/>
    <m/>
    <n v="5400"/>
    <n v="5000"/>
    <s v=""/>
  </r>
  <r>
    <n v="230"/>
    <s v="170230"/>
    <d v="2017-04-06T00:00:00"/>
    <x v="26"/>
    <n v="20999"/>
    <x v="214"/>
    <m/>
    <x v="199"/>
    <x v="356"/>
    <s v=""/>
    <m/>
    <m/>
    <n v="17154"/>
    <n v="3845"/>
    <s v=""/>
  </r>
  <r>
    <n v="126"/>
    <s v="170126"/>
    <d v="2017-04-06T00:00:00"/>
    <x v="158"/>
    <n v="68628.84"/>
    <x v="215"/>
    <n v="1"/>
    <x v="200"/>
    <x v="357"/>
    <n v="68628.84"/>
    <m/>
    <n v="600"/>
    <n v="57636.25"/>
    <n v="10992.589999999997"/>
    <n v="10992.589999999997"/>
  </r>
  <r>
    <n v="206"/>
    <s v="170206"/>
    <d v="2017-03-30T00:00:00"/>
    <x v="28"/>
    <n v="2345.4899999999998"/>
    <x v="214"/>
    <m/>
    <x v="188"/>
    <x v="358"/>
    <s v=""/>
    <m/>
    <m/>
    <n v="1548"/>
    <n v="797.48999999999978"/>
    <s v=""/>
  </r>
  <r>
    <n v="93"/>
    <s v="170093"/>
    <d v="2017-02-15T00:00:00"/>
    <x v="150"/>
    <n v="230621"/>
    <x v="215"/>
    <n v="1"/>
    <x v="190"/>
    <x v="339"/>
    <n v="115310.5"/>
    <m/>
    <m/>
    <n v="91534.5"/>
    <n v="23776"/>
    <n v="23776"/>
  </r>
  <r>
    <n v="234"/>
    <s v="170234"/>
    <d v="2017-04-07T00:00:00"/>
    <x v="88"/>
    <n v="9480"/>
    <x v="216"/>
    <m/>
    <x v="200"/>
    <x v="359"/>
    <s v=""/>
    <m/>
    <m/>
    <n v="6256"/>
    <n v="3224"/>
    <s v=""/>
  </r>
  <r>
    <n v="233"/>
    <s v="170233"/>
    <d v="2017-04-07T00:00:00"/>
    <x v="159"/>
    <n v="6490"/>
    <x v="216"/>
    <n v="1"/>
    <x v="201"/>
    <x v="360"/>
    <n v="6490"/>
    <m/>
    <m/>
    <n v="4612"/>
    <n v="1878"/>
    <n v="1878"/>
  </r>
  <r>
    <n v="240"/>
    <s v="170240"/>
    <d v="2017-04-11T00:00:00"/>
    <x v="160"/>
    <n v="15990"/>
    <x v="217"/>
    <n v="1"/>
    <x v="201"/>
    <x v="224"/>
    <n v="15990"/>
    <m/>
    <m/>
    <n v="12088"/>
    <n v="3902"/>
    <n v="3902"/>
  </r>
  <r>
    <n v="241"/>
    <s v="170241"/>
    <d v="2017-04-11T00:00:00"/>
    <x v="126"/>
    <n v="2312.85"/>
    <x v="217"/>
    <m/>
    <x v="198"/>
    <x v="273"/>
    <s v=""/>
    <m/>
    <m/>
    <n v="1935"/>
    <n v="377.84999999999991"/>
    <s v=""/>
  </r>
  <r>
    <n v="235"/>
    <s v="170235"/>
    <d v="2017-04-07T00:00:00"/>
    <x v="88"/>
    <n v="28440"/>
    <x v="218"/>
    <m/>
    <x v="202"/>
    <x v="361"/>
    <s v=""/>
    <m/>
    <m/>
    <n v="18768"/>
    <n v="9672"/>
    <s v=""/>
  </r>
  <r>
    <n v="243"/>
    <s v="170243"/>
    <d v="2017-04-11T00:00:00"/>
    <x v="103"/>
    <n v="5444"/>
    <x v="218"/>
    <m/>
    <x v="188"/>
    <x v="362"/>
    <s v=""/>
    <m/>
    <m/>
    <n v="4129"/>
    <n v="1315"/>
    <s v=""/>
  </r>
  <r>
    <n v="248"/>
    <s v="170248"/>
    <d v="2017-04-12T00:00:00"/>
    <x v="88"/>
    <n v="5358"/>
    <x v="219"/>
    <m/>
    <x v="201"/>
    <x v="363"/>
    <s v=""/>
    <m/>
    <m/>
    <n v="3960"/>
    <n v="1398"/>
    <s v=""/>
  </r>
  <r>
    <n v="154"/>
    <s v="170154"/>
    <d v="2017-03-14T00:00:00"/>
    <x v="37"/>
    <n v="19194.18"/>
    <x v="219"/>
    <m/>
    <x v="203"/>
    <x v="364"/>
    <s v=""/>
    <m/>
    <m/>
    <n v="15047"/>
    <n v="4147.18"/>
    <s v=""/>
  </r>
  <r>
    <n v="122"/>
    <s v="170122"/>
    <d v="2017-03-01T00:00:00"/>
    <x v="88"/>
    <n v="19112"/>
    <x v="220"/>
    <m/>
    <x v="204"/>
    <x v="269"/>
    <s v=""/>
    <m/>
    <m/>
    <n v="13752"/>
    <n v="5360"/>
    <s v=""/>
  </r>
  <r>
    <n v="212"/>
    <s v="170212"/>
    <d v="2017-03-31T00:00:00"/>
    <x v="37"/>
    <n v="22631.64"/>
    <x v="220"/>
    <m/>
    <x v="203"/>
    <x v="157"/>
    <s v=""/>
    <m/>
    <m/>
    <n v="17604"/>
    <n v="5027.6399999999994"/>
    <s v=""/>
  </r>
  <r>
    <n v="142"/>
    <s v="170142"/>
    <d v="2017-03-24T00:00:00"/>
    <x v="20"/>
    <n v="34418.81"/>
    <x v="220"/>
    <m/>
    <x v="194"/>
    <x v="365"/>
    <s v=""/>
    <m/>
    <n v="3000"/>
    <n v="18282"/>
    <n v="16136.809999999998"/>
    <s v=""/>
  </r>
  <r>
    <n v="275"/>
    <s v="170275"/>
    <d v="2017-04-18T00:00:00"/>
    <x v="161"/>
    <n v="22236"/>
    <x v="221"/>
    <n v="1"/>
    <x v="205"/>
    <x v="366"/>
    <n v="22236"/>
    <m/>
    <m/>
    <n v="17296"/>
    <n v="4940"/>
    <n v="4940"/>
  </r>
  <r>
    <n v="278"/>
    <s v="170278"/>
    <d v="2017-04-18T00:00:00"/>
    <x v="162"/>
    <n v="4985"/>
    <x v="221"/>
    <m/>
    <x v="206"/>
    <x v="367"/>
    <s v=""/>
    <m/>
    <m/>
    <n v="3402"/>
    <n v="1583"/>
    <s v=""/>
  </r>
  <r>
    <n v="215"/>
    <s v="170215"/>
    <d v="2017-04-03T00:00:00"/>
    <x v="93"/>
    <n v="48997.09"/>
    <x v="222"/>
    <m/>
    <x v="205"/>
    <x v="368"/>
    <s v=""/>
    <m/>
    <m/>
    <n v="33258"/>
    <n v="15739.089999999997"/>
    <s v=""/>
  </r>
  <r>
    <n v="282"/>
    <s v="170282"/>
    <d v="2017-04-19T00:00:00"/>
    <x v="163"/>
    <n v="2161"/>
    <x v="222"/>
    <n v="1"/>
    <x v="207"/>
    <x v="369"/>
    <n v="2161"/>
    <m/>
    <m/>
    <n v="1633"/>
    <n v="528"/>
    <n v="528"/>
  </r>
  <r>
    <n v="273"/>
    <s v="170273"/>
    <d v="2017-04-19T00:00:00"/>
    <x v="164"/>
    <n v="18490"/>
    <x v="223"/>
    <n v="1"/>
    <x v="206"/>
    <x v="370"/>
    <n v="18490"/>
    <m/>
    <m/>
    <n v="13142"/>
    <n v="5348"/>
    <n v="5348"/>
  </r>
  <r>
    <n v="210"/>
    <s v="170210"/>
    <d v="2017-03-31T00:00:00"/>
    <x v="165"/>
    <n v="26389.17"/>
    <x v="224"/>
    <n v="1"/>
    <x v="197"/>
    <x v="371"/>
    <n v="26389.17"/>
    <m/>
    <m/>
    <n v="18133"/>
    <n v="8256.1699999999983"/>
    <n v="8256.1699999999983"/>
  </r>
  <r>
    <n v="295"/>
    <s v="170295"/>
    <d v="2017-04-21T00:00:00"/>
    <x v="155"/>
    <n v="2579.42"/>
    <x v="224"/>
    <m/>
    <x v="208"/>
    <x v="372"/>
    <s v=""/>
    <m/>
    <m/>
    <n v="2054"/>
    <n v="525.42000000000007"/>
    <s v=""/>
  </r>
  <r>
    <n v="284"/>
    <s v="170284"/>
    <d v="2017-04-20T00:00:00"/>
    <x v="166"/>
    <n v="44087.199999999997"/>
    <x v="224"/>
    <m/>
    <x v="202"/>
    <x v="373"/>
    <s v=""/>
    <m/>
    <m/>
    <n v="34380"/>
    <n v="9707.1999999999971"/>
    <s v=""/>
  </r>
  <r>
    <n v="237"/>
    <s v="170237"/>
    <d v="2017-04-07T00:00:00"/>
    <x v="79"/>
    <n v="6513"/>
    <x v="225"/>
    <m/>
    <x v="193"/>
    <x v="374"/>
    <s v=""/>
    <m/>
    <n v="600"/>
    <n v="3448"/>
    <n v="3065"/>
    <s v=""/>
  </r>
  <r>
    <n v="279"/>
    <s v="170279"/>
    <d v="2017-04-19T00:00:00"/>
    <x v="102"/>
    <n v="9048.24"/>
    <x v="226"/>
    <m/>
    <x v="209"/>
    <x v="375"/>
    <s v=""/>
    <m/>
    <m/>
    <n v="5762"/>
    <n v="3286.24"/>
    <s v=""/>
  </r>
  <r>
    <n v="301"/>
    <s v="170301"/>
    <d v="2017-04-26T00:00:00"/>
    <x v="167"/>
    <n v="1760.27"/>
    <x v="226"/>
    <n v="1"/>
    <x v="209"/>
    <x v="376"/>
    <n v="1760.27"/>
    <m/>
    <m/>
    <n v="1698"/>
    <n v="62.269999999999982"/>
    <n v="62.269999999999982"/>
  </r>
  <r>
    <n v="208"/>
    <s v="170208"/>
    <d v="2017-04-21T00:00:00"/>
    <x v="11"/>
    <n v="100945.52"/>
    <x v="226"/>
    <m/>
    <x v="210"/>
    <x v="377"/>
    <s v=""/>
    <m/>
    <m/>
    <n v="85324"/>
    <n v="15621.520000000004"/>
    <s v=""/>
  </r>
  <r>
    <n v="287"/>
    <s v="170287"/>
    <d v="2017-04-20T00:00:00"/>
    <x v="168"/>
    <n v="12512.85"/>
    <x v="227"/>
    <n v="1"/>
    <x v="210"/>
    <x v="378"/>
    <n v="12512.85"/>
    <m/>
    <m/>
    <n v="10585"/>
    <n v="1927.8500000000004"/>
    <n v="1927.8500000000004"/>
  </r>
  <r>
    <n v="239"/>
    <s v="170239"/>
    <d v="2017-04-10T00:00:00"/>
    <x v="23"/>
    <n v="11941.15"/>
    <x v="227"/>
    <m/>
    <x v="198"/>
    <x v="275"/>
    <s v=""/>
    <m/>
    <m/>
    <n v="8595"/>
    <n v="3346.1499999999996"/>
    <s v=""/>
  </r>
  <r>
    <n v="304"/>
    <s v="170304"/>
    <d v="2017-04-28T00:00:00"/>
    <x v="169"/>
    <n v="72699"/>
    <x v="228"/>
    <n v="1"/>
    <x v="211"/>
    <x v="379"/>
    <n v="72699"/>
    <m/>
    <m/>
    <n v="54960"/>
    <n v="17739"/>
    <n v="17739"/>
  </r>
  <r>
    <n v="261"/>
    <s v="170261"/>
    <d v="2017-04-24T00:00:00"/>
    <x v="170"/>
    <n v="18114.240000000002"/>
    <x v="229"/>
    <n v="1"/>
    <x v="212"/>
    <x v="380"/>
    <n v="18114.240000000002"/>
    <m/>
    <m/>
    <n v="14129"/>
    <n v="3985.2400000000016"/>
    <n v="3985.2400000000016"/>
  </r>
  <r>
    <n v="288"/>
    <s v="170288"/>
    <d v="2017-04-20T00:00:00"/>
    <x v="88"/>
    <n v="16125.42"/>
    <x v="230"/>
    <m/>
    <x v="213"/>
    <x v="381"/>
    <s v=""/>
    <m/>
    <m/>
    <n v="13208"/>
    <n v="2917.42"/>
    <s v=""/>
  </r>
  <r>
    <n v="274"/>
    <s v="170274"/>
    <d v="2017-04-18T00:00:00"/>
    <x v="150"/>
    <n v="14800"/>
    <x v="231"/>
    <m/>
    <x v="211"/>
    <x v="382"/>
    <s v=""/>
    <m/>
    <n v="600"/>
    <n v="6175"/>
    <n v="8625"/>
    <s v=""/>
  </r>
  <r>
    <n v="143"/>
    <s v="170143"/>
    <d v="2017-03-09T00:00:00"/>
    <x v="93"/>
    <n v="133579.66"/>
    <x v="232"/>
    <m/>
    <x v="191"/>
    <x v="343"/>
    <s v=""/>
    <m/>
    <n v="1200"/>
    <n v="42302.5"/>
    <n v="24487.33"/>
    <s v=""/>
  </r>
  <r>
    <n v="312"/>
    <s v="170312"/>
    <d v="2017-05-03T00:00:00"/>
    <x v="3"/>
    <n v="4496.92"/>
    <x v="232"/>
    <m/>
    <x v="210"/>
    <x v="383"/>
    <s v=""/>
    <m/>
    <m/>
    <n v="3463"/>
    <n v="1033.92"/>
    <s v=""/>
  </r>
  <r>
    <n v="329"/>
    <s v="170329"/>
    <d v="2017-05-11T00:00:00"/>
    <x v="171"/>
    <n v="18790"/>
    <x v="233"/>
    <n v="1"/>
    <x v="214"/>
    <x v="384"/>
    <n v="18790"/>
    <m/>
    <m/>
    <n v="13811"/>
    <n v="4979"/>
    <n v="4979"/>
  </r>
  <r>
    <n v="333"/>
    <s v="170333"/>
    <d v="2017-05-12T00:00:00"/>
    <x v="172"/>
    <n v="4013.71"/>
    <x v="233"/>
    <m/>
    <x v="215"/>
    <x v="385"/>
    <s v=""/>
    <m/>
    <m/>
    <n v="3139"/>
    <n v="874.71"/>
    <s v=""/>
  </r>
  <r>
    <n v="337"/>
    <s v="170337"/>
    <d v="2017-05-12T00:00:00"/>
    <x v="81"/>
    <n v="83811.37"/>
    <x v="234"/>
    <m/>
    <x v="216"/>
    <x v="386"/>
    <s v=""/>
    <m/>
    <n v="600"/>
    <n v="61417"/>
    <n v="22394.369999999995"/>
    <s v=""/>
  </r>
  <r>
    <n v="193"/>
    <s v="170193"/>
    <d v="2017-03-27T00:00:00"/>
    <x v="13"/>
    <n v="163265.54999999999"/>
    <x v="235"/>
    <m/>
    <x v="205"/>
    <x v="387"/>
    <s v=""/>
    <n v="15000"/>
    <n v="15600"/>
    <n v="80530"/>
    <n v="82735.549999999988"/>
    <s v=""/>
  </r>
  <r>
    <n v="336"/>
    <s v="170336"/>
    <d v="2017-05-12T00:00:00"/>
    <x v="150"/>
    <n v="12000"/>
    <x v="235"/>
    <m/>
    <x v="217"/>
    <x v="319"/>
    <s v=""/>
    <m/>
    <n v="1800"/>
    <n v="4137"/>
    <n v="7863"/>
    <s v=""/>
  </r>
  <r>
    <n v="199"/>
    <s v="170199"/>
    <d v="2017-05-12T00:00:00"/>
    <x v="173"/>
    <n v="3291"/>
    <x v="235"/>
    <n v="1"/>
    <x v="212"/>
    <x v="388"/>
    <n v="3291"/>
    <m/>
    <m/>
    <n v="2487"/>
    <n v="804"/>
    <n v="804"/>
  </r>
  <r>
    <n v="178"/>
    <s v="170178"/>
    <d v="2017-04-05T00:00:00"/>
    <x v="20"/>
    <n v="44988.79"/>
    <x v="236"/>
    <m/>
    <x v="218"/>
    <x v="389"/>
    <s v=""/>
    <m/>
    <m/>
    <n v="29780"/>
    <n v="15208.79"/>
    <s v=""/>
  </r>
  <r>
    <n v="214"/>
    <s v="170214"/>
    <d v="2017-04-28T00:00:00"/>
    <x v="11"/>
    <n v="16358.48"/>
    <x v="237"/>
    <m/>
    <x v="210"/>
    <x v="390"/>
    <s v=""/>
    <m/>
    <m/>
    <n v="12192"/>
    <n v="4166.4799999999996"/>
    <s v=""/>
  </r>
  <r>
    <n v="339"/>
    <s v="170339"/>
    <d v="2017-05-15T00:00:00"/>
    <x v="41"/>
    <n v="596.73"/>
    <x v="237"/>
    <m/>
    <x v="216"/>
    <x v="391"/>
    <s v=""/>
    <m/>
    <m/>
    <n v="465"/>
    <n v="131.73000000000002"/>
    <s v=""/>
  </r>
  <r>
    <n v="192"/>
    <s v="170192"/>
    <d v="2017-04-11T00:00:00"/>
    <x v="20"/>
    <n v="280640"/>
    <x v="238"/>
    <m/>
    <x v="202"/>
    <x v="392"/>
    <s v=""/>
    <m/>
    <m/>
    <n v="221826"/>
    <n v="58814"/>
    <s v=""/>
  </r>
  <r>
    <n v="328"/>
    <s v="170328"/>
    <d v="2017-05-11T00:00:00"/>
    <x v="47"/>
    <n v="8216.1"/>
    <x v="238"/>
    <m/>
    <x v="219"/>
    <x v="393"/>
    <s v=""/>
    <m/>
    <m/>
    <n v="6408"/>
    <n v="1808.1000000000004"/>
    <s v=""/>
  </r>
  <r>
    <n v="375"/>
    <s v="170375"/>
    <d v="2017-05-19T00:00:00"/>
    <x v="174"/>
    <n v="5390"/>
    <x v="238"/>
    <n v="1"/>
    <x v="220"/>
    <x v="394"/>
    <n v="5390"/>
    <m/>
    <m/>
    <n v="4075"/>
    <n v="1315"/>
    <n v="1315"/>
  </r>
  <r>
    <n v="359"/>
    <s v="170359"/>
    <d v="2017-05-18T00:00:00"/>
    <x v="58"/>
    <n v="11092.54"/>
    <x v="239"/>
    <m/>
    <x v="219"/>
    <x v="395"/>
    <s v=""/>
    <m/>
    <m/>
    <n v="10409"/>
    <n v="683.54000000000087"/>
    <s v=""/>
  </r>
  <r>
    <n v="347"/>
    <s v="170347"/>
    <d v="2017-05-15T00:00:00"/>
    <x v="175"/>
    <n v="41400"/>
    <x v="240"/>
    <n v="1"/>
    <x v="216"/>
    <x v="396"/>
    <n v="41400"/>
    <m/>
    <m/>
    <n v="32794"/>
    <n v="8606"/>
    <n v="8606"/>
  </r>
  <r>
    <n v="360"/>
    <s v="170360"/>
    <d v="2017-05-18T00:00:00"/>
    <x v="54"/>
    <n v="8817.44"/>
    <x v="241"/>
    <m/>
    <x v="221"/>
    <x v="397"/>
    <s v=""/>
    <m/>
    <m/>
    <n v="6876"/>
    <n v="1941.4400000000005"/>
    <s v=""/>
  </r>
  <r>
    <n v="366"/>
    <s v="170366"/>
    <d v="2017-05-18T00:00:00"/>
    <x v="50"/>
    <n v="2450"/>
    <x v="241"/>
    <m/>
    <x v="214"/>
    <x v="126"/>
    <s v=""/>
    <m/>
    <m/>
    <n v="2183"/>
    <n v="267"/>
    <s v=""/>
  </r>
  <r>
    <n v="338"/>
    <s v="170338"/>
    <d v="2017-05-15T00:00:00"/>
    <x v="176"/>
    <n v="2179.81"/>
    <x v="240"/>
    <m/>
    <x v="210"/>
    <x v="398"/>
    <s v=""/>
    <m/>
    <m/>
    <n v="1648"/>
    <n v="531.80999999999995"/>
    <s v=""/>
  </r>
  <r>
    <n v="332"/>
    <s v="170332"/>
    <d v="2017-05-12T00:00:00"/>
    <x v="88"/>
    <n v="18012"/>
    <x v="242"/>
    <m/>
    <x v="213"/>
    <x v="399"/>
    <s v=""/>
    <m/>
    <m/>
    <n v="12512"/>
    <n v="5500"/>
    <s v=""/>
  </r>
  <r>
    <n v="372"/>
    <s v="170372"/>
    <d v="2017-05-19T00:00:00"/>
    <x v="32"/>
    <n v="600"/>
    <x v="242"/>
    <m/>
    <x v="222"/>
    <x v="400"/>
    <s v=""/>
    <m/>
    <m/>
    <n v="100"/>
    <n v="500"/>
    <s v=""/>
  </r>
  <r>
    <n v="379"/>
    <s v="170379"/>
    <d v="2017-05-22T00:00:00"/>
    <x v="177"/>
    <n v="4468"/>
    <x v="242"/>
    <m/>
    <x v="223"/>
    <x v="401"/>
    <s v=""/>
    <m/>
    <m/>
    <n v="3485"/>
    <n v="983"/>
    <s v=""/>
  </r>
  <r>
    <n v="376"/>
    <s v="170376"/>
    <d v="2017-05-19T00:00:00"/>
    <x v="178"/>
    <n v="7180"/>
    <x v="242"/>
    <n v="1"/>
    <x v="214"/>
    <x v="402"/>
    <n v="7180"/>
    <m/>
    <m/>
    <n v="5428"/>
    <n v="1752"/>
    <n v="1752"/>
  </r>
  <r>
    <n v="367"/>
    <s v="170367"/>
    <d v="2017-05-18T00:00:00"/>
    <x v="102"/>
    <n v="22199"/>
    <x v="242"/>
    <m/>
    <x v="224"/>
    <x v="403"/>
    <s v=""/>
    <m/>
    <m/>
    <n v="16782"/>
    <n v="5417"/>
    <s v=""/>
  </r>
  <r>
    <n v="341"/>
    <s v="170341"/>
    <d v="2017-05-15T00:00:00"/>
    <x v="93"/>
    <n v="21000"/>
    <x v="242"/>
    <m/>
    <x v="221"/>
    <x v="404"/>
    <s v=""/>
    <m/>
    <m/>
    <n v="12600"/>
    <n v="8400"/>
    <s v=""/>
  </r>
  <r>
    <n v="303"/>
    <s v="170303"/>
    <d v="2017-04-26T00:00:00"/>
    <x v="37"/>
    <n v="2991.3"/>
    <x v="242"/>
    <m/>
    <x v="210"/>
    <x v="405"/>
    <s v=""/>
    <m/>
    <m/>
    <n v="2088"/>
    <n v="903.30000000000018"/>
    <s v=""/>
  </r>
  <r>
    <n v="340"/>
    <s v="170340"/>
    <d v="2017-05-15T00:00:00"/>
    <x v="37"/>
    <n v="2239.64"/>
    <x v="242"/>
    <m/>
    <x v="210"/>
    <x v="406"/>
    <s v=""/>
    <m/>
    <m/>
    <n v="1848"/>
    <n v="391.63999999999987"/>
    <s v=""/>
  </r>
  <r>
    <n v="374"/>
    <s v="170374"/>
    <d v="2017-05-19T00:00:00"/>
    <x v="28"/>
    <n v="107.38"/>
    <x v="243"/>
    <m/>
    <x v="221"/>
    <x v="407"/>
    <s v=""/>
    <m/>
    <m/>
    <n v="71"/>
    <n v="36.379999999999995"/>
    <s v=""/>
  </r>
  <r>
    <n v="266"/>
    <s v="170266"/>
    <d v="2017-04-17T00:00:00"/>
    <x v="20"/>
    <n v="101974.45"/>
    <x v="243"/>
    <m/>
    <x v="202"/>
    <x v="408"/>
    <s v=""/>
    <m/>
    <m/>
    <n v="67348"/>
    <n v="34626.449999999997"/>
    <s v=""/>
  </r>
  <r>
    <n v="353"/>
    <s v="170353"/>
    <d v="2017-05-17T00:00:00"/>
    <x v="20"/>
    <n v="11479.33"/>
    <x v="243"/>
    <m/>
    <x v="210"/>
    <x v="409"/>
    <s v=""/>
    <m/>
    <m/>
    <n v="5022"/>
    <n v="6457.33"/>
    <s v=""/>
  </r>
  <r>
    <n v="391"/>
    <s v="170391"/>
    <d v="2017-05-26T00:00:00"/>
    <x v="179"/>
    <n v="8670"/>
    <x v="244"/>
    <n v="1"/>
    <x v="222"/>
    <x v="410"/>
    <n v="8670"/>
    <m/>
    <m/>
    <n v="7398.91"/>
    <n v="1271.0900000000001"/>
    <n v="1271.0900000000001"/>
  </r>
  <r>
    <n v="389"/>
    <s v="170389"/>
    <d v="2017-05-25T00:00:00"/>
    <x v="180"/>
    <n v="10374.44"/>
    <x v="245"/>
    <n v="1"/>
    <x v="225"/>
    <x v="411"/>
    <n v="10374.44"/>
    <m/>
    <m/>
    <n v="8196"/>
    <n v="2178.4400000000005"/>
    <n v="2178.4400000000005"/>
  </r>
  <r>
    <n v="394"/>
    <s v="170394"/>
    <d v="2017-05-29T00:00:00"/>
    <x v="181"/>
    <n v="11107"/>
    <x v="245"/>
    <n v="1"/>
    <x v="226"/>
    <x v="412"/>
    <n v="11107"/>
    <m/>
    <m/>
    <n v="8552"/>
    <n v="2555"/>
    <n v="2555"/>
  </r>
  <r>
    <n v="242"/>
    <s v="170242"/>
    <d v="2017-04-11T00:00:00"/>
    <x v="14"/>
    <n v="17124"/>
    <x v="245"/>
    <m/>
    <x v="227"/>
    <x v="413"/>
    <s v=""/>
    <m/>
    <m/>
    <n v="13059"/>
    <n v="4065"/>
    <s v=""/>
  </r>
  <r>
    <n v="380"/>
    <s v="170380"/>
    <d v="2017-05-24T00:00:00"/>
    <x v="182"/>
    <n v="40190"/>
    <x v="245"/>
    <n v="1"/>
    <x v="217"/>
    <x v="414"/>
    <n v="40190"/>
    <m/>
    <m/>
    <n v="32954"/>
    <n v="7236"/>
    <n v="7236"/>
  </r>
  <r>
    <n v="401"/>
    <s v="170401"/>
    <d v="2017-05-30T00:00:00"/>
    <x v="30"/>
    <n v="5615.97"/>
    <x v="246"/>
    <m/>
    <x v="213"/>
    <x v="415"/>
    <s v=""/>
    <m/>
    <m/>
    <n v="5338"/>
    <n v="277.97000000000025"/>
    <s v=""/>
  </r>
  <r>
    <n v="349"/>
    <s v="170349"/>
    <d v="2017-05-16T00:00:00"/>
    <x v="23"/>
    <n v="23099.040000000001"/>
    <x v="246"/>
    <m/>
    <x v="228"/>
    <x v="416"/>
    <s v=""/>
    <m/>
    <m/>
    <n v="17513"/>
    <n v="5586.0400000000009"/>
    <s v=""/>
  </r>
  <r>
    <n v="399"/>
    <s v="170399"/>
    <d v="2017-05-30T00:00:00"/>
    <x v="59"/>
    <n v="1537.25"/>
    <x v="247"/>
    <m/>
    <x v="214"/>
    <x v="95"/>
    <s v=""/>
    <m/>
    <m/>
    <n v="1116"/>
    <n v="421.25"/>
    <s v=""/>
  </r>
  <r>
    <n v="420"/>
    <s v="170420"/>
    <d v="2017-06-02T00:00:00"/>
    <x v="19"/>
    <n v="962"/>
    <x v="248"/>
    <m/>
    <x v="229"/>
    <x v="417"/>
    <s v=""/>
    <m/>
    <m/>
    <n v="787"/>
    <n v="175"/>
    <s v=""/>
  </r>
  <r>
    <n v="416"/>
    <s v="170416"/>
    <d v="2017-06-01T00:00:00"/>
    <x v="183"/>
    <n v="52690"/>
    <x v="248"/>
    <n v="1"/>
    <x v="214"/>
    <x v="418"/>
    <n v="52690"/>
    <m/>
    <m/>
    <n v="39834"/>
    <n v="12856"/>
    <n v="12856"/>
  </r>
  <r>
    <n v="404"/>
    <s v="170404"/>
    <d v="2017-05-31T00:00:00"/>
    <x v="9"/>
    <n v="4919.54"/>
    <x v="248"/>
    <m/>
    <x v="230"/>
    <x v="419"/>
    <s v=""/>
    <m/>
    <m/>
    <n v="3244"/>
    <n v="1675.54"/>
    <s v=""/>
  </r>
  <r>
    <n v="412"/>
    <s v="170412"/>
    <d v="2017-06-01T00:00:00"/>
    <x v="139"/>
    <n v="1924"/>
    <x v="248"/>
    <m/>
    <x v="214"/>
    <x v="420"/>
    <s v=""/>
    <m/>
    <m/>
    <n v="1484"/>
    <n v="440"/>
    <s v=""/>
  </r>
  <r>
    <n v="424"/>
    <s v="170424"/>
    <d v="2017-06-05T00:00:00"/>
    <x v="19"/>
    <n v="203.26"/>
    <x v="249"/>
    <m/>
    <x v="231"/>
    <x v="421"/>
    <s v=""/>
    <m/>
    <m/>
    <n v="134"/>
    <n v="69.259999999999991"/>
    <s v=""/>
  </r>
  <r>
    <n v="408"/>
    <s v="170408"/>
    <d v="2017-05-06T00:00:00"/>
    <x v="184"/>
    <n v="15990"/>
    <x v="250"/>
    <n v="1"/>
    <x v="232"/>
    <x v="224"/>
    <n v="15990"/>
    <m/>
    <m/>
    <n v="12088"/>
    <n v="3902"/>
    <n v="3902"/>
  </r>
  <r>
    <n v="384"/>
    <s v="170384"/>
    <d v="2017-05-23T00:00:00"/>
    <x v="88"/>
    <n v="23246.5"/>
    <x v="251"/>
    <m/>
    <x v="216"/>
    <x v="422"/>
    <s v=""/>
    <m/>
    <m/>
    <n v="17858"/>
    <n v="5388.5"/>
    <s v=""/>
  </r>
  <r>
    <n v="327"/>
    <s v="170327"/>
    <d v="2017-05-23T00:00:00"/>
    <x v="185"/>
    <n v="40658.120000000003"/>
    <x v="251"/>
    <n v="1"/>
    <x v="233"/>
    <x v="423"/>
    <n v="40658.120000000003"/>
    <m/>
    <m/>
    <n v="31248"/>
    <n v="9410.1200000000026"/>
    <n v="9410.1200000000026"/>
  </r>
  <r>
    <n v="289"/>
    <s v="170289"/>
    <d v="2017-04-20T00:00:00"/>
    <x v="14"/>
    <n v="14874"/>
    <x v="251"/>
    <m/>
    <x v="227"/>
    <x v="424"/>
    <s v=""/>
    <m/>
    <m/>
    <n v="10382"/>
    <n v="4492"/>
    <s v=""/>
  </r>
  <r>
    <n v="418"/>
    <s v="170418"/>
    <d v="2017-06-02T00:00:00"/>
    <x v="102"/>
    <n v="11799"/>
    <x v="252"/>
    <m/>
    <x v="234"/>
    <x v="425"/>
    <s v=""/>
    <m/>
    <m/>
    <n v="8920"/>
    <n v="2879"/>
    <s v=""/>
  </r>
  <r>
    <n v="438"/>
    <s v="170438"/>
    <d v="2017-06-08T00:00:00"/>
    <x v="146"/>
    <n v="4552.58"/>
    <x v="253"/>
    <m/>
    <x v="235"/>
    <x v="327"/>
    <s v=""/>
    <m/>
    <m/>
    <n v="3463"/>
    <n v="1089.58"/>
    <s v=""/>
  </r>
  <r>
    <n v="303"/>
    <s v="170303"/>
    <d v="2017-04-26T00:00:00"/>
    <x v="37"/>
    <n v="1495.65"/>
    <x v="253"/>
    <m/>
    <x v="221"/>
    <x v="426"/>
    <s v=""/>
    <m/>
    <m/>
    <n v="989"/>
    <n v="506.65000000000009"/>
    <s v=""/>
  </r>
  <r>
    <n v="340"/>
    <s v="170340"/>
    <d v="2017-05-15T00:00:00"/>
    <x v="37"/>
    <n v="1119.82"/>
    <x v="253"/>
    <m/>
    <x v="221"/>
    <x v="427"/>
    <s v=""/>
    <m/>
    <m/>
    <n v="874"/>
    <n v="245.81999999999994"/>
    <s v=""/>
  </r>
  <r>
    <n v="430"/>
    <s v="170430"/>
    <d v="2017-06-07T00:00:00"/>
    <x v="186"/>
    <n v="28590"/>
    <x v="254"/>
    <m/>
    <x v="233"/>
    <x v="289"/>
    <s v=""/>
    <m/>
    <m/>
    <n v="21614"/>
    <n v="6976"/>
    <s v=""/>
  </r>
  <r>
    <n v="265"/>
    <s v="170265"/>
    <d v="2017-05-31T00:00:00"/>
    <x v="187"/>
    <n v="15010.96"/>
    <x v="254"/>
    <n v="1"/>
    <x v="236"/>
    <x v="428"/>
    <n v="15010.96"/>
    <m/>
    <m/>
    <n v="11710"/>
    <n v="3300.9599999999991"/>
    <n v="3300.9599999999991"/>
  </r>
  <r>
    <n v="450"/>
    <s v="170450"/>
    <d v="2017-06-14T00:00:00"/>
    <x v="157"/>
    <n v="14455"/>
    <x v="255"/>
    <m/>
    <x v="237"/>
    <x v="429"/>
    <s v=""/>
    <m/>
    <m/>
    <n v="10915"/>
    <n v="3540"/>
    <s v=""/>
  </r>
  <r>
    <n v="449"/>
    <s v="170449"/>
    <d v="2017-06-14T00:00:00"/>
    <x v="1"/>
    <n v="4410"/>
    <x v="255"/>
    <m/>
    <x v="235"/>
    <x v="430"/>
    <s v=""/>
    <m/>
    <m/>
    <n v="3438"/>
    <n v="972"/>
    <s v=""/>
  </r>
  <r>
    <n v="415"/>
    <s v="170415"/>
    <d v="2017-06-01T00:00:00"/>
    <x v="188"/>
    <n v="4885.79"/>
    <x v="256"/>
    <m/>
    <x v="226"/>
    <x v="431"/>
    <s v=""/>
    <m/>
    <m/>
    <n v="3226"/>
    <n v="1659.79"/>
    <s v=""/>
  </r>
  <r>
    <n v="439"/>
    <s v="170439"/>
    <d v="2017-06-09T00:00:00"/>
    <x v="41"/>
    <n v="2675.3"/>
    <x v="256"/>
    <m/>
    <x v="238"/>
    <x v="432"/>
    <s v=""/>
    <m/>
    <m/>
    <n v="2087"/>
    <n v="588.30000000000018"/>
    <s v=""/>
  </r>
  <r>
    <n v="370"/>
    <s v="170370"/>
    <d v="2017-05-18T00:00:00"/>
    <x v="20"/>
    <n v="740.16"/>
    <x v="257"/>
    <m/>
    <x v="213"/>
    <x v="433"/>
    <s v=""/>
    <m/>
    <m/>
    <n v="488"/>
    <n v="252.15999999999997"/>
    <s v=""/>
  </r>
  <r>
    <n v="402"/>
    <s v="170402"/>
    <d v="2017-06-01T00:00:00"/>
    <x v="20"/>
    <n v="42797.23"/>
    <x v="257"/>
    <m/>
    <x v="213"/>
    <x v="434"/>
    <s v=""/>
    <m/>
    <m/>
    <n v="24813"/>
    <n v="17984.230000000003"/>
    <s v=""/>
  </r>
  <r>
    <n v="463"/>
    <s v="170463"/>
    <d v="2017-06-19T00:00:00"/>
    <x v="93"/>
    <n v="1279.3599999999999"/>
    <x v="258"/>
    <m/>
    <x v="239"/>
    <x v="435"/>
    <s v=""/>
    <m/>
    <m/>
    <n v="844"/>
    <n v="435.3599999999999"/>
    <s v=""/>
  </r>
  <r>
    <n v="426"/>
    <s v="170426"/>
    <d v="2017-06-05T00:00:00"/>
    <x v="189"/>
    <n v="114880"/>
    <x v="259"/>
    <n v="1"/>
    <x v="231"/>
    <x v="436"/>
    <n v="114880"/>
    <m/>
    <m/>
    <n v="86850"/>
    <n v="28030"/>
    <n v="28030"/>
  </r>
  <r>
    <n v="480"/>
    <s v="170480"/>
    <d v="2017-06-26T00:00:00"/>
    <x v="190"/>
    <n v="37636"/>
    <x v="259"/>
    <n v="1"/>
    <x v="231"/>
    <x v="437"/>
    <n v="37636"/>
    <m/>
    <m/>
    <n v="28585"/>
    <n v="9051"/>
    <n v="9051"/>
  </r>
  <r>
    <n v="485"/>
    <s v="170485"/>
    <d v="2017-06-27T00:00:00"/>
    <x v="191"/>
    <n v="11990"/>
    <x v="260"/>
    <n v="1"/>
    <x v="226"/>
    <x v="438"/>
    <n v="11990"/>
    <m/>
    <m/>
    <n v="9064"/>
    <n v="2926"/>
    <n v="2926"/>
  </r>
  <r>
    <n v="460"/>
    <s v="170460"/>
    <d v="2017-06-19T00:00:00"/>
    <x v="3"/>
    <n v="4496.92"/>
    <x v="261"/>
    <m/>
    <x v="240"/>
    <x v="383"/>
    <s v=""/>
    <m/>
    <m/>
    <n v="3463"/>
    <n v="1033.92"/>
    <s v=""/>
  </r>
  <r>
    <n v="269"/>
    <s v="170269"/>
    <d v="2017-04-18T00:00:00"/>
    <x v="13"/>
    <n v="294927.26"/>
    <x v="261"/>
    <m/>
    <x v="220"/>
    <x v="439"/>
    <s v=""/>
    <n v="45000"/>
    <m/>
    <n v="112724.15"/>
    <n v="182203.11000000002"/>
    <s v=""/>
  </r>
  <r>
    <n v="355"/>
    <s v="170355"/>
    <d v="2017-05-17T00:00:00"/>
    <x v="13"/>
    <n v="212853.94"/>
    <x v="261"/>
    <m/>
    <x v="220"/>
    <x v="440"/>
    <s v=""/>
    <n v="33000"/>
    <m/>
    <n v="77900.05"/>
    <n v="134953.89000000001"/>
    <s v=""/>
  </r>
  <r>
    <n v="493"/>
    <s v="170493"/>
    <d v="2017-06-29T00:00:00"/>
    <x v="192"/>
    <n v="1529"/>
    <x v="261"/>
    <m/>
    <x v="225"/>
    <x v="441"/>
    <s v=""/>
    <m/>
    <m/>
    <n v="1193"/>
    <n v="336"/>
    <s v=""/>
  </r>
  <r>
    <n v="497"/>
    <s v="170497"/>
    <d v="2017-06-30T00:00:00"/>
    <x v="126"/>
    <n v="3083.8"/>
    <x v="262"/>
    <m/>
    <x v="241"/>
    <x v="442"/>
    <s v=""/>
    <m/>
    <m/>
    <n v="2580"/>
    <n v="503.80000000000018"/>
    <s v=""/>
  </r>
  <r>
    <n v="445"/>
    <s v="170445"/>
    <d v="2017-06-13T00:00:00"/>
    <x v="118"/>
    <n v="14730"/>
    <x v="262"/>
    <m/>
    <x v="242"/>
    <x v="443"/>
    <s v=""/>
    <m/>
    <m/>
    <n v="13604"/>
    <n v="1126"/>
    <s v=""/>
  </r>
  <r>
    <n v="458"/>
    <s v="170458"/>
    <d v="2017-06-16T00:00:00"/>
    <x v="193"/>
    <n v="33940"/>
    <x v="263"/>
    <n v="1"/>
    <x v="235"/>
    <x v="444"/>
    <n v="33940"/>
    <m/>
    <m/>
    <n v="25726"/>
    <n v="8214"/>
    <n v="8214"/>
  </r>
  <r>
    <n v="330"/>
    <s v="170330"/>
    <d v="2017-05-13T00:00:00"/>
    <x v="23"/>
    <n v="5299.97"/>
    <x v="264"/>
    <m/>
    <x v="243"/>
    <x v="445"/>
    <s v=""/>
    <m/>
    <m/>
    <n v="4229"/>
    <n v="1070.9700000000003"/>
    <s v=""/>
  </r>
  <r>
    <n v="443"/>
    <s v="170443"/>
    <d v="2017-06-13T00:00:00"/>
    <x v="23"/>
    <n v="8346.5"/>
    <x v="264"/>
    <m/>
    <x v="243"/>
    <x v="446"/>
    <s v=""/>
    <m/>
    <m/>
    <n v="6423"/>
    <n v="1923.5"/>
    <s v=""/>
  </r>
  <r>
    <n v="489"/>
    <s v="170489"/>
    <d v="2017-07-03T00:00:00"/>
    <x v="135"/>
    <n v="34034"/>
    <x v="265"/>
    <m/>
    <x v="226"/>
    <x v="447"/>
    <s v=""/>
    <m/>
    <m/>
    <n v="29869"/>
    <n v="4165"/>
    <s v=""/>
  </r>
  <r>
    <n v="511"/>
    <s v="170511"/>
    <d v="2017-07-04T00:00:00"/>
    <x v="136"/>
    <n v="2870"/>
    <x v="265"/>
    <m/>
    <x v="241"/>
    <x v="448"/>
    <s v=""/>
    <m/>
    <m/>
    <n v="2354"/>
    <n v="516"/>
    <s v=""/>
  </r>
  <r>
    <n v="432"/>
    <s v="170432"/>
    <d v="2017-06-07T00:00:00"/>
    <x v="93"/>
    <n v="37690.639999999999"/>
    <x v="266"/>
    <m/>
    <x v="239"/>
    <x v="449"/>
    <s v=""/>
    <m/>
    <m/>
    <n v="20555.97"/>
    <n v="17134.669999999998"/>
    <s v=""/>
  </r>
  <r>
    <n v="495"/>
    <s v="170495"/>
    <d v="2017-06-29T00:00:00"/>
    <x v="88"/>
    <n v="9764.1"/>
    <x v="267"/>
    <m/>
    <x v="244"/>
    <x v="450"/>
    <s v=""/>
    <m/>
    <m/>
    <n v="8016"/>
    <n v="1748.1000000000004"/>
    <s v=""/>
  </r>
  <r>
    <n v="378"/>
    <s v="170378"/>
    <d v="2017-07-05T00:00:00"/>
    <x v="194"/>
    <n v="52690"/>
    <x v="267"/>
    <n v="1"/>
    <x v="225"/>
    <x v="418"/>
    <n v="52690"/>
    <m/>
    <m/>
    <n v="39834"/>
    <n v="12856"/>
    <n v="12856"/>
  </r>
  <r>
    <n v="519"/>
    <s v="170519"/>
    <d v="2017-07-06T00:00:00"/>
    <x v="195"/>
    <n v="16744"/>
    <x v="268"/>
    <n v="1"/>
    <x v="245"/>
    <x v="451"/>
    <n v="16744"/>
    <m/>
    <m/>
    <n v="12635"/>
    <n v="4109"/>
    <n v="4109"/>
  </r>
  <r>
    <n v="441"/>
    <s v="170441"/>
    <d v="2017-06-09T00:00:00"/>
    <x v="37"/>
    <n v="928.05"/>
    <x v="268"/>
    <m/>
    <x v="225"/>
    <x v="452"/>
    <s v=""/>
    <m/>
    <m/>
    <n v="610"/>
    <n v="318.04999999999995"/>
    <s v=""/>
  </r>
  <r>
    <n v="397"/>
    <s v="170397"/>
    <d v="2017-07-12T00:00:00"/>
    <x v="196"/>
    <n v="19651"/>
    <x v="269"/>
    <n v="1"/>
    <x v="245"/>
    <x v="453"/>
    <n v="19651"/>
    <m/>
    <m/>
    <n v="16099"/>
    <n v="3552"/>
    <n v="3552"/>
  </r>
  <r>
    <n v="524"/>
    <s v="170524"/>
    <d v="2017-07-10T00:00:00"/>
    <x v="197"/>
    <n v="15990"/>
    <x v="269"/>
    <m/>
    <x v="246"/>
    <x v="224"/>
    <s v=""/>
    <m/>
    <m/>
    <n v="12088"/>
    <n v="3902"/>
    <s v=""/>
  </r>
  <r>
    <n v="525"/>
    <s v="170525"/>
    <d v="2017-07-10T00:00:00"/>
    <x v="37"/>
    <n v="5068"/>
    <x v="270"/>
    <m/>
    <x v="247"/>
    <x v="454"/>
    <s v=""/>
    <m/>
    <m/>
    <n v="3956"/>
    <n v="1112"/>
    <s v=""/>
  </r>
  <r>
    <n v="528"/>
    <s v="170528"/>
    <d v="2017-07-11T00:00:00"/>
    <x v="198"/>
    <n v="32878.980000000003"/>
    <x v="271"/>
    <m/>
    <x v="248"/>
    <x v="455"/>
    <s v=""/>
    <m/>
    <m/>
    <n v="25644"/>
    <n v="7234.9800000000032"/>
    <s v=""/>
  </r>
  <r>
    <n v="425"/>
    <s v="170425"/>
    <d v="2017-06-05T00:00:00"/>
    <x v="20"/>
    <n v="39483.43"/>
    <x v="271"/>
    <m/>
    <x v="226"/>
    <x v="456"/>
    <s v=""/>
    <m/>
    <m/>
    <n v="25844"/>
    <n v="13639.43"/>
    <s v=""/>
  </r>
  <r>
    <n v="554"/>
    <s v="170554"/>
    <d v="2017-07-14T00:00:00"/>
    <x v="43"/>
    <n v="10400"/>
    <x v="272"/>
    <m/>
    <x v="249"/>
    <x v="355"/>
    <s v=""/>
    <m/>
    <m/>
    <n v="4192"/>
    <n v="6208"/>
    <s v=""/>
  </r>
  <r>
    <n v="509"/>
    <s v="170509"/>
    <d v="2017-07-04T00:00:00"/>
    <x v="102"/>
    <n v="22199"/>
    <x v="272"/>
    <m/>
    <x v="250"/>
    <x v="403"/>
    <s v=""/>
    <m/>
    <m/>
    <n v="16782"/>
    <n v="5417"/>
    <s v=""/>
  </r>
  <r>
    <n v="521"/>
    <s v="170521"/>
    <d v="2017-07-07T00:00:00"/>
    <x v="93"/>
    <n v="10500"/>
    <x v="272"/>
    <m/>
    <x v="249"/>
    <x v="457"/>
    <s v=""/>
    <m/>
    <m/>
    <n v="6300"/>
    <n v="4200"/>
    <s v=""/>
  </r>
  <r>
    <n v="443"/>
    <s v="170443"/>
    <d v="2017-06-13T00:00:00"/>
    <x v="23"/>
    <n v="2100.04"/>
    <x v="273"/>
    <m/>
    <x v="247"/>
    <x v="458"/>
    <s v=""/>
    <m/>
    <m/>
    <n v="1638"/>
    <n v="462.03999999999996"/>
    <s v=""/>
  </r>
  <r>
    <n v="453"/>
    <s v="170453"/>
    <d v="2017-09-22T00:00:00"/>
    <x v="23"/>
    <n v="2094.2600000000002"/>
    <x v="273"/>
    <m/>
    <x v="247"/>
    <x v="459"/>
    <s v=""/>
    <m/>
    <m/>
    <n v="1507"/>
    <n v="587.26000000000022"/>
    <s v=""/>
  </r>
  <r>
    <n v="330"/>
    <s v="170330"/>
    <d v="2017-05-13T00:00:00"/>
    <x v="23"/>
    <n v="3046.53"/>
    <x v="273"/>
    <m/>
    <x v="247"/>
    <x v="460"/>
    <s v=""/>
    <m/>
    <m/>
    <n v="2194"/>
    <n v="852.5300000000002"/>
    <s v=""/>
  </r>
  <r>
    <n v="346"/>
    <s v="170346"/>
    <d v="2017-06-08T00:00:00"/>
    <x v="20"/>
    <n v="120950"/>
    <x v="274"/>
    <m/>
    <x v="226"/>
    <x v="461"/>
    <s v=""/>
    <m/>
    <m/>
    <n v="94266"/>
    <n v="26684"/>
    <s v=""/>
  </r>
  <r>
    <n v="586"/>
    <s v="170586"/>
    <d v="2017-07-24T00:00:00"/>
    <x v="157"/>
    <n v="18490"/>
    <x v="274"/>
    <m/>
    <x v="238"/>
    <x v="370"/>
    <s v=""/>
    <m/>
    <m/>
    <n v="13338"/>
    <n v="5152"/>
    <s v=""/>
  </r>
  <r>
    <n v="345"/>
    <s v="170345"/>
    <d v="2017-06-01T00:00:00"/>
    <x v="13"/>
    <n v="604750"/>
    <x v="275"/>
    <m/>
    <x v="230"/>
    <x v="462"/>
    <s v=""/>
    <n v="10000"/>
    <m/>
    <n v="471330"/>
    <n v="133420"/>
    <s v=""/>
  </r>
  <r>
    <n v="575"/>
    <s v="170575"/>
    <d v="2017-07-21T00:00:00"/>
    <x v="11"/>
    <n v="99147"/>
    <x v="275"/>
    <m/>
    <x v="238"/>
    <x v="463"/>
    <s v=""/>
    <m/>
    <n v="1800"/>
    <n v="73096"/>
    <n v="26051"/>
    <s v=""/>
  </r>
  <r>
    <n v="599"/>
    <s v="170599"/>
    <d v="2017-07-27T00:00:00"/>
    <x v="199"/>
    <n v="2286"/>
    <x v="275"/>
    <m/>
    <x v="238"/>
    <x v="464"/>
    <s v=""/>
    <m/>
    <m/>
    <n v="1340"/>
    <n v="946"/>
    <s v=""/>
  </r>
  <r>
    <n v="594"/>
    <s v="170594"/>
    <d v="2017-07-26T00:00:00"/>
    <x v="150"/>
    <n v="14903.97"/>
    <x v="276"/>
    <m/>
    <x v="251"/>
    <x v="465"/>
    <s v=""/>
    <m/>
    <m/>
    <n v="9837"/>
    <n v="5066.9699999999993"/>
    <s v=""/>
  </r>
  <r>
    <n v="607"/>
    <s v="170607"/>
    <d v="2017-08-01T00:00:00"/>
    <x v="200"/>
    <n v="11799"/>
    <x v="276"/>
    <n v="1"/>
    <x v="252"/>
    <x v="425"/>
    <n v="11799"/>
    <m/>
    <m/>
    <n v="8920"/>
    <n v="2879"/>
    <n v="2879"/>
  </r>
  <r>
    <n v="503"/>
    <s v="170503"/>
    <d v="2017-07-04T00:00:00"/>
    <x v="99"/>
    <n v="9390"/>
    <x v="277"/>
    <m/>
    <x v="253"/>
    <x v="466"/>
    <s v=""/>
    <m/>
    <m/>
    <n v="6902"/>
    <n v="2488"/>
    <s v=""/>
  </r>
  <r>
    <n v="605"/>
    <s v="170605"/>
    <d v="2017-08-01T00:00:00"/>
    <x v="201"/>
    <n v="10344"/>
    <x v="277"/>
    <m/>
    <x v="254"/>
    <x v="467"/>
    <s v=""/>
    <m/>
    <m/>
    <n v="8288"/>
    <n v="2056"/>
    <s v=""/>
  </r>
  <r>
    <n v="622"/>
    <s v="170622"/>
    <d v="2017-08-03T00:00:00"/>
    <x v="10"/>
    <n v="10624.15"/>
    <x v="278"/>
    <m/>
    <x v="255"/>
    <x v="468"/>
    <s v=""/>
    <m/>
    <m/>
    <n v="8920"/>
    <n v="1704.1499999999996"/>
    <s v=""/>
  </r>
  <r>
    <n v="619"/>
    <s v="170619"/>
    <d v="2017-08-03T00:00:00"/>
    <x v="202"/>
    <n v="5790"/>
    <x v="278"/>
    <m/>
    <x v="255"/>
    <x v="469"/>
    <s v=""/>
    <m/>
    <m/>
    <n v="4075"/>
    <n v="1715"/>
    <s v=""/>
  </r>
  <r>
    <n v="612"/>
    <s v="170612"/>
    <d v="2017-08-02T00:00:00"/>
    <x v="192"/>
    <n v="2230"/>
    <x v="278"/>
    <m/>
    <x v="256"/>
    <x v="470"/>
    <s v=""/>
    <m/>
    <m/>
    <n v="1615"/>
    <n v="615"/>
    <s v=""/>
  </r>
  <r>
    <n v="610"/>
    <s v="170610"/>
    <d v="2017-08-02T00:00:00"/>
    <x v="37"/>
    <n v="22631.64"/>
    <x v="279"/>
    <m/>
    <x v="257"/>
    <x v="157"/>
    <s v=""/>
    <m/>
    <m/>
    <n v="8634"/>
    <n v="13997.64"/>
    <s v=""/>
  </r>
  <r>
    <n v="637"/>
    <s v="170637"/>
    <d v="2017-08-08T00:00:00"/>
    <x v="157"/>
    <n v="553"/>
    <x v="279"/>
    <m/>
    <x v="258"/>
    <x v="471"/>
    <s v=""/>
    <m/>
    <m/>
    <n v="400"/>
    <n v="153"/>
    <s v=""/>
  </r>
  <r>
    <n v="522"/>
    <s v="170522"/>
    <d v="2017-07-07T00:00:00"/>
    <x v="88"/>
    <n v="18156.400000000001"/>
    <x v="280"/>
    <m/>
    <x v="259"/>
    <x v="472"/>
    <s v=""/>
    <m/>
    <m/>
    <n v="13752"/>
    <n v="4404.4000000000015"/>
    <s v=""/>
  </r>
  <r>
    <n v="641"/>
    <s v="170641"/>
    <d v="2017-08-10T00:00:00"/>
    <x v="203"/>
    <n v="3555"/>
    <x v="281"/>
    <m/>
    <x v="260"/>
    <x v="122"/>
    <s v=""/>
    <m/>
    <m/>
    <n v="2004"/>
    <n v="1551"/>
    <s v=""/>
  </r>
  <r>
    <n v="651"/>
    <s v="170651"/>
    <d v="2017-08-14T00:00:00"/>
    <x v="204"/>
    <n v="1036"/>
    <x v="282"/>
    <m/>
    <x v="260"/>
    <x v="473"/>
    <s v=""/>
    <m/>
    <m/>
    <n v="750"/>
    <n v="286"/>
    <s v=""/>
  </r>
  <r>
    <n v="355"/>
    <s v="170355"/>
    <d v="2017-05-17T00:00:00"/>
    <x v="13"/>
    <n v="7820.34"/>
    <x v="282"/>
    <m/>
    <x v="221"/>
    <x v="474"/>
    <s v=""/>
    <m/>
    <m/>
    <n v="6100"/>
    <n v="1720.3400000000001"/>
    <s v=""/>
  </r>
  <r>
    <n v="525"/>
    <s v="170525"/>
    <d v="2017-07-10T00:00:00"/>
    <x v="37"/>
    <n v="1267"/>
    <x v="282"/>
    <m/>
    <x v="251"/>
    <x v="475"/>
    <s v=""/>
    <m/>
    <m/>
    <n v="989"/>
    <n v="278"/>
    <s v=""/>
  </r>
  <r>
    <n v="626"/>
    <s v="170626"/>
    <d v="2017-08-04T00:00:00"/>
    <x v="205"/>
    <n v="61580"/>
    <x v="282"/>
    <n v="1"/>
    <x v="261"/>
    <x v="292"/>
    <n v="61580"/>
    <m/>
    <m/>
    <n v="46554"/>
    <n v="15026"/>
    <n v="15026"/>
  </r>
  <r>
    <n v="623"/>
    <s v="170623"/>
    <d v="2017-08-04T00:00:00"/>
    <x v="32"/>
    <n v="3554"/>
    <x v="283"/>
    <m/>
    <x v="262"/>
    <x v="476"/>
    <s v=""/>
    <m/>
    <m/>
    <n v="2346"/>
    <n v="1208"/>
    <s v=""/>
  </r>
  <r>
    <n v="595"/>
    <s v="170595"/>
    <d v="2017-07-26T00:00:00"/>
    <x v="3"/>
    <n v="4496.92"/>
    <x v="283"/>
    <m/>
    <x v="261"/>
    <x v="383"/>
    <s v=""/>
    <m/>
    <m/>
    <n v="3463"/>
    <n v="1033.92"/>
    <s v=""/>
  </r>
  <r>
    <n v="630"/>
    <s v="170630"/>
    <d v="2017-08-07T00:00:00"/>
    <x v="206"/>
    <n v="17890"/>
    <x v="283"/>
    <n v="1"/>
    <x v="255"/>
    <x v="347"/>
    <n v="17890"/>
    <m/>
    <m/>
    <n v="13525"/>
    <n v="4365"/>
    <n v="4365"/>
  </r>
  <r>
    <n v="652"/>
    <s v="170652"/>
    <d v="2017-08-14T00:00:00"/>
    <x v="59"/>
    <n v="1466"/>
    <x v="283"/>
    <m/>
    <x v="263"/>
    <x v="477"/>
    <s v=""/>
    <m/>
    <m/>
    <n v="1062"/>
    <n v="404"/>
    <s v=""/>
  </r>
  <r>
    <n v="690"/>
    <s v="170690"/>
    <d v="2017-08-15T00:00:00"/>
    <x v="172"/>
    <n v="2500"/>
    <x v="284"/>
    <m/>
    <x v="264"/>
    <x v="478"/>
    <s v=""/>
    <m/>
    <m/>
    <n v="1250"/>
    <n v="1250"/>
    <s v=""/>
  </r>
  <r>
    <n v="512"/>
    <s v="170512"/>
    <d v="2017-07-04T00:00:00"/>
    <x v="20"/>
    <n v="41845.07"/>
    <x v="284"/>
    <m/>
    <x v="249"/>
    <x v="479"/>
    <s v=""/>
    <m/>
    <m/>
    <n v="27017"/>
    <n v="14828.07"/>
    <s v=""/>
  </r>
  <r>
    <n v="603"/>
    <s v="170603"/>
    <d v="2017-07-31T00:00:00"/>
    <x v="20"/>
    <n v="8938"/>
    <x v="284"/>
    <m/>
    <x v="265"/>
    <x v="480"/>
    <s v=""/>
    <m/>
    <m/>
    <n v="6970"/>
    <n v="1968"/>
    <s v=""/>
  </r>
  <r>
    <n v="585"/>
    <s v="170585"/>
    <d v="2017-07-24T00:00:00"/>
    <x v="93"/>
    <n v="10500"/>
    <x v="285"/>
    <m/>
    <x v="266"/>
    <x v="457"/>
    <s v=""/>
    <m/>
    <m/>
    <n v="6300"/>
    <n v="4200"/>
    <s v=""/>
  </r>
  <r>
    <n v="712"/>
    <s v="170712"/>
    <d v="2017-08-17T00:00:00"/>
    <x v="207"/>
    <n v="6199"/>
    <x v="285"/>
    <n v="1"/>
    <x v="267"/>
    <x v="481"/>
    <n v="6199"/>
    <m/>
    <m/>
    <n v="4627"/>
    <n v="1572"/>
    <n v="1572"/>
  </r>
  <r>
    <n v="673"/>
    <s v="170673"/>
    <d v="2017-08-15T00:00:00"/>
    <x v="126"/>
    <n v="1769.7"/>
    <x v="285"/>
    <m/>
    <x v="268"/>
    <x v="482"/>
    <s v=""/>
    <m/>
    <m/>
    <n v="1624"/>
    <n v="145.70000000000005"/>
    <s v=""/>
  </r>
  <r>
    <n v="655"/>
    <s v="170655"/>
    <d v="2017-08-14T00:00:00"/>
    <x v="208"/>
    <n v="35890"/>
    <x v="286"/>
    <n v="1"/>
    <x v="268"/>
    <x v="483"/>
    <n v="35890"/>
    <m/>
    <m/>
    <n v="25621"/>
    <n v="10269"/>
    <n v="10269"/>
  </r>
  <r>
    <n v="687"/>
    <s v="170687"/>
    <d v="2017-08-15T00:00:00"/>
    <x v="155"/>
    <n v="31343"/>
    <x v="287"/>
    <m/>
    <x v="268"/>
    <x v="484"/>
    <s v=""/>
    <m/>
    <m/>
    <n v="23677"/>
    <n v="7666"/>
    <s v=""/>
  </r>
  <r>
    <n v="636"/>
    <s v="170636"/>
    <d v="2017-08-08T00:00:00"/>
    <x v="23"/>
    <n v="32186"/>
    <x v="288"/>
    <m/>
    <x v="259"/>
    <x v="485"/>
    <s v=""/>
    <m/>
    <m/>
    <n v="22751"/>
    <n v="9435"/>
    <s v=""/>
  </r>
  <r>
    <n v="713"/>
    <s v="170713"/>
    <d v="2017-08-17T00:00:00"/>
    <x v="150"/>
    <n v="16090"/>
    <x v="288"/>
    <m/>
    <x v="269"/>
    <x v="486"/>
    <s v=""/>
    <m/>
    <m/>
    <n v="12069"/>
    <n v="4021"/>
    <s v=""/>
  </r>
  <r>
    <n v="590"/>
    <s v="170590"/>
    <d v="2017-07-24T00:00:00"/>
    <x v="20"/>
    <n v="6837.59"/>
    <x v="289"/>
    <m/>
    <x v="255"/>
    <x v="487"/>
    <s v=""/>
    <m/>
    <m/>
    <n v="4038"/>
    <n v="2799.59"/>
    <s v=""/>
  </r>
  <r>
    <n v="598"/>
    <s v="170598"/>
    <d v="2017-07-27T00:00:00"/>
    <x v="20"/>
    <n v="10704.96"/>
    <x v="289"/>
    <m/>
    <x v="255"/>
    <x v="488"/>
    <s v=""/>
    <m/>
    <m/>
    <n v="6834"/>
    <n v="3870.9599999999991"/>
    <s v=""/>
  </r>
  <r>
    <n v="518"/>
    <s v="170518"/>
    <d v="2017-08-07T00:00:00"/>
    <x v="20"/>
    <n v="3436"/>
    <x v="289"/>
    <m/>
    <x v="255"/>
    <x v="489"/>
    <s v=""/>
    <m/>
    <m/>
    <n v="2488"/>
    <n v="948"/>
    <s v=""/>
  </r>
  <r>
    <n v="631"/>
    <s v="170631"/>
    <d v="2017-08-07T00:00:00"/>
    <x v="20"/>
    <n v="20919.8"/>
    <x v="289"/>
    <m/>
    <x v="261"/>
    <x v="490"/>
    <s v=""/>
    <m/>
    <m/>
    <n v="16302"/>
    <n v="4617.7999999999993"/>
    <s v=""/>
  </r>
  <r>
    <n v="644"/>
    <s v="170644"/>
    <d v="2017-08-23T00:00:00"/>
    <x v="209"/>
    <n v="999"/>
    <x v="289"/>
    <n v="1"/>
    <x v="270"/>
    <x v="491"/>
    <n v="999"/>
    <m/>
    <m/>
    <n v="723"/>
    <n v="276"/>
    <n v="276"/>
  </r>
  <r>
    <n v="732"/>
    <s v="170732"/>
    <d v="2017-08-23T00:00:00"/>
    <x v="210"/>
    <n v="16999"/>
    <x v="290"/>
    <m/>
    <x v="270"/>
    <x v="492"/>
    <s v=""/>
    <m/>
    <m/>
    <n v="13811"/>
    <n v="3188"/>
    <s v=""/>
  </r>
  <r>
    <n v="737"/>
    <s v="170737"/>
    <d v="2017-08-28T00:00:00"/>
    <x v="211"/>
    <n v="6958"/>
    <x v="291"/>
    <n v="1"/>
    <x v="262"/>
    <x v="493"/>
    <n v="6958"/>
    <m/>
    <m/>
    <n v="5358"/>
    <n v="1600"/>
    <n v="1600"/>
  </r>
  <r>
    <n v="736"/>
    <s v="170736"/>
    <d v="2017-08-29T00:00:00"/>
    <x v="59"/>
    <n v="2932"/>
    <x v="292"/>
    <m/>
    <x v="271"/>
    <x v="494"/>
    <s v=""/>
    <m/>
    <m/>
    <n v="2124"/>
    <n v="808"/>
    <s v=""/>
  </r>
  <r>
    <n v="727"/>
    <s v="170727"/>
    <d v="2017-08-22T00:00:00"/>
    <x v="204"/>
    <n v="1279"/>
    <x v="293"/>
    <m/>
    <x v="272"/>
    <x v="495"/>
    <s v=""/>
    <m/>
    <m/>
    <n v="1073"/>
    <n v="206"/>
    <s v=""/>
  </r>
  <r>
    <n v="616"/>
    <s v="170616"/>
    <d v="2017-08-03T00:00:00"/>
    <x v="200"/>
    <n v="3350"/>
    <x v="294"/>
    <m/>
    <x v="268"/>
    <x v="496"/>
    <s v=""/>
    <m/>
    <m/>
    <n v="2435"/>
    <n v="915"/>
    <s v=""/>
  </r>
  <r>
    <n v="751"/>
    <s v="170751"/>
    <d v="2017-08-31T00:00:00"/>
    <x v="10"/>
    <n v="4708"/>
    <x v="294"/>
    <m/>
    <x v="273"/>
    <x v="497"/>
    <s v=""/>
    <m/>
    <m/>
    <n v="3912"/>
    <n v="796"/>
    <s v=""/>
  </r>
  <r>
    <n v="762"/>
    <s v="170762"/>
    <d v="2017-09-04T00:00:00"/>
    <x v="212"/>
    <n v="17980"/>
    <x v="295"/>
    <n v="1"/>
    <x v="274"/>
    <x v="498"/>
    <n v="17980"/>
    <m/>
    <m/>
    <n v="12686"/>
    <n v="5294"/>
    <n v="5294"/>
  </r>
  <r>
    <n v="759"/>
    <s v="170759"/>
    <d v="2017-09-04T00:00:00"/>
    <x v="213"/>
    <n v="20970"/>
    <x v="295"/>
    <n v="1"/>
    <x v="275"/>
    <x v="499"/>
    <n v="20970"/>
    <m/>
    <m/>
    <n v="15414"/>
    <n v="5556"/>
    <n v="5556"/>
  </r>
  <r>
    <n v="763"/>
    <s v="170763"/>
    <d v="2017-09-04T00:00:00"/>
    <x v="214"/>
    <n v="77990"/>
    <x v="295"/>
    <n v="1"/>
    <x v="276"/>
    <x v="500"/>
    <n v="77990"/>
    <m/>
    <m/>
    <n v="54960"/>
    <n v="23030"/>
    <n v="23030"/>
  </r>
  <r>
    <n v="775"/>
    <s v="170775"/>
    <d v="2017-09-07T00:00:00"/>
    <x v="215"/>
    <n v="33843"/>
    <x v="296"/>
    <n v="1"/>
    <x v="262"/>
    <x v="501"/>
    <n v="33843"/>
    <m/>
    <m/>
    <n v="24927"/>
    <n v="8916"/>
    <n v="8916"/>
  </r>
  <r>
    <n v="778"/>
    <s v="170778"/>
    <d v="2017-09-08T00:00:00"/>
    <x v="157"/>
    <n v="134047"/>
    <x v="297"/>
    <m/>
    <x v="277"/>
    <x v="502"/>
    <s v=""/>
    <m/>
    <n v="2100"/>
    <n v="99439"/>
    <n v="34608"/>
    <s v=""/>
  </r>
  <r>
    <n v="502"/>
    <s v="170502"/>
    <d v="2017-07-04T00:00:00"/>
    <x v="11"/>
    <n v="97484"/>
    <x v="297"/>
    <m/>
    <x v="269"/>
    <x v="503"/>
    <s v=""/>
    <m/>
    <m/>
    <n v="77105"/>
    <n v="20379"/>
    <s v=""/>
  </r>
  <r>
    <n v="760"/>
    <s v="170760"/>
    <d v="2017-09-04T00:00:00"/>
    <x v="25"/>
    <n v="5769"/>
    <x v="297"/>
    <m/>
    <x v="262"/>
    <x v="504"/>
    <s v=""/>
    <m/>
    <m/>
    <n v="4179"/>
    <n v="1590"/>
    <s v=""/>
  </r>
  <r>
    <n v="786"/>
    <s v="170786"/>
    <d v="2017-09-12T00:00:00"/>
    <x v="215"/>
    <n v="3027"/>
    <x v="298"/>
    <n v="1"/>
    <x v="262"/>
    <x v="505"/>
    <n v="3027"/>
    <m/>
    <m/>
    <n v="2586"/>
    <n v="441"/>
    <n v="441"/>
  </r>
  <r>
    <n v="734"/>
    <s v="170734"/>
    <d v="2017-09-11T00:00:00"/>
    <x v="71"/>
    <n v="1467"/>
    <x v="298"/>
    <m/>
    <x v="278"/>
    <x v="506"/>
    <s v=""/>
    <m/>
    <m/>
    <n v="968"/>
    <n v="499"/>
    <s v=""/>
  </r>
  <r>
    <n v="769"/>
    <s v="170769"/>
    <d v="2017-09-06T00:00:00"/>
    <x v="89"/>
    <n v="24442"/>
    <x v="299"/>
    <m/>
    <x v="279"/>
    <x v="507"/>
    <s v=""/>
    <m/>
    <m/>
    <n v="17863"/>
    <n v="6579"/>
    <s v=""/>
  </r>
  <r>
    <n v="780"/>
    <s v="170780"/>
    <d v="2017-09-08T00:00:00"/>
    <x v="216"/>
    <n v="5200"/>
    <x v="300"/>
    <m/>
    <x v="275"/>
    <x v="125"/>
    <s v=""/>
    <m/>
    <m/>
    <n v="3233"/>
    <n v="1967"/>
    <s v=""/>
  </r>
  <r>
    <n v="785"/>
    <s v="170785"/>
    <d v="2017-09-12T00:00:00"/>
    <x v="45"/>
    <n v="18580"/>
    <x v="300"/>
    <m/>
    <x v="280"/>
    <x v="508"/>
    <s v=""/>
    <m/>
    <m/>
    <n v="13517"/>
    <n v="5063"/>
    <s v=""/>
  </r>
  <r>
    <n v="810"/>
    <s v="170810"/>
    <d v="2017-09-20T00:00:00"/>
    <x v="11"/>
    <n v="49916"/>
    <x v="301"/>
    <m/>
    <x v="281"/>
    <x v="509"/>
    <s v=""/>
    <m/>
    <n v="2400"/>
    <n v="15217"/>
    <n v="34699"/>
    <s v=""/>
  </r>
  <r>
    <n v="782"/>
    <s v="170782"/>
    <d v="2017-09-11T00:00:00"/>
    <x v="70"/>
    <n v="8951"/>
    <x v="301"/>
    <m/>
    <x v="282"/>
    <x v="510"/>
    <s v=""/>
    <m/>
    <m/>
    <n v="5914"/>
    <n v="3037"/>
    <s v=""/>
  </r>
  <r>
    <n v="812"/>
    <s v="170812"/>
    <d v="2017-09-20T00:00:00"/>
    <x v="217"/>
    <n v="57043"/>
    <x v="301"/>
    <n v="1"/>
    <x v="281"/>
    <x v="511"/>
    <n v="57043"/>
    <m/>
    <m/>
    <n v="40234"/>
    <n v="16809"/>
    <n v="16809"/>
  </r>
  <r>
    <n v="818"/>
    <s v="170818"/>
    <d v="2017-09-20T00:00:00"/>
    <x v="217"/>
    <n v="1881"/>
    <x v="302"/>
    <n v="1"/>
    <x v="282"/>
    <x v="512"/>
    <n v="1881"/>
    <m/>
    <m/>
    <n v="1467"/>
    <n v="414"/>
    <n v="414"/>
  </r>
  <r>
    <n v="771"/>
    <s v="170771"/>
    <d v="2017-09-06T00:00:00"/>
    <x v="162"/>
    <n v="821.87"/>
    <x v="303"/>
    <m/>
    <x v="283"/>
    <x v="513"/>
    <s v=""/>
    <m/>
    <m/>
    <n v="542"/>
    <n v="279.87"/>
    <s v=""/>
  </r>
  <r>
    <n v="820"/>
    <s v="170820"/>
    <d v="2017-09-21T00:00:00"/>
    <x v="54"/>
    <n v="13501"/>
    <x v="303"/>
    <m/>
    <x v="284"/>
    <x v="514"/>
    <s v=""/>
    <m/>
    <m/>
    <n v="10308"/>
    <n v="3193"/>
    <s v=""/>
  </r>
  <r>
    <n v="821"/>
    <s v="170821"/>
    <d v="2017-09-22T00:00:00"/>
    <x v="211"/>
    <n v="13535"/>
    <x v="303"/>
    <m/>
    <x v="275"/>
    <x v="515"/>
    <s v=""/>
    <m/>
    <m/>
    <n v="10199"/>
    <n v="3336"/>
    <s v=""/>
  </r>
  <r>
    <n v="824"/>
    <s v="170824"/>
    <d v="2017-09-25T00:00:00"/>
    <x v="218"/>
    <n v="7954"/>
    <x v="304"/>
    <n v="1"/>
    <x v="285"/>
    <x v="516"/>
    <n v="7954"/>
    <m/>
    <m/>
    <n v="6204"/>
    <n v="1750"/>
    <n v="1750"/>
  </r>
  <r>
    <n v="797"/>
    <s v="170797"/>
    <d v="2017-09-15T00:00:00"/>
    <x v="102"/>
    <n v="30914"/>
    <x v="305"/>
    <m/>
    <x v="286"/>
    <x v="517"/>
    <s v=""/>
    <m/>
    <m/>
    <n v="20443"/>
    <n v="10471"/>
    <s v=""/>
  </r>
  <r>
    <n v="825"/>
    <s v="170825"/>
    <d v="2017-09-25T00:00:00"/>
    <x v="37"/>
    <n v="5460"/>
    <x v="306"/>
    <m/>
    <x v="287"/>
    <x v="518"/>
    <s v=""/>
    <m/>
    <m/>
    <n v="4106"/>
    <n v="1354"/>
    <s v=""/>
  </r>
  <r>
    <n v="836"/>
    <s v="170836"/>
    <d v="2017-09-29T00:00:00"/>
    <x v="157"/>
    <n v="4990"/>
    <x v="306"/>
    <m/>
    <x v="277"/>
    <x v="220"/>
    <s v=""/>
    <m/>
    <m/>
    <n v="3374"/>
    <n v="1616"/>
    <s v=""/>
  </r>
  <r>
    <n v="827"/>
    <s v="170827"/>
    <d v="2017-09-27T00:00:00"/>
    <x v="14"/>
    <n v="7633"/>
    <x v="307"/>
    <m/>
    <x v="277"/>
    <x v="519"/>
    <s v=""/>
    <m/>
    <m/>
    <n v="5138"/>
    <n v="2495"/>
    <s v=""/>
  </r>
  <r>
    <n v="843"/>
    <s v="170843"/>
    <d v="2017-10-02T00:00:00"/>
    <x v="219"/>
    <n v="16999"/>
    <x v="307"/>
    <n v="1"/>
    <x v="288"/>
    <x v="492"/>
    <n v="16999"/>
    <m/>
    <m/>
    <n v="12851"/>
    <n v="4148"/>
    <n v="4148"/>
  </r>
  <r>
    <n v="814"/>
    <s v="170814"/>
    <d v="2017-09-20T00:00:00"/>
    <x v="3"/>
    <n v="4843"/>
    <x v="307"/>
    <m/>
    <x v="289"/>
    <x v="520"/>
    <s v=""/>
    <m/>
    <m/>
    <n v="3463"/>
    <n v="1380"/>
    <s v=""/>
  </r>
  <r>
    <n v="839"/>
    <s v="170839"/>
    <d v="2017-10-02T00:00:00"/>
    <x v="220"/>
    <n v="92900"/>
    <x v="307"/>
    <m/>
    <x v="290"/>
    <x v="521"/>
    <s v=""/>
    <m/>
    <n v="1200"/>
    <n v="72126"/>
    <n v="20774"/>
    <s v=""/>
  </r>
  <r>
    <n v="838"/>
    <s v="170838"/>
    <d v="2017-10-04T00:00:00"/>
    <x v="134"/>
    <n v="9972.0499999999993"/>
    <x v="308"/>
    <m/>
    <x v="290"/>
    <x v="522"/>
    <s v=""/>
    <m/>
    <m/>
    <n v="9010"/>
    <n v="962.04999999999927"/>
    <s v=""/>
  </r>
  <r>
    <n v="835"/>
    <s v="170835"/>
    <d v="2017-09-29T00:00:00"/>
    <x v="89"/>
    <n v="1530"/>
    <x v="308"/>
    <m/>
    <x v="291"/>
    <x v="523"/>
    <s v=""/>
    <m/>
    <m/>
    <n v="1193"/>
    <n v="337"/>
    <s v=""/>
  </r>
  <r>
    <n v="864"/>
    <s v="170864"/>
    <d v="2017-10-06T00:00:00"/>
    <x v="219"/>
    <n v="553"/>
    <x v="309"/>
    <n v="1"/>
    <x v="288"/>
    <x v="471"/>
    <n v="553"/>
    <m/>
    <m/>
    <n v="431"/>
    <n v="122"/>
    <n v="122"/>
  </r>
  <r>
    <n v="840"/>
    <s v="170840"/>
    <d v="2017-10-02T00:00:00"/>
    <x v="43"/>
    <n v="17528"/>
    <x v="309"/>
    <m/>
    <x v="292"/>
    <x v="524"/>
    <s v=""/>
    <m/>
    <m/>
    <n v="13044"/>
    <n v="4484"/>
    <s v=""/>
  </r>
  <r>
    <n v="776"/>
    <s v="170776"/>
    <d v="2017-09-07T00:00:00"/>
    <x v="20"/>
    <n v="5200"/>
    <x v="310"/>
    <m/>
    <x v="293"/>
    <x v="125"/>
    <s v=""/>
    <m/>
    <m/>
    <n v="3233"/>
    <n v="1967"/>
    <s v=""/>
  </r>
  <r>
    <n v="867"/>
    <s v="170867"/>
    <d v="2017-10-09T00:00:00"/>
    <x v="27"/>
    <n v="8102"/>
    <x v="310"/>
    <m/>
    <x v="294"/>
    <x v="525"/>
    <s v=""/>
    <m/>
    <m/>
    <n v="5347"/>
    <n v="2755"/>
    <s v=""/>
  </r>
  <r>
    <n v="874"/>
    <s v="170874"/>
    <d v="2017-10-10T00:00:00"/>
    <x v="126"/>
    <n v="5914.3"/>
    <x v="311"/>
    <m/>
    <x v="295"/>
    <x v="526"/>
    <s v=""/>
    <m/>
    <m/>
    <n v="5358"/>
    <n v="556.30000000000018"/>
    <s v=""/>
  </r>
  <r>
    <n v="825"/>
    <s v="170825"/>
    <d v="2017-09-25T00:00:00"/>
    <x v="37"/>
    <n v="1365"/>
    <x v="311"/>
    <m/>
    <x v="273"/>
    <x v="527"/>
    <s v=""/>
    <m/>
    <m/>
    <n v="1064"/>
    <n v="301"/>
    <s v=""/>
  </r>
  <r>
    <n v="871"/>
    <s v="170871"/>
    <d v="2017-10-10T00:00:00"/>
    <x v="54"/>
    <n v="105076"/>
    <x v="312"/>
    <m/>
    <x v="279"/>
    <x v="528"/>
    <s v=""/>
    <m/>
    <m/>
    <n v="40146"/>
    <n v="12392"/>
    <s v=""/>
  </r>
  <r>
    <n v="854"/>
    <s v="170854"/>
    <d v="2017-10-04T00:00:00"/>
    <x v="101"/>
    <n v="30790"/>
    <x v="312"/>
    <m/>
    <x v="296"/>
    <x v="529"/>
    <s v=""/>
    <m/>
    <m/>
    <n v="23277"/>
    <n v="7513"/>
    <s v=""/>
  </r>
  <r>
    <n v="881"/>
    <s v="170881"/>
    <d v="2017-10-12T00:00:00"/>
    <x v="199"/>
    <n v="4812"/>
    <x v="312"/>
    <m/>
    <x v="279"/>
    <x v="530"/>
    <s v=""/>
    <m/>
    <m/>
    <n v="3485"/>
    <n v="1327"/>
    <s v=""/>
  </r>
  <r>
    <n v="878"/>
    <s v="170878"/>
    <d v="2017-10-11T00:00:00"/>
    <x v="9"/>
    <n v="18299.2"/>
    <x v="313"/>
    <m/>
    <x v="297"/>
    <x v="531"/>
    <s v=""/>
    <m/>
    <m/>
    <n v="12872"/>
    <n v="5427.2000000000007"/>
    <s v=""/>
  </r>
  <r>
    <n v="885"/>
    <s v="170885"/>
    <d v="2017-10-16T00:00:00"/>
    <x v="221"/>
    <n v="82637"/>
    <x v="314"/>
    <n v="1"/>
    <x v="296"/>
    <x v="532"/>
    <n v="82637"/>
    <m/>
    <m/>
    <n v="62585"/>
    <n v="20052"/>
    <n v="20052"/>
  </r>
  <r>
    <n v="871"/>
    <s v="170871"/>
    <d v="2017-10-10T00:00:00"/>
    <x v="54"/>
    <n v="105076"/>
    <x v="315"/>
    <m/>
    <x v="298"/>
    <x v="528"/>
    <s v=""/>
    <m/>
    <m/>
    <n v="40146"/>
    <n v="12392"/>
    <s v=""/>
  </r>
  <r>
    <n v="896"/>
    <s v="170896"/>
    <d v="2017-10-17T00:00:00"/>
    <x v="220"/>
    <n v="1949"/>
    <x v="316"/>
    <m/>
    <x v="290"/>
    <x v="533"/>
    <s v=""/>
    <m/>
    <m/>
    <n v="1521"/>
    <n v="428"/>
    <s v=""/>
  </r>
  <r>
    <n v="892"/>
    <s v="170892"/>
    <d v="2017-10-17T00:00:00"/>
    <x v="10"/>
    <n v="1769.7"/>
    <x v="316"/>
    <m/>
    <x v="299"/>
    <x v="482"/>
    <s v=""/>
    <m/>
    <m/>
    <n v="1624"/>
    <n v="145.70000000000005"/>
    <s v=""/>
  </r>
  <r>
    <n v="876"/>
    <s v="170876"/>
    <d v="2017-10-10T00:00:00"/>
    <x v="102"/>
    <n v="3242"/>
    <x v="317"/>
    <m/>
    <x v="294"/>
    <x v="534"/>
    <s v=""/>
    <m/>
    <m/>
    <n v="2438"/>
    <n v="804"/>
    <s v=""/>
  </r>
  <r>
    <n v="904"/>
    <s v="170904"/>
    <d v="2017-10-19T00:00:00"/>
    <x v="222"/>
    <n v="5863"/>
    <x v="317"/>
    <m/>
    <x v="278"/>
    <x v="535"/>
    <s v=""/>
    <m/>
    <m/>
    <n v="4573"/>
    <n v="1290"/>
    <s v=""/>
  </r>
  <r>
    <n v="862"/>
    <s v="170862"/>
    <d v="2017-10-05T00:00:00"/>
    <x v="20"/>
    <n v="17696"/>
    <x v="318"/>
    <m/>
    <x v="300"/>
    <x v="536"/>
    <s v=""/>
    <m/>
    <m/>
    <n v="13804"/>
    <n v="3892"/>
    <s v=""/>
  </r>
  <r>
    <n v="888"/>
    <s v="170888"/>
    <d v="2017-10-16T00:00:00"/>
    <x v="118"/>
    <n v="9630"/>
    <x v="318"/>
    <m/>
    <x v="301"/>
    <x v="537"/>
    <s v=""/>
    <m/>
    <m/>
    <n v="8894"/>
    <n v="736"/>
    <s v=""/>
  </r>
  <r>
    <n v="907"/>
    <s v="170907"/>
    <d v="2017-10-20T00:00:00"/>
    <x v="223"/>
    <n v="30790"/>
    <x v="319"/>
    <n v="1"/>
    <x v="286"/>
    <x v="529"/>
    <n v="30790"/>
    <m/>
    <m/>
    <n v="23277"/>
    <n v="7513"/>
    <n v="7513"/>
  </r>
  <r>
    <n v="910"/>
    <s v="170910"/>
    <d v="2017-10-23T00:00:00"/>
    <x v="178"/>
    <n v="4499"/>
    <x v="319"/>
    <m/>
    <x v="302"/>
    <x v="538"/>
    <s v=""/>
    <m/>
    <m/>
    <n v="1500"/>
    <n v="2999"/>
    <s v=""/>
  </r>
  <r>
    <n v="618"/>
    <s v="170618"/>
    <d v="2017-08-03T00:00:00"/>
    <x v="13"/>
    <n v="3436"/>
    <x v="320"/>
    <m/>
    <x v="257"/>
    <x v="489"/>
    <s v=""/>
    <m/>
    <m/>
    <n v="2488"/>
    <n v="948"/>
    <s v=""/>
  </r>
  <r>
    <n v="625"/>
    <s v="170625"/>
    <d v="2017-08-04T00:00:00"/>
    <x v="13"/>
    <n v="8590"/>
    <x v="320"/>
    <m/>
    <x v="255"/>
    <x v="539"/>
    <s v=""/>
    <m/>
    <m/>
    <n v="6220"/>
    <n v="2370"/>
    <s v=""/>
  </r>
  <r>
    <n v="761"/>
    <s v="170761"/>
    <d v="2017-09-04T00:00:00"/>
    <x v="13"/>
    <n v="93779"/>
    <x v="320"/>
    <m/>
    <x v="276"/>
    <x v="540"/>
    <s v=""/>
    <m/>
    <m/>
    <n v="67750"/>
    <n v="26029"/>
    <s v=""/>
  </r>
  <r>
    <n v="761"/>
    <s v="170761"/>
    <d v="2017-09-04T00:00:00"/>
    <x v="13"/>
    <n v="70992"/>
    <x v="320"/>
    <m/>
    <x v="303"/>
    <x v="541"/>
    <s v=""/>
    <n v="18000"/>
    <n v="7200"/>
    <n v="7368"/>
    <n v="63624"/>
    <s v=""/>
  </r>
  <r>
    <n v="826"/>
    <s v="170826"/>
    <d v="2017-09-26T00:00:00"/>
    <x v="13"/>
    <n v="19708"/>
    <x v="320"/>
    <m/>
    <x v="287"/>
    <x v="542"/>
    <s v=""/>
    <m/>
    <m/>
    <n v="15349"/>
    <n v="4359"/>
    <s v=""/>
  </r>
  <r>
    <n v="796"/>
    <s v="170796"/>
    <d v="2017-08-28T00:00:00"/>
    <x v="13"/>
    <n v="394710"/>
    <x v="320"/>
    <m/>
    <x v="283"/>
    <x v="543"/>
    <s v=""/>
    <n v="5000"/>
    <m/>
    <n v="304590"/>
    <n v="90120"/>
    <s v=""/>
  </r>
  <r>
    <n v="832"/>
    <s v="170832"/>
    <d v="2017-09-28T00:00:00"/>
    <x v="13"/>
    <n v="11832"/>
    <x v="320"/>
    <m/>
    <x v="283"/>
    <x v="544"/>
    <s v=""/>
    <n v="3000"/>
    <m/>
    <n v="1301"/>
    <n v="10531"/>
    <s v=""/>
  </r>
  <r>
    <n v="872"/>
    <s v="170872"/>
    <d v="2017-10-10T00:00:00"/>
    <x v="192"/>
    <n v="12499"/>
    <x v="320"/>
    <m/>
    <x v="304"/>
    <x v="545"/>
    <s v=""/>
    <m/>
    <m/>
    <n v="9449"/>
    <n v="3050"/>
    <s v=""/>
  </r>
  <r>
    <n v="937"/>
    <s v="170937"/>
    <d v="2017-10-30T00:00:00"/>
    <x v="204"/>
    <n v="1036"/>
    <x v="321"/>
    <m/>
    <x v="305"/>
    <x v="473"/>
    <s v=""/>
    <m/>
    <m/>
    <n v="750"/>
    <n v="286"/>
    <s v=""/>
  </r>
  <r>
    <n v="886"/>
    <s v="170886"/>
    <d v="2017-10-16T00:00:00"/>
    <x v="37"/>
    <n v="9420"/>
    <x v="321"/>
    <m/>
    <x v="291"/>
    <x v="546"/>
    <s v=""/>
    <m/>
    <m/>
    <n v="7275"/>
    <n v="2145"/>
    <s v=""/>
  </r>
  <r>
    <n v="934"/>
    <s v="170934"/>
    <d v="2017-10-30T00:00:00"/>
    <x v="218"/>
    <n v="34890"/>
    <x v="321"/>
    <m/>
    <x v="306"/>
    <x v="547"/>
    <s v=""/>
    <m/>
    <m/>
    <n v="25644"/>
    <n v="9246"/>
    <s v=""/>
  </r>
  <r>
    <n v="900"/>
    <s v="170900"/>
    <d v="2017-10-18T00:00:00"/>
    <x v="102"/>
    <n v="9290"/>
    <x v="322"/>
    <m/>
    <x v="306"/>
    <x v="548"/>
    <s v=""/>
    <m/>
    <m/>
    <n v="7023"/>
    <n v="2267"/>
    <s v=""/>
  </r>
  <r>
    <n v="823"/>
    <s v="170823"/>
    <d v="2017-10-12T00:00:00"/>
    <x v="23"/>
    <n v="27967"/>
    <x v="323"/>
    <m/>
    <x v="289"/>
    <x v="549"/>
    <s v=""/>
    <m/>
    <m/>
    <n v="21622"/>
    <n v="6345"/>
    <s v=""/>
  </r>
  <r>
    <n v="924"/>
    <s v="170924"/>
    <d v="2017-10-26T00:00:00"/>
    <x v="224"/>
    <n v="259208"/>
    <x v="323"/>
    <m/>
    <x v="307"/>
    <x v="550"/>
    <s v=""/>
    <m/>
    <n v="600"/>
    <n v="166728"/>
    <n v="92480"/>
    <s v=""/>
  </r>
  <r>
    <n v="801"/>
    <s v="170801"/>
    <d v="2017-10-16T00:00:00"/>
    <x v="225"/>
    <n v="134047"/>
    <x v="324"/>
    <n v="1"/>
    <x v="290"/>
    <x v="502"/>
    <n v="134047"/>
    <m/>
    <m/>
    <n v="101854"/>
    <n v="32193"/>
    <n v="32193"/>
  </r>
  <r>
    <n v="951"/>
    <s v="170951"/>
    <d v="2017-11-07T00:00:00"/>
    <x v="226"/>
    <n v="4812"/>
    <x v="325"/>
    <m/>
    <x v="308"/>
    <x v="530"/>
    <s v=""/>
    <m/>
    <m/>
    <n v="3485"/>
    <n v="1327"/>
    <s v=""/>
  </r>
  <r>
    <n v="955"/>
    <s v="170955"/>
    <d v="2017-11-07T00:00:00"/>
    <x v="124"/>
    <n v="1286"/>
    <x v="325"/>
    <m/>
    <x v="309"/>
    <x v="551"/>
    <s v=""/>
    <m/>
    <m/>
    <n v="1002"/>
    <n v="284"/>
    <s v=""/>
  </r>
  <r>
    <n v="936"/>
    <s v="170936"/>
    <d v="2017-10-30T00:00:00"/>
    <x v="134"/>
    <n v="2676"/>
    <x v="326"/>
    <m/>
    <x v="299"/>
    <x v="552"/>
    <s v=""/>
    <m/>
    <m/>
    <n v="1767"/>
    <n v="909"/>
    <s v=""/>
  </r>
  <r>
    <n v="965"/>
    <s v="170965"/>
    <d v="2017-11-08T00:00:00"/>
    <x v="99"/>
    <n v="5863"/>
    <x v="326"/>
    <m/>
    <x v="308"/>
    <x v="535"/>
    <s v=""/>
    <m/>
    <m/>
    <n v="4573"/>
    <n v="1290"/>
    <s v=""/>
  </r>
  <r>
    <n v="949"/>
    <s v="170949"/>
    <d v="2017-11-03T00:00:00"/>
    <x v="117"/>
    <n v="22690"/>
    <x v="327"/>
    <m/>
    <x v="301"/>
    <x v="191"/>
    <s v=""/>
    <m/>
    <m/>
    <n v="17154"/>
    <n v="5536"/>
    <s v=""/>
  </r>
  <r>
    <n v="952"/>
    <s v="170952"/>
    <d v="2017-11-07T00:00:00"/>
    <x v="72"/>
    <n v="2061"/>
    <x v="328"/>
    <m/>
    <x v="310"/>
    <x v="553"/>
    <s v=""/>
    <m/>
    <m/>
    <n v="1360"/>
    <n v="701"/>
    <s v=""/>
  </r>
  <r>
    <n v="975"/>
    <s v="170975"/>
    <d v="2017-11-10T00:00:00"/>
    <x v="192"/>
    <n v="1036"/>
    <x v="329"/>
    <m/>
    <x v="311"/>
    <x v="473"/>
    <s v=""/>
    <m/>
    <m/>
    <n v="750"/>
    <n v="286"/>
    <s v=""/>
  </r>
  <r>
    <n v="974"/>
    <s v="170974"/>
    <d v="2017-11-10T00:00:00"/>
    <x v="192"/>
    <n v="12499"/>
    <x v="329"/>
    <m/>
    <x v="299"/>
    <x v="545"/>
    <s v=""/>
    <m/>
    <m/>
    <n v="9449"/>
    <n v="3050"/>
    <s v=""/>
  </r>
  <r>
    <n v="853"/>
    <s v="170853"/>
    <d v="2017-10-18T00:00:00"/>
    <x v="13"/>
    <n v="268598.68"/>
    <x v="330"/>
    <m/>
    <x v="291"/>
    <x v="554"/>
    <s v=""/>
    <n v="3500"/>
    <n v="10200"/>
    <n v="203060"/>
    <n v="65538.679999999993"/>
    <s v=""/>
  </r>
  <r>
    <n v="959"/>
    <s v="170959"/>
    <d v="2017-11-08T00:00:00"/>
    <x v="150"/>
    <n v="2445"/>
    <x v="330"/>
    <m/>
    <x v="312"/>
    <x v="555"/>
    <s v=""/>
    <m/>
    <m/>
    <n v="1500"/>
    <n v="945"/>
    <s v=""/>
  </r>
  <r>
    <n v="989"/>
    <s v="170989"/>
    <d v="2017-11-15T00:00:00"/>
    <x v="227"/>
    <n v="37221.5"/>
    <x v="331"/>
    <n v="1"/>
    <x v="306"/>
    <x v="556"/>
    <n v="37221.5"/>
    <m/>
    <m/>
    <n v="30913"/>
    <n v="6308.5"/>
    <n v="6308.5"/>
  </r>
  <r>
    <n v="957"/>
    <s v="170957"/>
    <d v="2017-11-08T00:00:00"/>
    <x v="88"/>
    <n v="18156.400000000001"/>
    <x v="332"/>
    <m/>
    <x v="313"/>
    <x v="472"/>
    <s v=""/>
    <m/>
    <m/>
    <n v="14816"/>
    <n v="3340.4000000000015"/>
    <s v=""/>
  </r>
  <r>
    <n v="794"/>
    <s v="170794"/>
    <d v="2017-10-23T00:00:00"/>
    <x v="11"/>
    <n v="62895.5"/>
    <x v="332"/>
    <m/>
    <x v="314"/>
    <x v="557"/>
    <s v=""/>
    <m/>
    <m/>
    <n v="49383"/>
    <n v="13512.5"/>
    <s v=""/>
  </r>
  <r>
    <n v="969"/>
    <s v="170969"/>
    <d v="2017-11-09T00:00:00"/>
    <x v="224"/>
    <n v="1036"/>
    <x v="332"/>
    <m/>
    <x v="290"/>
    <x v="473"/>
    <s v=""/>
    <m/>
    <m/>
    <n v="742"/>
    <n v="294"/>
    <s v=""/>
  </r>
  <r>
    <n v="962"/>
    <s v="170962"/>
    <d v="2017-11-08T00:00:00"/>
    <x v="14"/>
    <n v="2450"/>
    <x v="332"/>
    <m/>
    <x v="315"/>
    <x v="126"/>
    <s v=""/>
    <m/>
    <m/>
    <n v="2183"/>
    <n v="267"/>
    <s v=""/>
  </r>
  <r>
    <n v="973"/>
    <s v="170973"/>
    <d v="2017-11-10T00:00:00"/>
    <x v="73"/>
    <n v="1445"/>
    <x v="333"/>
    <m/>
    <x v="316"/>
    <x v="558"/>
    <s v=""/>
    <m/>
    <m/>
    <n v="991"/>
    <n v="454"/>
    <s v=""/>
  </r>
  <r>
    <n v="996"/>
    <s v="170996"/>
    <d v="2017-11-17T00:00:00"/>
    <x v="1"/>
    <n v="4748"/>
    <x v="334"/>
    <m/>
    <x v="317"/>
    <x v="559"/>
    <s v=""/>
    <m/>
    <m/>
    <n v="3704"/>
    <n v="1044"/>
    <s v=""/>
  </r>
  <r>
    <n v="998"/>
    <s v="170998"/>
    <d v="2017-11-17T00:00:00"/>
    <x v="59"/>
    <n v="1002"/>
    <x v="335"/>
    <m/>
    <x v="318"/>
    <x v="560"/>
    <s v=""/>
    <m/>
    <m/>
    <n v="684"/>
    <n v="318"/>
    <s v=""/>
  </r>
  <r>
    <n v="1004"/>
    <s v="171004"/>
    <d v="2017-11-21T00:00:00"/>
    <x v="134"/>
    <n v="1399.95"/>
    <x v="336"/>
    <m/>
    <x v="299"/>
    <x v="561"/>
    <s v=""/>
    <m/>
    <m/>
    <n v="1193"/>
    <n v="206.95000000000005"/>
    <s v=""/>
  </r>
  <r>
    <n v="1003"/>
    <s v="171003"/>
    <d v="2017-11-21T00:00:00"/>
    <x v="126"/>
    <n v="3701.75"/>
    <x v="336"/>
    <m/>
    <x v="319"/>
    <x v="562"/>
    <s v=""/>
    <m/>
    <m/>
    <n v="3314"/>
    <n v="387.75"/>
    <s v=""/>
  </r>
  <r>
    <n v="995"/>
    <s v="170995"/>
    <d v="2017-11-16T00:00:00"/>
    <x v="126"/>
    <n v="1769.7"/>
    <x v="336"/>
    <m/>
    <x v="319"/>
    <x v="482"/>
    <s v=""/>
    <m/>
    <m/>
    <n v="1624"/>
    <n v="145.70000000000005"/>
    <s v=""/>
  </r>
  <r>
    <n v="1009"/>
    <s v="171009"/>
    <d v="2017-11-22T00:00:00"/>
    <x v="126"/>
    <n v="6274.7"/>
    <x v="336"/>
    <m/>
    <x v="319"/>
    <x v="563"/>
    <s v=""/>
    <m/>
    <m/>
    <n v="5615"/>
    <n v="659.69999999999982"/>
    <s v=""/>
  </r>
  <r>
    <n v="982"/>
    <s v="170982"/>
    <d v="2017-11-15T00:00:00"/>
    <x v="14"/>
    <n v="71056"/>
    <x v="336"/>
    <m/>
    <x v="320"/>
    <x v="564"/>
    <s v=""/>
    <m/>
    <m/>
    <n v="46897"/>
    <n v="24159"/>
    <s v=""/>
  </r>
  <r>
    <n v="960"/>
    <s v="170960"/>
    <d v="2017-11-22T00:00:00"/>
    <x v="228"/>
    <n v="30882"/>
    <x v="337"/>
    <m/>
    <x v="319"/>
    <x v="565"/>
    <s v=""/>
    <m/>
    <m/>
    <n v="23160"/>
    <n v="7722"/>
    <s v=""/>
  </r>
  <r>
    <n v="978"/>
    <s v="170978"/>
    <d v="2017-11-14T00:00:00"/>
    <x v="88"/>
    <n v="19399"/>
    <x v="338"/>
    <m/>
    <x v="321"/>
    <x v="566"/>
    <s v=""/>
    <m/>
    <m/>
    <n v="12753"/>
    <n v="6646"/>
    <s v=""/>
  </r>
  <r>
    <n v="1020"/>
    <s v="171020"/>
    <d v="2017-11-27T00:00:00"/>
    <x v="134"/>
    <n v="1246.0999999999999"/>
    <x v="338"/>
    <m/>
    <x v="321"/>
    <x v="567"/>
    <s v=""/>
    <m/>
    <m/>
    <n v="1062"/>
    <n v="184.09999999999991"/>
    <s v=""/>
  </r>
  <r>
    <n v="897"/>
    <s v="170897"/>
    <d v="2017-11-15T00:00:00"/>
    <x v="23"/>
    <n v="9847"/>
    <x v="339"/>
    <m/>
    <x v="301"/>
    <x v="568"/>
    <s v=""/>
    <m/>
    <m/>
    <n v="7682"/>
    <n v="2165"/>
    <s v=""/>
  </r>
  <r>
    <n v="1016"/>
    <s v="171016"/>
    <d v="2017-11-27T00:00:00"/>
    <x v="1"/>
    <n v="6172"/>
    <x v="339"/>
    <m/>
    <x v="322"/>
    <x v="569"/>
    <s v=""/>
    <m/>
    <m/>
    <n v="4315"/>
    <n v="1857"/>
    <s v=""/>
  </r>
  <r>
    <n v="1023"/>
    <s v="171023"/>
    <d v="2017-11-29T00:00:00"/>
    <x v="146"/>
    <n v="4842.84"/>
    <x v="340"/>
    <m/>
    <x v="323"/>
    <x v="570"/>
    <s v=""/>
    <m/>
    <m/>
    <n v="3463"/>
    <n v="1379.8400000000001"/>
    <s v=""/>
  </r>
  <r>
    <n v="1014"/>
    <s v="171014"/>
    <d v="2017-11-24T00:00:00"/>
    <x v="37"/>
    <n v="28091.64"/>
    <x v="341"/>
    <m/>
    <x v="317"/>
    <x v="571"/>
    <s v=""/>
    <m/>
    <m/>
    <n v="12890"/>
    <n v="15201.64"/>
    <s v=""/>
  </r>
  <r>
    <n v="761"/>
    <s v="170761"/>
    <d v="2017-10-05T00:00:00"/>
    <x v="13"/>
    <n v="71886"/>
    <x v="342"/>
    <m/>
    <x v="273"/>
    <x v="572"/>
    <s v=""/>
    <m/>
    <m/>
    <n v="55264"/>
    <n v="16622"/>
    <s v=""/>
  </r>
  <r>
    <n v="841"/>
    <s v="170841"/>
    <d v="2017-10-02T00:00:00"/>
    <x v="13"/>
    <n v="42547"/>
    <x v="342"/>
    <m/>
    <x v="273"/>
    <x v="573"/>
    <s v=""/>
    <m/>
    <m/>
    <n v="31031"/>
    <n v="11516"/>
    <s v=""/>
  </r>
  <r>
    <n v="859"/>
    <s v="170859"/>
    <d v="2017-10-05T00:00:00"/>
    <x v="13"/>
    <n v="2500"/>
    <x v="342"/>
    <m/>
    <x v="273"/>
    <x v="478"/>
    <s v=""/>
    <m/>
    <m/>
    <n v="1250"/>
    <n v="1250"/>
    <s v=""/>
  </r>
  <r>
    <n v="841"/>
    <s v="170841"/>
    <d v="2017-10-02T00:00:00"/>
    <x v="13"/>
    <n v="229537"/>
    <x v="342"/>
    <m/>
    <x v="289"/>
    <x v="574"/>
    <s v=""/>
    <n v="36000"/>
    <m/>
    <n v="83476"/>
    <n v="146061"/>
    <s v=""/>
  </r>
  <r>
    <n v="1030"/>
    <s v="171030"/>
    <d v="2017-12-01T00:00:00"/>
    <x v="201"/>
    <n v="6193"/>
    <x v="342"/>
    <m/>
    <x v="324"/>
    <x v="575"/>
    <s v=""/>
    <m/>
    <m/>
    <n v="4023"/>
    <n v="2170"/>
    <s v=""/>
  </r>
  <r>
    <n v="1032"/>
    <s v="171032"/>
    <d v="2017-12-04T00:00:00"/>
    <x v="126"/>
    <n v="5915"/>
    <x v="343"/>
    <m/>
    <x v="325"/>
    <x v="576"/>
    <s v=""/>
    <m/>
    <m/>
    <n v="5358"/>
    <n v="557"/>
    <s v=""/>
  </r>
  <r>
    <n v="1034"/>
    <s v="171034"/>
    <d v="2017-12-04T00:00:00"/>
    <x v="27"/>
    <n v="8290"/>
    <x v="343"/>
    <m/>
    <x v="318"/>
    <x v="577"/>
    <s v=""/>
    <m/>
    <m/>
    <n v="6093"/>
    <n v="2197"/>
    <s v=""/>
  </r>
  <r>
    <n v="1007"/>
    <s v="171007"/>
    <d v="2017-11-22T00:00:00"/>
    <x v="102"/>
    <n v="7095"/>
    <x v="343"/>
    <m/>
    <x v="314"/>
    <x v="578"/>
    <s v=""/>
    <m/>
    <m/>
    <n v="4311"/>
    <n v="2784"/>
    <s v=""/>
  </r>
  <r>
    <n v="1046"/>
    <s v="171046"/>
    <d v="2017-12-06T00:00:00"/>
    <x v="27"/>
    <n v="1266"/>
    <x v="344"/>
    <m/>
    <x v="318"/>
    <x v="579"/>
    <s v=""/>
    <m/>
    <m/>
    <n v="952"/>
    <n v="314"/>
    <s v=""/>
  </r>
  <r>
    <n v="1041"/>
    <s v="171041"/>
    <d v="2017-12-05T00:00:00"/>
    <x v="229"/>
    <n v="47790"/>
    <x v="344"/>
    <n v="1"/>
    <x v="314"/>
    <x v="580"/>
    <n v="47790"/>
    <m/>
    <m/>
    <n v="36129"/>
    <n v="11661"/>
    <n v="11661"/>
  </r>
  <r>
    <n v="1057"/>
    <s v="171057"/>
    <d v="2017-12-08T00:00:00"/>
    <x v="230"/>
    <n v="14990"/>
    <x v="345"/>
    <n v="1"/>
    <x v="326"/>
    <x v="581"/>
    <n v="14990"/>
    <m/>
    <m/>
    <n v="14483"/>
    <n v="507"/>
    <n v="507"/>
  </r>
  <r>
    <n v="845"/>
    <s v="170845"/>
    <d v="2017-12-05T00:00:00"/>
    <x v="0"/>
    <n v="4398"/>
    <x v="345"/>
    <m/>
    <x v="326"/>
    <x v="582"/>
    <s v=""/>
    <m/>
    <m/>
    <n v="3186"/>
    <n v="1212"/>
    <s v=""/>
  </r>
  <r>
    <n v="1027"/>
    <s v="171027"/>
    <d v="2017-11-30T00:00:00"/>
    <x v="89"/>
    <n v="4163.04"/>
    <x v="345"/>
    <m/>
    <x v="320"/>
    <x v="583"/>
    <s v=""/>
    <m/>
    <m/>
    <n v="3248"/>
    <n v="915.04"/>
    <s v=""/>
  </r>
  <r>
    <n v="1061"/>
    <s v="171061"/>
    <d v="2017-12-11T00:00:00"/>
    <x v="230"/>
    <n v="14990"/>
    <x v="346"/>
    <n v="1"/>
    <x v="327"/>
    <x v="581"/>
    <n v="14990"/>
    <m/>
    <m/>
    <n v="12592"/>
    <n v="2398"/>
    <n v="2398"/>
  </r>
  <r>
    <n v="1012"/>
    <s v="171012"/>
    <d v="2017-11-23T00:00:00"/>
    <x v="126"/>
    <n v="7701"/>
    <x v="346"/>
    <m/>
    <x v="318"/>
    <x v="584"/>
    <s v=""/>
    <m/>
    <m/>
    <n v="3100"/>
    <n v="4601"/>
    <s v=""/>
  </r>
  <r>
    <n v="1033"/>
    <s v="171033"/>
    <d v="2017-12-04T00:00:00"/>
    <x v="126"/>
    <n v="1575"/>
    <x v="346"/>
    <m/>
    <x v="328"/>
    <x v="585"/>
    <s v=""/>
    <m/>
    <m/>
    <n v="1446"/>
    <n v="129"/>
    <s v=""/>
  </r>
  <r>
    <n v="1040"/>
    <s v="171040"/>
    <d v="2017-12-05T00:00:00"/>
    <x v="88"/>
    <n v="7307.4"/>
    <x v="347"/>
    <m/>
    <x v="328"/>
    <x v="586"/>
    <s v=""/>
    <m/>
    <m/>
    <n v="5786"/>
    <n v="1521.3999999999996"/>
    <s v=""/>
  </r>
  <r>
    <n v="1051"/>
    <s v="171051"/>
    <d v="2017-12-07T00:00:00"/>
    <x v="59"/>
    <n v="1466"/>
    <x v="347"/>
    <m/>
    <x v="327"/>
    <x v="477"/>
    <s v=""/>
    <m/>
    <m/>
    <n v="1193"/>
    <n v="273"/>
    <s v=""/>
  </r>
  <r>
    <n v="1064"/>
    <s v="171064"/>
    <d v="2017-12-11T00:00:00"/>
    <x v="59"/>
    <n v="1647"/>
    <x v="347"/>
    <m/>
    <x v="329"/>
    <x v="587"/>
    <s v=""/>
    <m/>
    <m/>
    <n v="1062"/>
    <n v="585"/>
    <s v=""/>
  </r>
  <r>
    <n v="1029"/>
    <s v="171029"/>
    <d v="2017-12-01T00:00:00"/>
    <x v="150"/>
    <n v="4552.92"/>
    <x v="347"/>
    <m/>
    <x v="312"/>
    <x v="588"/>
    <s v=""/>
    <m/>
    <m/>
    <n v="3004"/>
    <n v="1548.92"/>
    <s v=""/>
  </r>
  <r>
    <n v="1039"/>
    <s v="171039"/>
    <d v="2017-12-05T00:00:00"/>
    <x v="88"/>
    <n v="16497.7"/>
    <x v="348"/>
    <m/>
    <x v="328"/>
    <x v="589"/>
    <s v=""/>
    <m/>
    <m/>
    <n v="13488"/>
    <n v="3009.7000000000007"/>
    <s v=""/>
  </r>
  <r>
    <n v="1065"/>
    <s v="171065"/>
    <d v="2017-12-11T00:00:00"/>
    <x v="231"/>
    <n v="19232"/>
    <x v="348"/>
    <n v="1"/>
    <x v="322"/>
    <x v="590"/>
    <n v="19232"/>
    <m/>
    <m/>
    <n v="14223"/>
    <n v="5009"/>
    <n v="5009"/>
  </r>
  <r>
    <n v="1083"/>
    <s v="171083"/>
    <d v="2017-12-14T00:00:00"/>
    <x v="227"/>
    <n v="25330"/>
    <x v="349"/>
    <m/>
    <x v="322"/>
    <x v="591"/>
    <s v=""/>
    <m/>
    <m/>
    <n v="14800"/>
    <n v="10530"/>
    <s v=""/>
  </r>
  <r>
    <n v="1050"/>
    <s v="171050"/>
    <d v="2017-12-07T00:00:00"/>
    <x v="93"/>
    <n v="40646"/>
    <x v="349"/>
    <m/>
    <x v="312"/>
    <x v="592"/>
    <s v=""/>
    <m/>
    <n v="2400"/>
    <n v="20468"/>
    <n v="20178"/>
    <s v=""/>
  </r>
  <r>
    <n v="1024"/>
    <s v="171024"/>
    <d v="2017-12-08T00:00:00"/>
    <x v="11"/>
    <n v="95140"/>
    <x v="349"/>
    <m/>
    <x v="330"/>
    <x v="593"/>
    <s v=""/>
    <m/>
    <n v="19200"/>
    <n v="37174"/>
    <n v="57966"/>
    <s v=""/>
  </r>
  <r>
    <n v="1090"/>
    <s v="171090"/>
    <d v="2017-12-15T00:00:00"/>
    <x v="232"/>
    <n v="2215"/>
    <x v="350"/>
    <n v="1"/>
    <x v="331"/>
    <x v="594"/>
    <n v="2215"/>
    <m/>
    <m/>
    <n v="1728"/>
    <n v="487"/>
    <n v="487"/>
  </r>
  <r>
    <n v="926"/>
    <s v="170926"/>
    <d v="2017-10-26T00:00:00"/>
    <x v="20"/>
    <n v="155542.17000000001"/>
    <x v="351"/>
    <m/>
    <x v="324"/>
    <x v="595"/>
    <s v=""/>
    <m/>
    <m/>
    <n v="114399"/>
    <n v="41143.170000000013"/>
    <s v=""/>
  </r>
  <r>
    <n v="1089"/>
    <s v="171089"/>
    <d v="2017-12-15T00:00:00"/>
    <x v="0"/>
    <n v="2072"/>
    <x v="351"/>
    <m/>
    <x v="331"/>
    <x v="596"/>
    <s v=""/>
    <m/>
    <m/>
    <n v="1500"/>
    <n v="572"/>
    <s v=""/>
  </r>
  <r>
    <n v="1066"/>
    <s v="171066"/>
    <d v="2017-12-11T00:00:00"/>
    <x v="3"/>
    <n v="14246"/>
    <x v="352"/>
    <m/>
    <x v="332"/>
    <x v="597"/>
    <s v=""/>
    <m/>
    <m/>
    <n v="11112"/>
    <n v="3134"/>
    <s v=""/>
  </r>
  <r>
    <n v="1098"/>
    <s v="171098"/>
    <d v="2017-12-19T00:00:00"/>
    <x v="201"/>
    <n v="3083"/>
    <x v="352"/>
    <m/>
    <x v="333"/>
    <x v="598"/>
    <s v=""/>
    <m/>
    <m/>
    <n v="2035"/>
    <n v="1048"/>
    <s v=""/>
  </r>
  <r>
    <n v="1091"/>
    <s v="171091"/>
    <d v="2017-12-18T00:00:00"/>
    <x v="134"/>
    <n v="1197.6600000000001"/>
    <x v="352"/>
    <m/>
    <x v="334"/>
    <x v="599"/>
    <s v=""/>
    <m/>
    <m/>
    <n v="930"/>
    <n v="267.66000000000008"/>
    <s v=""/>
  </r>
  <r>
    <n v="911"/>
    <s v="170911"/>
    <d v="2017-10-23T00:00:00"/>
    <x v="233"/>
    <n v="5686"/>
    <x v="353"/>
    <n v="1"/>
    <x v="335"/>
    <x v="600"/>
    <n v="5686"/>
    <m/>
    <m/>
    <n v="4302"/>
    <n v="1384"/>
    <n v="1384"/>
  </r>
  <r>
    <n v="1076"/>
    <s v="171076"/>
    <d v="2017-12-13T00:00:00"/>
    <x v="224"/>
    <n v="1036"/>
    <x v="353"/>
    <m/>
    <x v="335"/>
    <x v="473"/>
    <s v=""/>
    <m/>
    <m/>
    <n v="742"/>
    <n v="294"/>
    <s v=""/>
  </r>
  <r>
    <n v="1099"/>
    <s v="171099"/>
    <d v="2017-12-20T00:00:00"/>
    <x v="175"/>
    <n v="2230"/>
    <x v="354"/>
    <m/>
    <x v="336"/>
    <x v="470"/>
    <s v=""/>
    <m/>
    <m/>
    <n v="1615"/>
    <n v="615"/>
    <s v=""/>
  </r>
  <r>
    <n v="841"/>
    <s v="170841"/>
    <d v="2017-10-18T00:00:00"/>
    <x v="13"/>
    <n v="13401"/>
    <x v="355"/>
    <m/>
    <x v="308"/>
    <x v="601"/>
    <s v=""/>
    <m/>
    <m/>
    <n v="10452"/>
    <n v="2949"/>
    <s v=""/>
  </r>
  <r>
    <n v="953"/>
    <s v="170953"/>
    <d v="2017-11-07T00:00:00"/>
    <x v="13"/>
    <n v="124562"/>
    <x v="355"/>
    <m/>
    <x v="308"/>
    <x v="602"/>
    <s v=""/>
    <m/>
    <m/>
    <n v="93833"/>
    <n v="30729"/>
    <s v=""/>
  </r>
  <r>
    <n v="848"/>
    <s v="170848"/>
    <d v="2017-10-03T00:00:00"/>
    <x v="13"/>
    <n v="20044"/>
    <x v="355"/>
    <m/>
    <x v="290"/>
    <x v="603"/>
    <s v=""/>
    <m/>
    <m/>
    <n v="15634"/>
    <n v="4410"/>
    <s v=""/>
  </r>
  <r>
    <n v="953"/>
    <s v="170953"/>
    <d v="2017-11-07T00:00:00"/>
    <x v="13"/>
    <n v="102898"/>
    <x v="355"/>
    <m/>
    <x v="316"/>
    <x v="604"/>
    <s v=""/>
    <m/>
    <m/>
    <n v="80212"/>
    <n v="22686"/>
    <s v=""/>
  </r>
  <r>
    <n v="953"/>
    <s v="170953"/>
    <d v="2017-11-07T00:00:00"/>
    <x v="13"/>
    <n v="201144"/>
    <x v="355"/>
    <m/>
    <x v="337"/>
    <x v="605"/>
    <s v=""/>
    <n v="51000"/>
    <m/>
    <n v="21456.799999999999"/>
    <n v="179687.2"/>
    <s v=""/>
  </r>
  <r>
    <n v="1062"/>
    <s v="171062"/>
    <d v="2017-12-11T00:00:00"/>
    <x v="102"/>
    <n v="1906"/>
    <x v="356"/>
    <m/>
    <x v="338"/>
    <x v="606"/>
    <s v=""/>
    <m/>
    <m/>
    <n v="1156"/>
    <n v="750"/>
    <s v=""/>
  </r>
  <r>
    <n v="1108"/>
    <s v="171108"/>
    <d v="2017-12-26T00:00:00"/>
    <x v="128"/>
    <n v="14571"/>
    <x v="356"/>
    <m/>
    <x v="339"/>
    <x v="607"/>
    <s v=""/>
    <m/>
    <m/>
    <n v="11065"/>
    <n v="3506"/>
    <s v=""/>
  </r>
  <r>
    <n v="945"/>
    <s v="170945"/>
    <d v="2017-11-01T00:00:00"/>
    <x v="23"/>
    <n v="10210"/>
    <x v="356"/>
    <m/>
    <x v="320"/>
    <x v="608"/>
    <s v=""/>
    <m/>
    <m/>
    <n v="6738"/>
    <n v="3472"/>
    <s v=""/>
  </r>
  <r>
    <n v="1059"/>
    <s v="171059"/>
    <d v="2017-12-08T00:00:00"/>
    <x v="131"/>
    <n v="12999"/>
    <x v="357"/>
    <m/>
    <x v="340"/>
    <x v="609"/>
    <s v=""/>
    <m/>
    <m/>
    <n v="8813"/>
    <n v="4186"/>
    <s v=""/>
  </r>
  <r>
    <n v="1100"/>
    <s v="171100"/>
    <d v="2017-12-20T00:00:00"/>
    <x v="150"/>
    <n v="35913"/>
    <x v="357"/>
    <m/>
    <x v="341"/>
    <x v="610"/>
    <s v=""/>
    <m/>
    <n v="1200"/>
    <n v="23732"/>
    <n v="12181"/>
    <s v=""/>
  </r>
  <r>
    <n v="1087"/>
    <s v="171087"/>
    <d v="2017-12-15T00:00:00"/>
    <x v="11"/>
    <n v="25250"/>
    <x v="358"/>
    <m/>
    <x v="330"/>
    <x v="611"/>
    <s v=""/>
    <m/>
    <n v="6000"/>
    <n v="8740"/>
    <n v="16510"/>
    <s v=""/>
  </r>
  <r>
    <n v="1014"/>
    <s v="171014"/>
    <d v="2017-11-24T00:00:00"/>
    <x v="37"/>
    <n v="4095"/>
    <x v="359"/>
    <m/>
    <x v="320"/>
    <x v="612"/>
    <s v=""/>
    <m/>
    <m/>
    <n v="3192"/>
    <n v="903"/>
    <s v=""/>
  </r>
  <r>
    <n v="4"/>
    <s v="180004"/>
    <d v="2018-01-10T00:00:00"/>
    <x v="88"/>
    <n v="25463.8"/>
    <x v="360"/>
    <m/>
    <x v="342"/>
    <x v="613"/>
    <s v=""/>
    <m/>
    <m/>
    <n v="20816"/>
    <n v="4647.7999999999993"/>
    <s v=""/>
  </r>
  <r>
    <n v="16"/>
    <s v="180016"/>
    <d v="2018-01-12T00:00:00"/>
    <x v="157"/>
    <n v="12250"/>
    <x v="360"/>
    <m/>
    <x v="343"/>
    <x v="14"/>
    <s v=""/>
    <m/>
    <m/>
    <n v="10915"/>
    <n v="1335"/>
    <s v=""/>
  </r>
  <r>
    <n v="10"/>
    <s v="180010"/>
    <d v="2018-01-11T00:00:00"/>
    <x v="198"/>
    <n v="13047"/>
    <x v="361"/>
    <m/>
    <x v="344"/>
    <x v="614"/>
    <s v=""/>
    <m/>
    <m/>
    <n v="6884"/>
    <n v="6163"/>
    <s v=""/>
  </r>
  <r>
    <n v="1082"/>
    <s v="171082"/>
    <d v="2017-12-13T00:00:00"/>
    <x v="229"/>
    <n v="24371"/>
    <x v="361"/>
    <m/>
    <x v="332"/>
    <x v="615"/>
    <s v=""/>
    <m/>
    <m/>
    <n v="16757.3"/>
    <n v="7613.7000000000007"/>
    <s v=""/>
  </r>
  <r>
    <n v="1086"/>
    <s v="171086"/>
    <d v="2017-12-14T00:00:00"/>
    <x v="20"/>
    <n v="5049"/>
    <x v="362"/>
    <m/>
    <x v="345"/>
    <x v="616"/>
    <s v=""/>
    <m/>
    <m/>
    <n v="3332"/>
    <n v="1717"/>
    <s v=""/>
  </r>
  <r>
    <n v="1107"/>
    <s v="171107"/>
    <d v="2017-12-28T00:00:00"/>
    <x v="20"/>
    <n v="10012"/>
    <x v="362"/>
    <m/>
    <x v="338"/>
    <x v="617"/>
    <s v=""/>
    <m/>
    <m/>
    <n v="6987"/>
    <n v="3025"/>
    <s v=""/>
  </r>
  <r>
    <n v="45"/>
    <s v="180045"/>
    <d v="2018-01-19T00:00:00"/>
    <x v="234"/>
    <n v="24752"/>
    <x v="362"/>
    <n v="1"/>
    <x v="346"/>
    <x v="618"/>
    <n v="20664"/>
    <m/>
    <m/>
    <n v="12777"/>
    <n v="7887"/>
    <n v="7887"/>
  </r>
  <r>
    <n v="36"/>
    <s v="180036"/>
    <d v="2018-01-17T00:00:00"/>
    <x v="134"/>
    <n v="2492.1999999999998"/>
    <x v="363"/>
    <m/>
    <x v="347"/>
    <x v="619"/>
    <s v=""/>
    <m/>
    <m/>
    <n v="2124"/>
    <n v="368.19999999999982"/>
    <s v=""/>
  </r>
  <r>
    <n v="42"/>
    <s v="180042"/>
    <d v="2018-01-17T00:00:00"/>
    <x v="9"/>
    <n v="24460"/>
    <x v="364"/>
    <m/>
    <x v="333"/>
    <x v="620"/>
    <s v=""/>
    <m/>
    <m/>
    <n v="17847"/>
    <n v="6613"/>
    <s v=""/>
  </r>
  <r>
    <n v="46"/>
    <s v="180046"/>
    <d v="2018-01-19T00:00:00"/>
    <x v="235"/>
    <n v="110000"/>
    <x v="365"/>
    <n v="1"/>
    <x v="347"/>
    <x v="621"/>
    <n v="110000"/>
    <m/>
    <m/>
    <n v="80000"/>
    <n v="30000"/>
    <n v="30000"/>
  </r>
  <r>
    <n v="52"/>
    <s v="180052"/>
    <d v="2018-01-22T00:00:00"/>
    <x v="224"/>
    <n v="5180"/>
    <x v="366"/>
    <m/>
    <x v="332"/>
    <x v="622"/>
    <s v=""/>
    <m/>
    <m/>
    <n v="3710"/>
    <n v="1470"/>
    <s v=""/>
  </r>
  <r>
    <n v="1073"/>
    <s v="171073"/>
    <d v="2017-12-12T00:00:00"/>
    <x v="14"/>
    <n v="240815.5"/>
    <x v="366"/>
    <m/>
    <x v="348"/>
    <x v="623"/>
    <s v=""/>
    <m/>
    <m/>
    <n v="191638"/>
    <n v="49177.5"/>
    <s v=""/>
  </r>
  <r>
    <n v="35"/>
    <s v="180035"/>
    <d v="2018-01-17T00:00:00"/>
    <x v="23"/>
    <n v="7125"/>
    <x v="366"/>
    <m/>
    <x v="349"/>
    <x v="624"/>
    <s v=""/>
    <m/>
    <m/>
    <n v="5556"/>
    <n v="1569"/>
    <s v=""/>
  </r>
  <r>
    <n v="39"/>
    <s v="180039"/>
    <d v="2018-01-17T00:00:00"/>
    <x v="135"/>
    <n v="26212"/>
    <x v="367"/>
    <m/>
    <x v="332"/>
    <x v="625"/>
    <s v=""/>
    <m/>
    <m/>
    <n v="20445.28"/>
    <n v="5766.7200000000012"/>
    <s v=""/>
  </r>
  <r>
    <n v="45"/>
    <s v="180045"/>
    <d v="2018-01-19T00:00:00"/>
    <x v="234"/>
    <n v="24752"/>
    <x v="368"/>
    <n v="1"/>
    <x v="346"/>
    <x v="626"/>
    <n v="4088"/>
    <m/>
    <n v="600"/>
    <n v="1249"/>
    <n v="2839"/>
    <n v="2839"/>
  </r>
  <r>
    <n v="997"/>
    <s v="170997"/>
    <d v="2017-11-16T00:00:00"/>
    <x v="234"/>
    <n v="777"/>
    <x v="368"/>
    <n v="1"/>
    <x v="346"/>
    <x v="627"/>
    <n v="777"/>
    <m/>
    <m/>
    <n v="475"/>
    <n v="302"/>
    <n v="302"/>
  </r>
  <r>
    <n v="9"/>
    <s v="180009"/>
    <d v="2018-01-11T00:00:00"/>
    <x v="88"/>
    <n v="26908"/>
    <x v="369"/>
    <m/>
    <x v="332"/>
    <x v="628"/>
    <s v=""/>
    <m/>
    <m/>
    <n v="17722.7"/>
    <n v="9185.2999999999993"/>
    <s v=""/>
  </r>
  <r>
    <n v="54"/>
    <s v="180054"/>
    <d v="2018-01-26T00:00:00"/>
    <x v="136"/>
    <n v="19968"/>
    <x v="370"/>
    <m/>
    <x v="350"/>
    <x v="629"/>
    <s v=""/>
    <m/>
    <m/>
    <n v="14509"/>
    <n v="5459"/>
    <s v=""/>
  </r>
  <r>
    <n v="67"/>
    <s v="180067"/>
    <d v="2018-01-30T00:00:00"/>
    <x v="157"/>
    <n v="5643"/>
    <x v="370"/>
    <m/>
    <x v="351"/>
    <x v="630"/>
    <s v=""/>
    <m/>
    <m/>
    <n v="4402"/>
    <n v="1241"/>
    <s v=""/>
  </r>
  <r>
    <n v="887"/>
    <s v="170887"/>
    <d v="2017-12-08T00:00:00"/>
    <x v="36"/>
    <n v="134299"/>
    <x v="371"/>
    <m/>
    <x v="345"/>
    <x v="631"/>
    <s v=""/>
    <m/>
    <m/>
    <n v="101530"/>
    <n v="32769"/>
    <s v=""/>
  </r>
  <r>
    <n v="80"/>
    <s v="180080"/>
    <d v="2018-02-01T00:00:00"/>
    <x v="236"/>
    <n v="12000"/>
    <x v="372"/>
    <m/>
    <x v="341"/>
    <x v="319"/>
    <s v=""/>
    <m/>
    <n v="1800"/>
    <n v="3921"/>
    <n v="8079"/>
    <s v=""/>
  </r>
  <r>
    <n v="7"/>
    <s v="180007"/>
    <d v="2018-01-15T00:00:00"/>
    <x v="20"/>
    <n v="8848"/>
    <x v="373"/>
    <m/>
    <x v="333"/>
    <x v="632"/>
    <s v=""/>
    <m/>
    <m/>
    <n v="6902"/>
    <n v="1946"/>
    <s v=""/>
  </r>
  <r>
    <n v="89"/>
    <s v="180089"/>
    <d v="2018-02-05T00:00:00"/>
    <x v="134"/>
    <n v="112.2"/>
    <x v="374"/>
    <m/>
    <x v="352"/>
    <x v="633"/>
    <s v=""/>
    <m/>
    <m/>
    <n v="88"/>
    <n v="24.200000000000003"/>
    <s v=""/>
  </r>
  <r>
    <n v="77"/>
    <s v="180077"/>
    <d v="2018-01-31T00:00:00"/>
    <x v="14"/>
    <n v="3890"/>
    <x v="375"/>
    <m/>
    <x v="332"/>
    <x v="196"/>
    <s v=""/>
    <m/>
    <m/>
    <n v="2859"/>
    <n v="1031"/>
    <s v=""/>
  </r>
  <r>
    <n v="21"/>
    <s v="180021"/>
    <d v="2018-01-12T00:00:00"/>
    <x v="237"/>
    <n v="23106"/>
    <x v="376"/>
    <n v="1"/>
    <x v="343"/>
    <x v="634"/>
    <n v="23106"/>
    <m/>
    <m/>
    <n v="18364"/>
    <n v="4742"/>
    <n v="4742"/>
  </r>
  <r>
    <n v="109"/>
    <s v="180109"/>
    <d v="2018-02-12T00:00:00"/>
    <x v="10"/>
    <n v="3170.5"/>
    <x v="377"/>
    <m/>
    <x v="353"/>
    <x v="635"/>
    <s v=""/>
    <m/>
    <m/>
    <n v="2872"/>
    <n v="298.5"/>
    <s v=""/>
  </r>
  <r>
    <n v="106"/>
    <s v="180106"/>
    <d v="2018-02-12T00:00:00"/>
    <x v="139"/>
    <n v="2072"/>
    <x v="377"/>
    <m/>
    <x v="332"/>
    <x v="596"/>
    <s v=""/>
    <m/>
    <m/>
    <n v="1596"/>
    <n v="476"/>
    <s v=""/>
  </r>
  <r>
    <n v="93"/>
    <s v="180093"/>
    <d v="2018-02-07T00:00:00"/>
    <x v="238"/>
    <n v="5513"/>
    <x v="378"/>
    <n v="1"/>
    <x v="354"/>
    <x v="636"/>
    <n v="5513"/>
    <m/>
    <m/>
    <n v="3133"/>
    <n v="2380"/>
    <n v="2380"/>
  </r>
  <r>
    <n v="17"/>
    <s v="180017"/>
    <d v="2018-01-12T00:00:00"/>
    <x v="37"/>
    <n v="4440"/>
    <x v="378"/>
    <m/>
    <x v="344"/>
    <x v="637"/>
    <s v=""/>
    <m/>
    <m/>
    <n v="2930"/>
    <n v="1510"/>
    <s v=""/>
  </r>
  <r>
    <n v="83"/>
    <s v="180083"/>
    <d v="2018-02-14T00:00:00"/>
    <x v="239"/>
    <n v="11035"/>
    <x v="379"/>
    <n v="1"/>
    <x v="355"/>
    <x v="638"/>
    <n v="11035"/>
    <m/>
    <m/>
    <n v="7504"/>
    <n v="3531"/>
    <n v="3531"/>
  </r>
  <r>
    <n v="87"/>
    <s v="180087"/>
    <d v="2018-02-05T00:00:00"/>
    <x v="11"/>
    <n v="4900"/>
    <x v="380"/>
    <m/>
    <x v="330"/>
    <x v="12"/>
    <s v=""/>
    <m/>
    <m/>
    <n v="4364"/>
    <n v="536"/>
    <s v=""/>
  </r>
  <r>
    <n v="94"/>
    <s v="180094"/>
    <d v="2018-02-06T00:00:00"/>
    <x v="11"/>
    <n v="2450"/>
    <x v="380"/>
    <m/>
    <x v="330"/>
    <x v="126"/>
    <s v=""/>
    <m/>
    <m/>
    <n v="2182"/>
    <n v="268"/>
    <s v=""/>
  </r>
  <r>
    <n v="81"/>
    <s v="180081"/>
    <d v="2018-02-01T00:00:00"/>
    <x v="14"/>
    <n v="12340"/>
    <x v="381"/>
    <m/>
    <x v="356"/>
    <x v="639"/>
    <s v=""/>
    <m/>
    <m/>
    <n v="8650"/>
    <n v="3690"/>
    <s v=""/>
  </r>
  <r>
    <n v="114"/>
    <s v="180114"/>
    <d v="2018-02-13T00:00:00"/>
    <x v="240"/>
    <n v="4900"/>
    <x v="382"/>
    <m/>
    <x v="353"/>
    <x v="12"/>
    <s v=""/>
    <m/>
    <m/>
    <n v="4364"/>
    <n v="536"/>
    <s v=""/>
  </r>
  <r>
    <n v="1116"/>
    <s v="171116"/>
    <d v="2017-12-27T00:00:00"/>
    <x v="241"/>
    <n v="10000"/>
    <x v="382"/>
    <n v="1"/>
    <x v="312"/>
    <x v="640"/>
    <n v="10000"/>
    <m/>
    <m/>
    <n v="2287"/>
    <n v="7713"/>
    <n v="7713"/>
  </r>
  <r>
    <n v="100"/>
    <s v="180100"/>
    <d v="2018-02-09T00:00:00"/>
    <x v="88"/>
    <n v="16780.8"/>
    <x v="382"/>
    <m/>
    <x v="332"/>
    <x v="641"/>
    <s v=""/>
    <m/>
    <m/>
    <n v="13584"/>
    <n v="3196.7999999999993"/>
    <s v=""/>
  </r>
  <r>
    <n v="99"/>
    <s v="180099"/>
    <d v="2018-02-09T00:00:00"/>
    <x v="88"/>
    <n v="19984.2"/>
    <x v="383"/>
    <m/>
    <x v="357"/>
    <x v="642"/>
    <s v=""/>
    <m/>
    <m/>
    <n v="13476"/>
    <n v="6508.2000000000007"/>
    <s v=""/>
  </r>
  <r>
    <n v="63"/>
    <s v="180063"/>
    <d v="2018-01-29T00:00:00"/>
    <x v="187"/>
    <n v="10032"/>
    <x v="383"/>
    <m/>
    <x v="343"/>
    <x v="643"/>
    <s v=""/>
    <m/>
    <m/>
    <n v="7769"/>
    <n v="2263"/>
    <s v=""/>
  </r>
  <r>
    <n v="122"/>
    <s v="180122"/>
    <d v="2018-02-16T00:00:00"/>
    <x v="198"/>
    <n v="6881"/>
    <x v="383"/>
    <m/>
    <x v="358"/>
    <x v="644"/>
    <s v=""/>
    <m/>
    <m/>
    <n v="4984"/>
    <n v="1897"/>
    <s v=""/>
  </r>
  <r>
    <n v="125"/>
    <s v="180125"/>
    <d v="2018-02-19T00:00:00"/>
    <x v="43"/>
    <n v="18532"/>
    <x v="383"/>
    <m/>
    <x v="359"/>
    <x v="645"/>
    <s v=""/>
    <m/>
    <m/>
    <n v="13778"/>
    <n v="4754"/>
    <s v=""/>
  </r>
  <r>
    <n v="132"/>
    <s v="180132"/>
    <d v="2018-02-21T00:00:00"/>
    <x v="9"/>
    <n v="2728"/>
    <x v="383"/>
    <m/>
    <x v="360"/>
    <x v="646"/>
    <s v=""/>
    <m/>
    <m/>
    <n v="1678"/>
    <n v="1050"/>
    <s v=""/>
  </r>
  <r>
    <n v="129"/>
    <s v="180129"/>
    <d v="2018-02-20T00:00:00"/>
    <x v="211"/>
    <n v="3209"/>
    <x v="383"/>
    <m/>
    <x v="332"/>
    <x v="647"/>
    <s v=""/>
    <m/>
    <m/>
    <n v="2503"/>
    <n v="706"/>
    <s v=""/>
  </r>
  <r>
    <n v="101"/>
    <s v="180101"/>
    <d v="2018-02-09T00:00:00"/>
    <x v="88"/>
    <n v="29117.5"/>
    <x v="384"/>
    <m/>
    <x v="332"/>
    <x v="648"/>
    <s v=""/>
    <m/>
    <m/>
    <n v="23816"/>
    <n v="5301.5"/>
    <s v=""/>
  </r>
  <r>
    <n v="131"/>
    <s v="180131"/>
    <d v="2018-02-21T00:00:00"/>
    <x v="90"/>
    <n v="4090"/>
    <x v="384"/>
    <m/>
    <x v="360"/>
    <x v="649"/>
    <s v=""/>
    <m/>
    <m/>
    <n v="2808"/>
    <n v="1282"/>
    <s v=""/>
  </r>
  <r>
    <n v="120"/>
    <s v="180120"/>
    <d v="2018-02-16T00:00:00"/>
    <x v="11"/>
    <n v="65650"/>
    <x v="384"/>
    <m/>
    <x v="332"/>
    <x v="650"/>
    <s v=""/>
    <m/>
    <n v="15600"/>
    <n v="22724"/>
    <n v="42926"/>
    <s v=""/>
  </r>
  <r>
    <n v="124"/>
    <s v="180124"/>
    <d v="2018-02-19T00:00:00"/>
    <x v="208"/>
    <n v="5650"/>
    <x v="384"/>
    <m/>
    <x v="358"/>
    <x v="651"/>
    <s v=""/>
    <m/>
    <m/>
    <n v="3630"/>
    <n v="2020"/>
    <s v=""/>
  </r>
  <r>
    <n v="119"/>
    <s v="180119"/>
    <d v="2018-02-16T00:00:00"/>
    <x v="102"/>
    <n v="4847"/>
    <x v="385"/>
    <m/>
    <x v="361"/>
    <x v="652"/>
    <s v=""/>
    <m/>
    <m/>
    <n v="2790"/>
    <n v="2057"/>
    <s v=""/>
  </r>
  <r>
    <n v="60"/>
    <s v="180060"/>
    <d v="2018-02-01T00:00:00"/>
    <x v="20"/>
    <n v="10179"/>
    <x v="385"/>
    <m/>
    <x v="362"/>
    <x v="653"/>
    <s v=""/>
    <m/>
    <m/>
    <n v="6926"/>
    <n v="3253"/>
    <s v=""/>
  </r>
  <r>
    <n v="133"/>
    <s v="180133"/>
    <d v="2018-02-22T00:00:00"/>
    <x v="1"/>
    <n v="4750"/>
    <x v="386"/>
    <m/>
    <x v="363"/>
    <x v="654"/>
    <s v=""/>
    <m/>
    <m/>
    <n v="3704"/>
    <n v="1046"/>
    <s v=""/>
  </r>
  <r>
    <n v="146"/>
    <s v="180146"/>
    <d v="2018-03-01T00:00:00"/>
    <x v="204"/>
    <n v="1036"/>
    <x v="387"/>
    <m/>
    <x v="361"/>
    <x v="473"/>
    <s v=""/>
    <m/>
    <m/>
    <n v="808"/>
    <n v="228"/>
    <s v=""/>
  </r>
  <r>
    <n v="118"/>
    <s v="180118"/>
    <d v="2018-02-16T00:00:00"/>
    <x v="37"/>
    <n v="6749"/>
    <x v="387"/>
    <m/>
    <x v="351"/>
    <x v="655"/>
    <s v=""/>
    <m/>
    <m/>
    <n v="3452"/>
    <n v="3297"/>
    <s v=""/>
  </r>
  <r>
    <n v="130"/>
    <s v="180130"/>
    <d v="2018-02-21T00:00:00"/>
    <x v="1"/>
    <n v="10502"/>
    <x v="387"/>
    <m/>
    <x v="363"/>
    <x v="656"/>
    <s v=""/>
    <m/>
    <m/>
    <n v="5564"/>
    <n v="4938"/>
    <s v=""/>
  </r>
  <r>
    <n v="107"/>
    <s v="180107"/>
    <d v="2018-02-12T00:00:00"/>
    <x v="88"/>
    <n v="44500"/>
    <x v="388"/>
    <m/>
    <x v="363"/>
    <x v="657"/>
    <s v=""/>
    <m/>
    <n v="6000"/>
    <n v="36129"/>
    <n v="8371"/>
    <s v=""/>
  </r>
  <r>
    <n v="156"/>
    <s v="180156"/>
    <d v="2018-03-05T00:00:00"/>
    <x v="50"/>
    <n v="12999"/>
    <x v="389"/>
    <m/>
    <x v="358"/>
    <x v="609"/>
    <s v=""/>
    <m/>
    <m/>
    <n v="9554"/>
    <n v="3445"/>
    <s v=""/>
  </r>
  <r>
    <n v="153"/>
    <s v="180153"/>
    <d v="2018-03-02T00:00:00"/>
    <x v="9"/>
    <n v="2565"/>
    <x v="389"/>
    <m/>
    <x v="248"/>
    <x v="658"/>
    <s v=""/>
    <m/>
    <m/>
    <n v="2706"/>
    <n v="-141"/>
    <s v=""/>
  </r>
  <r>
    <n v="91"/>
    <s v="180091"/>
    <d v="2018-02-05T00:00:00"/>
    <x v="27"/>
    <n v="6461"/>
    <x v="390"/>
    <m/>
    <x v="364"/>
    <x v="659"/>
    <s v=""/>
    <m/>
    <m/>
    <n v="2558"/>
    <n v="3903"/>
    <s v=""/>
  </r>
  <r>
    <n v="152"/>
    <s v="180152"/>
    <d v="2018-03-02T00:00:00"/>
    <x v="126"/>
    <n v="4515.5"/>
    <x v="391"/>
    <m/>
    <x v="365"/>
    <x v="660"/>
    <s v=""/>
    <m/>
    <m/>
    <n v="3142"/>
    <n v="1373.5"/>
    <s v=""/>
  </r>
  <r>
    <n v="145"/>
    <s v="180145"/>
    <d v="2018-02-28T00:00:00"/>
    <x v="37"/>
    <n v="9681"/>
    <x v="392"/>
    <m/>
    <x v="366"/>
    <x v="661"/>
    <s v=""/>
    <m/>
    <m/>
    <n v="7448"/>
    <n v="2233"/>
    <s v=""/>
  </r>
  <r>
    <n v="166"/>
    <s v="180166"/>
    <d v="2018-03-14T00:00:00"/>
    <x v="242"/>
    <n v="23790"/>
    <x v="393"/>
    <n v="1"/>
    <x v="367"/>
    <x v="662"/>
    <n v="23790"/>
    <m/>
    <m/>
    <n v="17154"/>
    <n v="6636"/>
    <n v="6636"/>
  </r>
  <r>
    <n v="177"/>
    <s v="180177"/>
    <d v="2018-03-20T00:00:00"/>
    <x v="243"/>
    <n v="13190"/>
    <x v="394"/>
    <n v="1"/>
    <x v="368"/>
    <x v="663"/>
    <n v="13190"/>
    <m/>
    <m/>
    <n v="9972"/>
    <n v="3218"/>
    <n v="3218"/>
  </r>
  <r>
    <n v="180"/>
    <s v="180180"/>
    <d v="2018-03-20T00:00:00"/>
    <x v="244"/>
    <n v="35690"/>
    <x v="395"/>
    <n v="1"/>
    <x v="332"/>
    <x v="664"/>
    <n v="35690"/>
    <m/>
    <m/>
    <n v="26892"/>
    <n v="8798"/>
    <n v="8798"/>
  </r>
  <r>
    <n v="182"/>
    <s v="180182"/>
    <d v="2018-03-20T00:00:00"/>
    <x v="245"/>
    <n v="4936"/>
    <x v="395"/>
    <m/>
    <x v="369"/>
    <x v="665"/>
    <s v=""/>
    <m/>
    <m/>
    <n v="3446"/>
    <n v="1490"/>
    <s v=""/>
  </r>
  <r>
    <n v="173"/>
    <s v="180173"/>
    <d v="2018-03-19T00:00:00"/>
    <x v="156"/>
    <n v="2215"/>
    <x v="396"/>
    <m/>
    <x v="370"/>
    <x v="594"/>
    <s v=""/>
    <m/>
    <m/>
    <n v="1728"/>
    <n v="487"/>
    <s v=""/>
  </r>
  <r>
    <n v="187"/>
    <s v="180187"/>
    <d v="2018-03-22T00:00:00"/>
    <x v="240"/>
    <n v="4568"/>
    <x v="397"/>
    <m/>
    <x v="369"/>
    <x v="666"/>
    <s v=""/>
    <m/>
    <n v="600"/>
    <n v="1729"/>
    <n v="2839"/>
    <s v=""/>
  </r>
  <r>
    <n v="186"/>
    <s v="180186"/>
    <d v="2018-03-22T00:00:00"/>
    <x v="59"/>
    <n v="1466"/>
    <x v="397"/>
    <m/>
    <x v="359"/>
    <x v="477"/>
    <s v=""/>
    <m/>
    <m/>
    <n v="1062"/>
    <n v="404"/>
    <s v=""/>
  </r>
  <r>
    <n v="167"/>
    <s v="180167"/>
    <d v="2018-03-16T00:00:00"/>
    <x v="23"/>
    <n v="7125"/>
    <x v="398"/>
    <m/>
    <x v="371"/>
    <x v="624"/>
    <s v=""/>
    <m/>
    <m/>
    <n v="5556"/>
    <n v="1569"/>
    <s v=""/>
  </r>
  <r>
    <n v="181"/>
    <s v="180181"/>
    <d v="2018-03-20T00:00:00"/>
    <x v="134"/>
    <n v="2230"/>
    <x v="399"/>
    <m/>
    <x v="334"/>
    <x v="470"/>
    <s v=""/>
    <m/>
    <m/>
    <n v="1740"/>
    <n v="490"/>
    <s v=""/>
  </r>
  <r>
    <n v="40"/>
    <s v="180040"/>
    <d v="2018-03-27T00:00:00"/>
    <x v="20"/>
    <n v="138060"/>
    <x v="399"/>
    <m/>
    <x v="332"/>
    <x v="667"/>
    <s v=""/>
    <m/>
    <m/>
    <n v="105832"/>
    <n v="32228"/>
    <s v=""/>
  </r>
  <r>
    <n v="184"/>
    <s v="180184"/>
    <d v="2018-03-21T00:00:00"/>
    <x v="14"/>
    <n v="48891"/>
    <x v="399"/>
    <m/>
    <x v="372"/>
    <x v="668"/>
    <s v=""/>
    <m/>
    <n v="3600"/>
    <n v="22904.639999999999"/>
    <n v="25986.36"/>
    <s v=""/>
  </r>
  <r>
    <n v="188"/>
    <s v="180188"/>
    <d v="2018-03-22T00:00:00"/>
    <x v="101"/>
    <n v="31957"/>
    <x v="400"/>
    <m/>
    <x v="373"/>
    <x v="669"/>
    <s v=""/>
    <m/>
    <m/>
    <n v="24503"/>
    <n v="7454"/>
    <s v=""/>
  </r>
  <r>
    <n v="27"/>
    <s v="180027"/>
    <d v="2018-01-16T00:00:00"/>
    <x v="150"/>
    <n v="72790"/>
    <x v="401"/>
    <m/>
    <x v="374"/>
    <x v="670"/>
    <s v=""/>
    <m/>
    <m/>
    <n v="47416"/>
    <n v="25374"/>
    <s v=""/>
  </r>
  <r>
    <n v="175"/>
    <s v="180175"/>
    <d v="2018-03-19T00:00:00"/>
    <x v="239"/>
    <n v="7910"/>
    <x v="401"/>
    <m/>
    <x v="375"/>
    <x v="671"/>
    <s v=""/>
    <m/>
    <m/>
    <n v="4862"/>
    <n v="3048"/>
    <s v=""/>
  </r>
  <r>
    <n v="214"/>
    <s v="180214"/>
    <d v="2018-04-04T00:00:00"/>
    <x v="246"/>
    <n v="15185"/>
    <x v="402"/>
    <m/>
    <x v="352"/>
    <x v="672"/>
    <s v=""/>
    <m/>
    <m/>
    <n v="10165"/>
    <n v="5020"/>
    <s v=""/>
  </r>
  <r>
    <n v="221"/>
    <s v="180221"/>
    <d v="2018-04-02T00:00:00"/>
    <x v="9"/>
    <n v="1907"/>
    <x v="402"/>
    <m/>
    <x v="376"/>
    <x v="673"/>
    <s v=""/>
    <m/>
    <m/>
    <n v="1509"/>
    <n v="398"/>
    <s v=""/>
  </r>
  <r>
    <n v="162"/>
    <s v="180162"/>
    <d v="2018-03-13T00:00:00"/>
    <x v="36"/>
    <n v="859118"/>
    <x v="403"/>
    <m/>
    <x v="377"/>
    <x v="674"/>
    <s v=""/>
    <n v="50000"/>
    <m/>
    <n v="647823"/>
    <n v="211295"/>
    <s v=""/>
  </r>
  <r>
    <n v="197"/>
    <s v="180197"/>
    <d v="2018-03-26T00:00:00"/>
    <x v="134"/>
    <n v="5064.3"/>
    <x v="403"/>
    <m/>
    <x v="378"/>
    <x v="675"/>
    <s v=""/>
    <m/>
    <m/>
    <n v="4122"/>
    <n v="942.30000000000018"/>
    <s v=""/>
  </r>
  <r>
    <n v="228"/>
    <s v="180228"/>
    <d v="2018-04-05T00:00:00"/>
    <x v="128"/>
    <n v="3153"/>
    <x v="404"/>
    <m/>
    <x v="379"/>
    <x v="676"/>
    <s v=""/>
    <m/>
    <m/>
    <n v="2424"/>
    <n v="729"/>
    <s v=""/>
  </r>
  <r>
    <n v="143"/>
    <s v="180143"/>
    <d v="2018-03-27T00:00:00"/>
    <x v="20"/>
    <n v="17694"/>
    <x v="405"/>
    <m/>
    <x v="332"/>
    <x v="677"/>
    <s v=""/>
    <m/>
    <m/>
    <n v="13804"/>
    <n v="3890"/>
    <s v=""/>
  </r>
  <r>
    <n v="149"/>
    <s v="180149"/>
    <d v="2018-03-20T00:00:00"/>
    <x v="20"/>
    <n v="42939"/>
    <x v="405"/>
    <m/>
    <x v="332"/>
    <x v="678"/>
    <s v=""/>
    <m/>
    <m/>
    <n v="29529"/>
    <n v="13410"/>
    <s v=""/>
  </r>
  <r>
    <n v="217"/>
    <s v="180217"/>
    <d v="2018-04-02T00:00:00"/>
    <x v="217"/>
    <n v="2439"/>
    <x v="405"/>
    <m/>
    <x v="380"/>
    <x v="679"/>
    <s v=""/>
    <m/>
    <m/>
    <n v="1898"/>
    <n v="541"/>
    <s v=""/>
  </r>
  <r>
    <n v="157"/>
    <s v="180157"/>
    <d v="2018-03-06T00:00:00"/>
    <x v="159"/>
    <n v="12999"/>
    <x v="405"/>
    <m/>
    <x v="374"/>
    <x v="609"/>
    <s v=""/>
    <m/>
    <m/>
    <n v="9554"/>
    <n v="3445"/>
    <s v=""/>
  </r>
  <r>
    <n v="199"/>
    <s v="180199"/>
    <d v="2018-03-27T00:00:00"/>
    <x v="159"/>
    <n v="838"/>
    <x v="405"/>
    <m/>
    <x v="374"/>
    <x v="680"/>
    <s v=""/>
    <m/>
    <m/>
    <n v="653"/>
    <n v="185"/>
    <s v=""/>
  </r>
  <r>
    <n v="216"/>
    <s v="180216"/>
    <d v="2018-03-30T00:00:00"/>
    <x v="37"/>
    <n v="1065"/>
    <x v="406"/>
    <m/>
    <x v="381"/>
    <x v="681"/>
    <s v=""/>
    <m/>
    <m/>
    <n v="620"/>
    <n v="445"/>
    <s v=""/>
  </r>
  <r>
    <n v="239"/>
    <s v="180239"/>
    <d v="2018-04-06T00:00:00"/>
    <x v="244"/>
    <n v="22689"/>
    <x v="406"/>
    <m/>
    <x v="382"/>
    <x v="682"/>
    <s v=""/>
    <m/>
    <m/>
    <n v="15614.11"/>
    <n v="7074.8899999999994"/>
    <s v=""/>
  </r>
  <r>
    <n v="1070"/>
    <s v="171070"/>
    <d v="2017-12-12T00:00:00"/>
    <x v="13"/>
    <n v="12885"/>
    <x v="407"/>
    <m/>
    <x v="383"/>
    <x v="683"/>
    <s v=""/>
    <m/>
    <m/>
    <n v="10050"/>
    <n v="2835"/>
    <s v=""/>
  </r>
  <r>
    <n v="148"/>
    <s v="180148"/>
    <d v="2018-03-01T00:00:00"/>
    <x v="13"/>
    <n v="12396"/>
    <x v="407"/>
    <m/>
    <x v="361"/>
    <x v="684"/>
    <s v=""/>
    <m/>
    <m/>
    <n v="9214"/>
    <n v="3182"/>
    <s v=""/>
  </r>
  <r>
    <n v="76"/>
    <s v="180076"/>
    <d v="2018-02-27T00:00:00"/>
    <x v="13"/>
    <n v="123255"/>
    <x v="407"/>
    <m/>
    <x v="360"/>
    <x v="685"/>
    <s v=""/>
    <m/>
    <n v="12000"/>
    <n v="89494"/>
    <n v="33761"/>
    <s v=""/>
  </r>
  <r>
    <n v="172"/>
    <s v="180172"/>
    <d v="2018-04-12T00:00:00"/>
    <x v="72"/>
    <n v="45990"/>
    <x v="407"/>
    <m/>
    <x v="380"/>
    <x v="686"/>
    <s v=""/>
    <m/>
    <m/>
    <n v="30006"/>
    <n v="15984"/>
    <s v=""/>
  </r>
  <r>
    <n v="249"/>
    <s v="180249"/>
    <d v="2018-04-11T00:00:00"/>
    <x v="247"/>
    <n v="95068"/>
    <x v="408"/>
    <m/>
    <x v="384"/>
    <x v="687"/>
    <s v=""/>
    <m/>
    <m/>
    <n v="65932"/>
    <n v="29136"/>
    <s v=""/>
  </r>
  <r>
    <n v="235"/>
    <s v="180235"/>
    <d v="2018-04-05T00:00:00"/>
    <x v="239"/>
    <n v="108570"/>
    <x v="409"/>
    <m/>
    <x v="375"/>
    <x v="688"/>
    <s v=""/>
    <m/>
    <m/>
    <n v="82077"/>
    <n v="26493"/>
    <s v=""/>
  </r>
  <r>
    <n v="215"/>
    <s v="180215"/>
    <d v="2018-03-30T00:00:00"/>
    <x v="32"/>
    <n v="3176"/>
    <x v="410"/>
    <m/>
    <x v="385"/>
    <x v="689"/>
    <s v=""/>
    <m/>
    <m/>
    <n v="2341"/>
    <n v="835"/>
    <s v=""/>
  </r>
  <r>
    <n v="222"/>
    <s v="180222"/>
    <d v="2018-04-02T00:00:00"/>
    <x v="135"/>
    <n v="26212"/>
    <x v="411"/>
    <m/>
    <x v="386"/>
    <x v="625"/>
    <s v=""/>
    <m/>
    <m/>
    <n v="20736"/>
    <n v="5476"/>
    <s v=""/>
  </r>
  <r>
    <n v="198"/>
    <s v="180198"/>
    <d v="2018-03-27T00:00:00"/>
    <x v="99"/>
    <n v="17990"/>
    <x v="411"/>
    <m/>
    <x v="381"/>
    <x v="690"/>
    <s v=""/>
    <m/>
    <m/>
    <n v="13600"/>
    <n v="4390"/>
    <s v=""/>
  </r>
  <r>
    <n v="282"/>
    <s v="180282"/>
    <d v="2018-04-19T00:00:00"/>
    <x v="243"/>
    <n v="1051"/>
    <x v="411"/>
    <m/>
    <x v="376"/>
    <x v="691"/>
    <s v=""/>
    <m/>
    <m/>
    <n v="808"/>
    <n v="243"/>
    <s v=""/>
  </r>
  <r>
    <n v="281"/>
    <s v="180281"/>
    <d v="2018-04-19T00:00:00"/>
    <x v="248"/>
    <n v="2108"/>
    <x v="411"/>
    <m/>
    <x v="386"/>
    <x v="692"/>
    <s v=""/>
    <m/>
    <m/>
    <n v="1265"/>
    <n v="843"/>
    <s v=""/>
  </r>
  <r>
    <n v="256"/>
    <s v="180256"/>
    <d v="2018-04-13T00:00:00"/>
    <x v="54"/>
    <n v="11570"/>
    <x v="412"/>
    <m/>
    <x v="387"/>
    <x v="693"/>
    <s v=""/>
    <m/>
    <m/>
    <n v="6738"/>
    <n v="4832"/>
    <s v=""/>
  </r>
  <r>
    <n v="272"/>
    <s v="180272"/>
    <d v="2018-04-19T00:00:00"/>
    <x v="162"/>
    <n v="28170"/>
    <x v="413"/>
    <m/>
    <x v="388"/>
    <x v="694"/>
    <s v=""/>
    <m/>
    <m/>
    <n v="21297"/>
    <n v="6873"/>
    <s v=""/>
  </r>
  <r>
    <n v="155"/>
    <s v="180155"/>
    <d v="2018-03-05T00:00:00"/>
    <x v="14"/>
    <n v="24680"/>
    <x v="414"/>
    <m/>
    <x v="374"/>
    <x v="639"/>
    <s v=""/>
    <m/>
    <m/>
    <n v="8650"/>
    <n v="3690"/>
    <s v=""/>
  </r>
  <r>
    <n v="299"/>
    <s v="180299"/>
    <d v="2018-04-24T00:00:00"/>
    <x v="192"/>
    <n v="1671"/>
    <x v="415"/>
    <m/>
    <x v="387"/>
    <x v="695"/>
    <s v=""/>
    <m/>
    <m/>
    <n v="1285"/>
    <n v="386"/>
    <s v=""/>
  </r>
  <r>
    <n v="303"/>
    <s v="180303"/>
    <d v="2018-04-25T00:00:00"/>
    <x v="57"/>
    <n v="15761"/>
    <x v="416"/>
    <m/>
    <x v="384"/>
    <x v="696"/>
    <s v=""/>
    <m/>
    <m/>
    <n v="12150"/>
    <n v="3611"/>
    <s v=""/>
  </r>
  <r>
    <n v="155"/>
    <s v="180155"/>
    <d v="2018-03-05T00:00:00"/>
    <x v="14"/>
    <n v="24680"/>
    <x v="416"/>
    <m/>
    <x v="372"/>
    <x v="639"/>
    <s v=""/>
    <m/>
    <m/>
    <n v="9637"/>
    <n v="2703"/>
    <s v=""/>
  </r>
  <r>
    <n v="330"/>
    <s v="180330"/>
    <d v="2018-05-03T00:00:00"/>
    <x v="249"/>
    <n v="15241"/>
    <x v="417"/>
    <n v="1"/>
    <x v="389"/>
    <x v="697"/>
    <n v="15241"/>
    <m/>
    <m/>
    <n v="10941"/>
    <n v="4300"/>
    <n v="4300"/>
  </r>
  <r>
    <n v="321"/>
    <s v="180321"/>
    <d v="2018-04-27T00:00:00"/>
    <x v="192"/>
    <n v="1051"/>
    <x v="418"/>
    <m/>
    <x v="387"/>
    <x v="691"/>
    <s v=""/>
    <m/>
    <m/>
    <n v="808"/>
    <n v="243"/>
    <s v=""/>
  </r>
  <r>
    <n v="327"/>
    <s v="180327"/>
    <d v="2018-04-28T00:00:00"/>
    <x v="192"/>
    <n v="1051"/>
    <x v="418"/>
    <m/>
    <x v="390"/>
    <x v="691"/>
    <s v=""/>
    <m/>
    <m/>
    <n v="808"/>
    <n v="243"/>
    <s v=""/>
  </r>
  <r>
    <n v="335"/>
    <s v="180335"/>
    <d v="2018-05-04T00:00:00"/>
    <x v="250"/>
    <n v="15411"/>
    <x v="419"/>
    <n v="1"/>
    <x v="378"/>
    <x v="698"/>
    <n v="15411"/>
    <m/>
    <m/>
    <n v="11737"/>
    <n v="3674"/>
    <n v="3674"/>
  </r>
  <r>
    <n v="333"/>
    <s v="180333"/>
    <d v="2018-05-04T00:00:00"/>
    <x v="10"/>
    <n v="13798.05"/>
    <x v="419"/>
    <m/>
    <x v="389"/>
    <x v="699"/>
    <s v=""/>
    <m/>
    <m/>
    <n v="11420"/>
    <n v="2378.0499999999993"/>
    <s v=""/>
  </r>
  <r>
    <n v="258"/>
    <s v="180258"/>
    <d v="2018-04-16T00:00:00"/>
    <x v="23"/>
    <n v="7842"/>
    <x v="419"/>
    <m/>
    <x v="391"/>
    <x v="700"/>
    <s v=""/>
    <m/>
    <m/>
    <n v="5556"/>
    <n v="2286"/>
    <s v=""/>
  </r>
  <r>
    <n v="331"/>
    <s v="180331"/>
    <d v="2018-05-03T00:00:00"/>
    <x v="48"/>
    <n v="6065"/>
    <x v="420"/>
    <m/>
    <x v="392"/>
    <x v="701"/>
    <s v=""/>
    <m/>
    <m/>
    <n v="4670"/>
    <n v="1395"/>
    <s v=""/>
  </r>
  <r>
    <n v="154"/>
    <s v="180154"/>
    <d v="2018-03-05T00:00:00"/>
    <x v="13"/>
    <n v="217556"/>
    <x v="420"/>
    <m/>
    <x v="393"/>
    <x v="702"/>
    <s v=""/>
    <n v="30000"/>
    <m/>
    <n v="84462"/>
    <n v="133094"/>
    <s v=""/>
  </r>
  <r>
    <n v="315"/>
    <s v="180315"/>
    <d v="2018-05-08T00:00:00"/>
    <x v="251"/>
    <n v="19586"/>
    <x v="421"/>
    <n v="1"/>
    <x v="384"/>
    <x v="703"/>
    <n v="19586"/>
    <m/>
    <m/>
    <n v="13447"/>
    <n v="6139"/>
    <n v="6139"/>
  </r>
  <r>
    <n v="134"/>
    <s v="180134"/>
    <d v="2018-04-16T00:00:00"/>
    <x v="20"/>
    <n v="138500"/>
    <x v="422"/>
    <m/>
    <x v="394"/>
    <x v="704"/>
    <s v=""/>
    <m/>
    <m/>
    <n v="105832"/>
    <n v="32668"/>
    <s v=""/>
  </r>
  <r>
    <n v="338"/>
    <s v="180338"/>
    <d v="2018-05-07T00:00:00"/>
    <x v="252"/>
    <n v="1350"/>
    <x v="422"/>
    <n v="1"/>
    <x v="395"/>
    <x v="705"/>
    <n v="1350"/>
    <m/>
    <m/>
    <n v="1089"/>
    <n v="261"/>
    <n v="261"/>
  </r>
  <r>
    <n v="224"/>
    <s v="180224"/>
    <d v="2018-04-03T00:00:00"/>
    <x v="88"/>
    <n v="42484"/>
    <x v="423"/>
    <m/>
    <x v="375"/>
    <x v="706"/>
    <s v=""/>
    <m/>
    <m/>
    <n v="34525"/>
    <n v="7959"/>
    <s v=""/>
  </r>
  <r>
    <n v="322"/>
    <s v="180322"/>
    <d v="2018-04-27T00:00:00"/>
    <x v="253"/>
    <n v="3342"/>
    <x v="424"/>
    <n v="1"/>
    <x v="387"/>
    <x v="707"/>
    <n v="3342"/>
    <m/>
    <m/>
    <n v="2570"/>
    <n v="772"/>
    <n v="772"/>
  </r>
  <r>
    <n v="279"/>
    <s v="180279"/>
    <d v="2018-04-19T00:00:00"/>
    <x v="3"/>
    <n v="5946"/>
    <x v="424"/>
    <m/>
    <x v="388"/>
    <x v="708"/>
    <s v=""/>
    <m/>
    <m/>
    <n v="5524"/>
    <n v="422"/>
    <s v=""/>
  </r>
  <r>
    <n v="351"/>
    <s v="180351"/>
    <d v="2018-05-14T00:00:00"/>
    <x v="109"/>
    <n v="48190"/>
    <x v="424"/>
    <m/>
    <x v="396"/>
    <x v="279"/>
    <s v=""/>
    <m/>
    <m/>
    <n v="34466"/>
    <n v="13724"/>
    <s v=""/>
  </r>
  <r>
    <n v="358"/>
    <s v="180358"/>
    <d v="2018-05-15T00:00:00"/>
    <x v="254"/>
    <n v="669"/>
    <x v="425"/>
    <n v="1"/>
    <x v="395"/>
    <x v="709"/>
    <n v="669"/>
    <m/>
    <m/>
    <n v="439"/>
    <n v="230"/>
    <n v="230"/>
  </r>
  <r>
    <n v="337"/>
    <s v="180337"/>
    <d v="2018-05-07T00:00:00"/>
    <x v="249"/>
    <n v="1187"/>
    <x v="425"/>
    <n v="1"/>
    <x v="373"/>
    <x v="710"/>
    <n v="1187"/>
    <m/>
    <m/>
    <n v="832"/>
    <n v="355"/>
    <n v="355"/>
  </r>
  <r>
    <n v="344"/>
    <s v="180344"/>
    <d v="2018-05-08T00:00:00"/>
    <x v="255"/>
    <n v="5289"/>
    <x v="425"/>
    <m/>
    <x v="397"/>
    <x v="711"/>
    <s v=""/>
    <m/>
    <m/>
    <n v="3490"/>
    <n v="1799"/>
    <s v=""/>
  </r>
  <r>
    <n v="375"/>
    <s v="180375"/>
    <d v="2018-05-17T00:00:00"/>
    <x v="134"/>
    <n v="2815.2"/>
    <x v="426"/>
    <m/>
    <x v="378"/>
    <x v="712"/>
    <s v=""/>
    <m/>
    <m/>
    <n v="2582"/>
    <n v="233.19999999999982"/>
    <s v=""/>
  </r>
  <r>
    <n v="362"/>
    <s v="180362"/>
    <d v="2018-05-15T00:00:00"/>
    <x v="134"/>
    <n v="5426.4"/>
    <x v="426"/>
    <m/>
    <x v="378"/>
    <x v="713"/>
    <s v=""/>
    <m/>
    <m/>
    <n v="4213"/>
    <n v="1213.3999999999996"/>
    <s v=""/>
  </r>
  <r>
    <n v="363"/>
    <s v="180363"/>
    <d v="2018-05-15T00:00:00"/>
    <x v="251"/>
    <n v="5549"/>
    <x v="426"/>
    <n v="1"/>
    <x v="398"/>
    <x v="714"/>
    <n v="5549"/>
    <m/>
    <m/>
    <n v="3607"/>
    <n v="1942"/>
    <n v="1942"/>
  </r>
  <r>
    <n v="263"/>
    <s v="180263"/>
    <d v="2018-04-17T00:00:00"/>
    <x v="13"/>
    <n v="234400"/>
    <x v="427"/>
    <m/>
    <x v="394"/>
    <x v="715"/>
    <s v=""/>
    <n v="60000"/>
    <n v="28800"/>
    <n v="29200"/>
    <n v="205200"/>
    <s v=""/>
  </r>
  <r>
    <n v="391"/>
    <s v="180391"/>
    <d v="2018-05-21T00:00:00"/>
    <x v="126"/>
    <n v="7211.4"/>
    <x v="427"/>
    <m/>
    <x v="399"/>
    <x v="716"/>
    <s v=""/>
    <m/>
    <m/>
    <n v="5358"/>
    <n v="1853.3999999999996"/>
    <s v=""/>
  </r>
  <r>
    <n v="280"/>
    <s v="180280"/>
    <d v="2018-04-19T00:00:00"/>
    <x v="20"/>
    <n v="14175"/>
    <x v="428"/>
    <m/>
    <x v="396"/>
    <x v="717"/>
    <s v=""/>
    <m/>
    <m/>
    <n v="8917.9"/>
    <n v="5257.1"/>
    <s v=""/>
  </r>
  <r>
    <n v="121"/>
    <s v="180121"/>
    <d v="2018-04-24T00:00:00"/>
    <x v="11"/>
    <n v="37199.919999999998"/>
    <x v="429"/>
    <m/>
    <x v="400"/>
    <x v="718"/>
    <s v=""/>
    <m/>
    <m/>
    <n v="30422"/>
    <n v="6777.9199999999983"/>
    <s v=""/>
  </r>
  <r>
    <n v="287"/>
    <s v="180287"/>
    <d v="2018-04-23T00:00:00"/>
    <x v="11"/>
    <n v="121200"/>
    <x v="429"/>
    <m/>
    <x v="401"/>
    <x v="718"/>
    <s v=""/>
    <m/>
    <m/>
    <n v="15000"/>
    <n v="22199.919999999998"/>
    <s v=""/>
  </r>
  <r>
    <n v="408"/>
    <s v="180408"/>
    <d v="2018-05-23T00:00:00"/>
    <x v="81"/>
    <n v="99439"/>
    <x v="429"/>
    <m/>
    <x v="402"/>
    <x v="719"/>
    <s v=""/>
    <m/>
    <n v="600"/>
    <n v="73269"/>
    <n v="26170"/>
    <s v=""/>
  </r>
  <r>
    <n v="416"/>
    <s v="180416"/>
    <d v="2018-05-24T00:00:00"/>
    <x v="216"/>
    <n v="11035"/>
    <x v="430"/>
    <m/>
    <x v="403"/>
    <x v="638"/>
    <s v=""/>
    <m/>
    <m/>
    <n v="7661"/>
    <n v="3374"/>
    <s v=""/>
  </r>
  <r>
    <n v="247"/>
    <s v="180247"/>
    <d v="2018-04-10T00:00:00"/>
    <x v="13"/>
    <n v="46230"/>
    <x v="431"/>
    <m/>
    <x v="376"/>
    <x v="720"/>
    <s v=""/>
    <m/>
    <m/>
    <n v="31157"/>
    <n v="15073"/>
    <s v=""/>
  </r>
  <r>
    <n v="218"/>
    <s v="180218"/>
    <d v="2018-04-02T00:00:00"/>
    <x v="13"/>
    <n v="123596"/>
    <x v="431"/>
    <m/>
    <x v="376"/>
    <x v="721"/>
    <s v=""/>
    <m/>
    <m/>
    <n v="92944"/>
    <n v="30652"/>
    <s v=""/>
  </r>
  <r>
    <n v="135"/>
    <s v="180135"/>
    <d v="2018-04-27T00:00:00"/>
    <x v="13"/>
    <n v="425670"/>
    <x v="431"/>
    <m/>
    <x v="404"/>
    <x v="722"/>
    <s v=""/>
    <m/>
    <m/>
    <n v="317496"/>
    <n v="108174"/>
    <s v=""/>
  </r>
  <r>
    <n v="429"/>
    <s v="180429"/>
    <d v="2018-05-29T00:00:00"/>
    <x v="256"/>
    <n v="53490"/>
    <x v="432"/>
    <n v="1"/>
    <x v="397"/>
    <x v="723"/>
    <n v="53490"/>
    <m/>
    <m/>
    <n v="36129"/>
    <n v="17361"/>
    <n v="17361"/>
  </r>
  <r>
    <n v="403"/>
    <s v="180403"/>
    <d v="2018-05-23T00:00:00"/>
    <x v="101"/>
    <n v="9208"/>
    <x v="432"/>
    <m/>
    <x v="397"/>
    <x v="724"/>
    <s v=""/>
    <m/>
    <m/>
    <n v="6754"/>
    <n v="2454"/>
    <s v=""/>
  </r>
  <r>
    <n v="382"/>
    <s v="180382"/>
    <d v="2018-05-18T00:00:00"/>
    <x v="254"/>
    <n v="735"/>
    <x v="432"/>
    <n v="1"/>
    <x v="405"/>
    <x v="725"/>
    <n v="735"/>
    <m/>
    <m/>
    <n v="573"/>
    <n v="162"/>
    <n v="162"/>
  </r>
  <r>
    <n v="301"/>
    <s v="180301"/>
    <d v="2018-04-24T00:00:00"/>
    <x v="54"/>
    <n v="9640"/>
    <x v="432"/>
    <m/>
    <x v="397"/>
    <x v="726"/>
    <s v=""/>
    <m/>
    <m/>
    <n v="7512"/>
    <n v="2128"/>
    <s v=""/>
  </r>
  <r>
    <n v="436"/>
    <s v="180436"/>
    <d v="2018-05-30T00:00:00"/>
    <x v="256"/>
    <n v="2544"/>
    <x v="433"/>
    <n v="1"/>
    <x v="397"/>
    <x v="727"/>
    <n v="2544"/>
    <m/>
    <m/>
    <n v="1878"/>
    <n v="666"/>
    <n v="666"/>
  </r>
  <r>
    <n v="417"/>
    <s v="180417"/>
    <d v="2018-05-25T00:00:00"/>
    <x v="32"/>
    <n v="7245"/>
    <x v="433"/>
    <m/>
    <x v="406"/>
    <x v="728"/>
    <s v=""/>
    <m/>
    <m/>
    <n v="4705"/>
    <n v="2540"/>
    <s v=""/>
  </r>
  <r>
    <n v="424"/>
    <s v="180424"/>
    <d v="2018-05-28T00:00:00"/>
    <x v="134"/>
    <n v="4435.3"/>
    <x v="434"/>
    <m/>
    <x v="402"/>
    <x v="729"/>
    <s v=""/>
    <m/>
    <m/>
    <n v="3839"/>
    <n v="596.30000000000018"/>
    <s v=""/>
  </r>
  <r>
    <n v="446"/>
    <s v="180446"/>
    <d v="2018-06-01T00:00:00"/>
    <x v="257"/>
    <n v="38540"/>
    <x v="434"/>
    <n v="1"/>
    <x v="407"/>
    <x v="730"/>
    <n v="38540"/>
    <m/>
    <m/>
    <n v="29506"/>
    <n v="9034"/>
    <n v="9034"/>
  </r>
  <r>
    <n v="401"/>
    <s v="180401"/>
    <d v="2018-05-23T00:00:00"/>
    <x v="97"/>
    <n v="16259"/>
    <x v="435"/>
    <m/>
    <x v="406"/>
    <x v="731"/>
    <s v=""/>
    <m/>
    <m/>
    <n v="9465.9"/>
    <n v="6793.1"/>
    <s v=""/>
  </r>
  <r>
    <n v="441"/>
    <s v="180441"/>
    <d v="2018-05-30T00:00:00"/>
    <x v="72"/>
    <n v="63390"/>
    <x v="435"/>
    <m/>
    <x v="406"/>
    <x v="732"/>
    <s v=""/>
    <m/>
    <m/>
    <n v="47922"/>
    <n v="15468"/>
    <s v=""/>
  </r>
  <r>
    <n v="455"/>
    <s v="180455"/>
    <d v="2018-06-05T00:00:00"/>
    <x v="204"/>
    <n v="2160"/>
    <x v="436"/>
    <m/>
    <x v="405"/>
    <x v="733"/>
    <s v=""/>
    <m/>
    <m/>
    <n v="1638"/>
    <n v="522"/>
    <s v=""/>
  </r>
  <r>
    <n v="287"/>
    <s v="180287"/>
    <d v="2018-04-23T00:00:00"/>
    <x v="11"/>
    <n v="121200"/>
    <x v="436"/>
    <m/>
    <x v="401"/>
    <x v="734"/>
    <s v=""/>
    <m/>
    <n v="4800"/>
    <n v="31152"/>
    <n v="52848.08"/>
    <s v=""/>
  </r>
  <r>
    <n v="447"/>
    <s v="180447"/>
    <d v="2018-06-01T00:00:00"/>
    <x v="134"/>
    <n v="2953.75"/>
    <x v="436"/>
    <m/>
    <x v="408"/>
    <x v="735"/>
    <s v=""/>
    <m/>
    <m/>
    <n v="2396"/>
    <n v="557.75"/>
    <s v=""/>
  </r>
  <r>
    <n v="389"/>
    <s v="180389"/>
    <d v="2018-05-21T00:00:00"/>
    <x v="48"/>
    <n v="9600"/>
    <x v="436"/>
    <m/>
    <x v="392"/>
    <x v="736"/>
    <s v=""/>
    <m/>
    <n v="1200"/>
    <n v="2514"/>
    <n v="7086"/>
    <s v=""/>
  </r>
  <r>
    <n v="378"/>
    <s v="180378"/>
    <d v="2018-05-17T00:00:00"/>
    <x v="20"/>
    <n v="2120"/>
    <x v="437"/>
    <m/>
    <x v="409"/>
    <x v="737"/>
    <s v=""/>
    <m/>
    <m/>
    <n v="1476"/>
    <n v="644"/>
    <s v=""/>
  </r>
  <r>
    <n v="460"/>
    <s v="180460"/>
    <d v="2018-06-06T00:00:00"/>
    <x v="258"/>
    <n v="13198"/>
    <x v="438"/>
    <n v="1"/>
    <x v="410"/>
    <x v="738"/>
    <n v="13198"/>
    <m/>
    <m/>
    <n v="9392"/>
    <n v="3806"/>
    <n v="3806"/>
  </r>
  <r>
    <n v="479"/>
    <s v="180479"/>
    <d v="2018-06-08T00:00:00"/>
    <x v="216"/>
    <n v="479"/>
    <x v="439"/>
    <m/>
    <x v="403"/>
    <x v="739"/>
    <s v=""/>
    <m/>
    <m/>
    <n v="286"/>
    <n v="193"/>
    <s v=""/>
  </r>
  <r>
    <n v="483"/>
    <s v="180483"/>
    <d v="2018-06-09T00:00:00"/>
    <x v="89"/>
    <n v="25440"/>
    <x v="440"/>
    <m/>
    <x v="392"/>
    <x v="740"/>
    <s v=""/>
    <m/>
    <m/>
    <n v="18780"/>
    <n v="6660"/>
    <s v=""/>
  </r>
  <r>
    <n v="413"/>
    <s v="180413"/>
    <d v="2018-05-24T00:00:00"/>
    <x v="259"/>
    <n v="19990"/>
    <x v="440"/>
    <n v="1"/>
    <x v="411"/>
    <x v="741"/>
    <n v="19990"/>
    <m/>
    <m/>
    <n v="15742"/>
    <n v="4248"/>
    <n v="4248"/>
  </r>
  <r>
    <n v="487"/>
    <s v="180487"/>
    <d v="2018-06-13T00:00:00"/>
    <x v="216"/>
    <n v="6296"/>
    <x v="441"/>
    <m/>
    <x v="412"/>
    <x v="742"/>
    <s v=""/>
    <m/>
    <m/>
    <n v="4131"/>
    <n v="2165"/>
    <s v=""/>
  </r>
  <r>
    <n v="446"/>
    <s v="180446"/>
    <d v="2018-06-06T00:00:00"/>
    <x v="260"/>
    <n v="1385"/>
    <x v="442"/>
    <n v="1"/>
    <x v="413"/>
    <x v="743"/>
    <n v="1385"/>
    <m/>
    <m/>
    <n v="1080"/>
    <n v="305"/>
    <n v="305"/>
  </r>
  <r>
    <n v="415"/>
    <s v="180415"/>
    <d v="2018-05-24T00:00:00"/>
    <x v="150"/>
    <n v="87407"/>
    <x v="442"/>
    <m/>
    <x v="414"/>
    <x v="744"/>
    <s v=""/>
    <m/>
    <n v="1200"/>
    <n v="53116"/>
    <n v="34291"/>
    <s v=""/>
  </r>
  <r>
    <n v="462"/>
    <s v="180462"/>
    <d v="2018-06-06T00:00:00"/>
    <x v="150"/>
    <n v="9044"/>
    <x v="442"/>
    <m/>
    <x v="415"/>
    <x v="745"/>
    <s v=""/>
    <m/>
    <m/>
    <n v="5210"/>
    <n v="3834"/>
    <s v=""/>
  </r>
  <r>
    <n v="467"/>
    <s v="180467"/>
    <d v="2018-06-07T00:00:00"/>
    <x v="261"/>
    <n v="2812"/>
    <x v="442"/>
    <m/>
    <x v="416"/>
    <x v="746"/>
    <s v=""/>
    <m/>
    <m/>
    <n v="1254"/>
    <n v="1558"/>
    <s v=""/>
  </r>
  <r>
    <n v="275"/>
    <s v="180275"/>
    <d v="2018-06-22T00:00:00"/>
    <x v="262"/>
    <n v="20305"/>
    <x v="443"/>
    <n v="1"/>
    <x v="408"/>
    <x v="747"/>
    <n v="20305"/>
    <m/>
    <m/>
    <n v="15398"/>
    <n v="4907"/>
    <n v="4907"/>
  </r>
  <r>
    <n v="465"/>
    <s v="180465"/>
    <d v="2018-06-06T00:00:00"/>
    <x v="263"/>
    <n v="33590"/>
    <x v="443"/>
    <n v="1"/>
    <x v="408"/>
    <x v="748"/>
    <n v="33590"/>
    <m/>
    <m/>
    <n v="26074"/>
    <n v="7516"/>
    <n v="7516"/>
  </r>
  <r>
    <n v="461"/>
    <s v="180461"/>
    <d v="2018-06-07T00:00:00"/>
    <x v="73"/>
    <n v="6301"/>
    <x v="443"/>
    <m/>
    <x v="416"/>
    <x v="749"/>
    <s v=""/>
    <m/>
    <m/>
    <n v="4785"/>
    <n v="1516"/>
    <s v=""/>
  </r>
  <r>
    <n v="502"/>
    <s v="180502"/>
    <d v="2018-06-18T00:00:00"/>
    <x v="264"/>
    <n v="5200"/>
    <x v="444"/>
    <m/>
    <x v="417"/>
    <x v="125"/>
    <s v=""/>
    <m/>
    <m/>
    <n v="1524.9"/>
    <n v="3675.1"/>
    <s v=""/>
  </r>
  <r>
    <n v="402"/>
    <s v="180402"/>
    <d v="2018-05-23T00:00:00"/>
    <x v="37"/>
    <n v="3915"/>
    <x v="445"/>
    <m/>
    <x v="378"/>
    <x v="750"/>
    <s v=""/>
    <m/>
    <m/>
    <n v="2622"/>
    <n v="1293"/>
    <s v=""/>
  </r>
  <r>
    <n v="422"/>
    <s v="180422"/>
    <d v="2018-05-28T00:00:00"/>
    <x v="3"/>
    <n v="11010"/>
    <x v="445"/>
    <m/>
    <x v="418"/>
    <x v="751"/>
    <s v=""/>
    <m/>
    <m/>
    <n v="8080"/>
    <n v="2930"/>
    <s v=""/>
  </r>
  <r>
    <n v="510"/>
    <s v="180510"/>
    <d v="2018-06-19T00:00:00"/>
    <x v="265"/>
    <n v="52190"/>
    <x v="445"/>
    <n v="1"/>
    <x v="419"/>
    <x v="752"/>
    <n v="52190"/>
    <m/>
    <m/>
    <n v="36129"/>
    <n v="16061"/>
    <n v="16061"/>
  </r>
  <r>
    <n v="512"/>
    <s v="180512"/>
    <d v="2018-06-19T00:00:00"/>
    <x v="266"/>
    <n v="4890"/>
    <x v="445"/>
    <n v="1"/>
    <x v="419"/>
    <x v="753"/>
    <n v="4890"/>
    <m/>
    <m/>
    <n v="3667"/>
    <n v="1223"/>
    <n v="1223"/>
  </r>
  <r>
    <n v="500"/>
    <s v="180500"/>
    <d v="2018-06-15T00:00:00"/>
    <x v="267"/>
    <n v="89360"/>
    <x v="446"/>
    <n v="1"/>
    <x v="420"/>
    <x v="754"/>
    <n v="89360"/>
    <m/>
    <m/>
    <n v="70260"/>
    <n v="19100"/>
    <n v="19100"/>
  </r>
  <r>
    <n v="521"/>
    <s v="180521"/>
    <d v="2018-06-21T00:00:00"/>
    <x v="268"/>
    <n v="24691"/>
    <x v="446"/>
    <n v="1"/>
    <x v="421"/>
    <x v="755"/>
    <n v="24691"/>
    <m/>
    <m/>
    <n v="19566"/>
    <n v="5125"/>
    <n v="5125"/>
  </r>
  <r>
    <n v="526"/>
    <s v="180526"/>
    <d v="2018-06-25T00:00:00"/>
    <x v="269"/>
    <n v="22533"/>
    <x v="447"/>
    <n v="1"/>
    <x v="413"/>
    <x v="756"/>
    <n v="22533"/>
    <m/>
    <m/>
    <n v="17778"/>
    <n v="4755"/>
    <n v="4755"/>
  </r>
  <r>
    <n v="491"/>
    <s v="180491"/>
    <d v="2018-06-14T00:00:00"/>
    <x v="23"/>
    <n v="1246"/>
    <x v="447"/>
    <m/>
    <x v="417"/>
    <x v="757"/>
    <s v=""/>
    <m/>
    <m/>
    <n v="930"/>
    <n v="316"/>
    <s v=""/>
  </r>
  <r>
    <n v="514"/>
    <s v="180514"/>
    <d v="2018-06-25T00:00:00"/>
    <x v="270"/>
    <n v="82640"/>
    <x v="448"/>
    <n v="1"/>
    <x v="422"/>
    <x v="758"/>
    <n v="82640"/>
    <m/>
    <m/>
    <n v="39650"/>
    <n v="42990"/>
    <n v="42990"/>
  </r>
  <r>
    <n v="530"/>
    <s v="180530"/>
    <d v="2018-06-25T00:00:00"/>
    <x v="271"/>
    <n v="9338"/>
    <x v="449"/>
    <n v="1"/>
    <x v="421"/>
    <x v="759"/>
    <n v="9338"/>
    <m/>
    <m/>
    <n v="7252"/>
    <n v="2086"/>
    <n v="2086"/>
  </r>
  <r>
    <n v="506"/>
    <s v="180506"/>
    <d v="2018-06-18T00:00:00"/>
    <x v="135"/>
    <n v="5664"/>
    <x v="450"/>
    <m/>
    <x v="423"/>
    <x v="760"/>
    <s v=""/>
    <m/>
    <m/>
    <n v="4271"/>
    <n v="1393"/>
    <s v=""/>
  </r>
  <r>
    <n v="470"/>
    <s v="180470"/>
    <d v="2018-06-15T00:00:00"/>
    <x v="20"/>
    <n v="19336"/>
    <x v="450"/>
    <m/>
    <x v="392"/>
    <x v="761"/>
    <s v=""/>
    <m/>
    <m/>
    <n v="12851.9"/>
    <n v="6484.1"/>
    <s v=""/>
  </r>
  <r>
    <n v="437"/>
    <s v="180437"/>
    <d v="2018-05-31T00:00:00"/>
    <x v="11"/>
    <n v="91674"/>
    <x v="450"/>
    <m/>
    <x v="424"/>
    <x v="762"/>
    <s v=""/>
    <m/>
    <m/>
    <n v="68710"/>
    <n v="22964"/>
    <s v=""/>
  </r>
  <r>
    <n v="534"/>
    <s v="180534"/>
    <d v="2018-06-25T00:00:00"/>
    <x v="43"/>
    <n v="10386"/>
    <x v="450"/>
    <m/>
    <x v="425"/>
    <x v="763"/>
    <s v=""/>
    <m/>
    <m/>
    <n v="7508"/>
    <n v="2878"/>
    <s v=""/>
  </r>
  <r>
    <n v="443"/>
    <s v="180443"/>
    <d v="2018-05-31T00:00:00"/>
    <x v="88"/>
    <n v="21413"/>
    <x v="451"/>
    <m/>
    <x v="425"/>
    <x v="764"/>
    <s v=""/>
    <m/>
    <m/>
    <n v="13884"/>
    <n v="7529"/>
    <s v=""/>
  </r>
  <r>
    <n v="433"/>
    <s v="180433"/>
    <d v="2018-05-30T00:00:00"/>
    <x v="88"/>
    <n v="19334.400000000001"/>
    <x v="451"/>
    <m/>
    <x v="425"/>
    <x v="765"/>
    <s v=""/>
    <m/>
    <m/>
    <n v="15294"/>
    <n v="4040.4000000000015"/>
    <s v=""/>
  </r>
  <r>
    <n v="481"/>
    <s v="180481"/>
    <d v="2018-06-08T00:00:00"/>
    <x v="14"/>
    <n v="7350"/>
    <x v="451"/>
    <m/>
    <x v="426"/>
    <x v="766"/>
    <s v=""/>
    <m/>
    <m/>
    <n v="6546"/>
    <n v="804"/>
    <s v=""/>
  </r>
  <r>
    <n v="539"/>
    <s v="180539"/>
    <d v="2018-06-26T00:00:00"/>
    <x v="9"/>
    <n v="20400"/>
    <x v="451"/>
    <m/>
    <x v="420"/>
    <x v="767"/>
    <s v=""/>
    <m/>
    <m/>
    <n v="15060"/>
    <n v="5340"/>
    <s v=""/>
  </r>
  <r>
    <n v="540"/>
    <s v="180540"/>
    <d v="2018-06-29T00:00:00"/>
    <x v="272"/>
    <n v="6984"/>
    <x v="452"/>
    <n v="1"/>
    <x v="420"/>
    <x v="768"/>
    <n v="6984"/>
    <m/>
    <m/>
    <n v="5019"/>
    <n v="1965"/>
    <n v="1965"/>
  </r>
  <r>
    <n v="531"/>
    <s v="180531"/>
    <d v="2018-06-25T00:00:00"/>
    <x v="20"/>
    <n v="416"/>
    <x v="453"/>
    <m/>
    <x v="413"/>
    <x v="769"/>
    <s v=""/>
    <m/>
    <m/>
    <n v="282"/>
    <n v="134"/>
    <s v=""/>
  </r>
  <r>
    <n v="543"/>
    <s v="180543"/>
    <d v="2018-06-27T00:00:00"/>
    <x v="150"/>
    <n v="4344"/>
    <x v="453"/>
    <m/>
    <x v="415"/>
    <x v="770"/>
    <s v=""/>
    <m/>
    <m/>
    <n v="3248"/>
    <n v="1096"/>
    <s v=""/>
  </r>
  <r>
    <n v="565"/>
    <s v="180565"/>
    <d v="2018-07-03T00:00:00"/>
    <x v="251"/>
    <n v="3018"/>
    <x v="454"/>
    <m/>
    <x v="427"/>
    <x v="771"/>
    <s v=""/>
    <m/>
    <m/>
    <n v="1856"/>
    <n v="1162"/>
    <s v=""/>
  </r>
  <r>
    <n v="576"/>
    <s v="180576"/>
    <d v="2018-07-09T00:00:00"/>
    <x v="9"/>
    <n v="8585.4"/>
    <x v="455"/>
    <m/>
    <x v="428"/>
    <x v="772"/>
    <s v=""/>
    <m/>
    <m/>
    <n v="6412.8"/>
    <n v="2172.5999999999995"/>
    <s v=""/>
  </r>
  <r>
    <n v="572"/>
    <s v="180572"/>
    <d v="2018-07-06T00:00:00"/>
    <x v="89"/>
    <n v="7041"/>
    <x v="456"/>
    <m/>
    <x v="429"/>
    <x v="773"/>
    <s v=""/>
    <m/>
    <m/>
    <n v="5365"/>
    <n v="1676"/>
    <s v=""/>
  </r>
  <r>
    <n v="569"/>
    <s v="180569"/>
    <d v="2018-07-05T00:00:00"/>
    <x v="43"/>
    <n v="6690"/>
    <x v="456"/>
    <m/>
    <x v="430"/>
    <x v="774"/>
    <s v=""/>
    <m/>
    <m/>
    <n v="5220"/>
    <n v="1470"/>
    <s v=""/>
  </r>
  <r>
    <n v="434"/>
    <s v="180434"/>
    <d v="2018-06-01T00:00:00"/>
    <x v="13"/>
    <n v="58600"/>
    <x v="456"/>
    <m/>
    <x v="426"/>
    <x v="775"/>
    <s v=""/>
    <n v="15000"/>
    <n v="7200"/>
    <n v="6090"/>
    <n v="52510"/>
    <s v=""/>
  </r>
  <r>
    <n v="410"/>
    <s v="180410"/>
    <d v="2018-06-01T00:00:00"/>
    <x v="13"/>
    <n v="296000"/>
    <x v="456"/>
    <m/>
    <x v="412"/>
    <x v="776"/>
    <s v=""/>
    <m/>
    <m/>
    <n v="220736"/>
    <n v="75264"/>
    <s v=""/>
  </r>
  <r>
    <n v="587"/>
    <s v="180587"/>
    <d v="2018-07-11T00:00:00"/>
    <x v="147"/>
    <n v="17790"/>
    <x v="457"/>
    <m/>
    <x v="431"/>
    <x v="777"/>
    <s v=""/>
    <m/>
    <m/>
    <n v="12851"/>
    <n v="4939"/>
    <s v=""/>
  </r>
  <r>
    <n v="583"/>
    <s v="180583"/>
    <d v="2018-07-11T00:00:00"/>
    <x v="251"/>
    <n v="18290"/>
    <x v="457"/>
    <m/>
    <x v="427"/>
    <x v="778"/>
    <s v=""/>
    <m/>
    <m/>
    <n v="13827"/>
    <n v="4463"/>
    <s v=""/>
  </r>
  <r>
    <n v="584"/>
    <s v="180584"/>
    <d v="2018-07-11T00:00:00"/>
    <x v="157"/>
    <n v="4000"/>
    <x v="458"/>
    <m/>
    <x v="429"/>
    <x v="136"/>
    <s v=""/>
    <m/>
    <m/>
    <n v="2640"/>
    <n v="1360"/>
    <s v=""/>
  </r>
  <r>
    <n v="560"/>
    <s v="180560"/>
    <d v="2018-07-03T00:00:00"/>
    <x v="20"/>
    <n v="30642"/>
    <x v="459"/>
    <m/>
    <x v="423"/>
    <x v="779"/>
    <s v=""/>
    <m/>
    <m/>
    <n v="21549.9"/>
    <n v="9092.0999999999985"/>
    <s v=""/>
  </r>
  <r>
    <n v="592"/>
    <s v="180592"/>
    <d v="2018-07-12T00:00:00"/>
    <x v="211"/>
    <n v="7402"/>
    <x v="459"/>
    <m/>
    <x v="432"/>
    <x v="780"/>
    <s v=""/>
    <m/>
    <m/>
    <n v="5699"/>
    <n v="1703"/>
    <s v=""/>
  </r>
  <r>
    <n v="594"/>
    <s v="180594"/>
    <d v="2018-07-13T00:00:00"/>
    <x v="126"/>
    <n v="1922.7"/>
    <x v="459"/>
    <m/>
    <x v="431"/>
    <x v="781"/>
    <s v=""/>
    <m/>
    <m/>
    <n v="1764"/>
    <n v="158.70000000000005"/>
    <s v=""/>
  </r>
  <r>
    <n v="588"/>
    <s v="180588"/>
    <d v="2018-07-12T00:00:00"/>
    <x v="251"/>
    <n v="2543"/>
    <x v="460"/>
    <m/>
    <x v="427"/>
    <x v="782"/>
    <s v=""/>
    <m/>
    <m/>
    <n v="1995"/>
    <n v="548"/>
    <s v=""/>
  </r>
  <r>
    <n v="595"/>
    <s v="180595"/>
    <d v="2018-07-13T00:00:00"/>
    <x v="1"/>
    <n v="4613"/>
    <x v="460"/>
    <m/>
    <x v="433"/>
    <x v="783"/>
    <s v=""/>
    <m/>
    <m/>
    <n v="3696"/>
    <n v="917"/>
    <s v=""/>
  </r>
  <r>
    <n v="590"/>
    <s v="180590"/>
    <d v="2018-07-12T00:00:00"/>
    <x v="47"/>
    <n v="9226"/>
    <x v="460"/>
    <m/>
    <x v="434"/>
    <x v="784"/>
    <s v=""/>
    <m/>
    <m/>
    <n v="7393"/>
    <n v="1833"/>
    <s v=""/>
  </r>
  <r>
    <n v="606"/>
    <s v="180606"/>
    <d v="2018-07-18T00:00:00"/>
    <x v="10"/>
    <n v="8490.65"/>
    <x v="461"/>
    <m/>
    <x v="430"/>
    <x v="785"/>
    <s v=""/>
    <m/>
    <m/>
    <n v="7299"/>
    <n v="1191.6499999999996"/>
    <s v=""/>
  </r>
  <r>
    <n v="608"/>
    <s v="180608"/>
    <d v="2018-07-18T00:00:00"/>
    <x v="32"/>
    <n v="4400"/>
    <x v="462"/>
    <m/>
    <x v="421"/>
    <x v="786"/>
    <s v=""/>
    <m/>
    <m/>
    <n v="3080"/>
    <n v="1320"/>
    <s v=""/>
  </r>
  <r>
    <n v="581"/>
    <s v="180581"/>
    <d v="2018-07-11T00:00:00"/>
    <x v="32"/>
    <n v="1656"/>
    <x v="462"/>
    <m/>
    <x v="421"/>
    <x v="787"/>
    <s v=""/>
    <m/>
    <m/>
    <n v="1106"/>
    <n v="550"/>
    <s v=""/>
  </r>
  <r>
    <n v="621"/>
    <s v="180621"/>
    <d v="2018-07-23T00:00:00"/>
    <x v="273"/>
    <n v="21990"/>
    <x v="463"/>
    <n v="1"/>
    <x v="432"/>
    <x v="788"/>
    <n v="21990"/>
    <m/>
    <m/>
    <n v="16162"/>
    <n v="5828"/>
    <n v="5828"/>
  </r>
  <r>
    <n v="603"/>
    <s v="180603"/>
    <d v="2018-07-17T00:00:00"/>
    <x v="88"/>
    <n v="4010"/>
    <x v="464"/>
    <m/>
    <x v="421"/>
    <x v="789"/>
    <s v=""/>
    <m/>
    <m/>
    <n v="3042"/>
    <n v="968"/>
    <s v=""/>
  </r>
  <r>
    <n v="625"/>
    <s v="180625"/>
    <d v="2018-07-24T00:00:00"/>
    <x v="245"/>
    <n v="5148"/>
    <x v="464"/>
    <m/>
    <x v="430"/>
    <x v="790"/>
    <s v=""/>
    <m/>
    <m/>
    <n v="3963"/>
    <n v="1185"/>
    <s v=""/>
  </r>
  <r>
    <n v="612"/>
    <s v="180612"/>
    <d v="2018-07-19T00:00:00"/>
    <x v="23"/>
    <n v="9908"/>
    <x v="465"/>
    <m/>
    <x v="435"/>
    <x v="791"/>
    <s v=""/>
    <m/>
    <m/>
    <n v="7728"/>
    <n v="2180"/>
    <s v=""/>
  </r>
  <r>
    <n v="649"/>
    <s v="180649"/>
    <d v="2018-07-30T00:00:00"/>
    <x v="1"/>
    <n v="4954"/>
    <x v="466"/>
    <m/>
    <x v="414"/>
    <x v="792"/>
    <s v=""/>
    <m/>
    <m/>
    <n v="3862"/>
    <n v="1092"/>
    <s v=""/>
  </r>
  <r>
    <n v="575"/>
    <s v="180575"/>
    <d v="2018-07-24T00:00:00"/>
    <x v="274"/>
    <n v="13990"/>
    <x v="466"/>
    <n v="1"/>
    <x v="430"/>
    <x v="793"/>
    <n v="13990"/>
    <m/>
    <m/>
    <n v="10576"/>
    <n v="3414"/>
    <n v="3414"/>
  </r>
  <r>
    <n v="648"/>
    <s v="180648"/>
    <d v="2018-07-30T00:00:00"/>
    <x v="275"/>
    <n v="5314"/>
    <x v="467"/>
    <n v="1"/>
    <x v="436"/>
    <x v="794"/>
    <n v="5314"/>
    <m/>
    <m/>
    <n v="4257"/>
    <n v="1057"/>
    <n v="1057"/>
  </r>
  <r>
    <n v="651"/>
    <s v="180651"/>
    <d v="2018-07-31T00:00:00"/>
    <x v="70"/>
    <n v="8910"/>
    <x v="468"/>
    <m/>
    <x v="437"/>
    <x v="795"/>
    <s v=""/>
    <m/>
    <n v="600"/>
    <n v="5053"/>
    <n v="3857"/>
    <s v=""/>
  </r>
  <r>
    <n v="646"/>
    <s v="180646"/>
    <d v="2018-07-30T00:00:00"/>
    <x v="152"/>
    <n v="524"/>
    <x v="468"/>
    <m/>
    <x v="438"/>
    <x v="796"/>
    <s v=""/>
    <m/>
    <m/>
    <n v="348"/>
    <n v="176"/>
    <s v=""/>
  </r>
  <r>
    <n v="657"/>
    <s v="180657"/>
    <d v="2018-07-31T00:00:00"/>
    <x v="54"/>
    <n v="19815.98"/>
    <x v="468"/>
    <m/>
    <x v="437"/>
    <x v="797"/>
    <s v=""/>
    <m/>
    <m/>
    <n v="15449"/>
    <n v="4366.9799999999996"/>
    <s v=""/>
  </r>
  <r>
    <n v="670"/>
    <s v="180670"/>
    <d v="2018-08-03T00:00:00"/>
    <x v="276"/>
    <n v="9290"/>
    <x v="469"/>
    <n v="1"/>
    <x v="437"/>
    <x v="548"/>
    <n v="9290"/>
    <m/>
    <m/>
    <n v="6607"/>
    <n v="2683"/>
    <n v="2683"/>
  </r>
  <r>
    <n v="674"/>
    <s v="180674"/>
    <d v="2018-08-06T00:00:00"/>
    <x v="277"/>
    <n v="5235"/>
    <x v="470"/>
    <n v="1"/>
    <x v="439"/>
    <x v="798"/>
    <n v="5235"/>
    <m/>
    <m/>
    <n v="4048"/>
    <n v="1187"/>
    <n v="1187"/>
  </r>
  <r>
    <n v="618"/>
    <s v="180618"/>
    <d v="2018-07-24T00:00:00"/>
    <x v="150"/>
    <n v="25487"/>
    <x v="471"/>
    <m/>
    <x v="440"/>
    <x v="799"/>
    <s v=""/>
    <m/>
    <n v="1200"/>
    <n v="13301"/>
    <n v="12186"/>
    <s v=""/>
  </r>
  <r>
    <n v="638"/>
    <s v="180638"/>
    <d v="2018-09-07T00:00:00"/>
    <x v="70"/>
    <n v="11540"/>
    <x v="472"/>
    <m/>
    <x v="441"/>
    <x v="800"/>
    <s v=""/>
    <m/>
    <m/>
    <n v="8975"/>
    <n v="2565"/>
    <s v=""/>
  </r>
  <r>
    <n v="693"/>
    <s v="180693"/>
    <d v="2018-08-09T00:00:00"/>
    <x v="278"/>
    <n v="34171"/>
    <x v="473"/>
    <n v="1"/>
    <x v="442"/>
    <x v="801"/>
    <n v="34171"/>
    <m/>
    <m/>
    <n v="25848"/>
    <n v="8323"/>
    <n v="8323"/>
  </r>
  <r>
    <n v="964"/>
    <s v="180964"/>
    <d v="2018-08-09T00:00:00"/>
    <x v="224"/>
    <n v="4000"/>
    <x v="473"/>
    <m/>
    <x v="443"/>
    <x v="136"/>
    <s v=""/>
    <m/>
    <n v="600"/>
    <n v="1224"/>
    <n v="2776"/>
    <s v=""/>
  </r>
  <r>
    <n v="614"/>
    <s v="180614"/>
    <d v="2018-07-19T00:00:00"/>
    <x v="37"/>
    <n v="20249"/>
    <x v="474"/>
    <m/>
    <x v="444"/>
    <x v="802"/>
    <s v=""/>
    <m/>
    <m/>
    <n v="7868"/>
    <n v="2226"/>
    <s v=""/>
  </r>
  <r>
    <n v="686"/>
    <s v="180686"/>
    <d v="2018-08-08T00:00:00"/>
    <x v="236"/>
    <n v="10000"/>
    <x v="475"/>
    <m/>
    <x v="414"/>
    <x v="640"/>
    <s v=""/>
    <m/>
    <m/>
    <n v="5740"/>
    <n v="4260"/>
    <s v=""/>
  </r>
  <r>
    <n v="676"/>
    <s v="180676"/>
    <d v="2018-08-06T00:00:00"/>
    <x v="236"/>
    <n v="10000"/>
    <x v="475"/>
    <m/>
    <x v="414"/>
    <x v="640"/>
    <s v=""/>
    <m/>
    <n v="1200"/>
    <n v="2619"/>
    <n v="7381"/>
    <s v=""/>
  </r>
  <r>
    <n v="671"/>
    <s v="180671"/>
    <d v="2018-08-03T00:00:00"/>
    <x v="239"/>
    <n v="2642"/>
    <x v="475"/>
    <m/>
    <x v="445"/>
    <x v="803"/>
    <s v=""/>
    <m/>
    <m/>
    <n v="1592"/>
    <n v="1050"/>
    <s v=""/>
  </r>
  <r>
    <n v="697"/>
    <s v="180697"/>
    <d v="2018-08-10T00:00:00"/>
    <x v="275"/>
    <n v="3810"/>
    <x v="475"/>
    <n v="1"/>
    <x v="414"/>
    <x v="804"/>
    <n v="3810"/>
    <m/>
    <m/>
    <n v="3053"/>
    <n v="757"/>
    <n v="757"/>
  </r>
  <r>
    <n v="698"/>
    <s v="180698"/>
    <d v="2018-08-10T00:00:00"/>
    <x v="59"/>
    <n v="1529"/>
    <x v="476"/>
    <m/>
    <x v="446"/>
    <x v="441"/>
    <s v=""/>
    <m/>
    <m/>
    <n v="1062"/>
    <n v="467"/>
    <s v=""/>
  </r>
  <r>
    <n v="700"/>
    <s v="180700"/>
    <d v="2018-08-13T00:00:00"/>
    <x v="279"/>
    <n v="974"/>
    <x v="476"/>
    <m/>
    <x v="447"/>
    <x v="805"/>
    <s v=""/>
    <m/>
    <m/>
    <n v="642"/>
    <n v="332"/>
    <s v=""/>
  </r>
  <r>
    <n v="661"/>
    <s v="180661"/>
    <d v="2018-08-02T00:00:00"/>
    <x v="192"/>
    <n v="2160"/>
    <x v="477"/>
    <m/>
    <x v="437"/>
    <x v="733"/>
    <s v=""/>
    <m/>
    <m/>
    <n v="1638"/>
    <n v="522"/>
    <s v=""/>
  </r>
  <r>
    <n v="662"/>
    <s v="180662"/>
    <d v="2018-08-02T00:00:00"/>
    <x v="88"/>
    <n v="22634.7"/>
    <x v="477"/>
    <m/>
    <x v="448"/>
    <x v="806"/>
    <s v=""/>
    <m/>
    <m/>
    <n v="18490"/>
    <n v="4144.7000000000007"/>
    <s v=""/>
  </r>
  <r>
    <n v="699"/>
    <s v="180699"/>
    <d v="2018-08-10T00:00:00"/>
    <x v="175"/>
    <n v="39706"/>
    <x v="477"/>
    <m/>
    <x v="449"/>
    <x v="807"/>
    <s v=""/>
    <m/>
    <m/>
    <n v="30164"/>
    <n v="9542"/>
    <s v=""/>
  </r>
  <r>
    <n v="716"/>
    <s v="180716"/>
    <d v="2018-08-20T00:00:00"/>
    <x v="136"/>
    <n v="3978"/>
    <x v="478"/>
    <m/>
    <x v="450"/>
    <x v="808"/>
    <s v=""/>
    <m/>
    <m/>
    <n v="2898"/>
    <n v="1080"/>
    <s v=""/>
  </r>
  <r>
    <n v="619"/>
    <s v="180619"/>
    <d v="2018-07-23T00:00:00"/>
    <x v="20"/>
    <n v="53558"/>
    <x v="479"/>
    <m/>
    <x v="451"/>
    <x v="809"/>
    <s v=""/>
    <m/>
    <m/>
    <n v="36491"/>
    <n v="17067"/>
    <s v=""/>
  </r>
  <r>
    <n v="616"/>
    <s v="180616"/>
    <d v="2018-07-20T00:00:00"/>
    <x v="23"/>
    <n v="3670"/>
    <x v="479"/>
    <m/>
    <x v="414"/>
    <x v="810"/>
    <s v=""/>
    <m/>
    <m/>
    <n v="2718"/>
    <n v="952"/>
    <s v=""/>
  </r>
  <r>
    <n v="714"/>
    <s v="180714"/>
    <d v="2018-08-17T00:00:00"/>
    <x v="268"/>
    <n v="21444"/>
    <x v="480"/>
    <m/>
    <x v="450"/>
    <x v="811"/>
    <s v=""/>
    <m/>
    <m/>
    <n v="17344"/>
    <n v="4100"/>
    <s v=""/>
  </r>
  <r>
    <n v="611"/>
    <s v="180611"/>
    <d v="2018-07-18T00:00:00"/>
    <x v="13"/>
    <n v="151760"/>
    <x v="481"/>
    <m/>
    <x v="429"/>
    <x v="812"/>
    <s v=""/>
    <n v="36000"/>
    <n v="21600"/>
    <n v="23948"/>
    <n v="127812"/>
    <s v=""/>
  </r>
  <r>
    <n v="690"/>
    <s v="180690"/>
    <d v="2018-08-08T00:00:00"/>
    <x v="13"/>
    <n v="9613"/>
    <x v="481"/>
    <m/>
    <x v="452"/>
    <x v="813"/>
    <s v=""/>
    <m/>
    <m/>
    <n v="6566"/>
    <n v="3047"/>
    <s v=""/>
  </r>
  <r>
    <n v="614"/>
    <s v="180614"/>
    <d v="2018-07-19T00:00:00"/>
    <x v="37"/>
    <n v="20249"/>
    <x v="482"/>
    <m/>
    <x v="442"/>
    <x v="814"/>
    <s v=""/>
    <m/>
    <m/>
    <n v="7920"/>
    <n v="2235"/>
    <s v=""/>
  </r>
  <r>
    <n v="734"/>
    <s v="180734"/>
    <d v="2018-08-28T00:00:00"/>
    <x v="43"/>
    <n v="6015"/>
    <x v="482"/>
    <m/>
    <x v="453"/>
    <x v="815"/>
    <s v=""/>
    <m/>
    <m/>
    <n v="4563"/>
    <n v="1452"/>
    <s v=""/>
  </r>
  <r>
    <n v="736"/>
    <s v="180736"/>
    <d v="2018-08-29T00:00:00"/>
    <x v="280"/>
    <n v="9362.75"/>
    <x v="482"/>
    <m/>
    <x v="454"/>
    <x v="816"/>
    <s v=""/>
    <m/>
    <m/>
    <n v="8380"/>
    <n v="982.75"/>
    <s v=""/>
  </r>
  <r>
    <n v="747"/>
    <s v="180747"/>
    <d v="2018-08-31T00:00:00"/>
    <x v="268"/>
    <n v="6237"/>
    <x v="483"/>
    <m/>
    <x v="455"/>
    <x v="817"/>
    <s v=""/>
    <m/>
    <m/>
    <n v="4802"/>
    <n v="1435"/>
    <s v=""/>
  </r>
  <r>
    <n v="645"/>
    <s v="180645"/>
    <d v="2018-07-27T00:00:00"/>
    <x v="150"/>
    <n v="78122"/>
    <x v="484"/>
    <m/>
    <x v="456"/>
    <x v="818"/>
    <s v=""/>
    <m/>
    <n v="1200"/>
    <n v="47977"/>
    <n v="30145"/>
    <s v=""/>
  </r>
  <r>
    <n v="739"/>
    <s v="180739"/>
    <d v="2018-08-29T00:00:00"/>
    <x v="88"/>
    <n v="10706.5"/>
    <x v="485"/>
    <m/>
    <x v="457"/>
    <x v="819"/>
    <s v=""/>
    <m/>
    <m/>
    <n v="6840"/>
    <n v="3866.5"/>
    <s v=""/>
  </r>
  <r>
    <n v="755"/>
    <s v="180755"/>
    <d v="2018-09-05T00:00:00"/>
    <x v="260"/>
    <n v="1385"/>
    <x v="485"/>
    <m/>
    <x v="458"/>
    <x v="743"/>
    <s v=""/>
    <m/>
    <m/>
    <n v="1080"/>
    <n v="305"/>
    <s v=""/>
  </r>
  <r>
    <n v="759"/>
    <s v="180759"/>
    <d v="2018-09-06T00:00:00"/>
    <x v="204"/>
    <n v="2160"/>
    <x v="486"/>
    <m/>
    <x v="459"/>
    <x v="733"/>
    <s v=""/>
    <m/>
    <m/>
    <n v="1684"/>
    <n v="476"/>
    <s v=""/>
  </r>
  <r>
    <n v="760"/>
    <s v="180760"/>
    <d v="2018-09-07T00:00:00"/>
    <x v="264"/>
    <n v="6771"/>
    <x v="487"/>
    <m/>
    <x v="460"/>
    <x v="820"/>
    <s v=""/>
    <m/>
    <m/>
    <n v="5030"/>
    <n v="1741"/>
    <s v=""/>
  </r>
  <r>
    <n v="735"/>
    <s v="180735"/>
    <d v="2018-08-29T00:00:00"/>
    <x v="88"/>
    <n v="22634.7"/>
    <x v="488"/>
    <m/>
    <x v="447"/>
    <x v="806"/>
    <s v=""/>
    <m/>
    <m/>
    <n v="18533"/>
    <n v="4101.7000000000007"/>
    <s v=""/>
  </r>
  <r>
    <n v="754"/>
    <s v="180754"/>
    <d v="2018-09-04T00:00:00"/>
    <x v="279"/>
    <n v="7242"/>
    <x v="489"/>
    <m/>
    <x v="447"/>
    <x v="821"/>
    <s v=""/>
    <m/>
    <m/>
    <n v="5646"/>
    <n v="1596"/>
    <s v=""/>
  </r>
  <r>
    <n v="773"/>
    <s v="180773"/>
    <d v="2018-09-12T00:00:00"/>
    <x v="281"/>
    <n v="16264"/>
    <x v="489"/>
    <m/>
    <x v="461"/>
    <x v="822"/>
    <s v=""/>
    <m/>
    <m/>
    <n v="12102"/>
    <n v="4162"/>
    <s v=""/>
  </r>
  <r>
    <n v="641"/>
    <s v="180641"/>
    <d v="2018-08-06T00:00:00"/>
    <x v="11"/>
    <n v="157125.75"/>
    <x v="490"/>
    <m/>
    <x v="462"/>
    <x v="823"/>
    <s v=""/>
    <m/>
    <m/>
    <n v="94067"/>
    <n v="63058.75"/>
    <s v=""/>
  </r>
  <r>
    <n v="802"/>
    <s v="180802"/>
    <d v="2018-09-19T00:00:00"/>
    <x v="268"/>
    <n v="2450"/>
    <x v="491"/>
    <m/>
    <x v="447"/>
    <x v="126"/>
    <s v=""/>
    <m/>
    <m/>
    <n v="2182"/>
    <n v="268"/>
    <s v=""/>
  </r>
  <r>
    <n v="738"/>
    <s v="180738"/>
    <d v="2018-09-11T00:00:00"/>
    <x v="20"/>
    <n v="15700"/>
    <x v="492"/>
    <m/>
    <x v="460"/>
    <x v="824"/>
    <s v=""/>
    <m/>
    <m/>
    <n v="11962"/>
    <n v="3738"/>
    <s v=""/>
  </r>
  <r>
    <n v="591"/>
    <s v="180591"/>
    <d v="2018-07-12T00:00:00"/>
    <x v="36"/>
    <n v="128579.91"/>
    <x v="493"/>
    <m/>
    <x v="463"/>
    <x v="825"/>
    <s v=""/>
    <m/>
    <m/>
    <n v="100088"/>
    <n v="28491.910000000003"/>
    <s v=""/>
  </r>
  <r>
    <n v="814"/>
    <s v="180814"/>
    <d v="2018-09-21T00:00:00"/>
    <x v="192"/>
    <n v="3240"/>
    <x v="493"/>
    <m/>
    <x v="445"/>
    <x v="826"/>
    <s v=""/>
    <m/>
    <m/>
    <n v="2595"/>
    <n v="645"/>
    <s v=""/>
  </r>
  <r>
    <n v="495"/>
    <s v="180495"/>
    <d v="2018-06-14T00:00:00"/>
    <x v="11"/>
    <n v="10296"/>
    <x v="494"/>
    <m/>
    <x v="415"/>
    <x v="827"/>
    <s v=""/>
    <m/>
    <m/>
    <n v="7926"/>
    <n v="2370"/>
    <s v=""/>
  </r>
  <r>
    <n v="650"/>
    <s v="180650"/>
    <d v="2018-10-01T00:00:00"/>
    <x v="236"/>
    <n v="4000"/>
    <x v="495"/>
    <m/>
    <x v="456"/>
    <x v="136"/>
    <s v=""/>
    <m/>
    <n v="600"/>
    <n v="2126"/>
    <n v="1874"/>
    <s v=""/>
  </r>
  <r>
    <n v="840"/>
    <s v="180840"/>
    <d v="2018-10-02T00:00:00"/>
    <x v="282"/>
    <n v="17990"/>
    <x v="496"/>
    <n v="1"/>
    <x v="464"/>
    <x v="690"/>
    <n v="17990"/>
    <m/>
    <m/>
    <n v="13222"/>
    <n v="4768"/>
    <n v="4768"/>
  </r>
  <r>
    <n v="815"/>
    <s v="180815"/>
    <d v="2018-10-24T00:00:00"/>
    <x v="261"/>
    <n v="9232"/>
    <x v="497"/>
    <m/>
    <x v="465"/>
    <x v="828"/>
    <s v=""/>
    <m/>
    <m/>
    <n v="6290"/>
    <n v="2942"/>
    <s v=""/>
  </r>
  <r>
    <n v="847"/>
    <s v="180847"/>
    <d v="2018-10-04T00:00:00"/>
    <x v="283"/>
    <n v="1385"/>
    <x v="498"/>
    <n v="1"/>
    <x v="464"/>
    <x v="743"/>
    <n v="1385"/>
    <m/>
    <m/>
    <n v="1080"/>
    <n v="305"/>
    <n v="305"/>
  </r>
  <r>
    <n v="853"/>
    <s v="180853"/>
    <d v="2018-10-05T00:00:00"/>
    <x v="27"/>
    <n v="7402"/>
    <x v="498"/>
    <m/>
    <x v="466"/>
    <x v="780"/>
    <s v=""/>
    <m/>
    <m/>
    <n v="5699"/>
    <n v="1703"/>
    <s v=""/>
  </r>
  <r>
    <n v="846"/>
    <s v="180846"/>
    <d v="2018-10-04T00:00:00"/>
    <x v="126"/>
    <n v="30089.15"/>
    <x v="499"/>
    <m/>
    <x v="464"/>
    <x v="829"/>
    <s v=""/>
    <m/>
    <m/>
    <n v="26762"/>
    <n v="3327.1500000000015"/>
    <s v=""/>
  </r>
  <r>
    <n v="855"/>
    <s v="180855"/>
    <d v="2018-10-08T00:00:00"/>
    <x v="159"/>
    <n v="15596"/>
    <x v="499"/>
    <m/>
    <x v="467"/>
    <x v="830"/>
    <s v=""/>
    <m/>
    <m/>
    <n v="10904"/>
    <n v="4692"/>
    <s v=""/>
  </r>
  <r>
    <n v="695"/>
    <s v="180695"/>
    <d v="2018-09-28T00:00:00"/>
    <x v="123"/>
    <n v="111443"/>
    <x v="500"/>
    <m/>
    <x v="468"/>
    <x v="831"/>
    <s v=""/>
    <m/>
    <m/>
    <n v="77301.259999999995"/>
    <n v="34141.740000000005"/>
    <s v=""/>
  </r>
  <r>
    <n v="669"/>
    <s v="180669"/>
    <d v="2018-08-02T00:00:00"/>
    <x v="150"/>
    <n v="18621"/>
    <x v="500"/>
    <m/>
    <x v="456"/>
    <x v="832"/>
    <s v=""/>
    <m/>
    <m/>
    <n v="12664"/>
    <n v="5957"/>
    <s v=""/>
  </r>
  <r>
    <n v="859"/>
    <s v="180859"/>
    <d v="2018-10-08T00:00:00"/>
    <x v="284"/>
    <n v="9925"/>
    <x v="500"/>
    <n v="1"/>
    <x v="469"/>
    <x v="833"/>
    <n v="9925"/>
    <m/>
    <m/>
    <n v="7110"/>
    <n v="2815"/>
    <n v="2815"/>
  </r>
  <r>
    <n v="854"/>
    <s v="180854"/>
    <d v="2018-10-08T00:00:00"/>
    <x v="88"/>
    <n v="22634.7"/>
    <x v="501"/>
    <m/>
    <x v="470"/>
    <x v="806"/>
    <s v=""/>
    <m/>
    <m/>
    <n v="18576"/>
    <n v="4058.7000000000007"/>
    <s v=""/>
  </r>
  <r>
    <n v="771"/>
    <s v="180771"/>
    <d v="2018-10-11T00:00:00"/>
    <x v="136"/>
    <n v="6694"/>
    <x v="502"/>
    <m/>
    <x v="471"/>
    <x v="834"/>
    <s v=""/>
    <m/>
    <m/>
    <n v="5006"/>
    <n v="1688"/>
    <s v=""/>
  </r>
  <r>
    <n v="872"/>
    <s v="180872"/>
    <d v="2018-10-11T00:00:00"/>
    <x v="146"/>
    <n v="5100"/>
    <x v="503"/>
    <m/>
    <x v="472"/>
    <x v="835"/>
    <s v=""/>
    <m/>
    <m/>
    <n v="3765"/>
    <n v="1335"/>
    <s v=""/>
  </r>
  <r>
    <n v="875"/>
    <s v="180875"/>
    <d v="2018-10-15T00:00:00"/>
    <x v="285"/>
    <n v="4613"/>
    <x v="503"/>
    <n v="1"/>
    <x v="473"/>
    <x v="783"/>
    <n v="4613"/>
    <m/>
    <m/>
    <n v="3597"/>
    <n v="1016"/>
    <n v="1016"/>
  </r>
  <r>
    <n v="881"/>
    <s v="180881"/>
    <d v="2018-10-15T00:00:00"/>
    <x v="54"/>
    <n v="3232"/>
    <x v="504"/>
    <m/>
    <x v="467"/>
    <x v="836"/>
    <s v=""/>
    <m/>
    <m/>
    <n v="2416"/>
    <n v="816"/>
    <s v=""/>
  </r>
  <r>
    <n v="873"/>
    <s v="180873"/>
    <d v="2018-10-12T00:00:00"/>
    <x v="264"/>
    <n v="1272"/>
    <x v="504"/>
    <m/>
    <x v="474"/>
    <x v="837"/>
    <s v=""/>
    <m/>
    <m/>
    <n v="990"/>
    <n v="282"/>
    <s v=""/>
  </r>
  <r>
    <n v="876"/>
    <s v="180876"/>
    <d v="2018-10-15T00:00:00"/>
    <x v="159"/>
    <n v="1748"/>
    <x v="505"/>
    <m/>
    <x v="467"/>
    <x v="838"/>
    <s v=""/>
    <m/>
    <m/>
    <n v="1362"/>
    <n v="386"/>
    <s v=""/>
  </r>
  <r>
    <n v="856"/>
    <s v="180856"/>
    <d v="2018-10-19T00:00:00"/>
    <x v="227"/>
    <n v="60781.5"/>
    <x v="506"/>
    <m/>
    <x v="467"/>
    <x v="839"/>
    <s v=""/>
    <m/>
    <m/>
    <n v="51391"/>
    <n v="9390.5"/>
    <s v=""/>
  </r>
  <r>
    <n v="828"/>
    <s v="180828"/>
    <d v="2018-10-01T00:00:00"/>
    <x v="20"/>
    <n v="5000"/>
    <x v="506"/>
    <m/>
    <x v="475"/>
    <x v="840"/>
    <s v=""/>
    <m/>
    <m/>
    <n v="2870"/>
    <n v="2130"/>
    <s v=""/>
  </r>
  <r>
    <n v="867"/>
    <s v="180867"/>
    <d v="2018-10-11T00:00:00"/>
    <x v="150"/>
    <n v="12412"/>
    <x v="507"/>
    <m/>
    <x v="476"/>
    <x v="841"/>
    <s v=""/>
    <m/>
    <m/>
    <n v="8040"/>
    <n v="4372"/>
    <s v=""/>
  </r>
  <r>
    <n v="866"/>
    <s v="180866"/>
    <d v="2018-10-15T00:00:00"/>
    <x v="150"/>
    <n v="49361"/>
    <x v="507"/>
    <m/>
    <x v="477"/>
    <x v="842"/>
    <s v=""/>
    <m/>
    <n v="1200"/>
    <n v="31700"/>
    <n v="17661"/>
    <s v=""/>
  </r>
  <r>
    <n v="850"/>
    <s v="180850"/>
    <d v="2018-10-04T00:00:00"/>
    <x v="102"/>
    <n v="7108"/>
    <x v="508"/>
    <m/>
    <x v="478"/>
    <x v="843"/>
    <s v=""/>
    <m/>
    <m/>
    <n v="5422"/>
    <n v="1686"/>
    <s v=""/>
  </r>
  <r>
    <n v="879"/>
    <s v="180879"/>
    <d v="2018-10-15T00:00:00"/>
    <x v="23"/>
    <n v="51854"/>
    <x v="509"/>
    <m/>
    <x v="479"/>
    <x v="844"/>
    <s v=""/>
    <m/>
    <m/>
    <n v="43318"/>
    <n v="8536"/>
    <s v=""/>
  </r>
  <r>
    <n v="870"/>
    <s v="180870"/>
    <d v="2018-10-12T00:00:00"/>
    <x v="102"/>
    <n v="16722"/>
    <x v="510"/>
    <m/>
    <x v="480"/>
    <x v="845"/>
    <s v=""/>
    <m/>
    <m/>
    <n v="13042"/>
    <n v="3680"/>
    <s v=""/>
  </r>
  <r>
    <n v="833"/>
    <s v="180833"/>
    <d v="2018-10-23T00:00:00"/>
    <x v="13"/>
    <n v="583960"/>
    <x v="510"/>
    <m/>
    <x v="481"/>
    <x v="846"/>
    <s v=""/>
    <m/>
    <m/>
    <n v="441472"/>
    <n v="142488"/>
    <s v=""/>
  </r>
  <r>
    <n v="789"/>
    <s v="180789"/>
    <d v="2018-10-01T00:00:00"/>
    <x v="13"/>
    <n v="48063"/>
    <x v="510"/>
    <m/>
    <x v="482"/>
    <x v="847"/>
    <s v=""/>
    <n v="6000"/>
    <n v="1200"/>
    <n v="21010"/>
    <n v="27053"/>
    <s v=""/>
  </r>
  <r>
    <n v="832"/>
    <s v="180832"/>
    <d v="2018-10-01T00:00:00"/>
    <x v="13"/>
    <n v="4910"/>
    <x v="510"/>
    <m/>
    <x v="482"/>
    <x v="848"/>
    <s v=""/>
    <m/>
    <m/>
    <n v="3829"/>
    <n v="1081"/>
    <s v=""/>
  </r>
  <r>
    <n v="831"/>
    <s v="180831"/>
    <d v="2018-10-23T00:00:00"/>
    <x v="13"/>
    <n v="140640"/>
    <x v="510"/>
    <m/>
    <x v="481"/>
    <x v="849"/>
    <s v=""/>
    <n v="36000"/>
    <n v="7200"/>
    <n v="15576"/>
    <n v="125064"/>
    <s v=""/>
  </r>
  <r>
    <n v="895"/>
    <s v="180895"/>
    <d v="2018-10-23T00:00:00"/>
    <x v="1"/>
    <n v="2500"/>
    <x v="511"/>
    <m/>
    <x v="480"/>
    <x v="478"/>
    <s v=""/>
    <m/>
    <m/>
    <n v="1250"/>
    <n v="1250"/>
    <s v=""/>
  </r>
  <r>
    <n v="915"/>
    <s v="180915"/>
    <d v="2018-11-01T00:00:00"/>
    <x v="275"/>
    <n v="4000"/>
    <x v="512"/>
    <m/>
    <x v="483"/>
    <x v="136"/>
    <s v=""/>
    <m/>
    <n v="600"/>
    <n v="1281.73"/>
    <n v="2718.27"/>
    <s v=""/>
  </r>
  <r>
    <n v="933"/>
    <s v="180933"/>
    <d v="2018-11-07T00:00:00"/>
    <x v="9"/>
    <n v="16156"/>
    <x v="513"/>
    <m/>
    <x v="484"/>
    <x v="850"/>
    <s v=""/>
    <m/>
    <m/>
    <n v="12604"/>
    <n v="3552"/>
    <s v=""/>
  </r>
  <r>
    <n v="931"/>
    <s v="180931"/>
    <d v="2018-11-07T00:00:00"/>
    <x v="245"/>
    <n v="2450"/>
    <x v="514"/>
    <m/>
    <x v="485"/>
    <x v="126"/>
    <s v=""/>
    <m/>
    <m/>
    <n v="2182"/>
    <n v="268"/>
    <s v=""/>
  </r>
  <r>
    <n v="941"/>
    <s v="180941"/>
    <d v="2018-11-09T00:00:00"/>
    <x v="57"/>
    <n v="34390"/>
    <x v="515"/>
    <m/>
    <x v="486"/>
    <x v="851"/>
    <s v=""/>
    <m/>
    <m/>
    <n v="25999"/>
    <n v="8391"/>
    <s v=""/>
  </r>
  <r>
    <n v="937"/>
    <s v="180937"/>
    <d v="2018-11-08T00:00:00"/>
    <x v="23"/>
    <n v="9109"/>
    <x v="516"/>
    <m/>
    <x v="487"/>
    <x v="852"/>
    <s v=""/>
    <m/>
    <m/>
    <n v="6865"/>
    <n v="2244"/>
    <s v=""/>
  </r>
  <r>
    <n v="916"/>
    <s v="180916"/>
    <d v="2018-11-12T00:00:00"/>
    <x v="228"/>
    <n v="8086"/>
    <x v="517"/>
    <m/>
    <x v="487"/>
    <x v="853"/>
    <s v=""/>
    <m/>
    <m/>
    <n v="6140"/>
    <n v="1946"/>
    <s v=""/>
  </r>
  <r>
    <n v="960"/>
    <s v="180960"/>
    <d v="2018-11-16T00:00:00"/>
    <x v="9"/>
    <n v="35700"/>
    <x v="517"/>
    <m/>
    <x v="484"/>
    <x v="854"/>
    <s v=""/>
    <m/>
    <m/>
    <n v="27489"/>
    <n v="8211"/>
    <s v=""/>
  </r>
  <r>
    <n v="892"/>
    <s v="180892"/>
    <d v="2018-10-19T00:00:00"/>
    <x v="11"/>
    <n v="367416.06"/>
    <x v="518"/>
    <m/>
    <x v="466"/>
    <x v="855"/>
    <s v=""/>
    <m/>
    <m/>
    <n v="62160"/>
    <n v="12359.899999999994"/>
    <s v=""/>
  </r>
  <r>
    <n v="978"/>
    <s v="180978"/>
    <d v="2018-11-21T00:00:00"/>
    <x v="256"/>
    <n v="6255"/>
    <x v="518"/>
    <m/>
    <x v="486"/>
    <x v="856"/>
    <s v=""/>
    <m/>
    <m/>
    <n v="4830"/>
    <n v="1425"/>
    <s v=""/>
  </r>
  <r>
    <n v="852"/>
    <s v="180852"/>
    <d v="2018-10-05T00:00:00"/>
    <x v="36"/>
    <n v="29990"/>
    <x v="518"/>
    <m/>
    <x v="466"/>
    <x v="857"/>
    <s v=""/>
    <m/>
    <m/>
    <n v="23428"/>
    <n v="6562"/>
    <s v=""/>
  </r>
  <r>
    <n v="788"/>
    <s v="180788"/>
    <d v="2018-10-23T00:00:00"/>
    <x v="13"/>
    <n v="420000"/>
    <x v="519"/>
    <m/>
    <x v="481"/>
    <x v="858"/>
    <s v=""/>
    <m/>
    <n v="30000"/>
    <n v="331104"/>
    <n v="88896"/>
    <s v=""/>
  </r>
  <r>
    <n v="948"/>
    <s v="180948"/>
    <d v="2018-11-13T00:00:00"/>
    <x v="57"/>
    <n v="2446"/>
    <x v="520"/>
    <m/>
    <x v="486"/>
    <x v="859"/>
    <s v=""/>
    <m/>
    <m/>
    <n v="1908"/>
    <n v="538"/>
    <s v=""/>
  </r>
  <r>
    <n v="985"/>
    <s v="180985"/>
    <d v="2018-11-26T00:00:00"/>
    <x v="286"/>
    <n v="6814"/>
    <x v="520"/>
    <n v="1"/>
    <x v="488"/>
    <x v="860"/>
    <n v="6814"/>
    <m/>
    <m/>
    <n v="5138"/>
    <n v="1676"/>
    <n v="1676"/>
  </r>
  <r>
    <n v="986"/>
    <s v="180986"/>
    <d v="2018-11-26T00:00:00"/>
    <x v="117"/>
    <n v="44680"/>
    <x v="521"/>
    <m/>
    <x v="489"/>
    <x v="861"/>
    <s v=""/>
    <m/>
    <m/>
    <n v="33777"/>
    <n v="10903"/>
    <s v=""/>
  </r>
  <r>
    <n v="990"/>
    <s v="180990"/>
    <d v="2018-11-26T00:00:00"/>
    <x v="128"/>
    <n v="7402"/>
    <x v="521"/>
    <m/>
    <x v="490"/>
    <x v="780"/>
    <s v=""/>
    <m/>
    <m/>
    <n v="5699"/>
    <n v="1703"/>
    <s v=""/>
  </r>
  <r>
    <n v="781"/>
    <s v="180781"/>
    <d v="2018-11-27T00:00:00"/>
    <x v="287"/>
    <n v="28766"/>
    <x v="521"/>
    <m/>
    <x v="491"/>
    <x v="862"/>
    <s v=""/>
    <m/>
    <m/>
    <n v="20889"/>
    <n v="7877"/>
    <s v=""/>
  </r>
  <r>
    <n v="860"/>
    <s v="180860"/>
    <d v="2018-10-09T00:00:00"/>
    <x v="88"/>
    <n v="19175.75"/>
    <x v="522"/>
    <m/>
    <x v="492"/>
    <x v="863"/>
    <s v=""/>
    <m/>
    <m/>
    <n v="14001"/>
    <n v="5174.75"/>
    <s v=""/>
  </r>
  <r>
    <n v="902"/>
    <s v="180902"/>
    <d v="2018-10-25T00:00:00"/>
    <x v="20"/>
    <n v="32588"/>
    <x v="522"/>
    <m/>
    <x v="493"/>
    <x v="864"/>
    <s v=""/>
    <m/>
    <m/>
    <n v="25417"/>
    <n v="7171"/>
    <s v=""/>
  </r>
  <r>
    <n v="868"/>
    <s v="180868"/>
    <d v="2018-11-01T00:00:00"/>
    <x v="36"/>
    <n v="24066"/>
    <x v="522"/>
    <m/>
    <x v="476"/>
    <x v="865"/>
    <s v=""/>
    <m/>
    <m/>
    <n v="18238"/>
    <n v="5828"/>
    <s v=""/>
  </r>
  <r>
    <n v="931"/>
    <s v="180931"/>
    <d v="2018-11-07T00:00:00"/>
    <x v="245"/>
    <n v="2450"/>
    <x v="523"/>
    <m/>
    <x v="485"/>
    <x v="126"/>
    <s v=""/>
    <m/>
    <m/>
    <n v="2182"/>
    <n v="268"/>
    <s v=""/>
  </r>
  <r>
    <n v="989"/>
    <s v="180989"/>
    <d v="2018-11-26T00:00:00"/>
    <x v="288"/>
    <n v="6599"/>
    <x v="523"/>
    <n v="1"/>
    <x v="486"/>
    <x v="866"/>
    <n v="6599"/>
    <m/>
    <m/>
    <n v="4850"/>
    <n v="1749"/>
    <n v="1749"/>
  </r>
  <r>
    <n v="940"/>
    <s v="180940"/>
    <d v="2018-11-09T00:00:00"/>
    <x v="289"/>
    <n v="6731"/>
    <x v="524"/>
    <n v="1"/>
    <x v="477"/>
    <x v="867"/>
    <n v="6731"/>
    <m/>
    <m/>
    <n v="4196"/>
    <n v="2535"/>
    <n v="2535"/>
  </r>
  <r>
    <n v="1015"/>
    <s v="181015"/>
    <d v="2018-12-04T00:00:00"/>
    <x v="290"/>
    <n v="9800"/>
    <x v="525"/>
    <n v="1"/>
    <x v="494"/>
    <x v="868"/>
    <n v="9800"/>
    <m/>
    <m/>
    <n v="8728"/>
    <n v="1072"/>
    <n v="1072"/>
  </r>
  <r>
    <n v="991"/>
    <s v="180991"/>
    <d v="2018-11-27T00:00:00"/>
    <x v="32"/>
    <n v="9738"/>
    <x v="526"/>
    <m/>
    <x v="495"/>
    <x v="869"/>
    <s v=""/>
    <m/>
    <m/>
    <n v="6439"/>
    <n v="3299"/>
    <s v=""/>
  </r>
  <r>
    <n v="1020"/>
    <s v="181020"/>
    <d v="2018-12-06T00:00:00"/>
    <x v="1"/>
    <n v="4954"/>
    <x v="526"/>
    <m/>
    <x v="495"/>
    <x v="792"/>
    <s v=""/>
    <m/>
    <m/>
    <n v="3862"/>
    <n v="1092"/>
    <s v=""/>
  </r>
  <r>
    <n v="892"/>
    <s v="180892"/>
    <d v="2018-10-19T00:00:00"/>
    <x v="11"/>
    <n v="367416.06"/>
    <x v="526"/>
    <m/>
    <x v="476"/>
    <x v="870"/>
    <s v=""/>
    <m/>
    <m/>
    <n v="187545"/>
    <n v="86144.650000000023"/>
    <s v=""/>
  </r>
  <r>
    <n v="1012"/>
    <s v="181012"/>
    <d v="2018-12-03T00:00:00"/>
    <x v="188"/>
    <n v="47790"/>
    <x v="527"/>
    <m/>
    <x v="496"/>
    <x v="580"/>
    <s v=""/>
    <m/>
    <m/>
    <n v="34579.11"/>
    <n v="13210.89"/>
    <s v=""/>
  </r>
  <r>
    <n v="1033"/>
    <s v="181033"/>
    <d v="2018-12-11T00:00:00"/>
    <x v="10"/>
    <n v="5368.6"/>
    <x v="407"/>
    <m/>
    <x v="496"/>
    <x v="871"/>
    <s v=""/>
    <m/>
    <m/>
    <n v="4658"/>
    <n v="710.60000000000036"/>
    <s v=""/>
  </r>
  <r>
    <n v="1036"/>
    <s v="181036"/>
    <d v="2018-12-12T00:00:00"/>
    <x v="268"/>
    <n v="1532"/>
    <x v="408"/>
    <m/>
    <x v="497"/>
    <x v="872"/>
    <s v=""/>
    <m/>
    <m/>
    <n v="1060"/>
    <n v="472"/>
    <s v=""/>
  </r>
  <r>
    <n v="1018"/>
    <s v="181018"/>
    <d v="2018-12-06T00:00:00"/>
    <x v="23"/>
    <n v="6316"/>
    <x v="408"/>
    <m/>
    <x v="498"/>
    <x v="873"/>
    <s v=""/>
    <m/>
    <m/>
    <n v="4698"/>
    <n v="1618"/>
    <s v=""/>
  </r>
  <r>
    <n v="1019"/>
    <s v="181019"/>
    <d v="2018-12-06T00:00:00"/>
    <x v="23"/>
    <n v="5832"/>
    <x v="408"/>
    <m/>
    <x v="499"/>
    <x v="874"/>
    <s v=""/>
    <m/>
    <m/>
    <n v="3848"/>
    <n v="1984"/>
    <s v=""/>
  </r>
  <r>
    <n v="1003"/>
    <s v="181003"/>
    <d v="2018-11-29T00:00:00"/>
    <x v="54"/>
    <n v="19816"/>
    <x v="408"/>
    <m/>
    <x v="494"/>
    <x v="875"/>
    <s v=""/>
    <m/>
    <m/>
    <n v="15448"/>
    <n v="4368"/>
    <s v=""/>
  </r>
  <r>
    <n v="1038"/>
    <s v="181038"/>
    <d v="2018-12-13T00:00:00"/>
    <x v="128"/>
    <n v="4320"/>
    <x v="528"/>
    <m/>
    <x v="490"/>
    <x v="876"/>
    <s v=""/>
    <m/>
    <m/>
    <n v="3362"/>
    <n v="958"/>
    <s v=""/>
  </r>
  <r>
    <n v="1037"/>
    <s v="181037"/>
    <d v="2018-12-12T00:00:00"/>
    <x v="271"/>
    <n v="5518"/>
    <x v="528"/>
    <m/>
    <x v="500"/>
    <x v="877"/>
    <s v=""/>
    <m/>
    <m/>
    <n v="4178"/>
    <n v="1340"/>
    <s v=""/>
  </r>
  <r>
    <n v="981"/>
    <s v="180981"/>
    <d v="2018-11-22T00:00:00"/>
    <x v="20"/>
    <n v="25248"/>
    <x v="529"/>
    <m/>
    <x v="495"/>
    <x v="878"/>
    <s v=""/>
    <m/>
    <m/>
    <n v="18069"/>
    <n v="7179"/>
    <s v=""/>
  </r>
  <r>
    <n v="957"/>
    <s v="180957"/>
    <d v="2018-11-15T00:00:00"/>
    <x v="13"/>
    <n v="247758"/>
    <x v="530"/>
    <m/>
    <x v="493"/>
    <x v="879"/>
    <s v=""/>
    <n v="45000"/>
    <m/>
    <n v="78461"/>
    <n v="169297"/>
    <s v=""/>
  </r>
  <r>
    <n v="962"/>
    <s v="180962"/>
    <d v="2018-11-16T00:00:00"/>
    <x v="13"/>
    <n v="35031"/>
    <x v="530"/>
    <m/>
    <x v="492"/>
    <x v="880"/>
    <s v=""/>
    <m/>
    <m/>
    <n v="27321"/>
    <n v="7710"/>
    <s v=""/>
  </r>
  <r>
    <n v="1044"/>
    <s v="181044"/>
    <d v="2018-12-17T00:00:00"/>
    <x v="230"/>
    <n v="18990"/>
    <x v="530"/>
    <m/>
    <x v="494"/>
    <x v="881"/>
    <s v=""/>
    <m/>
    <m/>
    <n v="15801"/>
    <n v="3189"/>
    <s v=""/>
  </r>
  <r>
    <n v="1039"/>
    <s v="181039"/>
    <d v="2018-12-13T00:00:00"/>
    <x v="59"/>
    <n v="1529"/>
    <x v="530"/>
    <m/>
    <x v="494"/>
    <x v="441"/>
    <s v=""/>
    <m/>
    <m/>
    <n v="1191"/>
    <n v="338"/>
    <s v=""/>
  </r>
  <r>
    <n v="971"/>
    <s v="180971"/>
    <d v="2018-11-21T00:00:00"/>
    <x v="239"/>
    <n v="8972"/>
    <x v="531"/>
    <m/>
    <x v="501"/>
    <x v="882"/>
    <s v=""/>
    <m/>
    <m/>
    <n v="3056"/>
    <n v="5916"/>
    <s v=""/>
  </r>
  <r>
    <n v="959"/>
    <s v="180959"/>
    <d v="2018-11-19T00:00:00"/>
    <x v="11"/>
    <n v="22231.200000000001"/>
    <x v="531"/>
    <m/>
    <x v="502"/>
    <x v="883"/>
    <s v=""/>
    <m/>
    <m/>
    <n v="12648"/>
    <n v="9583.2000000000007"/>
    <s v=""/>
  </r>
  <r>
    <n v="1055"/>
    <s v="181055"/>
    <d v="2018-12-19T00:00:00"/>
    <x v="126"/>
    <n v="18105.400000000001"/>
    <x v="531"/>
    <m/>
    <x v="494"/>
    <x v="884"/>
    <s v=""/>
    <m/>
    <m/>
    <n v="15255"/>
    <n v="2850.4000000000015"/>
    <s v=""/>
  </r>
  <r>
    <n v="1057"/>
    <s v="181057"/>
    <d v="2018-12-20T00:00:00"/>
    <x v="32"/>
    <n v="166"/>
    <x v="532"/>
    <m/>
    <x v="503"/>
    <x v="885"/>
    <s v=""/>
    <m/>
    <m/>
    <n v="112"/>
    <n v="54"/>
    <s v=""/>
  </r>
  <r>
    <n v="1064"/>
    <s v="181064"/>
    <d v="2018-12-24T00:00:00"/>
    <x v="204"/>
    <n v="2160"/>
    <x v="532"/>
    <m/>
    <x v="501"/>
    <x v="733"/>
    <s v=""/>
    <m/>
    <m/>
    <n v="1684"/>
    <n v="476"/>
    <s v=""/>
  </r>
  <r>
    <n v="1060"/>
    <s v="181060"/>
    <d v="2018-12-21T00:00:00"/>
    <x v="224"/>
    <n v="8610"/>
    <x v="533"/>
    <m/>
    <x v="490"/>
    <x v="886"/>
    <s v=""/>
    <m/>
    <m/>
    <n v="5810"/>
    <n v="2800"/>
    <s v=""/>
  </r>
  <r>
    <n v="1051"/>
    <s v="181051"/>
    <d v="2018-12-18T00:00:00"/>
    <x v="23"/>
    <n v="8609"/>
    <x v="534"/>
    <m/>
    <x v="494"/>
    <x v="887"/>
    <s v=""/>
    <m/>
    <m/>
    <n v="5972"/>
    <n v="2637"/>
    <s v=""/>
  </r>
  <r>
    <n v="547"/>
    <s v="180547"/>
    <d v="2018-10-18T00:00:00"/>
    <x v="36"/>
    <n v="281419.86"/>
    <x v="535"/>
    <m/>
    <x v="485"/>
    <x v="888"/>
    <s v=""/>
    <m/>
    <m/>
    <n v="229372"/>
    <n v="44114.960000000021"/>
    <s v=""/>
  </r>
  <r>
    <n v="1046"/>
    <s v="181046"/>
    <d v="2018-12-17T00:00:00"/>
    <x v="37"/>
    <n v="23078"/>
    <x v="536"/>
    <m/>
    <x v="504"/>
    <x v="889"/>
    <s v=""/>
    <m/>
    <m/>
    <n v="8634"/>
    <n v="14444"/>
    <s v=""/>
  </r>
  <r>
    <n v="2"/>
    <s v="190002"/>
    <d v="2019-01-09T00:00:00"/>
    <x v="9"/>
    <n v="2880"/>
    <x v="536"/>
    <m/>
    <x v="505"/>
    <x v="890"/>
    <s v=""/>
    <m/>
    <m/>
    <n v="1901"/>
    <n v="979"/>
    <s v=""/>
  </r>
  <r>
    <n v="19"/>
    <s v="190019"/>
    <d v="2019-01-11T00:00:00"/>
    <x v="1"/>
    <n v="6400"/>
    <x v="537"/>
    <m/>
    <x v="500"/>
    <x v="891"/>
    <s v=""/>
    <m/>
    <m/>
    <n v="4770"/>
    <n v="1630"/>
    <s v=""/>
  </r>
  <r>
    <n v="15"/>
    <s v="190015"/>
    <d v="2019-01-10T00:00:00"/>
    <x v="290"/>
    <n v="9800"/>
    <x v="537"/>
    <m/>
    <x v="500"/>
    <x v="868"/>
    <s v=""/>
    <m/>
    <m/>
    <n v="8728"/>
    <n v="1072"/>
    <s v=""/>
  </r>
  <r>
    <n v="24"/>
    <s v="190024"/>
    <d v="2019-01-15T00:00:00"/>
    <x v="0"/>
    <n v="4791"/>
    <x v="538"/>
    <m/>
    <x v="506"/>
    <x v="892"/>
    <s v=""/>
    <m/>
    <m/>
    <n v="3573"/>
    <n v="1218"/>
    <s v=""/>
  </r>
  <r>
    <n v="23"/>
    <s v="190023"/>
    <d v="2019-01-15T00:00:00"/>
    <x v="291"/>
    <n v="5486"/>
    <x v="538"/>
    <m/>
    <x v="503"/>
    <x v="893"/>
    <s v=""/>
    <m/>
    <m/>
    <n v="3471"/>
    <n v="2015"/>
    <s v=""/>
  </r>
  <r>
    <n v="30"/>
    <s v="190030"/>
    <d v="2019-01-16T00:00:00"/>
    <x v="292"/>
    <n v="15980"/>
    <x v="539"/>
    <n v="1"/>
    <x v="503"/>
    <x v="894"/>
    <n v="15980"/>
    <m/>
    <m/>
    <n v="11744"/>
    <n v="4236"/>
    <n v="4236"/>
  </r>
  <r>
    <n v="35"/>
    <s v="190035"/>
    <d v="2019-01-17T00:00:00"/>
    <x v="293"/>
    <n v="29188"/>
    <x v="540"/>
    <n v="1"/>
    <x v="505"/>
    <x v="895"/>
    <n v="29188"/>
    <m/>
    <m/>
    <n v="20408"/>
    <n v="8780"/>
    <n v="8780"/>
  </r>
  <r>
    <n v="1073"/>
    <s v="181073"/>
    <d v="2018-12-26T00:00:00"/>
    <x v="37"/>
    <n v="20019"/>
    <x v="541"/>
    <m/>
    <x v="507"/>
    <x v="896"/>
    <s v=""/>
    <m/>
    <m/>
    <n v="11864"/>
    <n v="8155"/>
    <s v=""/>
  </r>
  <r>
    <n v="1"/>
    <s v="190001"/>
    <d v="2019-01-09T00:00:00"/>
    <x v="150"/>
    <n v="89715.3"/>
    <x v="542"/>
    <m/>
    <x v="508"/>
    <x v="897"/>
    <s v=""/>
    <m/>
    <m/>
    <n v="66218"/>
    <n v="23497.300000000003"/>
    <s v=""/>
  </r>
  <r>
    <n v="39"/>
    <s v="190039"/>
    <d v="2019-01-22T00:00:00"/>
    <x v="192"/>
    <n v="3387"/>
    <x v="542"/>
    <m/>
    <x v="505"/>
    <x v="898"/>
    <s v=""/>
    <m/>
    <m/>
    <n v="2602"/>
    <n v="785"/>
    <s v=""/>
  </r>
  <r>
    <n v="20"/>
    <s v="190020"/>
    <d v="2019-01-14T00:00:00"/>
    <x v="23"/>
    <n v="10352"/>
    <x v="542"/>
    <m/>
    <x v="509"/>
    <x v="899"/>
    <s v=""/>
    <m/>
    <m/>
    <n v="7724"/>
    <n v="2628"/>
    <s v=""/>
  </r>
  <r>
    <n v="34"/>
    <s v="190034"/>
    <d v="2019-01-17T00:00:00"/>
    <x v="32"/>
    <n v="1500"/>
    <x v="543"/>
    <m/>
    <x v="503"/>
    <x v="900"/>
    <s v=""/>
    <m/>
    <m/>
    <n v="577"/>
    <n v="923"/>
    <s v=""/>
  </r>
  <r>
    <n v="37"/>
    <s v="190037"/>
    <d v="2019-01-18T00:00:00"/>
    <x v="241"/>
    <n v="12810"/>
    <x v="544"/>
    <m/>
    <x v="510"/>
    <x v="901"/>
    <s v=""/>
    <m/>
    <m/>
    <n v="7842"/>
    <n v="4968"/>
    <s v=""/>
  </r>
  <r>
    <n v="958"/>
    <s v="180958"/>
    <d v="2018-12-18T00:00:00"/>
    <x v="36"/>
    <n v="412500"/>
    <x v="544"/>
    <m/>
    <x v="504"/>
    <x v="902"/>
    <s v=""/>
    <m/>
    <n v="9000"/>
    <n v="331104"/>
    <n v="81396"/>
    <s v=""/>
  </r>
  <r>
    <n v="1067"/>
    <s v="181067"/>
    <d v="2018-12-24T00:00:00"/>
    <x v="36"/>
    <n v="412500"/>
    <x v="544"/>
    <m/>
    <x v="501"/>
    <x v="902"/>
    <s v=""/>
    <m/>
    <n v="9000"/>
    <n v="331104"/>
    <n v="81396"/>
    <s v=""/>
  </r>
  <r>
    <n v="62"/>
    <s v="190062"/>
    <d v="2019-01-25T00:00:00"/>
    <x v="291"/>
    <n v="8018"/>
    <x v="545"/>
    <m/>
    <x v="511"/>
    <x v="903"/>
    <s v=""/>
    <m/>
    <m/>
    <n v="6043"/>
    <n v="1975"/>
    <s v=""/>
  </r>
  <r>
    <n v="64"/>
    <s v="190064"/>
    <d v="2019-01-25T00:00:00"/>
    <x v="264"/>
    <n v="8000"/>
    <x v="546"/>
    <m/>
    <x v="512"/>
    <x v="47"/>
    <s v=""/>
    <m/>
    <n v="1200"/>
    <n v="2287"/>
    <n v="5713"/>
    <s v=""/>
  </r>
  <r>
    <n v="1068"/>
    <s v="181068"/>
    <d v="2018-12-25T00:00:00"/>
    <x v="36"/>
    <n v="825000"/>
    <x v="547"/>
    <m/>
    <x v="513"/>
    <x v="904"/>
    <s v=""/>
    <m/>
    <m/>
    <n v="678009"/>
    <n v="146991"/>
    <s v=""/>
  </r>
  <r>
    <n v="7"/>
    <s v="190007"/>
    <d v="2019-01-09T00:00:00"/>
    <x v="37"/>
    <n v="20775"/>
    <x v="547"/>
    <m/>
    <x v="514"/>
    <x v="905"/>
    <s v=""/>
    <m/>
    <m/>
    <n v="16204"/>
    <n v="4571"/>
    <s v=""/>
  </r>
  <r>
    <n v="547"/>
    <s v="180547"/>
    <d v="2018-10-18T00:00:00"/>
    <x v="36"/>
    <n v="281419.86"/>
    <x v="547"/>
    <m/>
    <x v="466"/>
    <x v="906"/>
    <s v=""/>
    <m/>
    <m/>
    <n v="5616"/>
    <n v="2316.8999999999996"/>
    <s v=""/>
  </r>
  <r>
    <n v="1061"/>
    <s v="181061"/>
    <d v="2018-12-21T00:00:00"/>
    <x v="13"/>
    <n v="7038"/>
    <x v="548"/>
    <m/>
    <x v="515"/>
    <x v="907"/>
    <s v=""/>
    <m/>
    <m/>
    <n v="5490"/>
    <n v="1548"/>
    <s v=""/>
  </r>
  <r>
    <n v="22"/>
    <s v="190022"/>
    <d v="2019-01-15T00:00:00"/>
    <x v="13"/>
    <n v="63547"/>
    <x v="549"/>
    <m/>
    <x v="505"/>
    <x v="908"/>
    <s v=""/>
    <m/>
    <m/>
    <n v="48209"/>
    <n v="15338"/>
    <s v=""/>
  </r>
  <r>
    <n v="42"/>
    <s v="190042"/>
    <d v="2019-01-22T00:00:00"/>
    <x v="13"/>
    <n v="175800"/>
    <x v="549"/>
    <m/>
    <x v="516"/>
    <x v="909"/>
    <s v=""/>
    <n v="45000"/>
    <m/>
    <n v="20180"/>
    <n v="155620"/>
    <s v=""/>
  </r>
  <r>
    <n v="82"/>
    <s v="190082"/>
    <d v="2019-02-06T00:00:00"/>
    <x v="57"/>
    <n v="2556"/>
    <x v="550"/>
    <m/>
    <x v="517"/>
    <x v="910"/>
    <s v=""/>
    <m/>
    <m/>
    <n v="1908"/>
    <n v="648"/>
    <s v=""/>
  </r>
  <r>
    <n v="108"/>
    <s v="190108"/>
    <d v="2019-02-13T00:00:00"/>
    <x v="294"/>
    <n v="13681"/>
    <x v="551"/>
    <n v="1"/>
    <x v="518"/>
    <x v="911"/>
    <n v="13681"/>
    <m/>
    <m/>
    <n v="9722"/>
    <n v="3959"/>
    <n v="3959"/>
  </r>
  <r>
    <n v="107"/>
    <s v="190107"/>
    <d v="2019-02-13T00:00:00"/>
    <x v="295"/>
    <n v="6388"/>
    <x v="551"/>
    <m/>
    <x v="519"/>
    <x v="912"/>
    <s v=""/>
    <m/>
    <m/>
    <n v="4764"/>
    <n v="1624"/>
    <s v=""/>
  </r>
  <r>
    <n v="110"/>
    <s v="190110"/>
    <d v="2019-02-13T00:00:00"/>
    <x v="296"/>
    <n v="5561"/>
    <x v="552"/>
    <n v="1"/>
    <x v="520"/>
    <x v="913"/>
    <n v="5561"/>
    <m/>
    <m/>
    <n v="4144"/>
    <n v="1417"/>
    <n v="1417"/>
  </r>
  <r>
    <n v="103"/>
    <s v="190103"/>
    <d v="2019-02-13T00:00:00"/>
    <x v="59"/>
    <n v="1597"/>
    <x v="552"/>
    <m/>
    <x v="518"/>
    <x v="914"/>
    <s v=""/>
    <m/>
    <m/>
    <n v="1191"/>
    <n v="406"/>
    <s v=""/>
  </r>
  <r>
    <n v="117"/>
    <s v="190117"/>
    <d v="2019-02-14T00:00:00"/>
    <x v="59"/>
    <n v="1597"/>
    <x v="552"/>
    <m/>
    <x v="521"/>
    <x v="914"/>
    <s v=""/>
    <m/>
    <m/>
    <n v="1191"/>
    <n v="406"/>
    <s v=""/>
  </r>
  <r>
    <n v="89"/>
    <s v="190089"/>
    <d v="2019-02-08T00:00:00"/>
    <x v="23"/>
    <n v="5176"/>
    <x v="553"/>
    <m/>
    <x v="517"/>
    <x v="915"/>
    <s v=""/>
    <m/>
    <m/>
    <n v="3862"/>
    <n v="1314"/>
    <s v=""/>
  </r>
  <r>
    <n v="914"/>
    <s v="190914"/>
    <d v="2019-02-19T00:00:00"/>
    <x v="297"/>
    <n v="914"/>
    <x v="554"/>
    <n v="1"/>
    <x v="522"/>
    <x v="916"/>
    <n v="914"/>
    <m/>
    <m/>
    <n v="613"/>
    <n v="301"/>
    <n v="301"/>
  </r>
  <r>
    <n v="133"/>
    <s v="190133"/>
    <d v="2019-02-20T00:00:00"/>
    <x v="298"/>
    <n v="60196"/>
    <x v="555"/>
    <n v="1"/>
    <x v="523"/>
    <x v="917"/>
    <n v="60196"/>
    <m/>
    <m/>
    <n v="44351"/>
    <n v="15845"/>
    <n v="15845"/>
  </r>
  <r>
    <n v="21"/>
    <s v="190021"/>
    <d v="2019-01-14T00:00:00"/>
    <x v="88"/>
    <n v="23478.3"/>
    <x v="556"/>
    <m/>
    <x v="524"/>
    <x v="918"/>
    <s v=""/>
    <m/>
    <m/>
    <n v="18576"/>
    <n v="4902.2999999999993"/>
    <s v=""/>
  </r>
  <r>
    <n v="138"/>
    <s v="190138"/>
    <d v="2019-02-22T00:00:00"/>
    <x v="43"/>
    <n v="8982"/>
    <x v="556"/>
    <m/>
    <x v="525"/>
    <x v="919"/>
    <s v=""/>
    <m/>
    <m/>
    <n v="6843"/>
    <n v="2139"/>
    <s v=""/>
  </r>
  <r>
    <n v="6"/>
    <s v="190006"/>
    <d v="2019-01-14T00:00:00"/>
    <x v="20"/>
    <n v="21303"/>
    <x v="557"/>
    <m/>
    <x v="520"/>
    <x v="920"/>
    <s v=""/>
    <m/>
    <m/>
    <n v="14703"/>
    <n v="6600"/>
    <s v=""/>
  </r>
  <r>
    <n v="84"/>
    <s v="190084"/>
    <d v="2019-02-06T00:00:00"/>
    <x v="20"/>
    <n v="51518"/>
    <x v="557"/>
    <m/>
    <x v="520"/>
    <x v="921"/>
    <s v=""/>
    <m/>
    <m/>
    <n v="38265"/>
    <n v="13253"/>
    <s v=""/>
  </r>
  <r>
    <n v="76"/>
    <s v="190076"/>
    <d v="2019-02-14T00:00:00"/>
    <x v="187"/>
    <n v="8996"/>
    <x v="557"/>
    <m/>
    <x v="518"/>
    <x v="922"/>
    <s v=""/>
    <m/>
    <m/>
    <n v="6558"/>
    <n v="2438"/>
    <s v=""/>
  </r>
  <r>
    <n v="146"/>
    <s v="190146"/>
    <d v="2019-02-26T00:00:00"/>
    <x v="192"/>
    <n v="1795"/>
    <x v="558"/>
    <m/>
    <x v="526"/>
    <x v="923"/>
    <s v=""/>
    <m/>
    <m/>
    <n v="1339"/>
    <n v="456"/>
    <s v=""/>
  </r>
  <r>
    <n v="48"/>
    <s v="190048"/>
    <d v="2019-01-24T00:00:00"/>
    <x v="13"/>
    <n v="294341"/>
    <x v="558"/>
    <m/>
    <x v="516"/>
    <x v="924"/>
    <s v=""/>
    <n v="45000"/>
    <m/>
    <n v="106118"/>
    <n v="188223"/>
    <s v=""/>
  </r>
  <r>
    <n v="125"/>
    <s v="190125"/>
    <d v="2019-02-19T00:00:00"/>
    <x v="255"/>
    <n v="8924"/>
    <x v="559"/>
    <m/>
    <x v="527"/>
    <x v="925"/>
    <s v=""/>
    <m/>
    <m/>
    <n v="6960"/>
    <n v="1964"/>
    <s v=""/>
  </r>
  <r>
    <n v="135"/>
    <s v="190135"/>
    <d v="2019-02-21T00:00:00"/>
    <x v="150"/>
    <n v="2000"/>
    <x v="560"/>
    <m/>
    <x v="510"/>
    <x v="926"/>
    <s v=""/>
    <m/>
    <m/>
    <n v="1300"/>
    <n v="700"/>
    <s v=""/>
  </r>
  <r>
    <n v="164"/>
    <s v="190164"/>
    <d v="2019-03-06T00:00:00"/>
    <x v="81"/>
    <n v="300"/>
    <x v="561"/>
    <m/>
    <x v="521"/>
    <x v="927"/>
    <s v=""/>
    <m/>
    <m/>
    <n v="50"/>
    <n v="250"/>
    <s v=""/>
  </r>
  <r>
    <n v="163"/>
    <s v="190163"/>
    <d v="2019-03-06T00:00:00"/>
    <x v="299"/>
    <n v="1695"/>
    <x v="561"/>
    <m/>
    <x v="527"/>
    <x v="928"/>
    <s v=""/>
    <m/>
    <m/>
    <n v="1322"/>
    <n v="373"/>
    <s v=""/>
  </r>
  <r>
    <n v="173"/>
    <s v="190173"/>
    <d v="2019-03-07T00:00:00"/>
    <x v="159"/>
    <n v="1203"/>
    <x v="561"/>
    <m/>
    <x v="528"/>
    <x v="929"/>
    <s v=""/>
    <m/>
    <m/>
    <n v="938"/>
    <n v="265"/>
    <s v=""/>
  </r>
  <r>
    <n v="152"/>
    <s v="190152"/>
    <d v="2019-03-01T00:00:00"/>
    <x v="12"/>
    <n v="154590"/>
    <x v="562"/>
    <m/>
    <x v="529"/>
    <x v="930"/>
    <s v=""/>
    <m/>
    <m/>
    <n v="109943"/>
    <n v="44647"/>
    <s v=""/>
  </r>
  <r>
    <n v="174"/>
    <s v="190174"/>
    <d v="2019-03-07T00:00:00"/>
    <x v="12"/>
    <n v="5431"/>
    <x v="562"/>
    <m/>
    <x v="529"/>
    <x v="931"/>
    <s v=""/>
    <m/>
    <m/>
    <n v="3927"/>
    <n v="1504"/>
    <s v=""/>
  </r>
  <r>
    <n v="184"/>
    <s v="190184"/>
    <d v="2019-03-12T00:00:00"/>
    <x v="136"/>
    <n v="1290"/>
    <x v="562"/>
    <m/>
    <x v="530"/>
    <x v="932"/>
    <s v=""/>
    <m/>
    <m/>
    <n v="1005"/>
    <n v="285"/>
    <s v=""/>
  </r>
  <r>
    <n v="178"/>
    <s v="190178"/>
    <d v="2019-03-11T00:00:00"/>
    <x v="43"/>
    <n v="2162"/>
    <x v="563"/>
    <m/>
    <x v="531"/>
    <x v="933"/>
    <s v=""/>
    <m/>
    <m/>
    <n v="1427"/>
    <n v="735"/>
    <s v=""/>
  </r>
  <r>
    <n v="83"/>
    <s v="190083"/>
    <d v="2019-02-06T00:00:00"/>
    <x v="88"/>
    <n v="9153.25"/>
    <x v="564"/>
    <m/>
    <x v="523"/>
    <x v="934"/>
    <s v=""/>
    <m/>
    <m/>
    <n v="7466"/>
    <n v="1687.25"/>
    <s v=""/>
  </r>
  <r>
    <n v="100"/>
    <s v="190100"/>
    <d v="2019-02-12T00:00:00"/>
    <x v="300"/>
    <n v="1535"/>
    <x v="565"/>
    <n v="1"/>
    <x v="532"/>
    <x v="935"/>
    <n v="1535"/>
    <m/>
    <m/>
    <n v="1197"/>
    <n v="338"/>
    <n v="338"/>
  </r>
  <r>
    <n v="148"/>
    <s v="190148"/>
    <d v="2019-02-27T00:00:00"/>
    <x v="81"/>
    <n v="104549"/>
    <x v="565"/>
    <m/>
    <x v="530"/>
    <x v="936"/>
    <s v=""/>
    <m/>
    <m/>
    <n v="75412"/>
    <n v="29137"/>
    <s v=""/>
  </r>
  <r>
    <n v="153"/>
    <s v="190153"/>
    <d v="2019-03-04T00:00:00"/>
    <x v="73"/>
    <n v="74898"/>
    <x v="565"/>
    <m/>
    <x v="533"/>
    <x v="937"/>
    <s v=""/>
    <m/>
    <m/>
    <n v="49761"/>
    <n v="25137"/>
    <s v=""/>
  </r>
  <r>
    <n v="77"/>
    <s v="190077"/>
    <d v="2019-02-19T00:00:00"/>
    <x v="187"/>
    <n v="13770"/>
    <x v="565"/>
    <m/>
    <x v="510"/>
    <x v="938"/>
    <s v=""/>
    <m/>
    <m/>
    <n v="9964"/>
    <n v="3806"/>
    <s v=""/>
  </r>
  <r>
    <n v="202"/>
    <s v="190202"/>
    <d v="2019-03-15T00:00:00"/>
    <x v="1"/>
    <n v="5176"/>
    <x v="565"/>
    <m/>
    <x v="528"/>
    <x v="915"/>
    <s v=""/>
    <m/>
    <m/>
    <n v="3862"/>
    <n v="1314"/>
    <s v=""/>
  </r>
  <r>
    <n v="139"/>
    <s v="190139"/>
    <d v="2019-02-28T00:00:00"/>
    <x v="150"/>
    <n v="51860.5"/>
    <x v="566"/>
    <m/>
    <x v="526"/>
    <x v="939"/>
    <s v=""/>
    <m/>
    <m/>
    <n v="39456"/>
    <n v="12404.5"/>
    <s v=""/>
  </r>
  <r>
    <n v="165"/>
    <s v="190165"/>
    <d v="2019-03-06T00:00:00"/>
    <x v="150"/>
    <n v="55248"/>
    <x v="566"/>
    <m/>
    <x v="534"/>
    <x v="940"/>
    <s v=""/>
    <m/>
    <n v="1200"/>
    <n v="31835"/>
    <n v="23413"/>
    <s v=""/>
  </r>
  <r>
    <n v="166"/>
    <s v="190166"/>
    <d v="2019-03-06T00:00:00"/>
    <x v="150"/>
    <n v="21918"/>
    <x v="566"/>
    <m/>
    <x v="534"/>
    <x v="941"/>
    <s v=""/>
    <m/>
    <m/>
    <n v="12737"/>
    <n v="9181"/>
    <s v=""/>
  </r>
  <r>
    <n v="187"/>
    <s v="190187"/>
    <d v="2019-03-13T00:00:00"/>
    <x v="37"/>
    <n v="24595"/>
    <x v="566"/>
    <m/>
    <x v="527"/>
    <x v="942"/>
    <s v=""/>
    <m/>
    <m/>
    <n v="8634"/>
    <n v="15961"/>
    <s v=""/>
  </r>
  <r>
    <n v="218"/>
    <s v="190218"/>
    <d v="2019-03-20T00:00:00"/>
    <x v="282"/>
    <n v="19990"/>
    <x v="567"/>
    <m/>
    <x v="535"/>
    <x v="741"/>
    <s v=""/>
    <m/>
    <m/>
    <n v="14692"/>
    <n v="5298"/>
    <s v=""/>
  </r>
  <r>
    <n v="130"/>
    <s v="190130"/>
    <d v="2019-02-20T00:00:00"/>
    <x v="23"/>
    <n v="17260"/>
    <x v="567"/>
    <m/>
    <x v="536"/>
    <x v="943"/>
    <s v=""/>
    <m/>
    <m/>
    <n v="13086"/>
    <n v="4174"/>
    <s v=""/>
  </r>
  <r>
    <n v="112"/>
    <s v="190112"/>
    <d v="2019-02-14T00:00:00"/>
    <x v="102"/>
    <n v="2412"/>
    <x v="567"/>
    <m/>
    <x v="531"/>
    <x v="944"/>
    <s v=""/>
    <m/>
    <m/>
    <n v="1476"/>
    <n v="936"/>
    <s v=""/>
  </r>
  <r>
    <n v="222"/>
    <s v="190222"/>
    <d v="2019-03-21T00:00:00"/>
    <x v="183"/>
    <n v="13277"/>
    <x v="567"/>
    <m/>
    <x v="535"/>
    <x v="945"/>
    <s v=""/>
    <m/>
    <m/>
    <n v="10284"/>
    <n v="2993"/>
    <s v=""/>
  </r>
  <r>
    <n v="204"/>
    <s v="190204"/>
    <d v="2019-03-18T00:00:00"/>
    <x v="101"/>
    <n v="39002"/>
    <x v="568"/>
    <m/>
    <x v="537"/>
    <x v="946"/>
    <s v=""/>
    <m/>
    <m/>
    <n v="30468"/>
    <n v="8534"/>
    <s v=""/>
  </r>
  <r>
    <n v="203"/>
    <s v="190203"/>
    <d v="2019-03-18T00:00:00"/>
    <x v="255"/>
    <n v="6030"/>
    <x v="569"/>
    <m/>
    <x v="538"/>
    <x v="947"/>
    <s v=""/>
    <m/>
    <m/>
    <n v="4703"/>
    <n v="1327"/>
    <s v=""/>
  </r>
  <r>
    <n v="162"/>
    <s v="190162"/>
    <d v="2019-03-06T00:00:00"/>
    <x v="290"/>
    <n v="10760"/>
    <x v="569"/>
    <m/>
    <x v="539"/>
    <x v="948"/>
    <s v=""/>
    <m/>
    <m/>
    <n v="8728"/>
    <n v="2032"/>
    <s v=""/>
  </r>
  <r>
    <n v="236"/>
    <s v="190236"/>
    <d v="2019-03-26T00:00:00"/>
    <x v="301"/>
    <n v="77058"/>
    <x v="570"/>
    <n v="1"/>
    <x v="540"/>
    <x v="949"/>
    <n v="77058"/>
    <m/>
    <n v="600"/>
    <n v="53976"/>
    <n v="23082"/>
    <n v="23082"/>
  </r>
  <r>
    <n v="227"/>
    <s v="190227"/>
    <d v="2019-03-25T00:00:00"/>
    <x v="43"/>
    <n v="9720"/>
    <x v="570"/>
    <m/>
    <x v="541"/>
    <x v="950"/>
    <s v=""/>
    <m/>
    <m/>
    <n v="7580"/>
    <n v="2140"/>
    <s v=""/>
  </r>
  <r>
    <n v="212"/>
    <s v="190212"/>
    <d v="2019-02-20T00:00:00"/>
    <x v="123"/>
    <n v="980"/>
    <x v="571"/>
    <m/>
    <x v="532"/>
    <x v="951"/>
    <s v=""/>
    <m/>
    <m/>
    <n v="646"/>
    <n v="334"/>
    <s v=""/>
  </r>
  <r>
    <n v="213"/>
    <s v="190213"/>
    <d v="2019-02-20T00:00:00"/>
    <x v="302"/>
    <n v="19990"/>
    <x v="571"/>
    <n v="1"/>
    <x v="538"/>
    <x v="741"/>
    <n v="19990"/>
    <m/>
    <m/>
    <n v="14692"/>
    <n v="5298"/>
    <n v="5298"/>
  </r>
  <r>
    <n v="242"/>
    <s v="190242"/>
    <d v="2019-03-27T00:00:00"/>
    <x v="280"/>
    <n v="7700"/>
    <x v="572"/>
    <m/>
    <x v="531"/>
    <x v="952"/>
    <s v=""/>
    <m/>
    <m/>
    <n v="5476"/>
    <n v="2224"/>
    <s v=""/>
  </r>
  <r>
    <n v="247"/>
    <s v="190247"/>
    <d v="2019-03-28T00:00:00"/>
    <x v="109"/>
    <n v="1390"/>
    <x v="572"/>
    <m/>
    <x v="539"/>
    <x v="953"/>
    <s v=""/>
    <m/>
    <m/>
    <n v="1084"/>
    <n v="306"/>
    <s v=""/>
  </r>
  <r>
    <n v="31"/>
    <s v="190031"/>
    <d v="2019-02-19T00:00:00"/>
    <x v="11"/>
    <n v="371973"/>
    <x v="573"/>
    <m/>
    <x v="521"/>
    <x v="954"/>
    <s v=""/>
    <m/>
    <n v="36600"/>
    <n v="108618"/>
    <n v="88104.6"/>
    <s v=""/>
  </r>
  <r>
    <n v="244"/>
    <s v="190244"/>
    <d v="2019-03-28T00:00:00"/>
    <x v="298"/>
    <n v="4613"/>
    <x v="574"/>
    <m/>
    <x v="542"/>
    <x v="783"/>
    <s v=""/>
    <m/>
    <m/>
    <n v="3354"/>
    <n v="1259"/>
    <s v=""/>
  </r>
  <r>
    <n v="205"/>
    <s v="190205"/>
    <d v="2019-03-19T00:00:00"/>
    <x v="102"/>
    <n v="5822"/>
    <x v="575"/>
    <m/>
    <x v="543"/>
    <x v="955"/>
    <s v=""/>
    <m/>
    <m/>
    <n v="3841"/>
    <n v="1981"/>
    <s v=""/>
  </r>
  <r>
    <n v="273"/>
    <s v="190273"/>
    <d v="2019-04-04T00:00:00"/>
    <x v="303"/>
    <n v="122942.6"/>
    <x v="576"/>
    <n v="1"/>
    <x v="544"/>
    <x v="956"/>
    <n v="122942.6"/>
    <m/>
    <m/>
    <n v="96052"/>
    <n v="26890.600000000006"/>
    <n v="26890.600000000006"/>
  </r>
  <r>
    <n v="267"/>
    <s v="190267"/>
    <d v="2019-04-03T00:00:00"/>
    <x v="57"/>
    <n v="3387"/>
    <x v="576"/>
    <m/>
    <x v="544"/>
    <x v="898"/>
    <s v=""/>
    <m/>
    <m/>
    <n v="2640"/>
    <n v="747"/>
    <s v=""/>
  </r>
  <r>
    <n v="282"/>
    <s v="190282"/>
    <d v="2019-04-05T00:00:00"/>
    <x v="57"/>
    <n v="2556"/>
    <x v="576"/>
    <m/>
    <x v="545"/>
    <x v="910"/>
    <s v=""/>
    <m/>
    <m/>
    <n v="1992"/>
    <n v="564"/>
    <s v=""/>
  </r>
  <r>
    <n v="230"/>
    <s v="190230"/>
    <d v="2019-03-25T00:00:00"/>
    <x v="13"/>
    <n v="27880"/>
    <x v="576"/>
    <m/>
    <x v="539"/>
    <x v="957"/>
    <s v=""/>
    <m/>
    <m/>
    <n v="17260"/>
    <n v="10620"/>
    <s v=""/>
  </r>
  <r>
    <n v="206"/>
    <s v="190206"/>
    <d v="2019-03-19T00:00:00"/>
    <x v="13"/>
    <n v="216495"/>
    <x v="576"/>
    <m/>
    <x v="546"/>
    <x v="958"/>
    <s v=""/>
    <n v="45000"/>
    <m/>
    <n v="51203"/>
    <n v="165292"/>
    <s v=""/>
  </r>
  <r>
    <n v="281"/>
    <s v="190281"/>
    <d v="2019-04-05T00:00:00"/>
    <x v="10"/>
    <n v="24463"/>
    <x v="576"/>
    <m/>
    <x v="543"/>
    <x v="959"/>
    <s v=""/>
    <m/>
    <m/>
    <n v="20850"/>
    <n v="3613"/>
    <s v=""/>
  </r>
  <r>
    <n v="284"/>
    <s v="190284"/>
    <d v="2019-04-05T00:00:00"/>
    <x v="304"/>
    <n v="34990"/>
    <x v="577"/>
    <n v="1"/>
    <x v="542"/>
    <x v="960"/>
    <n v="34990"/>
    <m/>
    <m/>
    <n v="25717"/>
    <n v="9273"/>
    <n v="9273"/>
  </r>
  <r>
    <n v="132"/>
    <s v="190132"/>
    <d v="2019-02-26T00:00:00"/>
    <x v="20"/>
    <n v="28492"/>
    <x v="578"/>
    <m/>
    <x v="539"/>
    <x v="961"/>
    <s v=""/>
    <m/>
    <m/>
    <n v="22251"/>
    <n v="6241"/>
    <s v=""/>
  </r>
  <r>
    <n v="207"/>
    <s v="190207"/>
    <d v="2019-03-19T00:00:00"/>
    <x v="20"/>
    <n v="29843"/>
    <x v="578"/>
    <m/>
    <x v="539"/>
    <x v="962"/>
    <s v=""/>
    <m/>
    <m/>
    <n v="22885"/>
    <n v="6958"/>
    <s v=""/>
  </r>
  <r>
    <n v="286"/>
    <s v="190286"/>
    <d v="2019-04-08T00:00:00"/>
    <x v="126"/>
    <n v="10653.05"/>
    <x v="578"/>
    <m/>
    <x v="544"/>
    <x v="963"/>
    <s v=""/>
    <m/>
    <m/>
    <n v="9156"/>
    <n v="1497.0499999999993"/>
    <s v=""/>
  </r>
  <r>
    <n v="38"/>
    <s v="190038"/>
    <d v="2019-02-26T00:00:00"/>
    <x v="36"/>
    <n v="806556"/>
    <x v="579"/>
    <m/>
    <x v="547"/>
    <x v="964"/>
    <s v=""/>
    <m/>
    <m/>
    <n v="575070"/>
    <n v="231486"/>
    <s v=""/>
  </r>
  <r>
    <n v="274"/>
    <s v="190274"/>
    <d v="2019-04-04T00:00:00"/>
    <x v="32"/>
    <n v="205"/>
    <x v="580"/>
    <m/>
    <x v="548"/>
    <x v="965"/>
    <s v=""/>
    <m/>
    <m/>
    <n v="135"/>
    <n v="70"/>
    <s v=""/>
  </r>
  <r>
    <n v="313"/>
    <s v="190313"/>
    <d v="2019-04-12T00:00:00"/>
    <x v="305"/>
    <n v="7689"/>
    <x v="580"/>
    <n v="1"/>
    <x v="548"/>
    <x v="966"/>
    <n v="7689"/>
    <m/>
    <m/>
    <n v="6026"/>
    <n v="1663"/>
    <n v="1663"/>
  </r>
  <r>
    <n v="317"/>
    <s v="190317"/>
    <d v="2019-04-15T00:00:00"/>
    <x v="231"/>
    <n v="5118"/>
    <x v="580"/>
    <m/>
    <x v="549"/>
    <x v="967"/>
    <s v=""/>
    <m/>
    <m/>
    <n v="3378"/>
    <n v="1740"/>
    <s v=""/>
  </r>
  <r>
    <n v="324"/>
    <s v="190324"/>
    <d v="2019-04-15T00:00:00"/>
    <x v="204"/>
    <n v="2258"/>
    <x v="581"/>
    <m/>
    <x v="550"/>
    <x v="968"/>
    <s v=""/>
    <m/>
    <m/>
    <n v="1760"/>
    <n v="498"/>
    <s v=""/>
  </r>
  <r>
    <n v="328"/>
    <s v="190328"/>
    <d v="2019-04-16T00:00:00"/>
    <x v="281"/>
    <n v="4050"/>
    <x v="581"/>
    <m/>
    <x v="551"/>
    <x v="969"/>
    <s v=""/>
    <m/>
    <m/>
    <n v="3378"/>
    <n v="672"/>
    <s v=""/>
  </r>
  <r>
    <n v="285"/>
    <s v="190285"/>
    <d v="2019-04-08T00:00:00"/>
    <x v="150"/>
    <n v="5176"/>
    <x v="581"/>
    <m/>
    <x v="552"/>
    <x v="915"/>
    <s v=""/>
    <m/>
    <m/>
    <n v="4036"/>
    <n v="1140"/>
    <s v=""/>
  </r>
  <r>
    <n v="331"/>
    <s v="190331"/>
    <d v="2019-04-16T00:00:00"/>
    <x v="9"/>
    <n v="1524"/>
    <x v="581"/>
    <m/>
    <x v="550"/>
    <x v="970"/>
    <s v=""/>
    <m/>
    <m/>
    <n v="1024"/>
    <n v="500"/>
    <s v=""/>
  </r>
  <r>
    <n v="309"/>
    <s v="190309"/>
    <d v="2019-04-11T00:00:00"/>
    <x v="306"/>
    <n v="17522"/>
    <x v="582"/>
    <n v="1"/>
    <x v="553"/>
    <x v="971"/>
    <n v="17522"/>
    <m/>
    <m/>
    <n v="14549"/>
    <n v="2973"/>
    <n v="2973"/>
  </r>
  <r>
    <n v="339"/>
    <s v="190339"/>
    <d v="2019-04-17T00:00:00"/>
    <x v="307"/>
    <n v="13770"/>
    <x v="583"/>
    <n v="1"/>
    <x v="551"/>
    <x v="938"/>
    <n v="13770"/>
    <m/>
    <m/>
    <n v="10112"/>
    <n v="3658"/>
    <n v="3658"/>
  </r>
  <r>
    <n v="326"/>
    <s v="190326"/>
    <d v="2019-04-16T00:00:00"/>
    <x v="32"/>
    <n v="869"/>
    <x v="583"/>
    <m/>
    <x v="548"/>
    <x v="972"/>
    <s v=""/>
    <m/>
    <m/>
    <n v="648"/>
    <n v="221"/>
    <s v=""/>
  </r>
  <r>
    <n v="338"/>
    <s v="190338"/>
    <d v="2019-04-17T00:00:00"/>
    <x v="81"/>
    <n v="15078"/>
    <x v="583"/>
    <m/>
    <x v="554"/>
    <x v="973"/>
    <s v=""/>
    <m/>
    <m/>
    <n v="11185"/>
    <n v="3893"/>
    <s v=""/>
  </r>
  <r>
    <n v="325"/>
    <s v="190325"/>
    <d v="2019-04-16T00:00:00"/>
    <x v="290"/>
    <n v="10760"/>
    <x v="583"/>
    <m/>
    <x v="548"/>
    <x v="948"/>
    <s v=""/>
    <m/>
    <m/>
    <n v="8728"/>
    <n v="2032"/>
    <s v=""/>
  </r>
  <r>
    <n v="183"/>
    <s v="190183"/>
    <d v="2019-04-05T00:00:00"/>
    <x v="93"/>
    <n v="5551"/>
    <x v="583"/>
    <m/>
    <x v="542"/>
    <x v="974"/>
    <s v=""/>
    <m/>
    <m/>
    <n v="4329"/>
    <n v="1222"/>
    <s v=""/>
  </r>
  <r>
    <n v="283"/>
    <s v="190283"/>
    <d v="2019-04-05T00:00:00"/>
    <x v="93"/>
    <n v="5490"/>
    <x v="583"/>
    <m/>
    <x v="542"/>
    <x v="975"/>
    <s v=""/>
    <m/>
    <m/>
    <n v="4031"/>
    <n v="1459"/>
    <s v=""/>
  </r>
  <r>
    <n v="129"/>
    <s v="190129"/>
    <d v="2019-02-19T00:00:00"/>
    <x v="11"/>
    <n v="127056"/>
    <x v="583"/>
    <m/>
    <x v="555"/>
    <x v="976"/>
    <s v=""/>
    <m/>
    <m/>
    <n v="91984"/>
    <n v="35072"/>
    <s v=""/>
  </r>
  <r>
    <n v="31"/>
    <s v="190031"/>
    <d v="2019-02-19T00:00:00"/>
    <x v="11"/>
    <n v="371973"/>
    <x v="583"/>
    <m/>
    <x v="555"/>
    <x v="977"/>
    <s v=""/>
    <m/>
    <m/>
    <n v="123408"/>
    <n v="30638.399999999994"/>
    <s v=""/>
  </r>
  <r>
    <n v="339"/>
    <s v="190339"/>
    <d v="2019-04-17T00:00:00"/>
    <x v="308"/>
    <n v="12490"/>
    <x v="584"/>
    <n v="1"/>
    <x v="550"/>
    <x v="978"/>
    <n v="12490"/>
    <m/>
    <m/>
    <n v="9180"/>
    <n v="3310"/>
    <n v="3310"/>
  </r>
  <r>
    <n v="310"/>
    <s v="190310"/>
    <d v="2019-04-12T00:00:00"/>
    <x v="309"/>
    <n v="1150"/>
    <x v="585"/>
    <m/>
    <x v="556"/>
    <x v="979"/>
    <s v=""/>
    <m/>
    <m/>
    <n v="820"/>
    <n v="330"/>
    <s v=""/>
  </r>
  <r>
    <n v="355"/>
    <s v="190355"/>
    <d v="2019-04-23T00:00:00"/>
    <x v="310"/>
    <n v="11119"/>
    <x v="586"/>
    <n v="1"/>
    <x v="557"/>
    <x v="980"/>
    <n v="11119"/>
    <m/>
    <m/>
    <n v="8216"/>
    <n v="2903"/>
    <n v="2903"/>
  </r>
  <r>
    <n v="145"/>
    <s v="190145"/>
    <d v="2019-02-26T00:00:00"/>
    <x v="36"/>
    <n v="290937.5"/>
    <x v="586"/>
    <m/>
    <x v="546"/>
    <x v="981"/>
    <s v=""/>
    <m/>
    <m/>
    <n v="218876"/>
    <n v="72061.5"/>
    <s v=""/>
  </r>
  <r>
    <n v="31"/>
    <s v="190031"/>
    <d v="2019-02-19T00:00:00"/>
    <x v="11"/>
    <n v="371973"/>
    <x v="586"/>
    <m/>
    <x v="539"/>
    <x v="982"/>
    <s v=""/>
    <m/>
    <m/>
    <n v="17631"/>
    <n v="3573"/>
    <s v=""/>
  </r>
  <r>
    <n v="314"/>
    <s v="190314"/>
    <d v="2019-04-12T00:00:00"/>
    <x v="93"/>
    <n v="1688"/>
    <x v="586"/>
    <m/>
    <x v="552"/>
    <x v="983"/>
    <s v=""/>
    <m/>
    <m/>
    <n v="748"/>
    <n v="940"/>
    <s v=""/>
  </r>
  <r>
    <n v="356"/>
    <s v="190356"/>
    <d v="2019-04-24T00:00:00"/>
    <x v="73"/>
    <n v="3148"/>
    <x v="587"/>
    <m/>
    <x v="558"/>
    <x v="984"/>
    <s v=""/>
    <m/>
    <m/>
    <n v="2350"/>
    <n v="798"/>
    <s v=""/>
  </r>
  <r>
    <n v="334"/>
    <s v="190334"/>
    <d v="2019-04-17T00:00:00"/>
    <x v="73"/>
    <n v="1232"/>
    <x v="587"/>
    <m/>
    <x v="559"/>
    <x v="985"/>
    <s v=""/>
    <m/>
    <m/>
    <n v="961"/>
    <n v="271"/>
    <s v=""/>
  </r>
  <r>
    <n v="373"/>
    <s v="190373"/>
    <d v="2019-04-26T00:00:00"/>
    <x v="57"/>
    <n v="2001"/>
    <x v="587"/>
    <m/>
    <x v="560"/>
    <x v="986"/>
    <s v=""/>
    <m/>
    <m/>
    <n v="1376"/>
    <n v="625"/>
    <s v=""/>
  </r>
  <r>
    <n v="379"/>
    <s v="190379"/>
    <d v="2019-04-29T00:00:00"/>
    <x v="311"/>
    <n v="5000"/>
    <x v="588"/>
    <m/>
    <x v="558"/>
    <x v="840"/>
    <s v=""/>
    <m/>
    <m/>
    <n v="3000"/>
    <n v="2000"/>
    <s v=""/>
  </r>
  <r>
    <n v="377"/>
    <s v="190377"/>
    <d v="2019-04-26T00:00:00"/>
    <x v="134"/>
    <n v="1278"/>
    <x v="588"/>
    <m/>
    <x v="554"/>
    <x v="987"/>
    <s v=""/>
    <m/>
    <m/>
    <n v="996"/>
    <n v="282"/>
    <s v=""/>
  </r>
  <r>
    <n v="386"/>
    <s v="190386"/>
    <d v="2019-04-30T00:00:00"/>
    <x v="312"/>
    <n v="103113"/>
    <x v="589"/>
    <n v="1"/>
    <x v="560"/>
    <x v="988"/>
    <n v="103113"/>
    <m/>
    <m/>
    <n v="82680"/>
    <n v="20433"/>
    <n v="20433"/>
  </r>
  <r>
    <n v="374"/>
    <s v="190374"/>
    <d v="2019-04-26T00:00:00"/>
    <x v="313"/>
    <n v="31890"/>
    <x v="590"/>
    <n v="1"/>
    <x v="556"/>
    <x v="989"/>
    <n v="31890"/>
    <m/>
    <m/>
    <n v="20996"/>
    <n v="10894"/>
    <n v="10894"/>
  </r>
  <r>
    <n v="144"/>
    <s v="190144"/>
    <d v="2019-02-28T00:00:00"/>
    <x v="36"/>
    <n v="21404"/>
    <x v="591"/>
    <m/>
    <x v="544"/>
    <x v="990"/>
    <s v=""/>
    <m/>
    <m/>
    <n v="16443"/>
    <n v="4961"/>
    <s v=""/>
  </r>
  <r>
    <n v="191"/>
    <s v="190191"/>
    <d v="2019-03-20T00:00:00"/>
    <x v="36"/>
    <n v="36921"/>
    <x v="591"/>
    <m/>
    <x v="544"/>
    <x v="991"/>
    <s v=""/>
    <m/>
    <m/>
    <n v="28797"/>
    <n v="8124"/>
    <s v=""/>
  </r>
  <r>
    <n v="192"/>
    <s v="190192"/>
    <d v="2019-03-20T00:00:00"/>
    <x v="36"/>
    <n v="63990"/>
    <x v="591"/>
    <m/>
    <x v="544"/>
    <x v="992"/>
    <s v=""/>
    <m/>
    <m/>
    <n v="48840"/>
    <n v="15150"/>
    <s v=""/>
  </r>
  <r>
    <n v="397"/>
    <s v="190397"/>
    <d v="2019-04-30T00:00:00"/>
    <x v="1"/>
    <n v="10034"/>
    <x v="592"/>
    <m/>
    <x v="560"/>
    <x v="993"/>
    <s v=""/>
    <m/>
    <m/>
    <n v="7824"/>
    <n v="2210"/>
    <s v=""/>
  </r>
  <r>
    <n v="387"/>
    <s v="190387"/>
    <d v="2019-04-30T00:00:00"/>
    <x v="57"/>
    <n v="4224"/>
    <x v="592"/>
    <m/>
    <x v="561"/>
    <x v="994"/>
    <s v=""/>
    <m/>
    <m/>
    <n v="2788"/>
    <n v="1436"/>
    <s v=""/>
  </r>
  <r>
    <n v="404"/>
    <s v="190404"/>
    <d v="2019-05-06T00:00:00"/>
    <x v="150"/>
    <n v="25165"/>
    <x v="593"/>
    <m/>
    <x v="562"/>
    <x v="995"/>
    <s v=""/>
    <m/>
    <m/>
    <n v="18254"/>
    <n v="6911"/>
    <s v=""/>
  </r>
  <r>
    <n v="427"/>
    <s v="190427"/>
    <d v="2019-05-14T00:00:00"/>
    <x v="298"/>
    <n v="6929"/>
    <x v="594"/>
    <m/>
    <x v="563"/>
    <x v="996"/>
    <s v=""/>
    <m/>
    <m/>
    <n v="5039"/>
    <n v="1890"/>
    <s v=""/>
  </r>
  <r>
    <n v="322"/>
    <s v="190322"/>
    <d v="2019-04-15T00:00:00"/>
    <x v="126"/>
    <n v="2190"/>
    <x v="594"/>
    <m/>
    <x v="544"/>
    <x v="997"/>
    <s v=""/>
    <m/>
    <m/>
    <n v="1358"/>
    <n v="832"/>
    <s v=""/>
  </r>
  <r>
    <n v="435"/>
    <s v="190435"/>
    <d v="2019-05-16T00:00:00"/>
    <x v="314"/>
    <n v="3142"/>
    <x v="595"/>
    <n v="1"/>
    <x v="563"/>
    <x v="998"/>
    <n v="3142"/>
    <m/>
    <m/>
    <n v="2450"/>
    <n v="692"/>
    <n v="692"/>
  </r>
  <r>
    <n v="410"/>
    <s v="190410"/>
    <d v="2019-05-07T00:00:00"/>
    <x v="315"/>
    <n v="44619"/>
    <x v="595"/>
    <n v="1"/>
    <x v="564"/>
    <x v="999"/>
    <n v="44619"/>
    <m/>
    <m/>
    <n v="33010"/>
    <n v="11609"/>
    <n v="11609"/>
  </r>
  <r>
    <n v="416"/>
    <s v="190416"/>
    <d v="2019-05-08T00:00:00"/>
    <x v="151"/>
    <n v="34990"/>
    <x v="596"/>
    <m/>
    <x v="561"/>
    <x v="960"/>
    <s v=""/>
    <m/>
    <m/>
    <n v="25717"/>
    <n v="9273"/>
    <s v=""/>
  </r>
  <r>
    <n v="441"/>
    <s v="190441"/>
    <d v="2019-05-17T00:00:00"/>
    <x v="32"/>
    <n v="17815"/>
    <x v="597"/>
    <m/>
    <x v="564"/>
    <x v="1000"/>
    <s v=""/>
    <m/>
    <m/>
    <n v="11582"/>
    <n v="6233"/>
    <s v=""/>
  </r>
  <r>
    <n v="459"/>
    <s v="190459"/>
    <d v="2019-05-21T00:00:00"/>
    <x v="57"/>
    <n v="4224"/>
    <x v="597"/>
    <m/>
    <x v="565"/>
    <x v="994"/>
    <s v=""/>
    <m/>
    <m/>
    <n v="2788"/>
    <n v="1436"/>
    <s v=""/>
  </r>
  <r>
    <n v="450"/>
    <s v="190450"/>
    <d v="2019-05-20T00:00:00"/>
    <x v="296"/>
    <n v="4820"/>
    <x v="598"/>
    <m/>
    <x v="566"/>
    <x v="1001"/>
    <s v=""/>
    <m/>
    <m/>
    <n v="3759"/>
    <n v="1061"/>
    <s v=""/>
  </r>
  <r>
    <n v="443"/>
    <s v="190443"/>
    <d v="2019-05-17T00:00:00"/>
    <x v="73"/>
    <n v="4360"/>
    <x v="598"/>
    <m/>
    <x v="567"/>
    <x v="1002"/>
    <s v=""/>
    <m/>
    <m/>
    <n v="3375"/>
    <n v="985"/>
    <s v=""/>
  </r>
  <r>
    <n v="351"/>
    <s v="190351"/>
    <d v="2019-04-22T00:00:00"/>
    <x v="23"/>
    <n v="7700"/>
    <x v="598"/>
    <m/>
    <x v="568"/>
    <x v="952"/>
    <s v=""/>
    <m/>
    <m/>
    <n v="6005"/>
    <n v="1695"/>
    <s v=""/>
  </r>
  <r>
    <n v="476"/>
    <s v="190476"/>
    <d v="2019-05-20T00:00:00"/>
    <x v="204"/>
    <n v="2258"/>
    <x v="598"/>
    <m/>
    <x v="569"/>
    <x v="968"/>
    <s v=""/>
    <m/>
    <m/>
    <n v="1760"/>
    <n v="498"/>
    <s v=""/>
  </r>
  <r>
    <n v="478"/>
    <s v="190478"/>
    <d v="2019-05-23T00:00:00"/>
    <x v="316"/>
    <n v="13770"/>
    <x v="599"/>
    <n v="1"/>
    <x v="561"/>
    <x v="938"/>
    <n v="13770"/>
    <m/>
    <m/>
    <n v="10112"/>
    <n v="3658"/>
    <n v="3658"/>
  </r>
  <r>
    <n v="473"/>
    <s v="190473"/>
    <d v="2019-05-22T00:00:00"/>
    <x v="70"/>
    <n v="4000"/>
    <x v="599"/>
    <m/>
    <x v="570"/>
    <x v="136"/>
    <s v=""/>
    <m/>
    <n v="600"/>
    <n v="1574"/>
    <n v="2426"/>
    <s v=""/>
  </r>
  <r>
    <n v="481"/>
    <s v="190481"/>
    <d v="2019-05-23T00:00:00"/>
    <x v="317"/>
    <n v="55580"/>
    <x v="599"/>
    <n v="1"/>
    <x v="561"/>
    <x v="1003"/>
    <n v="55580"/>
    <m/>
    <m/>
    <n v="40474"/>
    <n v="15106"/>
    <n v="15106"/>
  </r>
  <r>
    <n v="452"/>
    <s v="190452"/>
    <d v="2019-05-20T00:00:00"/>
    <x v="192"/>
    <n v="3387"/>
    <x v="600"/>
    <m/>
    <x v="566"/>
    <x v="898"/>
    <s v=""/>
    <m/>
    <m/>
    <n v="2640"/>
    <n v="747"/>
    <s v=""/>
  </r>
  <r>
    <n v="256"/>
    <s v="190256"/>
    <d v="2019-05-17T00:00:00"/>
    <x v="13"/>
    <n v="208464"/>
    <x v="601"/>
    <m/>
    <x v="571"/>
    <x v="1004"/>
    <s v=""/>
    <n v="39000"/>
    <n v="7800"/>
    <n v="60357"/>
    <n v="148107"/>
    <s v=""/>
  </r>
  <r>
    <n v="502"/>
    <s v="190502"/>
    <d v="2019-05-29T00:00:00"/>
    <x v="318"/>
    <n v="36990"/>
    <x v="602"/>
    <n v="1"/>
    <x v="565"/>
    <x v="1005"/>
    <n v="36990"/>
    <m/>
    <m/>
    <n v="27165"/>
    <n v="9825"/>
    <n v="9825"/>
  </r>
  <r>
    <n v="503"/>
    <s v="190503"/>
    <d v="2019-05-29T00:00:00"/>
    <x v="319"/>
    <n v="14490"/>
    <x v="603"/>
    <n v="1"/>
    <x v="572"/>
    <x v="1006"/>
    <n v="14490"/>
    <m/>
    <m/>
    <n v="10650"/>
    <n v="3840"/>
    <n v="3840"/>
  </r>
  <r>
    <n v="426"/>
    <s v="190426"/>
    <d v="2019-05-14T00:00:00"/>
    <x v="320"/>
    <n v="17640"/>
    <x v="604"/>
    <n v="1"/>
    <x v="564"/>
    <x v="1007"/>
    <n v="17640"/>
    <m/>
    <m/>
    <n v="12676"/>
    <n v="4964"/>
    <n v="4964"/>
  </r>
  <r>
    <n v="500"/>
    <s v="190500"/>
    <d v="2019-05-28T00:00:00"/>
    <x v="73"/>
    <n v="8078"/>
    <x v="604"/>
    <m/>
    <x v="567"/>
    <x v="1008"/>
    <s v=""/>
    <m/>
    <m/>
    <n v="6301"/>
    <n v="1777"/>
    <s v=""/>
  </r>
  <r>
    <n v="515"/>
    <s v="190515"/>
    <d v="2019-06-03T00:00:00"/>
    <x v="24"/>
    <n v="22180"/>
    <x v="605"/>
    <m/>
    <x v="572"/>
    <x v="1009"/>
    <s v=""/>
    <m/>
    <m/>
    <n v="16429"/>
    <n v="5751"/>
    <s v=""/>
  </r>
  <r>
    <n v="516"/>
    <s v="190516"/>
    <d v="2019-06-03T00:00:00"/>
    <x v="24"/>
    <n v="3860"/>
    <x v="605"/>
    <m/>
    <x v="572"/>
    <x v="1010"/>
    <s v=""/>
    <m/>
    <m/>
    <n v="3010"/>
    <n v="850"/>
    <s v=""/>
  </r>
  <r>
    <n v="466"/>
    <s v="190466"/>
    <d v="2019-06-03T00:00:00"/>
    <x v="291"/>
    <n v="4990"/>
    <x v="606"/>
    <m/>
    <x v="573"/>
    <x v="220"/>
    <s v=""/>
    <m/>
    <m/>
    <n v="3667"/>
    <n v="1323"/>
    <s v=""/>
  </r>
  <r>
    <n v="501"/>
    <s v="190501"/>
    <d v="2019-05-28T00:00:00"/>
    <x v="150"/>
    <n v="10255"/>
    <x v="606"/>
    <m/>
    <x v="562"/>
    <x v="1011"/>
    <s v=""/>
    <m/>
    <m/>
    <n v="7998"/>
    <n v="2257"/>
    <s v=""/>
  </r>
  <r>
    <n v="451"/>
    <s v="190451"/>
    <d v="2019-05-20T00:00:00"/>
    <x v="321"/>
    <n v="22653"/>
    <x v="606"/>
    <n v="1"/>
    <x v="537"/>
    <x v="1012"/>
    <n v="22653"/>
    <m/>
    <m/>
    <n v="16312"/>
    <n v="6341"/>
    <n v="6341"/>
  </r>
  <r>
    <n v="529"/>
    <s v="190529"/>
    <d v="2019-06-05T00:00:00"/>
    <x v="57"/>
    <n v="1002"/>
    <x v="607"/>
    <m/>
    <x v="574"/>
    <x v="560"/>
    <s v=""/>
    <m/>
    <m/>
    <n v="661"/>
    <n v="341"/>
    <s v=""/>
  </r>
  <r>
    <n v="534"/>
    <s v="190534"/>
    <d v="2019-06-06T00:00:00"/>
    <x v="322"/>
    <n v="108390"/>
    <x v="608"/>
    <m/>
    <x v="575"/>
    <x v="1013"/>
    <s v=""/>
    <m/>
    <m/>
    <n v="67276"/>
    <n v="41114"/>
    <s v=""/>
  </r>
  <r>
    <n v="460"/>
    <s v="190460"/>
    <d v="2019-05-21T00:00:00"/>
    <x v="14"/>
    <n v="32022"/>
    <x v="609"/>
    <m/>
    <x v="576"/>
    <x v="1014"/>
    <s v=""/>
    <m/>
    <m/>
    <n v="24581"/>
    <n v="7441"/>
    <s v=""/>
  </r>
  <r>
    <n v="475"/>
    <s v="190475"/>
    <d v="2019-05-23T00:00:00"/>
    <x v="323"/>
    <n v="96790"/>
    <x v="610"/>
    <n v="1"/>
    <x v="577"/>
    <x v="1015"/>
    <n v="96790"/>
    <m/>
    <m/>
    <n v="70224"/>
    <n v="26566"/>
    <n v="26566"/>
  </r>
  <r>
    <n v="555"/>
    <s v="190555"/>
    <d v="2019-06-11T00:00:00"/>
    <x v="32"/>
    <n v="1252"/>
    <x v="610"/>
    <m/>
    <x v="578"/>
    <x v="1016"/>
    <s v=""/>
    <m/>
    <m/>
    <n v="826"/>
    <n v="426"/>
    <s v=""/>
  </r>
  <r>
    <n v="559"/>
    <s v="190559"/>
    <d v="2019-06-11T00:00:00"/>
    <x v="324"/>
    <n v="9990"/>
    <x v="611"/>
    <n v="1"/>
    <x v="537"/>
    <x v="1017"/>
    <n v="9990"/>
    <m/>
    <m/>
    <n v="7342"/>
    <n v="2648"/>
    <n v="2648"/>
  </r>
  <r>
    <n v="584"/>
    <s v="190584"/>
    <d v="2019-06-14T00:00:00"/>
    <x v="314"/>
    <n v="3142"/>
    <x v="612"/>
    <m/>
    <x v="577"/>
    <x v="998"/>
    <s v=""/>
    <m/>
    <m/>
    <n v="2450"/>
    <n v="692"/>
    <s v=""/>
  </r>
  <r>
    <n v="514"/>
    <s v="190514"/>
    <d v="2019-06-03T00:00:00"/>
    <x v="290"/>
    <n v="10760"/>
    <x v="613"/>
    <m/>
    <x v="572"/>
    <x v="948"/>
    <s v=""/>
    <m/>
    <m/>
    <n v="9528"/>
    <n v="1232"/>
    <s v=""/>
  </r>
  <r>
    <n v="581"/>
    <s v="190581"/>
    <d v="2019-06-14T00:00:00"/>
    <x v="43"/>
    <n v="41390"/>
    <x v="613"/>
    <m/>
    <x v="579"/>
    <x v="1018"/>
    <s v=""/>
    <m/>
    <m/>
    <n v="30708"/>
    <n v="10682"/>
    <s v=""/>
  </r>
  <r>
    <n v="589"/>
    <s v="190589"/>
    <d v="2019-06-17T00:00:00"/>
    <x v="298"/>
    <n v="5040"/>
    <x v="613"/>
    <m/>
    <x v="580"/>
    <x v="1019"/>
    <s v=""/>
    <m/>
    <m/>
    <n v="3931"/>
    <n v="1109"/>
    <s v=""/>
  </r>
  <r>
    <n v="599"/>
    <s v="190599"/>
    <d v="2019-06-19T00:00:00"/>
    <x v="307"/>
    <n v="45818"/>
    <x v="614"/>
    <m/>
    <x v="581"/>
    <x v="1020"/>
    <s v=""/>
    <m/>
    <m/>
    <n v="32824"/>
    <n v="12994"/>
    <s v=""/>
  </r>
  <r>
    <n v="573"/>
    <s v="190573"/>
    <d v="2019-06-14T00:00:00"/>
    <x v="43"/>
    <n v="292890"/>
    <x v="614"/>
    <m/>
    <x v="579"/>
    <x v="1021"/>
    <s v=""/>
    <m/>
    <m/>
    <n v="178000"/>
    <n v="114890"/>
    <s v=""/>
  </r>
  <r>
    <n v="601"/>
    <s v="190601"/>
    <d v="2019-06-19T00:00:00"/>
    <x v="325"/>
    <n v="10490"/>
    <x v="614"/>
    <m/>
    <x v="579"/>
    <x v="1022"/>
    <s v=""/>
    <m/>
    <m/>
    <n v="7703"/>
    <n v="2787"/>
    <s v=""/>
  </r>
  <r>
    <n v="517"/>
    <s v="190517"/>
    <d v="2019-06-03T00:00:00"/>
    <x v="102"/>
    <n v="2412"/>
    <x v="614"/>
    <m/>
    <x v="582"/>
    <x v="944"/>
    <s v=""/>
    <m/>
    <m/>
    <n v="1584"/>
    <n v="828"/>
    <s v=""/>
  </r>
  <r>
    <n v="449"/>
    <s v="190449"/>
    <d v="2019-06-06T00:00:00"/>
    <x v="13"/>
    <n v="159515"/>
    <x v="615"/>
    <m/>
    <x v="564"/>
    <x v="1023"/>
    <s v=""/>
    <n v="33000"/>
    <n v="4400"/>
    <n v="38412"/>
    <n v="121103"/>
    <s v=""/>
  </r>
  <r>
    <n v="613"/>
    <s v="190613"/>
    <d v="2019-06-20T00:00:00"/>
    <x v="326"/>
    <n v="19990"/>
    <x v="615"/>
    <m/>
    <x v="579"/>
    <x v="741"/>
    <s v=""/>
    <m/>
    <m/>
    <n v="14692"/>
    <n v="5298"/>
    <s v=""/>
  </r>
  <r>
    <n v="588"/>
    <s v="190588"/>
    <d v="2019-06-17T00:00:00"/>
    <x v="88"/>
    <n v="22450.400000000001"/>
    <x v="615"/>
    <m/>
    <x v="583"/>
    <x v="1024"/>
    <s v=""/>
    <m/>
    <m/>
    <n v="14476"/>
    <n v="7974.4000000000015"/>
    <s v=""/>
  </r>
  <r>
    <n v="570"/>
    <s v="190570"/>
    <d v="2019-06-13T00:00:00"/>
    <x v="126"/>
    <n v="3735.5"/>
    <x v="616"/>
    <m/>
    <x v="584"/>
    <x v="1025"/>
    <s v=""/>
    <m/>
    <m/>
    <n v="3190"/>
    <n v="545.5"/>
    <s v=""/>
  </r>
  <r>
    <n v="594"/>
    <s v="190594"/>
    <d v="2019-06-18T00:00:00"/>
    <x v="73"/>
    <n v="2183"/>
    <x v="616"/>
    <m/>
    <x v="581"/>
    <x v="1026"/>
    <s v=""/>
    <m/>
    <m/>
    <n v="1441"/>
    <n v="742"/>
    <s v=""/>
  </r>
  <r>
    <n v="621"/>
    <s v="190621"/>
    <d v="2019-06-21T00:00:00"/>
    <x v="272"/>
    <n v="8388"/>
    <x v="616"/>
    <m/>
    <x v="585"/>
    <x v="1027"/>
    <s v=""/>
    <m/>
    <m/>
    <n v="6477"/>
    <n v="1911"/>
    <s v=""/>
  </r>
  <r>
    <n v="630"/>
    <s v="190630"/>
    <d v="2019-06-26T00:00:00"/>
    <x v="327"/>
    <n v="6508"/>
    <x v="617"/>
    <n v="1"/>
    <x v="586"/>
    <x v="1028"/>
    <n v="6508"/>
    <m/>
    <n v="600"/>
    <n v="3361"/>
    <n v="3147"/>
    <n v="3147"/>
  </r>
  <r>
    <n v="631"/>
    <s v="190631"/>
    <d v="2019-06-26T00:00:00"/>
    <x v="328"/>
    <n v="15519"/>
    <x v="617"/>
    <n v="1"/>
    <x v="582"/>
    <x v="1029"/>
    <n v="15519"/>
    <m/>
    <m/>
    <n v="11448"/>
    <n v="4071"/>
    <n v="4071"/>
  </r>
  <r>
    <n v="489"/>
    <s v="190489"/>
    <d v="2019-05-27T00:00:00"/>
    <x v="11"/>
    <n v="275817.59999999998"/>
    <x v="618"/>
    <m/>
    <x v="564"/>
    <x v="1030"/>
    <s v=""/>
    <m/>
    <n v="6400"/>
    <n v="78204"/>
    <n v="59062.799999999988"/>
    <s v=""/>
  </r>
  <r>
    <n v="629"/>
    <s v="190629"/>
    <d v="2019-06-27T00:00:00"/>
    <x v="329"/>
    <n v="10490"/>
    <x v="619"/>
    <n v="1"/>
    <x v="583"/>
    <x v="1022"/>
    <n v="10490"/>
    <m/>
    <m/>
    <n v="7703"/>
    <n v="2787"/>
    <n v="2787"/>
  </r>
  <r>
    <n v="477"/>
    <s v="190477"/>
    <d v="2019-06-19T00:00:00"/>
    <x v="323"/>
    <n v="25202"/>
    <x v="619"/>
    <n v="1"/>
    <x v="587"/>
    <x v="1031"/>
    <n v="25202"/>
    <m/>
    <n v="1200"/>
    <n v="13479"/>
    <n v="11723"/>
    <n v="11723"/>
  </r>
  <r>
    <n v="628"/>
    <s v="190628"/>
    <d v="2019-06-25T00:00:00"/>
    <x v="173"/>
    <n v="9076"/>
    <x v="619"/>
    <m/>
    <x v="583"/>
    <x v="1032"/>
    <s v=""/>
    <m/>
    <m/>
    <n v="7078"/>
    <n v="1998"/>
    <s v=""/>
  </r>
  <r>
    <n v="635"/>
    <s v="190635"/>
    <d v="2019-06-28T00:00:00"/>
    <x v="126"/>
    <n v="7269.5"/>
    <x v="619"/>
    <m/>
    <x v="588"/>
    <x v="1033"/>
    <s v=""/>
    <m/>
    <m/>
    <n v="6497"/>
    <n v="772.5"/>
    <s v=""/>
  </r>
  <r>
    <n v="647"/>
    <s v="190647"/>
    <d v="2019-07-01T00:00:00"/>
    <x v="330"/>
    <n v="37962"/>
    <x v="620"/>
    <n v="1"/>
    <x v="589"/>
    <x v="1034"/>
    <n v="37962"/>
    <m/>
    <m/>
    <n v="27923"/>
    <n v="10039"/>
    <n v="10039"/>
  </r>
  <r>
    <n v="640"/>
    <s v="190640"/>
    <d v="2019-06-28T00:00:00"/>
    <x v="204"/>
    <n v="14390"/>
    <x v="620"/>
    <m/>
    <x v="590"/>
    <x v="1035"/>
    <s v=""/>
    <m/>
    <m/>
    <n v="10568"/>
    <n v="3822"/>
    <s v=""/>
  </r>
  <r>
    <n v="384"/>
    <s v="190384"/>
    <d v="2019-04-30T00:00:00"/>
    <x v="20"/>
    <n v="26438"/>
    <x v="621"/>
    <m/>
    <x v="561"/>
    <x v="1036"/>
    <s v=""/>
    <m/>
    <m/>
    <n v="19658"/>
    <n v="6780"/>
    <s v=""/>
  </r>
  <r>
    <n v="623"/>
    <s v="190623"/>
    <d v="2019-06-24T00:00:00"/>
    <x v="331"/>
    <n v="5431"/>
    <x v="621"/>
    <n v="1"/>
    <x v="580"/>
    <x v="931"/>
    <n v="5431"/>
    <m/>
    <m/>
    <n v="3927"/>
    <n v="1504"/>
    <n v="1504"/>
  </r>
  <r>
    <n v="649"/>
    <s v="190649"/>
    <d v="2019-07-01T00:00:00"/>
    <x v="59"/>
    <n v="3194"/>
    <x v="621"/>
    <m/>
    <x v="591"/>
    <x v="1037"/>
    <s v=""/>
    <m/>
    <m/>
    <n v="2490"/>
    <n v="704"/>
    <s v=""/>
  </r>
  <r>
    <n v="634"/>
    <s v="190634"/>
    <d v="2019-06-26T00:00:00"/>
    <x v="198"/>
    <n v="37681"/>
    <x v="621"/>
    <m/>
    <x v="588"/>
    <x v="1038"/>
    <s v=""/>
    <m/>
    <n v="4800"/>
    <n v="18120"/>
    <n v="19561"/>
    <s v=""/>
  </r>
  <r>
    <n v="648"/>
    <s v="190648"/>
    <d v="2019-07-01T00:00:00"/>
    <x v="88"/>
    <n v="3667"/>
    <x v="621"/>
    <m/>
    <x v="591"/>
    <x v="1039"/>
    <s v=""/>
    <m/>
    <m/>
    <n v="3010"/>
    <n v="657"/>
    <s v=""/>
  </r>
  <r>
    <n v="654"/>
    <s v="190654"/>
    <d v="2019-07-02T00:00:00"/>
    <x v="1"/>
    <n v="5176"/>
    <x v="622"/>
    <m/>
    <x v="583"/>
    <x v="915"/>
    <s v=""/>
    <m/>
    <m/>
    <n v="4036"/>
    <n v="1140"/>
    <s v=""/>
  </r>
  <r>
    <n v="655"/>
    <s v="190655"/>
    <d v="2019-07-02T00:00:00"/>
    <x v="332"/>
    <n v="14390"/>
    <x v="622"/>
    <m/>
    <x v="592"/>
    <x v="1035"/>
    <s v=""/>
    <m/>
    <m/>
    <n v="10568"/>
    <n v="3822"/>
    <s v=""/>
  </r>
  <r>
    <n v="664"/>
    <s v="190664"/>
    <d v="2019-07-04T00:00:00"/>
    <x v="324"/>
    <n v="9990"/>
    <x v="623"/>
    <m/>
    <x v="588"/>
    <x v="1017"/>
    <s v=""/>
    <m/>
    <m/>
    <n v="7342"/>
    <n v="2648"/>
    <s v=""/>
  </r>
  <r>
    <n v="656"/>
    <s v="190656"/>
    <d v="2019-07-02T00:00:00"/>
    <x v="9"/>
    <n v="19705.2"/>
    <x v="623"/>
    <m/>
    <x v="581"/>
    <x v="1040"/>
    <s v=""/>
    <m/>
    <m/>
    <n v="14451"/>
    <n v="5254.2000000000007"/>
    <s v=""/>
  </r>
  <r>
    <n v="616"/>
    <s v="190616"/>
    <d v="2019-06-20T00:00:00"/>
    <x v="37"/>
    <n v="442"/>
    <x v="624"/>
    <m/>
    <x v="578"/>
    <x v="1041"/>
    <s v=""/>
    <m/>
    <m/>
    <n v="290"/>
    <n v="152"/>
    <s v=""/>
  </r>
  <r>
    <n v="677"/>
    <s v="190677"/>
    <d v="2019-07-06T00:00:00"/>
    <x v="314"/>
    <n v="34990"/>
    <x v="625"/>
    <m/>
    <x v="593"/>
    <x v="960"/>
    <s v=""/>
    <m/>
    <m/>
    <n v="25717"/>
    <n v="9273"/>
    <s v=""/>
  </r>
  <r>
    <n v="659"/>
    <s v="190659"/>
    <d v="2019-07-03T00:00:00"/>
    <x v="333"/>
    <n v="24990"/>
    <x v="626"/>
    <n v="1"/>
    <x v="586"/>
    <x v="1042"/>
    <n v="24990"/>
    <m/>
    <m/>
    <n v="19740.88"/>
    <n v="5249.119999999999"/>
    <n v="5249.119999999999"/>
  </r>
  <r>
    <n v="598"/>
    <s v="190598"/>
    <d v="2019-06-19T00:00:00"/>
    <x v="97"/>
    <n v="306429"/>
    <x v="626"/>
    <m/>
    <x v="594"/>
    <x v="1043"/>
    <s v=""/>
    <m/>
    <n v="600"/>
    <n v="223768"/>
    <n v="82661"/>
    <s v=""/>
  </r>
  <r>
    <n v="649"/>
    <s v="190649"/>
    <d v="2019-07-01T00:00:00"/>
    <x v="162"/>
    <n v="5000"/>
    <x v="627"/>
    <m/>
    <x v="595"/>
    <x v="840"/>
    <s v=""/>
    <m/>
    <n v="600"/>
    <n v="1982"/>
    <n v="3018"/>
    <s v=""/>
  </r>
  <r>
    <n v="697"/>
    <s v="190697"/>
    <d v="2019-07-11T00:00:00"/>
    <x v="134"/>
    <n v="284"/>
    <x v="628"/>
    <m/>
    <x v="596"/>
    <x v="1044"/>
    <s v=""/>
    <m/>
    <m/>
    <n v="188"/>
    <n v="96"/>
    <s v=""/>
  </r>
  <r>
    <n v="702"/>
    <s v="190702"/>
    <d v="2019-07-12T00:00:00"/>
    <x v="136"/>
    <n v="4792"/>
    <x v="629"/>
    <m/>
    <x v="597"/>
    <x v="1045"/>
    <s v=""/>
    <m/>
    <m/>
    <n v="3508"/>
    <n v="1284"/>
    <s v=""/>
  </r>
  <r>
    <n v="703"/>
    <s v="190703"/>
    <d v="2019-07-12T00:00:00"/>
    <x v="136"/>
    <n v="8724"/>
    <x v="629"/>
    <m/>
    <x v="598"/>
    <x v="1046"/>
    <s v=""/>
    <m/>
    <m/>
    <n v="6804"/>
    <n v="1920"/>
    <s v=""/>
  </r>
  <r>
    <n v="687"/>
    <s v="190687"/>
    <d v="2019-07-09T00:00:00"/>
    <x v="54"/>
    <n v="10352"/>
    <x v="630"/>
    <m/>
    <x v="592"/>
    <x v="899"/>
    <s v=""/>
    <m/>
    <m/>
    <n v="8072"/>
    <n v="2280"/>
    <s v=""/>
  </r>
  <r>
    <n v="535"/>
    <s v="190535"/>
    <d v="2019-06-18T00:00:00"/>
    <x v="13"/>
    <n v="183658"/>
    <x v="631"/>
    <m/>
    <x v="574"/>
    <x v="1047"/>
    <s v=""/>
    <n v="27000"/>
    <n v="3600"/>
    <n v="73284"/>
    <n v="110374"/>
    <s v=""/>
  </r>
  <r>
    <n v="602"/>
    <s v="190602"/>
    <d v="2019-06-18T00:00:00"/>
    <x v="13"/>
    <n v="1812"/>
    <x v="631"/>
    <m/>
    <x v="588"/>
    <x v="1048"/>
    <s v=""/>
    <m/>
    <m/>
    <n v="1376"/>
    <n v="436"/>
    <s v=""/>
  </r>
  <r>
    <n v="724"/>
    <s v="190724"/>
    <d v="2019-07-16T00:00:00"/>
    <x v="210"/>
    <n v="18598"/>
    <x v="631"/>
    <m/>
    <x v="599"/>
    <x v="1049"/>
    <s v=""/>
    <m/>
    <m/>
    <n v="14642"/>
    <n v="3956"/>
    <s v=""/>
  </r>
  <r>
    <n v="489"/>
    <s v="190489"/>
    <d v="2019-05-27T00:00:00"/>
    <x v="11"/>
    <n v="275817.59999999998"/>
    <x v="632"/>
    <m/>
    <x v="567"/>
    <x v="1050"/>
    <s v=""/>
    <m/>
    <m/>
    <n v="119124"/>
    <n v="19426.799999999988"/>
    <s v=""/>
  </r>
  <r>
    <n v="718"/>
    <s v="190718"/>
    <d v="2019-07-16T00:00:00"/>
    <x v="314"/>
    <n v="3142"/>
    <x v="633"/>
    <m/>
    <x v="600"/>
    <x v="998"/>
    <s v=""/>
    <m/>
    <m/>
    <n v="2450"/>
    <n v="692"/>
    <s v=""/>
  </r>
  <r>
    <n v="735"/>
    <s v="190735"/>
    <d v="2019-07-19T00:00:00"/>
    <x v="314"/>
    <n v="3142"/>
    <x v="633"/>
    <m/>
    <x v="589"/>
    <x v="998"/>
    <s v=""/>
    <m/>
    <m/>
    <n v="2450"/>
    <n v="692"/>
    <s v=""/>
  </r>
  <r>
    <n v="527"/>
    <s v="190527"/>
    <d v="2019-06-05T00:00:00"/>
    <x v="20"/>
    <n v="21124"/>
    <x v="633"/>
    <m/>
    <x v="574"/>
    <x v="1051"/>
    <s v=""/>
    <m/>
    <m/>
    <n v="16426"/>
    <n v="4698"/>
    <s v=""/>
  </r>
  <r>
    <n v="582"/>
    <s v="190582"/>
    <d v="2019-06-14T00:00:00"/>
    <x v="20"/>
    <n v="43487"/>
    <x v="633"/>
    <m/>
    <x v="588"/>
    <x v="1052"/>
    <s v=""/>
    <m/>
    <m/>
    <n v="32942"/>
    <n v="10545"/>
    <s v=""/>
  </r>
  <r>
    <n v="719"/>
    <s v="190719"/>
    <d v="2019-07-16T00:00:00"/>
    <x v="177"/>
    <n v="1355"/>
    <x v="633"/>
    <m/>
    <x v="601"/>
    <x v="1053"/>
    <s v=""/>
    <m/>
    <m/>
    <n v="1057"/>
    <n v="298"/>
    <s v=""/>
  </r>
  <r>
    <n v="750"/>
    <s v="190750"/>
    <d v="2019-07-23T00:00:00"/>
    <x v="334"/>
    <n v="17990"/>
    <x v="634"/>
    <n v="1"/>
    <x v="602"/>
    <x v="690"/>
    <n v="17990"/>
    <m/>
    <m/>
    <n v="14168"/>
    <n v="3822"/>
    <n v="3822"/>
  </r>
  <r>
    <n v="754"/>
    <s v="190754"/>
    <d v="2019-07-24T00:00:00"/>
    <x v="57"/>
    <n v="5138"/>
    <x v="635"/>
    <m/>
    <x v="587"/>
    <x v="1054"/>
    <s v=""/>
    <m/>
    <m/>
    <n v="4007"/>
    <n v="1131"/>
    <s v=""/>
  </r>
  <r>
    <n v="695"/>
    <s v="190695"/>
    <d v="2019-07-11T00:00:00"/>
    <x v="102"/>
    <n v="9285"/>
    <x v="636"/>
    <m/>
    <x v="603"/>
    <x v="1055"/>
    <s v=""/>
    <m/>
    <m/>
    <n v="5325"/>
    <n v="3960"/>
    <s v=""/>
  </r>
  <r>
    <n v="759"/>
    <s v="190759"/>
    <d v="2019-07-25T00:00:00"/>
    <x v="335"/>
    <n v="30389"/>
    <x v="636"/>
    <n v="1"/>
    <x v="604"/>
    <x v="1056"/>
    <n v="30389"/>
    <m/>
    <m/>
    <n v="21089"/>
    <n v="9300"/>
    <n v="9300"/>
  </r>
  <r>
    <n v="756"/>
    <s v="190756"/>
    <d v="2019-07-24T00:00:00"/>
    <x v="166"/>
    <n v="10352"/>
    <x v="636"/>
    <m/>
    <x v="601"/>
    <x v="899"/>
    <s v=""/>
    <m/>
    <m/>
    <n v="8072"/>
    <n v="2280"/>
    <s v=""/>
  </r>
  <r>
    <n v="714"/>
    <s v="190714"/>
    <d v="2019-07-15T00:00:00"/>
    <x v="336"/>
    <n v="27149"/>
    <x v="637"/>
    <n v="1"/>
    <x v="605"/>
    <x v="1057"/>
    <n v="27149"/>
    <m/>
    <n v="600"/>
    <n v="19148"/>
    <n v="8001"/>
    <n v="8001"/>
  </r>
  <r>
    <n v="622"/>
    <s v="190622"/>
    <d v="2019-07-03T00:00:00"/>
    <x v="13"/>
    <n v="136296"/>
    <x v="638"/>
    <m/>
    <x v="588"/>
    <x v="1058"/>
    <s v=""/>
    <n v="27000"/>
    <n v="5400"/>
    <n v="36002"/>
    <n v="100294"/>
    <s v=""/>
  </r>
  <r>
    <n v="767"/>
    <s v="190767"/>
    <d v="2019-07-29T00:00:00"/>
    <x v="296"/>
    <n v="3142"/>
    <x v="639"/>
    <m/>
    <x v="605"/>
    <x v="998"/>
    <s v=""/>
    <m/>
    <m/>
    <n v="2450"/>
    <n v="692"/>
    <s v=""/>
  </r>
  <r>
    <n v="769"/>
    <s v="190769"/>
    <d v="2019-07-30T00:00:00"/>
    <x v="126"/>
    <n v="8292.61"/>
    <x v="639"/>
    <m/>
    <x v="605"/>
    <x v="1059"/>
    <s v=""/>
    <m/>
    <m/>
    <n v="7462"/>
    <n v="830.61000000000058"/>
    <s v=""/>
  </r>
  <r>
    <n v="774"/>
    <s v="190774"/>
    <d v="2019-07-31T00:00:00"/>
    <x v="337"/>
    <n v="17990"/>
    <x v="639"/>
    <n v="1"/>
    <x v="606"/>
    <x v="690"/>
    <n v="17990"/>
    <m/>
    <m/>
    <n v="14168"/>
    <n v="3822"/>
    <n v="3822"/>
  </r>
  <r>
    <n v="764"/>
    <s v="190764"/>
    <d v="2019-07-26T00:00:00"/>
    <x v="338"/>
    <n v="2001050"/>
    <x v="640"/>
    <n v="1"/>
    <x v="607"/>
    <x v="1060"/>
    <n v="2001050"/>
    <n v="30000"/>
    <m/>
    <n v="1730224"/>
    <n v="270826"/>
    <n v="270826"/>
  </r>
  <r>
    <n v="785"/>
    <s v="190785"/>
    <d v="2019-08-01T00:00:00"/>
    <x v="321"/>
    <n v="1314"/>
    <x v="641"/>
    <m/>
    <x v="608"/>
    <x v="1061"/>
    <s v=""/>
    <m/>
    <m/>
    <n v="670"/>
    <n v="644"/>
    <s v=""/>
  </r>
  <r>
    <n v="791"/>
    <s v="190791"/>
    <d v="2019-08-05T00:00:00"/>
    <x v="59"/>
    <n v="34990"/>
    <x v="642"/>
    <m/>
    <x v="601"/>
    <x v="960"/>
    <s v=""/>
    <m/>
    <m/>
    <n v="25717"/>
    <n v="9273"/>
    <s v=""/>
  </r>
  <r>
    <n v="772"/>
    <s v="190772"/>
    <d v="2019-07-31T00:00:00"/>
    <x v="43"/>
    <n v="2162"/>
    <x v="643"/>
    <m/>
    <x v="609"/>
    <x v="933"/>
    <s v=""/>
    <m/>
    <m/>
    <n v="1426"/>
    <n v="736"/>
    <s v=""/>
  </r>
  <r>
    <n v="792"/>
    <s v="190792"/>
    <d v="2019-08-05T00:00:00"/>
    <x v="210"/>
    <n v="4986"/>
    <x v="644"/>
    <m/>
    <x v="610"/>
    <x v="1062"/>
    <s v=""/>
    <m/>
    <m/>
    <n v="4194"/>
    <n v="792"/>
    <s v=""/>
  </r>
  <r>
    <n v="721"/>
    <s v="190721"/>
    <d v="2019-07-16T00:00:00"/>
    <x v="92"/>
    <n v="310000"/>
    <x v="644"/>
    <m/>
    <x v="611"/>
    <x v="1063"/>
    <s v=""/>
    <m/>
    <m/>
    <n v="191000"/>
    <n v="57000"/>
    <s v=""/>
  </r>
  <r>
    <n v="638"/>
    <s v="190638"/>
    <d v="2019-07-01T00:00:00"/>
    <x v="36"/>
    <n v="81758"/>
    <x v="645"/>
    <m/>
    <x v="581"/>
    <x v="1064"/>
    <s v=""/>
    <m/>
    <m/>
    <n v="61044"/>
    <n v="20714"/>
    <s v=""/>
  </r>
  <r>
    <n v="802"/>
    <s v="190802"/>
    <d v="2019-08-09T00:00:00"/>
    <x v="81"/>
    <n v="66090"/>
    <x v="646"/>
    <m/>
    <x v="612"/>
    <x v="1065"/>
    <s v=""/>
    <m/>
    <m/>
    <n v="48320"/>
    <n v="17770"/>
    <s v=""/>
  </r>
  <r>
    <n v="790"/>
    <s v="190790"/>
    <d v="2019-08-05T00:00:00"/>
    <x v="150"/>
    <n v="30086"/>
    <x v="647"/>
    <m/>
    <x v="613"/>
    <x v="1066"/>
    <s v=""/>
    <m/>
    <m/>
    <n v="16583"/>
    <n v="13503"/>
    <s v=""/>
  </r>
  <r>
    <n v="795"/>
    <s v="190795"/>
    <d v="2019-08-08T00:00:00"/>
    <x v="43"/>
    <n v="472173"/>
    <x v="648"/>
    <m/>
    <x v="609"/>
    <x v="1067"/>
    <s v=""/>
    <m/>
    <m/>
    <n v="347643"/>
    <n v="124530"/>
    <s v=""/>
  </r>
  <r>
    <n v="803"/>
    <s v="190803"/>
    <d v="2019-08-09T00:00:00"/>
    <x v="43"/>
    <n v="3324"/>
    <x v="648"/>
    <m/>
    <x v="609"/>
    <x v="1068"/>
    <s v=""/>
    <m/>
    <m/>
    <n v="2194"/>
    <n v="1130"/>
    <s v=""/>
  </r>
  <r>
    <n v="721"/>
    <s v="190721"/>
    <d v="2019-07-16T00:00:00"/>
    <x v="92"/>
    <n v="310000"/>
    <x v="649"/>
    <m/>
    <x v="611"/>
    <x v="1069"/>
    <s v=""/>
    <m/>
    <m/>
    <n v="48847"/>
    <n v="13153"/>
    <s v=""/>
  </r>
  <r>
    <n v="833"/>
    <s v="190833"/>
    <d v="2019-08-19T00:00:00"/>
    <x v="92"/>
    <n v="62666.75"/>
    <x v="649"/>
    <m/>
    <x v="614"/>
    <x v="1070"/>
    <s v=""/>
    <m/>
    <m/>
    <n v="49050"/>
    <n v="13616.75"/>
    <s v=""/>
  </r>
  <r>
    <n v="832"/>
    <s v="190832"/>
    <d v="2019-08-19T00:00:00"/>
    <x v="192"/>
    <n v="3387"/>
    <x v="650"/>
    <m/>
    <x v="614"/>
    <x v="898"/>
    <s v=""/>
    <m/>
    <m/>
    <n v="2643"/>
    <n v="744"/>
    <s v=""/>
  </r>
  <r>
    <n v="840"/>
    <s v="190840"/>
    <d v="2019-08-20T00:00:00"/>
    <x v="128"/>
    <n v="7730"/>
    <x v="651"/>
    <m/>
    <x v="615"/>
    <x v="1071"/>
    <s v=""/>
    <m/>
    <m/>
    <n v="5952"/>
    <n v="1778"/>
    <s v=""/>
  </r>
  <r>
    <n v="851"/>
    <s v="190851"/>
    <d v="2019-08-21T00:00:00"/>
    <x v="280"/>
    <n v="3590"/>
    <x v="651"/>
    <m/>
    <x v="616"/>
    <x v="1072"/>
    <s v=""/>
    <m/>
    <m/>
    <n v="2800"/>
    <n v="790"/>
    <s v=""/>
  </r>
  <r>
    <n v="760"/>
    <s v="190760"/>
    <d v="2019-08-20T00:00:00"/>
    <x v="260"/>
    <n v="6161"/>
    <x v="651"/>
    <m/>
    <x v="611"/>
    <x v="1073"/>
    <s v=""/>
    <m/>
    <m/>
    <n v="4739"/>
    <n v="1422"/>
    <s v=""/>
  </r>
  <r>
    <n v="844"/>
    <s v="190844"/>
    <d v="2019-08-21T00:00:00"/>
    <x v="10"/>
    <n v="4696.5"/>
    <x v="651"/>
    <m/>
    <x v="617"/>
    <x v="1074"/>
    <s v=""/>
    <m/>
    <m/>
    <n v="4143"/>
    <n v="553.5"/>
    <s v=""/>
  </r>
  <r>
    <n v="847"/>
    <s v="190847"/>
    <d v="2019-08-21T00:00:00"/>
    <x v="339"/>
    <n v="9440"/>
    <x v="652"/>
    <m/>
    <x v="618"/>
    <x v="1075"/>
    <s v=""/>
    <m/>
    <m/>
    <n v="6536"/>
    <n v="2904"/>
    <s v=""/>
  </r>
  <r>
    <n v="728"/>
    <s v="190728"/>
    <d v="2019-07-17T00:00:00"/>
    <x v="340"/>
    <n v="78159"/>
    <x v="652"/>
    <n v="1"/>
    <x v="592"/>
    <x v="1076"/>
    <n v="78159"/>
    <m/>
    <m/>
    <n v="57342"/>
    <n v="20817"/>
    <n v="20817"/>
  </r>
  <r>
    <n v="642"/>
    <s v="190642"/>
    <d v="2019-07-03T00:00:00"/>
    <x v="11"/>
    <n v="301672.8"/>
    <x v="652"/>
    <m/>
    <x v="581"/>
    <x v="1077"/>
    <s v=""/>
    <m/>
    <m/>
    <n v="130084"/>
    <n v="33030.800000000017"/>
    <s v=""/>
  </r>
  <r>
    <n v="642"/>
    <s v="190642"/>
    <d v="2019-07-03T00:00:00"/>
    <x v="11"/>
    <n v="301672.8"/>
    <x v="652"/>
    <m/>
    <x v="599"/>
    <x v="1078"/>
    <s v=""/>
    <m/>
    <m/>
    <n v="98873"/>
    <n v="35746"/>
    <s v=""/>
  </r>
  <r>
    <n v="863"/>
    <s v="190863"/>
    <d v="2019-08-23T00:00:00"/>
    <x v="286"/>
    <n v="7962"/>
    <x v="653"/>
    <m/>
    <x v="596"/>
    <x v="1079"/>
    <s v=""/>
    <m/>
    <m/>
    <n v="6096.88"/>
    <n v="1865.12"/>
    <s v=""/>
  </r>
  <r>
    <n v="867"/>
    <s v="190867"/>
    <d v="2019-08-26T00:00:00"/>
    <x v="57"/>
    <n v="5400"/>
    <x v="653"/>
    <m/>
    <x v="596"/>
    <x v="1080"/>
    <s v=""/>
    <m/>
    <m/>
    <n v="3564"/>
    <n v="1836"/>
    <s v=""/>
  </r>
  <r>
    <n v="780"/>
    <s v="190780"/>
    <d v="2019-07-31T00:00:00"/>
    <x v="126"/>
    <n v="998"/>
    <x v="654"/>
    <m/>
    <x v="605"/>
    <x v="1081"/>
    <s v=""/>
    <m/>
    <m/>
    <n v="650"/>
    <n v="348"/>
    <s v=""/>
  </r>
  <r>
    <n v="872"/>
    <s v="190872"/>
    <d v="2019-08-28T00:00:00"/>
    <x v="57"/>
    <n v="12678"/>
    <x v="654"/>
    <m/>
    <x v="609"/>
    <x v="1082"/>
    <s v=""/>
    <m/>
    <m/>
    <n v="9429"/>
    <n v="3249"/>
    <s v=""/>
  </r>
  <r>
    <n v="722"/>
    <s v="190722"/>
    <d v="2019-07-16T00:00:00"/>
    <x v="70"/>
    <n v="2588"/>
    <x v="654"/>
    <m/>
    <x v="600"/>
    <x v="1083"/>
    <s v=""/>
    <m/>
    <m/>
    <n v="2018"/>
    <n v="570"/>
    <s v=""/>
  </r>
  <r>
    <n v="880"/>
    <s v="190880"/>
    <d v="2019-08-30T00:00:00"/>
    <x v="298"/>
    <n v="2588"/>
    <x v="655"/>
    <m/>
    <x v="619"/>
    <x v="1083"/>
    <s v=""/>
    <m/>
    <m/>
    <n v="2018"/>
    <n v="570"/>
    <s v=""/>
  </r>
  <r>
    <n v="866"/>
    <s v="190866"/>
    <d v="2019-08-26T00:00:00"/>
    <x v="33"/>
    <n v="12658"/>
    <x v="655"/>
    <m/>
    <x v="620"/>
    <x v="1084"/>
    <s v=""/>
    <m/>
    <m/>
    <n v="9746"/>
    <n v="2912"/>
    <s v=""/>
  </r>
  <r>
    <n v="869"/>
    <s v="190869"/>
    <d v="2019-08-27T00:00:00"/>
    <x v="331"/>
    <n v="5431"/>
    <x v="655"/>
    <m/>
    <x v="621"/>
    <x v="931"/>
    <s v=""/>
    <m/>
    <m/>
    <n v="3927"/>
    <n v="1504"/>
    <s v=""/>
  </r>
  <r>
    <n v="834"/>
    <s v="190834"/>
    <d v="2019-08-19T00:00:00"/>
    <x v="320"/>
    <n v="17108"/>
    <x v="656"/>
    <m/>
    <x v="622"/>
    <x v="1085"/>
    <s v=""/>
    <m/>
    <m/>
    <n v="11291"/>
    <n v="5817"/>
    <s v=""/>
  </r>
  <r>
    <n v="742"/>
    <s v="190742"/>
    <d v="2019-07-22T00:00:00"/>
    <x v="20"/>
    <n v="147765"/>
    <x v="656"/>
    <m/>
    <x v="601"/>
    <x v="1086"/>
    <s v=""/>
    <m/>
    <m/>
    <n v="105129"/>
    <n v="42636"/>
    <s v=""/>
  </r>
  <r>
    <n v="881"/>
    <s v="190881"/>
    <d v="2019-08-30T00:00:00"/>
    <x v="73"/>
    <n v="350850"/>
    <x v="657"/>
    <m/>
    <x v="623"/>
    <x v="1087"/>
    <s v=""/>
    <m/>
    <m/>
    <n v="259127"/>
    <n v="91723"/>
    <s v=""/>
  </r>
  <r>
    <n v="796"/>
    <s v="190796"/>
    <d v="2019-08-08T00:00:00"/>
    <x v="102"/>
    <n v="15220"/>
    <x v="657"/>
    <m/>
    <x v="624"/>
    <x v="1088"/>
    <s v=""/>
    <m/>
    <m/>
    <n v="11871"/>
    <n v="3349"/>
    <s v=""/>
  </r>
  <r>
    <n v="900"/>
    <s v="190900"/>
    <d v="2019-09-04T00:00:00"/>
    <x v="341"/>
    <n v="31104"/>
    <x v="657"/>
    <n v="1"/>
    <x v="621"/>
    <x v="1089"/>
    <n v="31104"/>
    <m/>
    <m/>
    <n v="23011"/>
    <n v="8093"/>
    <n v="8093"/>
  </r>
  <r>
    <n v="797"/>
    <s v="190797"/>
    <d v="2019-08-08T00:00:00"/>
    <x v="13"/>
    <n v="182248"/>
    <x v="658"/>
    <m/>
    <x v="611"/>
    <x v="1090"/>
    <s v=""/>
    <n v="24000"/>
    <n v="3200"/>
    <n v="79298"/>
    <n v="102950"/>
    <s v=""/>
  </r>
  <r>
    <n v="836"/>
    <s v="190836"/>
    <d v="2019-08-20T00:00:00"/>
    <x v="13"/>
    <n v="5000"/>
    <x v="658"/>
    <m/>
    <x v="609"/>
    <x v="840"/>
    <s v=""/>
    <m/>
    <m/>
    <n v="2550"/>
    <n v="2450"/>
    <s v=""/>
  </r>
  <r>
    <n v="642"/>
    <s v="190642"/>
    <d v="2019-07-03T00:00:00"/>
    <x v="11"/>
    <n v="301672.8"/>
    <x v="658"/>
    <m/>
    <x v="601"/>
    <x v="1091"/>
    <s v=""/>
    <m/>
    <m/>
    <n v="3072"/>
    <n v="867"/>
    <s v=""/>
  </r>
  <r>
    <n v="712"/>
    <s v="190712"/>
    <d v="2019-07-12T00:00:00"/>
    <x v="11"/>
    <n v="66780"/>
    <x v="658"/>
    <m/>
    <x v="601"/>
    <x v="1092"/>
    <s v=""/>
    <m/>
    <m/>
    <n v="50180"/>
    <n v="16600"/>
    <s v=""/>
  </r>
  <r>
    <n v="897"/>
    <s v="190897"/>
    <d v="2019-09-03T00:00:00"/>
    <x v="43"/>
    <n v="6015"/>
    <x v="658"/>
    <m/>
    <x v="625"/>
    <x v="815"/>
    <s v=""/>
    <m/>
    <m/>
    <n v="4692"/>
    <n v="1323"/>
    <s v=""/>
  </r>
  <r>
    <n v="883"/>
    <s v="190883"/>
    <d v="2019-09-02T00:00:00"/>
    <x v="73"/>
    <n v="2183"/>
    <x v="659"/>
    <m/>
    <x v="626"/>
    <x v="1026"/>
    <s v=""/>
    <m/>
    <m/>
    <n v="1440"/>
    <n v="743"/>
    <s v=""/>
  </r>
  <r>
    <n v="905"/>
    <s v="190905"/>
    <d v="2019-09-09T00:00:00"/>
    <x v="126"/>
    <n v="5604.05"/>
    <x v="660"/>
    <m/>
    <x v="615"/>
    <x v="1093"/>
    <s v=""/>
    <m/>
    <m/>
    <n v="4868"/>
    <n v="736.05000000000018"/>
    <s v=""/>
  </r>
  <r>
    <n v="859"/>
    <s v="190859"/>
    <d v="2019-08-22T00:00:00"/>
    <x v="72"/>
    <n v="5786"/>
    <x v="660"/>
    <m/>
    <x v="625"/>
    <x v="1094"/>
    <s v=""/>
    <m/>
    <m/>
    <n v="4513"/>
    <n v="1273"/>
    <s v=""/>
  </r>
  <r>
    <n v="899"/>
    <s v="190899"/>
    <d v="2019-09-04T00:00:00"/>
    <x v="294"/>
    <n v="49390"/>
    <x v="661"/>
    <m/>
    <x v="627"/>
    <x v="1095"/>
    <s v=""/>
    <m/>
    <m/>
    <n v="36272"/>
    <n v="13118"/>
    <s v=""/>
  </r>
  <r>
    <n v="882"/>
    <s v="190882"/>
    <d v="2019-09-02T00:00:00"/>
    <x v="294"/>
    <n v="3868"/>
    <x v="661"/>
    <m/>
    <x v="627"/>
    <x v="1096"/>
    <s v=""/>
    <m/>
    <m/>
    <n v="3016"/>
    <n v="852"/>
    <s v=""/>
  </r>
  <r>
    <n v="896"/>
    <s v="190896"/>
    <d v="2019-09-03T00:00:00"/>
    <x v="23"/>
    <n v="7764"/>
    <x v="662"/>
    <m/>
    <x v="628"/>
    <x v="1097"/>
    <s v=""/>
    <m/>
    <m/>
    <n v="6054"/>
    <n v="1710"/>
    <s v=""/>
  </r>
  <r>
    <n v="903"/>
    <s v="190903"/>
    <d v="2019-09-06T00:00:00"/>
    <x v="279"/>
    <n v="18834"/>
    <x v="662"/>
    <m/>
    <x v="629"/>
    <x v="1098"/>
    <s v=""/>
    <m/>
    <m/>
    <n v="14690"/>
    <n v="4144"/>
    <s v=""/>
  </r>
  <r>
    <n v="927"/>
    <s v="190927"/>
    <d v="2019-09-16T00:00:00"/>
    <x v="173"/>
    <n v="2690"/>
    <x v="663"/>
    <m/>
    <x v="626"/>
    <x v="1099"/>
    <s v=""/>
    <m/>
    <m/>
    <n v="2382"/>
    <n v="308"/>
    <s v=""/>
  </r>
  <r>
    <n v="928"/>
    <s v="190928"/>
    <d v="2019-09-18T00:00:00"/>
    <x v="9"/>
    <n v="22094"/>
    <x v="664"/>
    <m/>
    <x v="630"/>
    <x v="1100"/>
    <s v=""/>
    <m/>
    <m/>
    <n v="17234"/>
    <n v="4860"/>
    <s v=""/>
  </r>
  <r>
    <n v="846"/>
    <s v="190846"/>
    <d v="2019-08-21T00:00:00"/>
    <x v="20"/>
    <n v="23309"/>
    <x v="665"/>
    <m/>
    <x v="609"/>
    <x v="1101"/>
    <s v=""/>
    <m/>
    <m/>
    <n v="16455"/>
    <n v="6854"/>
    <s v=""/>
  </r>
  <r>
    <n v="848"/>
    <s v="190848"/>
    <d v="2019-08-21T00:00:00"/>
    <x v="20"/>
    <n v="5000"/>
    <x v="665"/>
    <m/>
    <x v="609"/>
    <x v="840"/>
    <s v=""/>
    <m/>
    <m/>
    <n v="2550"/>
    <n v="2450"/>
    <s v=""/>
  </r>
  <r>
    <n v="936"/>
    <s v="190936"/>
    <d v="2019-09-18T00:00:00"/>
    <x v="1"/>
    <n v="7764"/>
    <x v="665"/>
    <m/>
    <x v="631"/>
    <x v="1097"/>
    <s v=""/>
    <m/>
    <m/>
    <n v="6054"/>
    <n v="1710"/>
    <s v=""/>
  </r>
  <r>
    <n v="943"/>
    <s v="190943"/>
    <d v="2019-09-19T00:00:00"/>
    <x v="57"/>
    <n v="4814"/>
    <x v="666"/>
    <m/>
    <x v="626"/>
    <x v="1102"/>
    <s v=""/>
    <m/>
    <m/>
    <n v="3752"/>
    <n v="1062"/>
    <s v=""/>
  </r>
  <r>
    <n v="947"/>
    <s v="190947"/>
    <d v="2019-09-20T00:00:00"/>
    <x v="342"/>
    <n v="65490"/>
    <x v="666"/>
    <n v="1"/>
    <x v="613"/>
    <x v="1103"/>
    <n v="65490"/>
    <m/>
    <m/>
    <n v="48095"/>
    <n v="17395"/>
    <n v="17395"/>
  </r>
  <r>
    <n v="948"/>
    <s v="190948"/>
    <d v="2019-09-20T00:00:00"/>
    <x v="342"/>
    <n v="20333"/>
    <x v="666"/>
    <n v="1"/>
    <x v="613"/>
    <x v="1104"/>
    <n v="20333"/>
    <m/>
    <n v="1200"/>
    <n v="9876"/>
    <n v="10457"/>
    <n v="10457"/>
  </r>
  <r>
    <n v="935"/>
    <s v="190935"/>
    <d v="2019-09-18T00:00:00"/>
    <x v="59"/>
    <n v="3194"/>
    <x v="667"/>
    <m/>
    <x v="632"/>
    <x v="1037"/>
    <s v=""/>
    <m/>
    <m/>
    <n v="2490"/>
    <n v="704"/>
    <s v=""/>
  </r>
  <r>
    <n v="925"/>
    <s v="190925"/>
    <d v="2019-09-12T00:00:00"/>
    <x v="48"/>
    <n v="39725"/>
    <x v="668"/>
    <m/>
    <x v="633"/>
    <x v="1105"/>
    <s v=""/>
    <m/>
    <m/>
    <n v="30157"/>
    <n v="9568"/>
    <s v=""/>
  </r>
  <r>
    <n v="955"/>
    <s v="190955"/>
    <d v="2019-09-23T00:00:00"/>
    <x v="279"/>
    <n v="11358"/>
    <x v="668"/>
    <m/>
    <x v="629"/>
    <x v="1106"/>
    <s v=""/>
    <m/>
    <m/>
    <n v="8856"/>
    <n v="2502"/>
    <s v=""/>
  </r>
  <r>
    <n v="959"/>
    <s v="190959"/>
    <d v="2019-09-25T00:00:00"/>
    <x v="242"/>
    <n v="2700"/>
    <x v="669"/>
    <m/>
    <x v="620"/>
    <x v="1107"/>
    <s v=""/>
    <m/>
    <m/>
    <n v="2307"/>
    <n v="393"/>
    <s v=""/>
  </r>
  <r>
    <n v="971"/>
    <s v="190971"/>
    <d v="2019-10-01T00:00:00"/>
    <x v="343"/>
    <n v="60750"/>
    <x v="670"/>
    <n v="1"/>
    <x v="634"/>
    <x v="1108"/>
    <n v="60750"/>
    <m/>
    <m/>
    <n v="44614"/>
    <n v="16136"/>
    <n v="16136"/>
  </r>
  <r>
    <n v="957"/>
    <s v="190957"/>
    <d v="2019-09-24T00:00:00"/>
    <x v="344"/>
    <n v="38490"/>
    <x v="670"/>
    <n v="1"/>
    <x v="635"/>
    <x v="1109"/>
    <n v="38490"/>
    <m/>
    <m/>
    <n v="28290"/>
    <n v="10200"/>
    <n v="10200"/>
  </r>
  <r>
    <n v="813"/>
    <s v="190813"/>
    <d v="2019-08-12T00:00:00"/>
    <x v="37"/>
    <n v="10654"/>
    <x v="670"/>
    <m/>
    <x v="627"/>
    <x v="1110"/>
    <s v=""/>
    <m/>
    <m/>
    <n v="8183"/>
    <n v="2471"/>
    <s v=""/>
  </r>
  <r>
    <n v="976"/>
    <s v="190976"/>
    <d v="2019-10-02T00:00:00"/>
    <x v="153"/>
    <n v="4880"/>
    <x v="671"/>
    <n v="1"/>
    <x v="635"/>
    <x v="1111"/>
    <n v="4880"/>
    <m/>
    <m/>
    <n v="4119"/>
    <n v="761"/>
    <n v="761"/>
  </r>
  <r>
    <n v="978"/>
    <s v="190978"/>
    <d v="2019-10-02T00:00:00"/>
    <x v="204"/>
    <n v="2258"/>
    <x v="672"/>
    <m/>
    <x v="636"/>
    <x v="968"/>
    <s v=""/>
    <m/>
    <m/>
    <n v="1760"/>
    <n v="498"/>
    <s v=""/>
  </r>
  <r>
    <n v="942"/>
    <s v="190942"/>
    <d v="2019-09-19T00:00:00"/>
    <x v="290"/>
    <n v="10760"/>
    <x v="673"/>
    <m/>
    <x v="636"/>
    <x v="948"/>
    <s v=""/>
    <m/>
    <m/>
    <n v="9528"/>
    <n v="1232"/>
    <s v=""/>
  </r>
  <r>
    <n v="988"/>
    <s v="190988"/>
    <d v="2019-10-07T00:00:00"/>
    <x v="345"/>
    <n v="12007"/>
    <x v="674"/>
    <n v="1"/>
    <x v="637"/>
    <x v="1112"/>
    <n v="12007"/>
    <m/>
    <m/>
    <n v="8886"/>
    <n v="3121"/>
    <n v="3121"/>
  </r>
  <r>
    <n v="970"/>
    <s v="190970"/>
    <d v="2019-09-30T00:00:00"/>
    <x v="346"/>
    <n v="4909"/>
    <x v="674"/>
    <n v="1"/>
    <x v="638"/>
    <x v="1113"/>
    <n v="4909"/>
    <m/>
    <m/>
    <n v="3780"/>
    <n v="1129"/>
    <n v="1129"/>
  </r>
  <r>
    <n v="962"/>
    <s v="190962"/>
    <d v="2019-09-27T00:00:00"/>
    <x v="344"/>
    <n v="4374"/>
    <x v="675"/>
    <n v="1"/>
    <x v="638"/>
    <x v="1114"/>
    <n v="4374"/>
    <m/>
    <m/>
    <n v="2413"/>
    <n v="1961"/>
    <n v="1961"/>
  </r>
  <r>
    <n v="996"/>
    <s v="190996"/>
    <d v="2019-10-11T00:00:00"/>
    <x v="225"/>
    <n v="8223"/>
    <x v="676"/>
    <m/>
    <x v="639"/>
    <x v="1115"/>
    <s v=""/>
    <m/>
    <m/>
    <n v="6414"/>
    <n v="1809"/>
    <s v=""/>
  </r>
  <r>
    <n v="940"/>
    <s v="190940"/>
    <d v="2019-09-19T00:00:00"/>
    <x v="102"/>
    <n v="4570"/>
    <x v="677"/>
    <m/>
    <x v="630"/>
    <x v="1116"/>
    <s v=""/>
    <m/>
    <m/>
    <n v="3560"/>
    <n v="1010"/>
    <s v=""/>
  </r>
  <r>
    <n v="1015"/>
    <s v="191015"/>
    <d v="2019-10-17T00:00:00"/>
    <x v="27"/>
    <n v="6450"/>
    <x v="678"/>
    <m/>
    <x v="640"/>
    <x v="1117"/>
    <s v=""/>
    <m/>
    <m/>
    <n v="4963"/>
    <n v="1487"/>
    <s v=""/>
  </r>
  <r>
    <n v="1016"/>
    <s v="191016"/>
    <d v="2019-10-17T00:00:00"/>
    <x v="81"/>
    <n v="22111"/>
    <x v="678"/>
    <m/>
    <x v="640"/>
    <x v="1118"/>
    <s v=""/>
    <m/>
    <m/>
    <n v="15998"/>
    <n v="6113"/>
    <s v=""/>
  </r>
  <r>
    <n v="995"/>
    <s v="190995"/>
    <d v="2019-10-10T00:00:00"/>
    <x v="123"/>
    <n v="2315"/>
    <x v="678"/>
    <m/>
    <x v="641"/>
    <x v="1119"/>
    <s v=""/>
    <m/>
    <m/>
    <n v="1805"/>
    <n v="510"/>
    <s v=""/>
  </r>
  <r>
    <n v="898"/>
    <s v="190898"/>
    <d v="2019-09-04T00:00:00"/>
    <x v="11"/>
    <n v="194446.8"/>
    <x v="678"/>
    <m/>
    <x v="622"/>
    <x v="1120"/>
    <s v=""/>
    <m/>
    <n v="6400"/>
    <n v="107471"/>
    <n v="70151.799999999988"/>
    <s v=""/>
  </r>
  <r>
    <n v="994"/>
    <s v="190994"/>
    <d v="2019-10-09T00:00:00"/>
    <x v="23"/>
    <n v="12940"/>
    <x v="679"/>
    <m/>
    <x v="641"/>
    <x v="1121"/>
    <s v=""/>
    <m/>
    <m/>
    <n v="10090"/>
    <n v="2850"/>
    <s v=""/>
  </r>
  <r>
    <n v="1019"/>
    <s v="191019"/>
    <d v="2019-10-18T00:00:00"/>
    <x v="134"/>
    <n v="2895"/>
    <x v="679"/>
    <m/>
    <x v="642"/>
    <x v="1122"/>
    <s v=""/>
    <m/>
    <m/>
    <n v="2050"/>
    <n v="845"/>
    <s v=""/>
  </r>
  <r>
    <n v="843"/>
    <s v="190843"/>
    <d v="2019-09-03T00:00:00"/>
    <x v="13"/>
    <n v="242962"/>
    <x v="680"/>
    <m/>
    <x v="624"/>
    <x v="1123"/>
    <s v=""/>
    <n v="27000"/>
    <n v="3600"/>
    <n v="118715"/>
    <n v="124247"/>
    <s v=""/>
  </r>
  <r>
    <n v="902"/>
    <s v="190902"/>
    <d v="2019-09-06T00:00:00"/>
    <x v="13"/>
    <n v="20775"/>
    <x v="680"/>
    <m/>
    <x v="643"/>
    <x v="905"/>
    <s v=""/>
    <n v="3000"/>
    <m/>
    <n v="5503"/>
    <n v="15272"/>
    <s v=""/>
  </r>
  <r>
    <n v="1031"/>
    <s v="191031"/>
    <d v="2019-10-22T00:00:00"/>
    <x v="70"/>
    <n v="9706"/>
    <x v="680"/>
    <m/>
    <x v="629"/>
    <x v="1124"/>
    <s v=""/>
    <m/>
    <m/>
    <n v="6947"/>
    <n v="2759"/>
    <s v=""/>
  </r>
  <r>
    <n v="1028"/>
    <s v="191028"/>
    <d v="2019-10-22T00:00:00"/>
    <x v="264"/>
    <n v="13294"/>
    <x v="681"/>
    <m/>
    <x v="644"/>
    <x v="1125"/>
    <s v=""/>
    <m/>
    <n v="300"/>
    <n v="6402"/>
    <n v="6892"/>
    <s v=""/>
  </r>
  <r>
    <n v="1030"/>
    <s v="191030"/>
    <d v="2019-10-24T00:00:00"/>
    <x v="347"/>
    <n v="9184"/>
    <x v="682"/>
    <m/>
    <x v="642"/>
    <x v="1126"/>
    <s v=""/>
    <m/>
    <n v="300"/>
    <n v="5424"/>
    <n v="3760"/>
    <s v=""/>
  </r>
  <r>
    <n v="901"/>
    <s v="190901"/>
    <d v="2019-09-06T00:00:00"/>
    <x v="187"/>
    <n v="9769"/>
    <x v="683"/>
    <m/>
    <x v="624"/>
    <x v="1127"/>
    <s v=""/>
    <m/>
    <m/>
    <n v="7576"/>
    <n v="2193"/>
    <s v=""/>
  </r>
  <r>
    <n v="858"/>
    <s v="190858"/>
    <d v="2019-08-28T00:00:00"/>
    <x v="36"/>
    <n v="50611"/>
    <x v="683"/>
    <m/>
    <x v="645"/>
    <x v="1128"/>
    <s v=""/>
    <m/>
    <n v="2400"/>
    <n v="19618"/>
    <n v="30993"/>
    <s v=""/>
  </r>
  <r>
    <n v="898"/>
    <s v="190898"/>
    <d v="2019-09-04T00:00:00"/>
    <x v="11"/>
    <n v="194446.8"/>
    <x v="684"/>
    <m/>
    <x v="634"/>
    <x v="1129"/>
    <s v=""/>
    <m/>
    <m/>
    <n v="13180"/>
    <n v="3644"/>
    <s v=""/>
  </r>
  <r>
    <n v="990"/>
    <s v="190990"/>
    <d v="2019-10-08T00:00:00"/>
    <x v="97"/>
    <n v="6990"/>
    <x v="685"/>
    <m/>
    <x v="646"/>
    <x v="1130"/>
    <s v=""/>
    <m/>
    <m/>
    <n v="5872"/>
    <n v="1118"/>
    <s v=""/>
  </r>
  <r>
    <n v="1037"/>
    <s v="191037"/>
    <d v="2019-10-30T00:00:00"/>
    <x v="348"/>
    <n v="3142"/>
    <x v="685"/>
    <n v="1"/>
    <x v="638"/>
    <x v="998"/>
    <n v="3142"/>
    <m/>
    <m/>
    <n v="2450"/>
    <n v="692"/>
    <n v="692"/>
  </r>
  <r>
    <n v="1059"/>
    <s v="191059"/>
    <d v="2019-10-31T00:00:00"/>
    <x v="349"/>
    <n v="17190"/>
    <x v="686"/>
    <n v="1"/>
    <x v="647"/>
    <x v="1131"/>
    <n v="17190"/>
    <m/>
    <m/>
    <n v="12624"/>
    <n v="4566"/>
    <n v="4566"/>
  </r>
  <r>
    <n v="1062"/>
    <s v="191062"/>
    <d v="2019-11-01T00:00:00"/>
    <x v="43"/>
    <n v="2916"/>
    <x v="687"/>
    <m/>
    <x v="648"/>
    <x v="1132"/>
    <s v=""/>
    <m/>
    <m/>
    <n v="2274"/>
    <n v="642"/>
    <s v=""/>
  </r>
  <r>
    <n v="1020"/>
    <s v="191020"/>
    <d v="2019-10-21T00:00:00"/>
    <x v="150"/>
    <n v="37619"/>
    <x v="687"/>
    <m/>
    <x v="646"/>
    <x v="1133"/>
    <s v=""/>
    <m/>
    <m/>
    <n v="25363"/>
    <n v="12256"/>
    <s v=""/>
  </r>
  <r>
    <n v="134"/>
    <s v="190134"/>
    <d v="2019-02-21T00:00:00"/>
    <x v="150"/>
    <n v="8000"/>
    <x v="688"/>
    <m/>
    <x v="542"/>
    <x v="47"/>
    <s v=""/>
    <m/>
    <m/>
    <n v="5392"/>
    <n v="2608"/>
    <s v=""/>
  </r>
  <r>
    <n v="1054"/>
    <s v="191054"/>
    <d v="2019-10-30T00:00:00"/>
    <x v="350"/>
    <n v="13770"/>
    <x v="688"/>
    <n v="1"/>
    <x v="649"/>
    <x v="938"/>
    <n v="13770"/>
    <m/>
    <m/>
    <n v="10112"/>
    <n v="3658"/>
    <n v="3658"/>
  </r>
  <r>
    <n v="1058"/>
    <s v="191058"/>
    <d v="2019-10-31T00:00:00"/>
    <x v="245"/>
    <n v="4221"/>
    <x v="689"/>
    <m/>
    <x v="650"/>
    <x v="1134"/>
    <s v=""/>
    <m/>
    <m/>
    <n v="3847"/>
    <n v="374"/>
    <s v=""/>
  </r>
  <r>
    <n v="1083"/>
    <s v="191083"/>
    <d v="2019-11-08T00:00:00"/>
    <x v="331"/>
    <n v="5431"/>
    <x v="690"/>
    <m/>
    <x v="651"/>
    <x v="931"/>
    <s v=""/>
    <m/>
    <m/>
    <n v="4181"/>
    <n v="1250"/>
    <s v=""/>
  </r>
  <r>
    <n v="1106"/>
    <s v="191106"/>
    <d v="2019-11-14T00:00:00"/>
    <x v="226"/>
    <n v="6950"/>
    <x v="691"/>
    <m/>
    <x v="652"/>
    <x v="1135"/>
    <s v=""/>
    <m/>
    <m/>
    <n v="4587"/>
    <n v="2363"/>
    <s v=""/>
  </r>
  <r>
    <n v="1108"/>
    <s v="191108"/>
    <d v="2019-11-14T00:00:00"/>
    <x v="204"/>
    <n v="4500"/>
    <x v="691"/>
    <m/>
    <x v="652"/>
    <x v="1136"/>
    <s v=""/>
    <m/>
    <m/>
    <n v="3511"/>
    <n v="989"/>
    <s v=""/>
  </r>
  <r>
    <n v="1100"/>
    <s v="191100"/>
    <d v="2019-11-12T00:00:00"/>
    <x v="150"/>
    <n v="9942"/>
    <x v="692"/>
    <m/>
    <x v="653"/>
    <x v="1137"/>
    <s v=""/>
    <m/>
    <m/>
    <n v="6404"/>
    <n v="3538"/>
    <s v=""/>
  </r>
  <r>
    <n v="1129"/>
    <s v="191129"/>
    <d v="2019-11-20T00:00:00"/>
    <x v="351"/>
    <n v="65490"/>
    <x v="693"/>
    <n v="1"/>
    <x v="654"/>
    <x v="1103"/>
    <n v="65490"/>
    <m/>
    <m/>
    <n v="48095"/>
    <n v="17395"/>
    <n v="17395"/>
  </r>
  <r>
    <n v="1140"/>
    <s v="191140"/>
    <d v="2019-11-22T00:00:00"/>
    <x v="201"/>
    <n v="12998"/>
    <x v="694"/>
    <m/>
    <x v="655"/>
    <x v="1138"/>
    <s v=""/>
    <m/>
    <m/>
    <n v="6973"/>
    <n v="6025"/>
    <s v=""/>
  </r>
  <r>
    <n v="1145"/>
    <s v="191145"/>
    <d v="2019-11-25T00:00:00"/>
    <x v="57"/>
    <n v="3834"/>
    <x v="695"/>
    <m/>
    <x v="656"/>
    <x v="137"/>
    <s v=""/>
    <m/>
    <m/>
    <n v="2988"/>
    <n v="846"/>
    <s v=""/>
  </r>
  <r>
    <n v="1142"/>
    <s v="191142"/>
    <d v="2019-11-25T00:00:00"/>
    <x v="192"/>
    <n v="13770"/>
    <x v="695"/>
    <m/>
    <x v="656"/>
    <x v="938"/>
    <s v=""/>
    <m/>
    <m/>
    <n v="10112"/>
    <n v="3658"/>
    <s v=""/>
  </r>
  <r>
    <n v="964"/>
    <s v="190964"/>
    <d v="2019-09-30T00:00:00"/>
    <x v="192"/>
    <n v="14390"/>
    <x v="695"/>
    <m/>
    <x v="656"/>
    <x v="1035"/>
    <s v=""/>
    <m/>
    <m/>
    <n v="10568"/>
    <n v="3822"/>
    <s v=""/>
  </r>
  <r>
    <n v="1141"/>
    <s v="191141"/>
    <d v="2019-11-22T00:00:00"/>
    <x v="92"/>
    <n v="10862"/>
    <x v="695"/>
    <m/>
    <x v="657"/>
    <x v="1139"/>
    <s v=""/>
    <m/>
    <m/>
    <n v="8108"/>
    <n v="2754"/>
    <s v=""/>
  </r>
  <r>
    <n v="965"/>
    <s v="190965"/>
    <d v="2019-09-30T00:00:00"/>
    <x v="20"/>
    <n v="32877"/>
    <x v="695"/>
    <m/>
    <x v="658"/>
    <x v="1140"/>
    <s v=""/>
    <m/>
    <m/>
    <n v="24840"/>
    <n v="8037"/>
    <s v=""/>
  </r>
  <r>
    <n v="1052"/>
    <s v="191052"/>
    <d v="2019-10-30T00:00:00"/>
    <x v="20"/>
    <n v="32961"/>
    <x v="695"/>
    <m/>
    <x v="648"/>
    <x v="1141"/>
    <s v=""/>
    <m/>
    <m/>
    <n v="24358"/>
    <n v="8603"/>
    <s v=""/>
  </r>
  <r>
    <n v="1149"/>
    <s v="191149"/>
    <d v="2019-11-27T00:00:00"/>
    <x v="352"/>
    <n v="2609"/>
    <x v="696"/>
    <m/>
    <x v="659"/>
    <x v="1142"/>
    <s v=""/>
    <m/>
    <m/>
    <n v="2034"/>
    <n v="575"/>
    <s v=""/>
  </r>
  <r>
    <n v="1082"/>
    <s v="191082"/>
    <d v="2019-11-07T00:00:00"/>
    <x v="23"/>
    <n v="21909"/>
    <x v="697"/>
    <m/>
    <x v="623"/>
    <x v="1143"/>
    <s v=""/>
    <m/>
    <m/>
    <n v="17087"/>
    <n v="4822"/>
    <s v=""/>
  </r>
  <r>
    <n v="1112"/>
    <s v="191112"/>
    <d v="2019-11-15T00:00:00"/>
    <x v="264"/>
    <n v="5500"/>
    <x v="697"/>
    <m/>
    <x v="652"/>
    <x v="1144"/>
    <s v=""/>
    <m/>
    <m/>
    <n v="2662"/>
    <n v="2838"/>
    <s v=""/>
  </r>
  <r>
    <n v="1089"/>
    <s v="191089"/>
    <d v="2019-11-25T00:00:00"/>
    <x v="228"/>
    <n v="6600"/>
    <x v="698"/>
    <m/>
    <x v="660"/>
    <x v="1145"/>
    <s v=""/>
    <m/>
    <m/>
    <n v="5071"/>
    <n v="1529"/>
    <s v=""/>
  </r>
  <r>
    <n v="1138"/>
    <s v="191138"/>
    <d v="2019-11-21T00:00:00"/>
    <x v="177"/>
    <n v="1597"/>
    <x v="698"/>
    <m/>
    <x v="661"/>
    <x v="914"/>
    <s v=""/>
    <m/>
    <m/>
    <n v="1245"/>
    <n v="352"/>
    <s v=""/>
  </r>
  <r>
    <n v="1081"/>
    <s v="191081"/>
    <d v="2019-11-07T00:00:00"/>
    <x v="353"/>
    <n v="9990"/>
    <x v="698"/>
    <m/>
    <x v="662"/>
    <x v="1017"/>
    <s v=""/>
    <m/>
    <m/>
    <n v="7342"/>
    <n v="2648"/>
    <s v=""/>
  </r>
  <r>
    <n v="1080"/>
    <s v="191080"/>
    <d v="2019-11-07T00:00:00"/>
    <x v="126"/>
    <n v="972"/>
    <x v="699"/>
    <m/>
    <x v="663"/>
    <x v="1146"/>
    <s v=""/>
    <m/>
    <m/>
    <n v="758"/>
    <n v="214"/>
    <s v=""/>
  </r>
  <r>
    <n v="1076"/>
    <s v="191076"/>
    <d v="2019-11-07T00:00:00"/>
    <x v="126"/>
    <n v="2012.8"/>
    <x v="699"/>
    <m/>
    <x v="664"/>
    <x v="1147"/>
    <s v=""/>
    <m/>
    <m/>
    <n v="1847"/>
    <n v="165.79999999999995"/>
    <s v=""/>
  </r>
  <r>
    <n v="1159"/>
    <s v="191159"/>
    <d v="2019-12-02T00:00:00"/>
    <x v="354"/>
    <n v="6583"/>
    <x v="700"/>
    <m/>
    <x v="665"/>
    <x v="1148"/>
    <s v=""/>
    <m/>
    <m/>
    <n v="4729"/>
    <n v="1854"/>
    <s v=""/>
  </r>
  <r>
    <n v="1171"/>
    <s v="191171"/>
    <d v="2019-12-05T00:00:00"/>
    <x v="331"/>
    <n v="5431"/>
    <x v="701"/>
    <m/>
    <x v="664"/>
    <x v="931"/>
    <s v=""/>
    <m/>
    <m/>
    <n v="4181"/>
    <n v="1250"/>
    <s v=""/>
  </r>
  <r>
    <n v="1154"/>
    <s v="191154"/>
    <d v="2019-11-27T00:00:00"/>
    <x v="352"/>
    <n v="1220"/>
    <x v="702"/>
    <m/>
    <x v="666"/>
    <x v="1149"/>
    <s v=""/>
    <m/>
    <m/>
    <n v="1140"/>
    <n v="80"/>
    <s v=""/>
  </r>
  <r>
    <n v="1188"/>
    <s v="191188"/>
    <d v="2019-12-10T00:00:00"/>
    <x v="338"/>
    <n v="1118370"/>
    <x v="702"/>
    <m/>
    <x v="667"/>
    <x v="1150"/>
    <s v=""/>
    <n v="15000"/>
    <m/>
    <n v="976783.4"/>
    <n v="141586.59999999998"/>
    <s v=""/>
  </r>
  <r>
    <n v="1017"/>
    <s v="191017"/>
    <d v="2019-11-18T00:00:00"/>
    <x v="355"/>
    <n v="235000"/>
    <x v="703"/>
    <n v="1"/>
    <x v="668"/>
    <x v="1151"/>
    <n v="117500"/>
    <m/>
    <m/>
    <n v="90768"/>
    <n v="26732"/>
    <n v="26732"/>
  </r>
  <r>
    <n v="1033"/>
    <s v="191033"/>
    <d v="2019-10-24T00:00:00"/>
    <x v="11"/>
    <n v="261134.4"/>
    <x v="703"/>
    <m/>
    <x v="669"/>
    <x v="1152"/>
    <s v=""/>
    <m/>
    <n v="19200"/>
    <n v="182654"/>
    <n v="78480.399999999994"/>
    <s v=""/>
  </r>
  <r>
    <n v="1200"/>
    <s v="191200"/>
    <d v="2019-12-13T00:00:00"/>
    <x v="84"/>
    <n v="34990"/>
    <x v="704"/>
    <m/>
    <x v="670"/>
    <x v="960"/>
    <s v=""/>
    <m/>
    <m/>
    <n v="25717"/>
    <n v="9273"/>
    <s v=""/>
  </r>
  <r>
    <n v="1066"/>
    <s v="191066"/>
    <d v="2019-11-06T00:00:00"/>
    <x v="13"/>
    <n v="177516"/>
    <x v="704"/>
    <m/>
    <x v="669"/>
    <x v="1153"/>
    <s v=""/>
    <n v="30000"/>
    <n v="6000"/>
    <n v="60491"/>
    <n v="117025"/>
    <s v=""/>
  </r>
  <r>
    <n v="1152"/>
    <s v="191152"/>
    <d v="2019-11-27T00:00:00"/>
    <x v="352"/>
    <n v="4320"/>
    <x v="705"/>
    <m/>
    <x v="666"/>
    <x v="876"/>
    <s v=""/>
    <m/>
    <m/>
    <n v="3888"/>
    <n v="432"/>
    <s v=""/>
  </r>
  <r>
    <n v="1204"/>
    <s v="191204"/>
    <d v="2019-12-13T00:00:00"/>
    <x v="128"/>
    <n v="4516"/>
    <x v="705"/>
    <m/>
    <x v="671"/>
    <x v="1154"/>
    <s v=""/>
    <m/>
    <m/>
    <n v="3520"/>
    <n v="996"/>
    <s v=""/>
  </r>
  <r>
    <n v="1194"/>
    <s v="191194"/>
    <d v="2019-12-12T00:00:00"/>
    <x v="59"/>
    <n v="588"/>
    <x v="705"/>
    <m/>
    <x v="667"/>
    <x v="1155"/>
    <s v=""/>
    <m/>
    <m/>
    <n v="420"/>
    <n v="168"/>
    <s v=""/>
  </r>
  <r>
    <n v="1203"/>
    <s v="191203"/>
    <d v="2019-12-18T00:00:00"/>
    <x v="152"/>
    <n v="670"/>
    <x v="706"/>
    <m/>
    <x v="672"/>
    <x v="1156"/>
    <s v=""/>
    <m/>
    <m/>
    <n v="409"/>
    <n v="261"/>
    <s v=""/>
  </r>
  <r>
    <n v="1155"/>
    <s v="191155"/>
    <d v="2019-11-28T00:00:00"/>
    <x v="192"/>
    <n v="5182"/>
    <x v="706"/>
    <m/>
    <x v="664"/>
    <x v="1157"/>
    <s v=""/>
    <m/>
    <m/>
    <n v="4040"/>
    <n v="1142"/>
    <s v=""/>
  </r>
  <r>
    <n v="1184"/>
    <s v="191184"/>
    <d v="2019-12-09T00:00:00"/>
    <x v="102"/>
    <n v="118043"/>
    <x v="707"/>
    <m/>
    <x v="673"/>
    <x v="1158"/>
    <s v=""/>
    <m/>
    <m/>
    <n v="87130"/>
    <n v="30913"/>
    <s v=""/>
  </r>
  <r>
    <n v="1189"/>
    <s v="191189"/>
    <d v="2019-12-11T00:00:00"/>
    <x v="58"/>
    <n v="62215.5"/>
    <x v="707"/>
    <m/>
    <x v="674"/>
    <x v="1159"/>
    <s v=""/>
    <m/>
    <m/>
    <n v="48095"/>
    <n v="14120.5"/>
    <s v=""/>
  </r>
  <r>
    <n v="1224"/>
    <s v="191224"/>
    <d v="2019-12-20T00:00:00"/>
    <x v="227"/>
    <n v="3591.25"/>
    <x v="708"/>
    <m/>
    <x v="674"/>
    <x v="1147"/>
    <s v=""/>
    <m/>
    <m/>
    <n v="1847"/>
    <n v="165.79999999999995"/>
    <s v=""/>
  </r>
  <r>
    <n v="1226"/>
    <s v="191226"/>
    <d v="2019-12-23T00:00:00"/>
    <x v="356"/>
    <n v="5551"/>
    <x v="709"/>
    <n v="1"/>
    <x v="671"/>
    <x v="974"/>
    <n v="5551"/>
    <m/>
    <m/>
    <n v="4253"/>
    <n v="1298"/>
    <n v="1298"/>
  </r>
  <r>
    <n v="1143"/>
    <s v="191143"/>
    <d v="2019-11-25T00:00:00"/>
    <x v="20"/>
    <n v="30752"/>
    <x v="710"/>
    <m/>
    <x v="659"/>
    <x v="1160"/>
    <s v=""/>
    <m/>
    <m/>
    <n v="22634"/>
    <n v="8118"/>
    <s v=""/>
  </r>
  <r>
    <n v="1223"/>
    <s v="191223"/>
    <d v="2019-12-20T00:00:00"/>
    <x v="351"/>
    <n v="16900.5"/>
    <x v="710"/>
    <m/>
    <x v="675"/>
    <x v="1161"/>
    <s v=""/>
    <m/>
    <m/>
    <n v="15371"/>
    <n v="1529.5"/>
    <s v=""/>
  </r>
  <r>
    <n v="1190"/>
    <s v="191190"/>
    <d v="2019-12-11T00:00:00"/>
    <x v="102"/>
    <n v="8358"/>
    <x v="711"/>
    <m/>
    <x v="676"/>
    <x v="1162"/>
    <s v=""/>
    <m/>
    <m/>
    <n v="5463"/>
    <n v="2895"/>
    <s v=""/>
  </r>
  <r>
    <n v="1114"/>
    <s v="191114"/>
    <d v="2019-11-18T00:00:00"/>
    <x v="23"/>
    <n v="39690"/>
    <x v="711"/>
    <m/>
    <x v="666"/>
    <x v="1163"/>
    <s v=""/>
    <m/>
    <m/>
    <n v="29148"/>
    <n v="10542"/>
    <s v=""/>
  </r>
  <r>
    <n v="1231"/>
    <s v="191231"/>
    <d v="2019-12-24T00:00:00"/>
    <x v="357"/>
    <n v="71276"/>
    <x v="711"/>
    <n v="1"/>
    <x v="677"/>
    <x v="1164"/>
    <n v="71276"/>
    <m/>
    <m/>
    <n v="53428"/>
    <n v="17848"/>
    <n v="17848"/>
  </r>
  <r>
    <n v="1215"/>
    <s v="191215"/>
    <d v="2019-12-18T00:00:00"/>
    <x v="279"/>
    <n v="1378"/>
    <x v="711"/>
    <m/>
    <x v="678"/>
    <x v="1165"/>
    <s v=""/>
    <m/>
    <m/>
    <n v="799"/>
    <n v="579"/>
    <s v=""/>
  </r>
  <r>
    <n v="1202"/>
    <s v="191202"/>
    <d v="2019-12-13T00:00:00"/>
    <x v="187"/>
    <n v="9769"/>
    <x v="535"/>
    <m/>
    <x v="664"/>
    <x v="1127"/>
    <s v=""/>
    <m/>
    <m/>
    <n v="8110"/>
    <n v="1659"/>
    <s v=""/>
  </r>
  <r>
    <n v="1234"/>
    <s v="191234"/>
    <d v="2019-12-25T00:00:00"/>
    <x v="152"/>
    <n v="670"/>
    <x v="712"/>
    <m/>
    <x v="679"/>
    <x v="1156"/>
    <s v=""/>
    <m/>
    <m/>
    <n v="409"/>
    <n v="261"/>
    <s v=""/>
  </r>
  <r>
    <n v="1242"/>
    <s v="191242"/>
    <d v="2019-12-27T00:00:00"/>
    <x v="358"/>
    <n v="1079"/>
    <x v="712"/>
    <m/>
    <x v="680"/>
    <x v="1166"/>
    <s v=""/>
    <m/>
    <m/>
    <n v="711"/>
    <n v="368"/>
    <s v=""/>
  </r>
  <r>
    <n v="1240"/>
    <s v="191240"/>
    <d v="2019-12-13T00:00:00"/>
    <x v="81"/>
    <n v="5772"/>
    <x v="712"/>
    <m/>
    <x v="668"/>
    <x v="1167"/>
    <s v=""/>
    <m/>
    <m/>
    <n v="4195"/>
    <n v="1577"/>
    <s v=""/>
  </r>
  <r>
    <n v="1134"/>
    <s v="191134"/>
    <d v="2019-11-20T00:00:00"/>
    <x v="13"/>
    <n v="165266"/>
    <x v="713"/>
    <m/>
    <x v="659"/>
    <x v="1168"/>
    <s v=""/>
    <n v="30000"/>
    <n v="6000"/>
    <n v="50855"/>
    <n v="114411"/>
    <s v=""/>
  </r>
  <r>
    <n v="1017"/>
    <s v="191017"/>
    <d v="2019-11-18T00:00:00"/>
    <x v="355"/>
    <n v="235000"/>
    <x v="714"/>
    <m/>
    <x v="668"/>
    <x v="1151"/>
    <s v=""/>
    <m/>
    <m/>
    <n v="90768"/>
    <n v="26732"/>
    <s v=""/>
  </r>
  <r>
    <n v="1191"/>
    <s v="191191"/>
    <d v="2019-12-11T00:00:00"/>
    <x v="11"/>
    <n v="116130"/>
    <x v="715"/>
    <m/>
    <x v="681"/>
    <x v="1169"/>
    <s v=""/>
    <m/>
    <m/>
    <n v="20180"/>
    <n v="4420"/>
    <s v=""/>
  </r>
  <r>
    <n v="1172"/>
    <s v="191172"/>
    <d v="2019-12-05T00:00:00"/>
    <x v="290"/>
    <n v="5000"/>
    <x v="715"/>
    <m/>
    <x v="682"/>
    <x v="840"/>
    <s v=""/>
    <m/>
    <m/>
    <n v="4602"/>
    <n v="398"/>
    <s v=""/>
  </r>
  <r>
    <n v="17"/>
    <s v="200017"/>
    <d v="2020-01-15T00:00:00"/>
    <x v="128"/>
    <n v="51590"/>
    <x v="715"/>
    <m/>
    <x v="678"/>
    <x v="1170"/>
    <s v=""/>
    <m/>
    <m/>
    <n v="37447"/>
    <n v="14143"/>
    <s v=""/>
  </r>
  <r>
    <n v="31"/>
    <s v="200031"/>
    <d v="2020-01-21T00:00:00"/>
    <x v="32"/>
    <n v="1333"/>
    <x v="716"/>
    <m/>
    <x v="679"/>
    <x v="1171"/>
    <s v=""/>
    <m/>
    <m/>
    <n v="908"/>
    <n v="425"/>
    <s v=""/>
  </r>
  <r>
    <n v="35"/>
    <s v="200035"/>
    <d v="2020-01-22T00:00:00"/>
    <x v="359"/>
    <n v="7465"/>
    <x v="717"/>
    <n v="1"/>
    <x v="683"/>
    <x v="1172"/>
    <n v="7465"/>
    <m/>
    <m/>
    <n v="5823"/>
    <n v="1642"/>
    <n v="1642"/>
  </r>
  <r>
    <n v="34"/>
    <s v="200034"/>
    <d v="2020-01-22T00:00:00"/>
    <x v="298"/>
    <n v="4341"/>
    <x v="718"/>
    <m/>
    <x v="684"/>
    <x v="1173"/>
    <s v=""/>
    <m/>
    <m/>
    <n v="3931"/>
    <n v="410"/>
    <s v=""/>
  </r>
  <r>
    <n v="1247"/>
    <s v="191247"/>
    <d v="2019-12-27T00:00:00"/>
    <x v="32"/>
    <n v="19960"/>
    <x v="718"/>
    <m/>
    <x v="684"/>
    <x v="1174"/>
    <s v=""/>
    <m/>
    <m/>
    <n v="13170"/>
    <n v="6790"/>
    <s v=""/>
  </r>
  <r>
    <n v="19"/>
    <s v="200019"/>
    <d v="2020-01-16T00:00:00"/>
    <x v="11"/>
    <n v="50688"/>
    <x v="718"/>
    <m/>
    <x v="683"/>
    <x v="1175"/>
    <s v=""/>
    <m/>
    <m/>
    <n v="40832"/>
    <n v="9856"/>
    <s v=""/>
  </r>
  <r>
    <n v="39"/>
    <s v="200039"/>
    <d v="2020-01-23T00:00:00"/>
    <x v="360"/>
    <n v="66195"/>
    <x v="718"/>
    <n v="1"/>
    <x v="685"/>
    <x v="1176"/>
    <n v="66195"/>
    <m/>
    <m/>
    <n v="48748"/>
    <n v="17447"/>
    <n v="17447"/>
  </r>
  <r>
    <n v="1224"/>
    <s v="191224"/>
    <d v="2019-12-20T00:00:00"/>
    <x v="227"/>
    <n v="1943.95"/>
    <x v="719"/>
    <m/>
    <x v="684"/>
    <x v="1177"/>
    <s v=""/>
    <m/>
    <m/>
    <n v="1783"/>
    <n v="160.95000000000005"/>
    <s v=""/>
  </r>
  <r>
    <n v="29"/>
    <s v="200029"/>
    <d v="2020-01-21T00:00:00"/>
    <x v="331"/>
    <n v="5431"/>
    <x v="720"/>
    <m/>
    <x v="686"/>
    <x v="931"/>
    <s v=""/>
    <m/>
    <m/>
    <n v="4181"/>
    <n v="1250"/>
    <s v=""/>
  </r>
  <r>
    <n v="45"/>
    <s v="200045"/>
    <d v="2020-01-24T00:00:00"/>
    <x v="204"/>
    <n v="2282"/>
    <x v="720"/>
    <m/>
    <x v="675"/>
    <x v="1178"/>
    <s v=""/>
    <m/>
    <m/>
    <n v="1760"/>
    <n v="522"/>
    <s v=""/>
  </r>
  <r>
    <n v="1201"/>
    <s v="191201"/>
    <d v="2019-12-13T00:00:00"/>
    <x v="126"/>
    <n v="1325.15"/>
    <x v="721"/>
    <m/>
    <x v="664"/>
    <x v="1179"/>
    <s v=""/>
    <m/>
    <m/>
    <n v="1215"/>
    <n v="110.15000000000009"/>
    <s v=""/>
  </r>
  <r>
    <n v="25"/>
    <s v="200025"/>
    <d v="2020-01-17T00:00:00"/>
    <x v="126"/>
    <n v="2101.5"/>
    <x v="721"/>
    <m/>
    <x v="687"/>
    <x v="1180"/>
    <s v=""/>
    <m/>
    <m/>
    <n v="1818"/>
    <n v="283.5"/>
    <s v=""/>
  </r>
  <r>
    <n v="1191"/>
    <s v="191191"/>
    <d v="2019-12-11T00:00:00"/>
    <x v="11"/>
    <n v="116130"/>
    <x v="722"/>
    <m/>
    <x v="668"/>
    <x v="1181"/>
    <s v=""/>
    <m/>
    <m/>
    <n v="54986"/>
    <n v="17554.399999999994"/>
    <s v=""/>
  </r>
  <r>
    <n v="3"/>
    <s v="200003"/>
    <d v="2020-01-10T00:00:00"/>
    <x v="102"/>
    <n v="3213"/>
    <x v="722"/>
    <m/>
    <x v="688"/>
    <x v="1182"/>
    <s v=""/>
    <m/>
    <m/>
    <n v="2329"/>
    <n v="884"/>
    <s v=""/>
  </r>
  <r>
    <n v="1217"/>
    <s v="191217"/>
    <d v="2019-12-19T00:00:00"/>
    <x v="361"/>
    <n v="22852"/>
    <x v="723"/>
    <n v="1"/>
    <x v="689"/>
    <x v="1183"/>
    <n v="22852"/>
    <m/>
    <m/>
    <n v="16877"/>
    <n v="5975"/>
    <n v="5975"/>
  </r>
  <r>
    <n v="20"/>
    <s v="200020"/>
    <d v="2020-01-16T00:00:00"/>
    <x v="102"/>
    <n v="3807"/>
    <x v="724"/>
    <m/>
    <x v="688"/>
    <x v="1184"/>
    <s v=""/>
    <m/>
    <m/>
    <n v="2930"/>
    <n v="877"/>
    <s v=""/>
  </r>
  <r>
    <n v="21"/>
    <s v="200021"/>
    <d v="2020-01-16T00:00:00"/>
    <x v="102"/>
    <n v="17484"/>
    <x v="724"/>
    <m/>
    <x v="688"/>
    <x v="1185"/>
    <s v=""/>
    <m/>
    <m/>
    <n v="11538"/>
    <n v="5946"/>
    <s v=""/>
  </r>
  <r>
    <n v="78"/>
    <s v="200078"/>
    <d v="2020-01-31T00:00:00"/>
    <x v="9"/>
    <n v="16458"/>
    <x v="724"/>
    <m/>
    <x v="690"/>
    <x v="1186"/>
    <s v=""/>
    <m/>
    <m/>
    <n v="12543"/>
    <n v="3915"/>
    <s v=""/>
  </r>
  <r>
    <n v="68"/>
    <s v="200068"/>
    <d v="2020-01-31T00:00:00"/>
    <x v="43"/>
    <n v="32970"/>
    <x v="724"/>
    <m/>
    <x v="691"/>
    <x v="1187"/>
    <s v=""/>
    <m/>
    <m/>
    <n v="24234"/>
    <n v="8736"/>
    <s v=""/>
  </r>
  <r>
    <n v="1228"/>
    <s v="191228"/>
    <d v="2019-12-24T00:00:00"/>
    <x v="20"/>
    <n v="72488"/>
    <x v="725"/>
    <m/>
    <x v="692"/>
    <x v="1188"/>
    <s v=""/>
    <m/>
    <m/>
    <n v="55183"/>
    <n v="17305"/>
    <s v=""/>
  </r>
  <r>
    <n v="1179"/>
    <s v="191179"/>
    <d v="2019-12-12T00:00:00"/>
    <x v="3"/>
    <n v="22465"/>
    <x v="725"/>
    <m/>
    <x v="679"/>
    <x v="1189"/>
    <s v=""/>
    <m/>
    <m/>
    <n v="18443"/>
    <n v="4022"/>
    <s v=""/>
  </r>
  <r>
    <n v="113"/>
    <s v="200113"/>
    <d v="2020-02-10T00:00:00"/>
    <x v="362"/>
    <n v="13990"/>
    <x v="726"/>
    <n v="1"/>
    <x v="693"/>
    <x v="793"/>
    <n v="13990"/>
    <m/>
    <m/>
    <n v="10112"/>
    <n v="3878"/>
    <n v="3878"/>
  </r>
  <r>
    <n v="114"/>
    <s v="200114"/>
    <d v="2020-02-10T00:00:00"/>
    <x v="57"/>
    <n v="505"/>
    <x v="727"/>
    <m/>
    <x v="694"/>
    <x v="1190"/>
    <s v=""/>
    <m/>
    <m/>
    <n v="396"/>
    <n v="109"/>
    <s v=""/>
  </r>
  <r>
    <n v="93"/>
    <s v="200093"/>
    <d v="2020-02-05T00:00:00"/>
    <x v="101"/>
    <n v="6742"/>
    <x v="727"/>
    <m/>
    <x v="695"/>
    <x v="1191"/>
    <s v=""/>
    <m/>
    <m/>
    <n v="5073"/>
    <n v="1669"/>
    <s v=""/>
  </r>
  <r>
    <n v="115"/>
    <s v="200115"/>
    <d v="2020-02-10T00:00:00"/>
    <x v="363"/>
    <n v="4372"/>
    <x v="727"/>
    <n v="1"/>
    <x v="696"/>
    <x v="1192"/>
    <n v="4372"/>
    <m/>
    <m/>
    <n v="3075"/>
    <n v="1297"/>
    <n v="1297"/>
  </r>
  <r>
    <n v="53"/>
    <s v="200053"/>
    <d v="2020-01-28T00:00:00"/>
    <x v="102"/>
    <n v="2538"/>
    <x v="728"/>
    <m/>
    <x v="688"/>
    <x v="1193"/>
    <s v=""/>
    <m/>
    <m/>
    <n v="1584"/>
    <n v="954"/>
    <s v=""/>
  </r>
  <r>
    <n v="133"/>
    <s v="200133"/>
    <d v="2020-02-17T00:00:00"/>
    <x v="1"/>
    <n v="9732"/>
    <x v="729"/>
    <m/>
    <x v="697"/>
    <x v="1194"/>
    <s v=""/>
    <m/>
    <m/>
    <n v="7548"/>
    <n v="2184"/>
    <s v=""/>
  </r>
  <r>
    <n v="57"/>
    <s v="200057"/>
    <d v="2020-01-28T00:00:00"/>
    <x v="364"/>
    <n v="78748"/>
    <x v="729"/>
    <n v="1"/>
    <x v="698"/>
    <x v="1195"/>
    <n v="78748"/>
    <m/>
    <m/>
    <n v="55700"/>
    <n v="23048"/>
    <n v="23048"/>
  </r>
  <r>
    <n v="134"/>
    <s v="200134"/>
    <d v="2020-02-17T00:00:00"/>
    <x v="88"/>
    <n v="19236"/>
    <x v="730"/>
    <m/>
    <x v="691"/>
    <x v="1196"/>
    <s v=""/>
    <m/>
    <m/>
    <n v="12692"/>
    <n v="6544"/>
    <s v=""/>
  </r>
  <r>
    <n v="132"/>
    <s v="200132"/>
    <d v="2020-02-17T00:00:00"/>
    <x v="365"/>
    <n v="3142"/>
    <x v="730"/>
    <n v="1"/>
    <x v="699"/>
    <x v="998"/>
    <n v="3142"/>
    <m/>
    <m/>
    <n v="2450"/>
    <n v="692"/>
    <n v="692"/>
  </r>
  <r>
    <n v="155"/>
    <s v="200155"/>
    <d v="2020-02-25T00:00:00"/>
    <x v="366"/>
    <n v="2494"/>
    <x v="731"/>
    <n v="1"/>
    <x v="700"/>
    <x v="1197"/>
    <n v="2494"/>
    <m/>
    <m/>
    <n v="1421"/>
    <n v="1073"/>
    <n v="1073"/>
  </r>
  <r>
    <n v="30"/>
    <s v="200030"/>
    <d v="2020-01-22T00:00:00"/>
    <x v="20"/>
    <n v="73472"/>
    <x v="731"/>
    <m/>
    <x v="683"/>
    <x v="1198"/>
    <s v=""/>
    <m/>
    <m/>
    <n v="55607"/>
    <n v="17865"/>
    <s v=""/>
  </r>
  <r>
    <n v="156"/>
    <s v="200156"/>
    <d v="2020-02-25T00:00:00"/>
    <x v="57"/>
    <n v="3834"/>
    <x v="731"/>
    <m/>
    <x v="694"/>
    <x v="137"/>
    <s v=""/>
    <m/>
    <m/>
    <n v="2988"/>
    <n v="846"/>
    <s v=""/>
  </r>
  <r>
    <n v="162"/>
    <s v="200162"/>
    <d v="2020-02-25T00:00:00"/>
    <x v="352"/>
    <n v="914"/>
    <x v="732"/>
    <m/>
    <x v="701"/>
    <x v="916"/>
    <s v=""/>
    <m/>
    <m/>
    <n v="712"/>
    <n v="202"/>
    <s v=""/>
  </r>
  <r>
    <n v="159"/>
    <s v="200159"/>
    <d v="2020-02-25T00:00:00"/>
    <x v="70"/>
    <n v="49990"/>
    <x v="732"/>
    <m/>
    <x v="702"/>
    <x v="1199"/>
    <s v=""/>
    <m/>
    <m/>
    <n v="36713"/>
    <n v="13277"/>
    <s v=""/>
  </r>
  <r>
    <n v="23"/>
    <s v="200023"/>
    <d v="2020-01-17T00:00:00"/>
    <x v="11"/>
    <n v="5820"/>
    <x v="732"/>
    <m/>
    <x v="683"/>
    <x v="1200"/>
    <s v=""/>
    <m/>
    <m/>
    <n v="4991"/>
    <n v="829"/>
    <s v=""/>
  </r>
  <r>
    <n v="1191"/>
    <s v="191191"/>
    <d v="2019-12-11T00:00:00"/>
    <x v="11"/>
    <n v="116130"/>
    <x v="732"/>
    <m/>
    <x v="683"/>
    <x v="881"/>
    <s v=""/>
    <m/>
    <m/>
    <n v="14684"/>
    <n v="4306"/>
    <s v=""/>
  </r>
  <r>
    <n v="151"/>
    <s v="200151"/>
    <d v="2020-02-25T00:00:00"/>
    <x v="338"/>
    <n v="1934920"/>
    <x v="733"/>
    <m/>
    <x v="703"/>
    <x v="1201"/>
    <s v=""/>
    <n v="30000"/>
    <m/>
    <n v="1665370"/>
    <n v="269550"/>
    <s v=""/>
  </r>
  <r>
    <n v="152"/>
    <s v="200152"/>
    <d v="2020-02-21T00:00:00"/>
    <x v="192"/>
    <n v="2559"/>
    <x v="733"/>
    <m/>
    <x v="704"/>
    <x v="1202"/>
    <s v=""/>
    <m/>
    <m/>
    <n v="1996"/>
    <n v="563"/>
    <s v=""/>
  </r>
  <r>
    <n v="76"/>
    <s v="200076"/>
    <d v="2020-02-21T00:00:00"/>
    <x v="367"/>
    <n v="602770"/>
    <x v="733"/>
    <n v="1"/>
    <x v="705"/>
    <x v="1203"/>
    <n v="301385"/>
    <m/>
    <m/>
    <n v="220859.5"/>
    <n v="80525.5"/>
    <n v="80525.5"/>
  </r>
  <r>
    <n v="142"/>
    <s v="200142"/>
    <d v="2020-03-20T00:00:00"/>
    <x v="78"/>
    <n v="47490.5"/>
    <x v="734"/>
    <m/>
    <x v="695"/>
    <x v="1204"/>
    <s v=""/>
    <m/>
    <m/>
    <n v="36712"/>
    <n v="10778.5"/>
    <s v=""/>
  </r>
  <r>
    <n v="161"/>
    <s v="200161"/>
    <d v="2020-02-25T00:00:00"/>
    <x v="331"/>
    <n v="5486"/>
    <x v="734"/>
    <m/>
    <x v="695"/>
    <x v="893"/>
    <s v=""/>
    <m/>
    <m/>
    <n v="4224"/>
    <n v="1262"/>
    <s v=""/>
  </r>
  <r>
    <n v="139"/>
    <s v="200139"/>
    <d v="2020-03-03T00:00:00"/>
    <x v="92"/>
    <n v="11202"/>
    <x v="735"/>
    <m/>
    <x v="706"/>
    <x v="1205"/>
    <s v=""/>
    <m/>
    <m/>
    <n v="8738"/>
    <n v="2464"/>
    <s v=""/>
  </r>
  <r>
    <n v="138"/>
    <s v="200138"/>
    <d v="2020-03-03T00:00:00"/>
    <x v="57"/>
    <n v="32490"/>
    <x v="735"/>
    <m/>
    <x v="707"/>
    <x v="1206"/>
    <s v=""/>
    <m/>
    <m/>
    <n v="23861"/>
    <n v="8629"/>
    <s v=""/>
  </r>
  <r>
    <n v="182"/>
    <s v="200182"/>
    <d v="2020-03-04T00:00:00"/>
    <x v="227"/>
    <n v="541.45000000000005"/>
    <x v="736"/>
    <m/>
    <x v="708"/>
    <x v="1207"/>
    <s v=""/>
    <m/>
    <m/>
    <n v="492"/>
    <n v="49.450000000000045"/>
    <s v=""/>
  </r>
  <r>
    <n v="183"/>
    <s v="200183"/>
    <d v="2020-03-04T00:00:00"/>
    <x v="368"/>
    <n v="1818"/>
    <x v="736"/>
    <m/>
    <x v="708"/>
    <x v="1208"/>
    <s v=""/>
    <m/>
    <m/>
    <n v="1400"/>
    <n v="418"/>
    <s v=""/>
  </r>
  <r>
    <n v="167"/>
    <s v="200167"/>
    <d v="2020-02-27T00:00:00"/>
    <x v="369"/>
    <n v="3805"/>
    <x v="737"/>
    <m/>
    <x v="709"/>
    <x v="1209"/>
    <s v=""/>
    <m/>
    <m/>
    <n v="2511"/>
    <n v="1294"/>
    <s v=""/>
  </r>
  <r>
    <n v="190"/>
    <s v="200190"/>
    <d v="2020-03-05T00:00:00"/>
    <x v="370"/>
    <n v="2498"/>
    <x v="738"/>
    <n v="1"/>
    <x v="702"/>
    <x v="1210"/>
    <n v="2498"/>
    <m/>
    <m/>
    <n v="1948"/>
    <n v="550"/>
    <n v="550"/>
  </r>
  <r>
    <n v="193"/>
    <s v="200193"/>
    <d v="2020-03-06T00:00:00"/>
    <x v="0"/>
    <n v="2282"/>
    <x v="738"/>
    <m/>
    <x v="710"/>
    <x v="1178"/>
    <s v=""/>
    <m/>
    <m/>
    <n v="1760"/>
    <n v="522"/>
    <s v=""/>
  </r>
  <r>
    <n v="36"/>
    <s v="200036"/>
    <d v="2020-01-22T00:00:00"/>
    <x v="13"/>
    <n v="181136"/>
    <x v="739"/>
    <m/>
    <x v="683"/>
    <x v="1211"/>
    <s v=""/>
    <n v="30000"/>
    <n v="6000"/>
    <n v="62081"/>
    <n v="119055"/>
    <s v=""/>
  </r>
  <r>
    <n v="187"/>
    <s v="200187"/>
    <d v="2020-03-05T00:00:00"/>
    <x v="368"/>
    <n v="1818"/>
    <x v="740"/>
    <m/>
    <x v="711"/>
    <x v="1208"/>
    <s v=""/>
    <m/>
    <m/>
    <n v="1400"/>
    <n v="418"/>
    <s v=""/>
  </r>
  <r>
    <n v="186"/>
    <s v="200186"/>
    <d v="2020-03-05T00:00:00"/>
    <x v="279"/>
    <n v="335490"/>
    <x v="740"/>
    <m/>
    <x v="707"/>
    <x v="1212"/>
    <s v=""/>
    <m/>
    <m/>
    <n v="246384"/>
    <n v="89106"/>
    <s v=""/>
  </r>
  <r>
    <n v="185"/>
    <s v="200185"/>
    <d v="2020-03-05T00:00:00"/>
    <x v="279"/>
    <n v="3952"/>
    <x v="740"/>
    <m/>
    <x v="707"/>
    <x v="1213"/>
    <s v=""/>
    <m/>
    <m/>
    <n v="3083"/>
    <n v="869"/>
    <s v=""/>
  </r>
  <r>
    <n v="176"/>
    <s v="200176"/>
    <d v="2020-03-03T00:00:00"/>
    <x v="81"/>
    <n v="102084"/>
    <x v="740"/>
    <m/>
    <x v="712"/>
    <x v="1214"/>
    <s v=""/>
    <m/>
    <n v="600"/>
    <n v="72309"/>
    <n v="29775"/>
    <s v=""/>
  </r>
  <r>
    <n v="171"/>
    <s v="200171"/>
    <d v="2020-02-28T00:00:00"/>
    <x v="126"/>
    <n v="3959.3"/>
    <x v="741"/>
    <m/>
    <x v="694"/>
    <x v="1215"/>
    <s v=""/>
    <m/>
    <m/>
    <n v="3633"/>
    <n v="326.30000000000018"/>
    <s v=""/>
  </r>
  <r>
    <n v="206"/>
    <s v="200206"/>
    <d v="2020-03-11T00:00:00"/>
    <x v="126"/>
    <n v="2901.9"/>
    <x v="741"/>
    <m/>
    <x v="713"/>
    <x v="1216"/>
    <s v=""/>
    <m/>
    <m/>
    <n v="2619"/>
    <n v="282.90000000000009"/>
    <s v=""/>
  </r>
  <r>
    <n v="214"/>
    <s v="200214"/>
    <d v="2020-03-13T00:00:00"/>
    <x v="371"/>
    <n v="61125"/>
    <x v="742"/>
    <n v="1"/>
    <x v="714"/>
    <x v="1217"/>
    <n v="61125"/>
    <m/>
    <m/>
    <n v="44637"/>
    <n v="16488"/>
    <n v="16488"/>
  </r>
  <r>
    <n v="210"/>
    <s v="200210"/>
    <d v="2020-03-12T00:00:00"/>
    <x v="204"/>
    <n v="20980"/>
    <x v="742"/>
    <m/>
    <x v="680"/>
    <x v="1218"/>
    <s v=""/>
    <m/>
    <m/>
    <n v="15406"/>
    <n v="5574"/>
    <s v=""/>
  </r>
  <r>
    <n v="201"/>
    <s v="200201"/>
    <d v="2020-03-11T00:00:00"/>
    <x v="192"/>
    <n v="3423"/>
    <x v="742"/>
    <m/>
    <x v="706"/>
    <x v="1219"/>
    <s v=""/>
    <m/>
    <m/>
    <n v="2640"/>
    <n v="783"/>
    <s v=""/>
  </r>
  <r>
    <n v="177"/>
    <s v="200177"/>
    <d v="2020-03-03T00:00:00"/>
    <x v="32"/>
    <n v="2697"/>
    <x v="743"/>
    <m/>
    <x v="708"/>
    <x v="1220"/>
    <s v=""/>
    <m/>
    <m/>
    <n v="1365"/>
    <n v="1332"/>
    <s v=""/>
  </r>
  <r>
    <n v="221"/>
    <s v="200221"/>
    <d v="2020-03-17T00:00:00"/>
    <x v="372"/>
    <n v="1290"/>
    <x v="743"/>
    <m/>
    <x v="709"/>
    <x v="932"/>
    <s v=""/>
    <m/>
    <m/>
    <n v="1005"/>
    <n v="285"/>
    <s v=""/>
  </r>
  <r>
    <n v="220"/>
    <s v="200220"/>
    <d v="2020-03-17T00:00:00"/>
    <x v="81"/>
    <n v="12000"/>
    <x v="744"/>
    <m/>
    <x v="713"/>
    <x v="319"/>
    <s v=""/>
    <m/>
    <n v="1200"/>
    <n v="3117"/>
    <n v="8883"/>
    <s v=""/>
  </r>
  <r>
    <n v="227"/>
    <s v="200227"/>
    <d v="2020-03-18T00:00:00"/>
    <x v="373"/>
    <n v="8689"/>
    <x v="745"/>
    <n v="1"/>
    <x v="707"/>
    <x v="1221"/>
    <n v="8689"/>
    <m/>
    <m/>
    <n v="5682"/>
    <n v="3007"/>
    <n v="3007"/>
  </r>
  <r>
    <n v="216"/>
    <s v="200216"/>
    <d v="2020-03-16T00:00:00"/>
    <x v="43"/>
    <n v="24920"/>
    <x v="745"/>
    <m/>
    <x v="715"/>
    <x v="1222"/>
    <s v=""/>
    <m/>
    <m/>
    <n v="18360"/>
    <n v="6560"/>
    <s v=""/>
  </r>
  <r>
    <n v="240"/>
    <s v="200240"/>
    <d v="2020-03-20T00:00:00"/>
    <x v="126"/>
    <n v="7669.55"/>
    <x v="746"/>
    <m/>
    <x v="697"/>
    <x v="1223"/>
    <s v=""/>
    <m/>
    <m/>
    <n v="5952"/>
    <n v="1717.5500000000002"/>
    <s v=""/>
  </r>
  <r>
    <n v="235"/>
    <s v="200235"/>
    <d v="2020-03-19T00:00:00"/>
    <x v="331"/>
    <n v="5486"/>
    <x v="747"/>
    <m/>
    <x v="703"/>
    <x v="893"/>
    <s v=""/>
    <m/>
    <m/>
    <n v="4224"/>
    <n v="1262"/>
    <s v=""/>
  </r>
  <r>
    <n v="239"/>
    <s v="200239"/>
    <d v="2020-03-20T00:00:00"/>
    <x v="92"/>
    <n v="5486"/>
    <x v="747"/>
    <m/>
    <x v="716"/>
    <x v="893"/>
    <s v=""/>
    <m/>
    <m/>
    <n v="4224"/>
    <n v="1262"/>
    <s v=""/>
  </r>
  <r>
    <n v="242"/>
    <s v="200242"/>
    <d v="2020-03-20T00:00:00"/>
    <x v="332"/>
    <n v="3858"/>
    <x v="747"/>
    <m/>
    <x v="717"/>
    <x v="1224"/>
    <s v=""/>
    <m/>
    <m/>
    <n v="2626"/>
    <n v="1232"/>
    <s v=""/>
  </r>
  <r>
    <n v="245"/>
    <s v="200245"/>
    <d v="2020-03-23T00:00:00"/>
    <x v="151"/>
    <n v="15043"/>
    <x v="747"/>
    <m/>
    <x v="718"/>
    <x v="1225"/>
    <s v=""/>
    <m/>
    <m/>
    <n v="8892"/>
    <n v="6151"/>
    <s v=""/>
  </r>
  <r>
    <n v="254"/>
    <s v="200254"/>
    <d v="2020-03-24T00:00:00"/>
    <x v="374"/>
    <n v="7990"/>
    <x v="748"/>
    <n v="1"/>
    <x v="719"/>
    <x v="1226"/>
    <n v="7990"/>
    <m/>
    <m/>
    <n v="5505"/>
    <n v="2485"/>
    <n v="2485"/>
  </r>
  <r>
    <n v="251"/>
    <s v="200251"/>
    <d v="2020-03-24T00:00:00"/>
    <x v="57"/>
    <n v="2055"/>
    <x v="748"/>
    <m/>
    <x v="713"/>
    <x v="1227"/>
    <s v=""/>
    <m/>
    <m/>
    <n v="613"/>
    <n v="1442"/>
    <s v=""/>
  </r>
  <r>
    <n v="116"/>
    <s v="200116"/>
    <d v="2020-02-10T00:00:00"/>
    <x v="13"/>
    <n v="200523"/>
    <x v="749"/>
    <m/>
    <x v="720"/>
    <x v="1228"/>
    <s v=""/>
    <n v="30000"/>
    <n v="6000"/>
    <n v="77148"/>
    <n v="123375"/>
    <s v=""/>
  </r>
  <r>
    <n v="178"/>
    <s v="200178"/>
    <d v="2020-03-03T00:00:00"/>
    <x v="59"/>
    <n v="6464"/>
    <x v="750"/>
    <m/>
    <x v="713"/>
    <x v="1229"/>
    <s v=""/>
    <m/>
    <m/>
    <n v="4995"/>
    <n v="1469"/>
    <s v=""/>
  </r>
  <r>
    <n v="218"/>
    <s v="200218"/>
    <d v="2020-03-17T00:00:00"/>
    <x v="23"/>
    <n v="615"/>
    <x v="751"/>
    <m/>
    <x v="712"/>
    <x v="1230"/>
    <s v=""/>
    <m/>
    <m/>
    <n v="488"/>
    <n v="127"/>
    <s v=""/>
  </r>
  <r>
    <n v="223"/>
    <s v="200223"/>
    <d v="2020-03-18T00:00:00"/>
    <x v="87"/>
    <n v="2690"/>
    <x v="751"/>
    <m/>
    <x v="721"/>
    <x v="1099"/>
    <s v=""/>
    <m/>
    <m/>
    <n v="2382"/>
    <n v="308"/>
    <s v=""/>
  </r>
  <r>
    <n v="69"/>
    <s v="200069"/>
    <d v="2020-03-11T00:00:00"/>
    <x v="150"/>
    <n v="73382"/>
    <x v="751"/>
    <m/>
    <x v="680"/>
    <x v="1231"/>
    <s v=""/>
    <m/>
    <n v="1200"/>
    <n v="43493"/>
    <n v="29889"/>
    <s v=""/>
  </r>
  <r>
    <n v="204"/>
    <s v="200204"/>
    <d v="2020-03-11T00:00:00"/>
    <x v="150"/>
    <n v="28055"/>
    <x v="751"/>
    <m/>
    <x v="722"/>
    <x v="1232"/>
    <s v=""/>
    <m/>
    <m/>
    <n v="19838"/>
    <n v="8217"/>
    <s v=""/>
  </r>
  <r>
    <n v="262"/>
    <s v="200262"/>
    <d v="2020-03-27T00:00:00"/>
    <x v="375"/>
    <n v="22490"/>
    <x v="752"/>
    <n v="1"/>
    <x v="723"/>
    <x v="1233"/>
    <n v="22490"/>
    <m/>
    <m/>
    <n v="14112"/>
    <n v="8378"/>
    <n v="8378"/>
  </r>
  <r>
    <n v="249"/>
    <s v="200249"/>
    <d v="2020-03-23T00:00:00"/>
    <x v="201"/>
    <n v="5458"/>
    <x v="753"/>
    <m/>
    <x v="724"/>
    <x v="1234"/>
    <s v=""/>
    <m/>
    <m/>
    <n v="4703"/>
    <n v="755"/>
    <s v=""/>
  </r>
  <r>
    <n v="264"/>
    <s v="200264"/>
    <d v="2020-03-27T00:00:00"/>
    <x v="126"/>
    <n v="6093.95"/>
    <x v="753"/>
    <m/>
    <x v="725"/>
    <x v="1235"/>
    <s v=""/>
    <m/>
    <m/>
    <n v="5258"/>
    <n v="835.94999999999982"/>
    <s v=""/>
  </r>
  <r>
    <n v="120"/>
    <s v="200120"/>
    <d v="2020-02-11T00:00:00"/>
    <x v="37"/>
    <n v="10766"/>
    <x v="754"/>
    <m/>
    <x v="710"/>
    <x v="1236"/>
    <s v=""/>
    <m/>
    <m/>
    <n v="8369"/>
    <n v="2397"/>
    <s v=""/>
  </r>
  <r>
    <n v="166"/>
    <s v="200166"/>
    <d v="2020-02-27T00:00:00"/>
    <x v="20"/>
    <n v="78992"/>
    <x v="755"/>
    <m/>
    <x v="704"/>
    <x v="1237"/>
    <s v=""/>
    <m/>
    <m/>
    <n v="59642"/>
    <n v="19350"/>
    <s v=""/>
  </r>
  <r>
    <n v="294"/>
    <s v="200294"/>
    <d v="2020-04-13T00:00:00"/>
    <x v="376"/>
    <n v="23640"/>
    <x v="756"/>
    <n v="1"/>
    <x v="726"/>
    <x v="1238"/>
    <n v="7092"/>
    <m/>
    <m/>
    <n v="5205"/>
    <n v="1887"/>
    <n v="1887"/>
  </r>
  <r>
    <n v="304"/>
    <s v="200304"/>
    <d v="2020-04-16T00:00:00"/>
    <x v="81"/>
    <n v="6703"/>
    <x v="756"/>
    <m/>
    <x v="727"/>
    <x v="1239"/>
    <s v=""/>
    <m/>
    <m/>
    <n v="4513"/>
    <n v="2190"/>
    <s v=""/>
  </r>
  <r>
    <n v="319"/>
    <s v="200319"/>
    <d v="2020-04-21T00:00:00"/>
    <x v="377"/>
    <n v="41580"/>
    <x v="757"/>
    <n v="1"/>
    <x v="728"/>
    <x v="1240"/>
    <n v="41580"/>
    <m/>
    <m/>
    <n v="30630.400000000001"/>
    <n v="10949.599999999999"/>
    <n v="10949.599999999999"/>
  </r>
  <r>
    <n v="320"/>
    <s v="200320"/>
    <d v="2020-04-21T00:00:00"/>
    <x v="378"/>
    <n v="257754"/>
    <x v="758"/>
    <n v="1"/>
    <x v="729"/>
    <x v="1241"/>
    <n v="257754"/>
    <m/>
    <m/>
    <n v="188013"/>
    <n v="69741"/>
    <n v="69741"/>
  </r>
  <r>
    <n v="321"/>
    <s v="200321"/>
    <d v="2020-04-21T00:00:00"/>
    <x v="378"/>
    <n v="1350"/>
    <x v="758"/>
    <n v="1"/>
    <x v="729"/>
    <x v="705"/>
    <n v="1350"/>
    <m/>
    <m/>
    <n v="1181"/>
    <n v="169"/>
    <n v="169"/>
  </r>
  <r>
    <n v="195"/>
    <s v="200195"/>
    <d v="2020-03-06T00:00:00"/>
    <x v="13"/>
    <n v="190664"/>
    <x v="758"/>
    <m/>
    <x v="719"/>
    <x v="1242"/>
    <s v=""/>
    <n v="30000"/>
    <n v="6000"/>
    <n v="68826"/>
    <n v="121838"/>
    <s v=""/>
  </r>
  <r>
    <n v="217"/>
    <s v="200217"/>
    <d v="2020-03-16T00:00:00"/>
    <x v="13"/>
    <n v="9746"/>
    <x v="758"/>
    <m/>
    <x v="719"/>
    <x v="1243"/>
    <s v=""/>
    <m/>
    <m/>
    <n v="7530"/>
    <n v="2216"/>
    <s v=""/>
  </r>
  <r>
    <n v="332"/>
    <s v="200332"/>
    <d v="2020-04-23T00:00:00"/>
    <x v="366"/>
    <n v="3726"/>
    <x v="758"/>
    <m/>
    <x v="728"/>
    <x v="1244"/>
    <s v=""/>
    <m/>
    <m/>
    <n v="2563"/>
    <n v="1163"/>
    <s v=""/>
  </r>
  <r>
    <n v="294"/>
    <s v="200294"/>
    <d v="2020-04-13T00:00:00"/>
    <x v="376"/>
    <n v="23640"/>
    <x v="758"/>
    <n v="1"/>
    <x v="726"/>
    <x v="1245"/>
    <n v="16548"/>
    <m/>
    <m/>
    <n v="12145"/>
    <n v="4403"/>
    <n v="4403"/>
  </r>
  <r>
    <n v="334"/>
    <s v="200334"/>
    <d v="2020-04-24T00:00:00"/>
    <x v="379"/>
    <n v="32490"/>
    <x v="759"/>
    <n v="1"/>
    <x v="730"/>
    <x v="1206"/>
    <n v="32490"/>
    <m/>
    <m/>
    <n v="17909.43"/>
    <n v="14580.57"/>
    <n v="14580.57"/>
  </r>
  <r>
    <n v="322"/>
    <s v="200322"/>
    <d v="2020-04-22T00:00:00"/>
    <x v="356"/>
    <n v="4000"/>
    <x v="760"/>
    <m/>
    <x v="731"/>
    <x v="136"/>
    <s v=""/>
    <m/>
    <n v="600"/>
    <n v="2331.6999999999998"/>
    <n v="1668.3000000000002"/>
    <s v=""/>
  </r>
  <r>
    <n v="336"/>
    <s v="200336"/>
    <d v="2020-04-27T00:00:00"/>
    <x v="287"/>
    <n v="2832"/>
    <x v="760"/>
    <m/>
    <x v="730"/>
    <x v="1246"/>
    <s v=""/>
    <m/>
    <m/>
    <n v="1948"/>
    <n v="884"/>
    <s v=""/>
  </r>
  <r>
    <n v="362"/>
    <s v="200362"/>
    <d v="2020-04-29T00:00:00"/>
    <x v="380"/>
    <n v="56490"/>
    <x v="761"/>
    <m/>
    <x v="732"/>
    <x v="1247"/>
    <s v=""/>
    <m/>
    <m/>
    <n v="36712"/>
    <n v="19778"/>
    <s v=""/>
  </r>
  <r>
    <n v="61"/>
    <s v="200061"/>
    <d v="2020-02-27T00:00:00"/>
    <x v="361"/>
    <n v="77077"/>
    <x v="761"/>
    <m/>
    <x v="733"/>
    <x v="1248"/>
    <s v=""/>
    <m/>
    <m/>
    <n v="39204.85"/>
    <n v="24562.15"/>
    <s v=""/>
  </r>
  <r>
    <n v="248"/>
    <s v="200248"/>
    <d v="2020-03-23T00:00:00"/>
    <x v="361"/>
    <n v="2742"/>
    <x v="761"/>
    <m/>
    <x v="703"/>
    <x v="166"/>
    <s v=""/>
    <m/>
    <m/>
    <n v="1886"/>
    <n v="856"/>
    <s v=""/>
  </r>
  <r>
    <n v="76"/>
    <s v="200076"/>
    <d v="2020-02-21T00:00:00"/>
    <x v="367"/>
    <n v="602770"/>
    <x v="761"/>
    <n v="1"/>
    <x v="705"/>
    <x v="1203"/>
    <n v="301385"/>
    <m/>
    <m/>
    <n v="258092.5"/>
    <n v="43292.5"/>
    <n v="43292.5"/>
  </r>
  <r>
    <n v="325"/>
    <s v="200325"/>
    <d v="2020-04-24T00:00:00"/>
    <x v="240"/>
    <n v="4000"/>
    <x v="762"/>
    <m/>
    <x v="730"/>
    <x v="136"/>
    <s v=""/>
    <m/>
    <n v="600"/>
    <n v="1450.7"/>
    <n v="2549.3000000000002"/>
    <s v=""/>
  </r>
  <r>
    <n v="342"/>
    <s v="200342"/>
    <d v="2020-04-28T00:00:00"/>
    <x v="331"/>
    <n v="6218"/>
    <x v="762"/>
    <m/>
    <x v="734"/>
    <x v="1249"/>
    <s v=""/>
    <m/>
    <m/>
    <n v="4224"/>
    <n v="1994"/>
    <s v=""/>
  </r>
  <r>
    <n v="317"/>
    <s v="200317"/>
    <d v="2020-04-22T00:00:00"/>
    <x v="150"/>
    <n v="23531"/>
    <x v="763"/>
    <m/>
    <x v="722"/>
    <x v="1250"/>
    <s v=""/>
    <m/>
    <m/>
    <n v="15942"/>
    <n v="7589"/>
    <s v=""/>
  </r>
  <r>
    <n v="192"/>
    <s v="200192"/>
    <d v="2020-04-01T00:00:00"/>
    <x v="20"/>
    <n v="155989"/>
    <x v="764"/>
    <m/>
    <x v="735"/>
    <x v="1251"/>
    <s v=""/>
    <m/>
    <n v="1200"/>
    <n v="110320.4"/>
    <n v="45668.600000000006"/>
    <s v=""/>
  </r>
  <r>
    <n v="375"/>
    <s v="200375"/>
    <d v="2020-05-07T00:00:00"/>
    <x v="88"/>
    <n v="21800"/>
    <x v="764"/>
    <m/>
    <x v="736"/>
    <x v="1252"/>
    <s v=""/>
    <m/>
    <m/>
    <n v="12692"/>
    <n v="9108"/>
    <s v=""/>
  </r>
  <r>
    <n v="345"/>
    <s v="200345"/>
    <d v="2020-05-13T00:00:00"/>
    <x v="381"/>
    <n v="22490"/>
    <x v="765"/>
    <n v="1"/>
    <x v="737"/>
    <x v="1233"/>
    <n v="22490"/>
    <m/>
    <m/>
    <n v="16135"/>
    <n v="6355"/>
    <n v="6355"/>
  </r>
  <r>
    <n v="383"/>
    <s v="200383"/>
    <d v="2020-05-08T00:00:00"/>
    <x v="279"/>
    <n v="2787"/>
    <x v="765"/>
    <m/>
    <x v="738"/>
    <x v="1253"/>
    <s v=""/>
    <m/>
    <m/>
    <n v="1764"/>
    <n v="1023"/>
    <s v=""/>
  </r>
  <r>
    <n v="388"/>
    <s v="200388"/>
    <d v="2020-05-12T00:00:00"/>
    <x v="59"/>
    <n v="7324"/>
    <x v="766"/>
    <m/>
    <x v="725"/>
    <x v="1254"/>
    <s v=""/>
    <m/>
    <m/>
    <n v="5040"/>
    <n v="2284"/>
    <s v=""/>
  </r>
  <r>
    <n v="391"/>
    <s v="200391"/>
    <d v="2020-05-13T00:00:00"/>
    <x v="54"/>
    <n v="33140"/>
    <x v="767"/>
    <m/>
    <x v="737"/>
    <x v="1255"/>
    <s v=""/>
    <m/>
    <m/>
    <n v="22333"/>
    <n v="10807"/>
    <s v=""/>
  </r>
  <r>
    <n v="409"/>
    <s v="200409"/>
    <d v="2020-05-18T00:00:00"/>
    <x v="313"/>
    <n v="7162"/>
    <x v="767"/>
    <m/>
    <x v="739"/>
    <x v="1256"/>
    <s v=""/>
    <m/>
    <m/>
    <n v="5586"/>
    <n v="1576"/>
    <s v=""/>
  </r>
  <r>
    <n v="414"/>
    <s v="200414"/>
    <d v="2020-05-19T00:00:00"/>
    <x v="134"/>
    <n v="1831"/>
    <x v="768"/>
    <m/>
    <x v="740"/>
    <x v="1257"/>
    <s v=""/>
    <m/>
    <m/>
    <n v="1260"/>
    <n v="571"/>
    <s v=""/>
  </r>
  <r>
    <n v="404"/>
    <s v="200404"/>
    <d v="2020-05-15T00:00:00"/>
    <x v="126"/>
    <n v="7325"/>
    <x v="769"/>
    <m/>
    <x v="725"/>
    <x v="1258"/>
    <s v=""/>
    <m/>
    <m/>
    <n v="2694"/>
    <n v="4631"/>
    <s v=""/>
  </r>
  <r>
    <n v="296"/>
    <s v="200296"/>
    <d v="2020-04-14T00:00:00"/>
    <x v="361"/>
    <n v="7909"/>
    <x v="770"/>
    <m/>
    <x v="733"/>
    <x v="1259"/>
    <s v=""/>
    <m/>
    <m/>
    <n v="5363"/>
    <n v="2546"/>
    <s v=""/>
  </r>
  <r>
    <n v="61"/>
    <s v="200061"/>
    <d v="2020-02-27T00:00:00"/>
    <x v="361"/>
    <n v="77077"/>
    <x v="770"/>
    <m/>
    <x v="733"/>
    <x v="1260"/>
    <s v=""/>
    <m/>
    <m/>
    <n v="11766"/>
    <n v="1544"/>
    <s v=""/>
  </r>
  <r>
    <n v="212"/>
    <s v="200212"/>
    <d v="2020-03-16T00:00:00"/>
    <x v="361"/>
    <n v="30894"/>
    <x v="770"/>
    <m/>
    <x v="721"/>
    <x v="1261"/>
    <s v=""/>
    <m/>
    <n v="600"/>
    <n v="17218"/>
    <n v="13676"/>
    <s v=""/>
  </r>
  <r>
    <n v="306"/>
    <s v="200306"/>
    <d v="2020-04-17T00:00:00"/>
    <x v="361"/>
    <n v="104490"/>
    <x v="771"/>
    <m/>
    <x v="721"/>
    <x v="1262"/>
    <s v=""/>
    <m/>
    <m/>
    <n v="76737"/>
    <n v="27753"/>
    <s v=""/>
  </r>
  <r>
    <n v="371"/>
    <s v="200371"/>
    <d v="2020-05-06T00:00:00"/>
    <x v="150"/>
    <n v="49289"/>
    <x v="772"/>
    <m/>
    <x v="741"/>
    <x v="1263"/>
    <s v=""/>
    <m/>
    <n v="1200"/>
    <n v="29299.4"/>
    <n v="19989.599999999999"/>
    <s v=""/>
  </r>
  <r>
    <n v="428"/>
    <s v="200428"/>
    <d v="2020-05-25T00:00:00"/>
    <x v="382"/>
    <n v="4682"/>
    <x v="773"/>
    <m/>
    <x v="742"/>
    <x v="1264"/>
    <s v=""/>
    <m/>
    <m/>
    <n v="3090"/>
    <n v="1592"/>
    <s v=""/>
  </r>
  <r>
    <n v="367"/>
    <s v="200367"/>
    <d v="2020-04-30T00:00:00"/>
    <x v="361"/>
    <n v="101966"/>
    <x v="773"/>
    <m/>
    <x v="729"/>
    <x v="1265"/>
    <s v=""/>
    <m/>
    <m/>
    <n v="57743.25"/>
    <n v="44222.75"/>
    <s v=""/>
  </r>
  <r>
    <n v="457"/>
    <s v="200457"/>
    <d v="2020-05-29T00:00:00"/>
    <x v="365"/>
    <n v="9023"/>
    <x v="773"/>
    <m/>
    <x v="743"/>
    <x v="1266"/>
    <s v=""/>
    <m/>
    <m/>
    <n v="6710"/>
    <n v="2313"/>
    <s v=""/>
  </r>
  <r>
    <n v="435"/>
    <s v="200435"/>
    <d v="2020-05-26T00:00:00"/>
    <x v="383"/>
    <n v="90882"/>
    <x v="774"/>
    <n v="1"/>
    <x v="744"/>
    <x v="1267"/>
    <n v="90882"/>
    <m/>
    <n v="7200"/>
    <n v="53934"/>
    <n v="36948"/>
    <n v="36948"/>
  </r>
  <r>
    <n v="293"/>
    <s v="200293"/>
    <d v="2020-04-25T00:00:00"/>
    <x v="39"/>
    <n v="56490"/>
    <x v="775"/>
    <m/>
    <x v="745"/>
    <x v="1247"/>
    <s v=""/>
    <m/>
    <m/>
    <n v="36712.65"/>
    <n v="19777.349999999999"/>
    <s v=""/>
  </r>
  <r>
    <n v="399"/>
    <s v="200399"/>
    <d v="2020-06-03T00:00:00"/>
    <x v="192"/>
    <n v="4905"/>
    <x v="776"/>
    <m/>
    <x v="746"/>
    <x v="1268"/>
    <s v=""/>
    <m/>
    <m/>
    <n v="3826"/>
    <n v="1079"/>
    <s v=""/>
  </r>
  <r>
    <n v="324"/>
    <s v="200324"/>
    <d v="2020-04-28T00:00:00"/>
    <x v="20"/>
    <n v="204290"/>
    <x v="777"/>
    <m/>
    <x v="747"/>
    <x v="1269"/>
    <s v=""/>
    <m/>
    <n v="3000"/>
    <n v="134402.5"/>
    <n v="69887.5"/>
    <s v=""/>
  </r>
  <r>
    <n v="488"/>
    <s v="200488"/>
    <d v="2020-06-05T00:00:00"/>
    <x v="384"/>
    <n v="71693"/>
    <x v="777"/>
    <n v="1"/>
    <x v="748"/>
    <x v="1270"/>
    <n v="71693"/>
    <m/>
    <m/>
    <n v="47522"/>
    <n v="24171"/>
    <n v="24171"/>
  </r>
  <r>
    <n v="488"/>
    <s v="200488"/>
    <d v="2020-06-08T00:00:00"/>
    <x v="97"/>
    <n v="38990"/>
    <x v="777"/>
    <m/>
    <x v="744"/>
    <x v="1271"/>
    <s v=""/>
    <m/>
    <m/>
    <n v="28567"/>
    <n v="10423"/>
    <s v=""/>
  </r>
  <r>
    <n v="475"/>
    <s v="200475"/>
    <d v="2020-06-03T00:00:00"/>
    <x v="135"/>
    <n v="9904"/>
    <x v="777"/>
    <m/>
    <x v="744"/>
    <x v="1272"/>
    <s v=""/>
    <m/>
    <m/>
    <n v="7724"/>
    <n v="2180"/>
    <s v=""/>
  </r>
  <r>
    <n v="445"/>
    <s v="200445"/>
    <d v="2020-05-28T00:00:00"/>
    <x v="23"/>
    <n v="4203"/>
    <x v="777"/>
    <m/>
    <x v="749"/>
    <x v="1273"/>
    <s v=""/>
    <m/>
    <m/>
    <n v="2950"/>
    <n v="1253"/>
    <s v=""/>
  </r>
  <r>
    <n v="479"/>
    <s v="200479"/>
    <d v="2020-06-04T00:00:00"/>
    <x v="48"/>
    <n v="1536"/>
    <x v="777"/>
    <m/>
    <x v="750"/>
    <x v="1274"/>
    <s v=""/>
    <m/>
    <m/>
    <n v="1180"/>
    <n v="356"/>
    <s v=""/>
  </r>
  <r>
    <n v="498"/>
    <s v="200498"/>
    <d v="2020-06-09T00:00:00"/>
    <x v="385"/>
    <n v="38990"/>
    <x v="778"/>
    <n v="1"/>
    <x v="749"/>
    <x v="1271"/>
    <n v="38990"/>
    <m/>
    <m/>
    <n v="28567"/>
    <n v="10423"/>
    <n v="10423"/>
  </r>
  <r>
    <n v="512"/>
    <s v="200512"/>
    <d v="2020-06-10T00:00:00"/>
    <x v="78"/>
    <n v="53665.5"/>
    <x v="779"/>
    <m/>
    <x v="751"/>
    <x v="1275"/>
    <s v=""/>
    <m/>
    <m/>
    <n v="36712.65"/>
    <n v="16952.849999999999"/>
    <s v=""/>
  </r>
  <r>
    <n v="485"/>
    <s v="200485"/>
    <d v="2020-06-05T00:00:00"/>
    <x v="188"/>
    <n v="2020"/>
    <x v="779"/>
    <m/>
    <x v="752"/>
    <x v="1276"/>
    <s v=""/>
    <m/>
    <m/>
    <n v="1316"/>
    <n v="704"/>
    <s v=""/>
  </r>
  <r>
    <n v="521"/>
    <s v="200521"/>
    <d v="2020-06-11T00:00:00"/>
    <x v="320"/>
    <n v="17456"/>
    <x v="780"/>
    <m/>
    <x v="746"/>
    <x v="1277"/>
    <s v=""/>
    <m/>
    <m/>
    <n v="13614"/>
    <n v="3842"/>
    <s v=""/>
  </r>
  <r>
    <n v="295"/>
    <s v="200295"/>
    <d v="2020-04-14T00:00:00"/>
    <x v="13"/>
    <n v="259378"/>
    <x v="780"/>
    <m/>
    <x v="747"/>
    <x v="1278"/>
    <s v=""/>
    <n v="30000"/>
    <n v="6000"/>
    <n v="124329"/>
    <n v="135049"/>
    <s v=""/>
  </r>
  <r>
    <n v="351"/>
    <s v="200351"/>
    <d v="2020-04-29T00:00:00"/>
    <x v="13"/>
    <n v="212603"/>
    <x v="780"/>
    <m/>
    <x v="747"/>
    <x v="1279"/>
    <s v=""/>
    <n v="12000"/>
    <n v="2400"/>
    <n v="127987.8"/>
    <n v="84615.2"/>
    <s v=""/>
  </r>
  <r>
    <n v="542"/>
    <s v="200542"/>
    <d v="2020-06-17T00:00:00"/>
    <x v="331"/>
    <n v="6218"/>
    <x v="781"/>
    <m/>
    <x v="753"/>
    <x v="1249"/>
    <s v=""/>
    <m/>
    <m/>
    <n v="4787"/>
    <n v="1431"/>
    <s v=""/>
  </r>
  <r>
    <n v="569"/>
    <s v="200569"/>
    <d v="2020-06-25T00:00:00"/>
    <x v="92"/>
    <n v="21171"/>
    <x v="782"/>
    <m/>
    <x v="750"/>
    <x v="1280"/>
    <s v=""/>
    <m/>
    <m/>
    <n v="14489"/>
    <n v="6682"/>
    <s v=""/>
  </r>
  <r>
    <n v="481"/>
    <s v="200481"/>
    <d v="2020-06-04T00:00:00"/>
    <x v="20"/>
    <n v="71718"/>
    <x v="783"/>
    <m/>
    <x v="745"/>
    <x v="1281"/>
    <s v=""/>
    <m/>
    <n v="3000"/>
    <n v="46820.5"/>
    <n v="24897.5"/>
    <s v=""/>
  </r>
  <r>
    <n v="572"/>
    <s v="200572"/>
    <d v="2020-06-29T00:00:00"/>
    <x v="204"/>
    <n v="4325"/>
    <x v="783"/>
    <m/>
    <x v="754"/>
    <x v="1282"/>
    <s v=""/>
    <m/>
    <m/>
    <n v="2943"/>
    <n v="1382"/>
    <s v=""/>
  </r>
  <r>
    <n v="581"/>
    <s v="200581"/>
    <d v="2020-06-29T00:00:00"/>
    <x v="386"/>
    <n v="2824"/>
    <x v="784"/>
    <n v="1"/>
    <x v="755"/>
    <x v="1283"/>
    <n v="2824"/>
    <m/>
    <m/>
    <n v="1864"/>
    <n v="960"/>
    <n v="960"/>
  </r>
  <r>
    <n v="585"/>
    <s v="200585"/>
    <d v="2020-06-30T00:00:00"/>
    <x v="387"/>
    <n v="22490"/>
    <x v="784"/>
    <n v="1"/>
    <x v="756"/>
    <x v="1233"/>
    <n v="22490"/>
    <m/>
    <m/>
    <n v="16530"/>
    <n v="5960"/>
    <n v="5960"/>
  </r>
  <r>
    <n v="586"/>
    <s v="200586"/>
    <d v="2020-06-30T00:00:00"/>
    <x v="126"/>
    <n v="2301.8000000000002"/>
    <x v="784"/>
    <m/>
    <x v="757"/>
    <x v="1284"/>
    <s v=""/>
    <m/>
    <m/>
    <n v="2112"/>
    <n v="189.80000000000018"/>
    <s v=""/>
  </r>
  <r>
    <n v="567"/>
    <s v="200567"/>
    <d v="2020-06-30T00:00:00"/>
    <x v="383"/>
    <n v="21290"/>
    <x v="785"/>
    <m/>
    <x v="751"/>
    <x v="1285"/>
    <s v=""/>
    <m/>
    <n v="3600"/>
    <n v="8104.64"/>
    <n v="13185.36"/>
    <s v=""/>
  </r>
  <r>
    <n v="566"/>
    <s v="200566"/>
    <d v="2020-06-25T00:00:00"/>
    <x v="70"/>
    <n v="60990"/>
    <x v="786"/>
    <m/>
    <x v="758"/>
    <x v="1286"/>
    <s v=""/>
    <m/>
    <m/>
    <n v="44791"/>
    <n v="16199"/>
    <s v=""/>
  </r>
  <r>
    <n v="349"/>
    <s v="200349"/>
    <d v="2020-05-18T00:00:00"/>
    <x v="36"/>
    <n v="10577"/>
    <x v="786"/>
    <m/>
    <x v="743"/>
    <x v="1287"/>
    <s v=""/>
    <m/>
    <m/>
    <n v="5154"/>
    <n v="5423"/>
    <s v=""/>
  </r>
  <r>
    <n v="610"/>
    <s v="200610"/>
    <d v="2020-07-03T00:00:00"/>
    <x v="365"/>
    <n v="741"/>
    <x v="787"/>
    <m/>
    <x v="759"/>
    <x v="1288"/>
    <s v=""/>
    <m/>
    <m/>
    <n v="489"/>
    <n v="252"/>
    <s v=""/>
  </r>
  <r>
    <n v="350"/>
    <s v="200350"/>
    <d v="2020-05-25T00:00:00"/>
    <x v="198"/>
    <n v="36256"/>
    <x v="788"/>
    <m/>
    <x v="744"/>
    <x v="1289"/>
    <s v=""/>
    <m/>
    <m/>
    <n v="27133"/>
    <n v="9123"/>
    <s v=""/>
  </r>
  <r>
    <n v="427"/>
    <s v="200427"/>
    <d v="2020-05-25T00:00:00"/>
    <x v="150"/>
    <n v="38423"/>
    <x v="788"/>
    <m/>
    <x v="760"/>
    <x v="1290"/>
    <s v=""/>
    <m/>
    <m/>
    <n v="25354"/>
    <n v="13069"/>
    <s v=""/>
  </r>
  <r>
    <n v="614"/>
    <s v="200614"/>
    <d v="2020-07-06T00:00:00"/>
    <x v="1"/>
    <n v="5928"/>
    <x v="788"/>
    <m/>
    <x v="758"/>
    <x v="1291"/>
    <s v=""/>
    <m/>
    <m/>
    <n v="4036"/>
    <n v="1892"/>
    <s v=""/>
  </r>
  <r>
    <n v="639"/>
    <s v="200639"/>
    <d v="2020-07-08T00:00:00"/>
    <x v="388"/>
    <n v="20237"/>
    <x v="789"/>
    <m/>
    <x v="761"/>
    <x v="1292"/>
    <s v=""/>
    <m/>
    <n v="600"/>
    <n v="13926"/>
    <n v="6311"/>
    <s v=""/>
  </r>
  <r>
    <n v="638"/>
    <s v="200638"/>
    <d v="2020-07-08T00:00:00"/>
    <x v="70"/>
    <n v="2964"/>
    <x v="790"/>
    <m/>
    <x v="762"/>
    <x v="1293"/>
    <s v=""/>
    <m/>
    <m/>
    <n v="2018"/>
    <n v="946"/>
    <s v=""/>
  </r>
  <r>
    <n v="595"/>
    <s v="200595"/>
    <d v="2020-07-09T00:00:00"/>
    <x v="389"/>
    <n v="205990"/>
    <x v="790"/>
    <n v="1"/>
    <x v="763"/>
    <x v="1294"/>
    <n v="205990"/>
    <m/>
    <m/>
    <n v="151279"/>
    <n v="54711"/>
    <n v="54711"/>
  </r>
  <r>
    <n v="630"/>
    <s v="200630"/>
    <d v="2020-07-07T00:00:00"/>
    <x v="390"/>
    <n v="5944"/>
    <x v="790"/>
    <m/>
    <x v="764"/>
    <x v="1295"/>
    <s v=""/>
    <m/>
    <m/>
    <n v="3642"/>
    <n v="2302"/>
    <s v=""/>
  </r>
  <r>
    <n v="275"/>
    <s v="200275"/>
    <d v="2020-06-01T00:00:00"/>
    <x v="11"/>
    <n v="62640"/>
    <x v="790"/>
    <m/>
    <x v="765"/>
    <x v="1296"/>
    <s v=""/>
    <m/>
    <m/>
    <n v="49964"/>
    <n v="12676"/>
    <s v=""/>
  </r>
  <r>
    <n v="657"/>
    <s v="200657"/>
    <d v="2020-07-10T00:00:00"/>
    <x v="352"/>
    <n v="3434"/>
    <x v="791"/>
    <m/>
    <x v="701"/>
    <x v="1297"/>
    <s v=""/>
    <m/>
    <m/>
    <n v="2677"/>
    <n v="757"/>
    <s v=""/>
  </r>
  <r>
    <n v="623"/>
    <s v="200623"/>
    <d v="2020-07-08T00:00:00"/>
    <x v="150"/>
    <n v="9122"/>
    <x v="792"/>
    <m/>
    <x v="760"/>
    <x v="1298"/>
    <s v=""/>
    <m/>
    <m/>
    <n v="7650"/>
    <n v="1472"/>
    <s v=""/>
  </r>
  <r>
    <n v="668"/>
    <s v="200668"/>
    <d v="2020-07-14T00:00:00"/>
    <x v="391"/>
    <n v="169090"/>
    <x v="792"/>
    <n v="1"/>
    <x v="763"/>
    <x v="1299"/>
    <n v="169090"/>
    <m/>
    <m/>
    <n v="118161.44"/>
    <n v="50928.56"/>
    <n v="50928.56"/>
  </r>
  <r>
    <n v="681"/>
    <s v="200681"/>
    <d v="2020-07-16T00:00:00"/>
    <x v="22"/>
    <n v="3476"/>
    <x v="793"/>
    <m/>
    <x v="763"/>
    <x v="234"/>
    <s v=""/>
    <m/>
    <m/>
    <n v="2580"/>
    <n v="896"/>
    <s v=""/>
  </r>
  <r>
    <n v="684"/>
    <s v="200684"/>
    <d v="2020-07-16T00:00:00"/>
    <x v="392"/>
    <n v="1921"/>
    <x v="794"/>
    <n v="1"/>
    <x v="764"/>
    <x v="1300"/>
    <n v="1921"/>
    <m/>
    <m/>
    <n v="1498"/>
    <n v="423"/>
    <n v="423"/>
  </r>
  <r>
    <n v="685"/>
    <s v="200685"/>
    <d v="2020-07-16T00:00:00"/>
    <x v="363"/>
    <n v="10179"/>
    <x v="794"/>
    <m/>
    <x v="766"/>
    <x v="653"/>
    <s v=""/>
    <m/>
    <m/>
    <n v="7536"/>
    <n v="2643"/>
    <s v=""/>
  </r>
  <r>
    <n v="648"/>
    <s v="200648"/>
    <d v="2020-07-08T00:00:00"/>
    <x v="32"/>
    <n v="5442"/>
    <x v="794"/>
    <m/>
    <x v="767"/>
    <x v="1301"/>
    <s v=""/>
    <m/>
    <m/>
    <n v="3102"/>
    <n v="2340"/>
    <s v=""/>
  </r>
  <r>
    <n v="686"/>
    <s v="200686"/>
    <d v="2020-07-17T00:00:00"/>
    <x v="173"/>
    <n v="7567"/>
    <x v="794"/>
    <m/>
    <x v="751"/>
    <x v="1302"/>
    <s v=""/>
    <m/>
    <m/>
    <n v="4802"/>
    <n v="2765"/>
    <s v=""/>
  </r>
  <r>
    <n v="423"/>
    <s v="200423"/>
    <d v="2020-05-21T00:00:00"/>
    <x v="361"/>
    <n v="18990"/>
    <x v="795"/>
    <m/>
    <x v="768"/>
    <x v="881"/>
    <s v=""/>
    <m/>
    <m/>
    <n v="12487"/>
    <n v="6503"/>
    <s v=""/>
  </r>
  <r>
    <n v="436"/>
    <s v="200436"/>
    <d v="2020-05-26T00:00:00"/>
    <x v="162"/>
    <n v="3328"/>
    <x v="795"/>
    <m/>
    <x v="769"/>
    <x v="1303"/>
    <s v=""/>
    <m/>
    <m/>
    <n v="2198"/>
    <n v="1130"/>
    <s v=""/>
  </r>
  <r>
    <n v="693"/>
    <s v="200693"/>
    <d v="2020-06-21T00:00:00"/>
    <x v="43"/>
    <n v="3012"/>
    <x v="796"/>
    <m/>
    <x v="770"/>
    <x v="1304"/>
    <s v=""/>
    <m/>
    <m/>
    <n v="3128"/>
    <n v="-116"/>
    <s v=""/>
  </r>
  <r>
    <n v="712"/>
    <s v="200712"/>
    <d v="2020-07-23T00:00:00"/>
    <x v="126"/>
    <n v="20390.650000000001"/>
    <x v="797"/>
    <m/>
    <x v="771"/>
    <x v="1305"/>
    <s v=""/>
    <m/>
    <m/>
    <n v="18004"/>
    <n v="2386.6500000000015"/>
    <s v=""/>
  </r>
  <r>
    <n v="631"/>
    <s v="200631"/>
    <d v="2020-07-07T00:00:00"/>
    <x v="300"/>
    <n v="2478"/>
    <x v="798"/>
    <m/>
    <x v="772"/>
    <x v="1306"/>
    <s v=""/>
    <m/>
    <m/>
    <n v="1932"/>
    <n v="546"/>
    <s v=""/>
  </r>
  <r>
    <n v="624"/>
    <s v="200624"/>
    <d v="2020-07-28T00:00:00"/>
    <x v="150"/>
    <n v="3060"/>
    <x v="798"/>
    <m/>
    <x v="772"/>
    <x v="1307"/>
    <s v=""/>
    <m/>
    <m/>
    <n v="2170"/>
    <n v="890"/>
    <s v=""/>
  </r>
  <r>
    <n v="724"/>
    <s v="200724"/>
    <d v="2020-07-24T00:00:00"/>
    <x v="43"/>
    <n v="15888"/>
    <x v="799"/>
    <m/>
    <x v="773"/>
    <x v="1308"/>
    <s v=""/>
    <m/>
    <m/>
    <n v="12216"/>
    <n v="3672"/>
    <s v=""/>
  </r>
  <r>
    <n v="738"/>
    <s v="200738"/>
    <d v="2020-07-28T00:00:00"/>
    <x v="393"/>
    <n v="15490"/>
    <x v="799"/>
    <n v="1"/>
    <x v="774"/>
    <x v="1309"/>
    <n v="15490"/>
    <m/>
    <m/>
    <n v="11385"/>
    <n v="4105"/>
    <n v="4105"/>
  </r>
  <r>
    <n v="634"/>
    <s v="200634"/>
    <d v="2020-07-07T00:00:00"/>
    <x v="20"/>
    <n v="54379"/>
    <x v="800"/>
    <m/>
    <x v="775"/>
    <x v="1310"/>
    <s v=""/>
    <m/>
    <m/>
    <n v="39553"/>
    <n v="14826"/>
    <s v=""/>
  </r>
  <r>
    <n v="743"/>
    <s v="200743"/>
    <d v="2020-07-30T00:00:00"/>
    <x v="287"/>
    <n v="4248"/>
    <x v="800"/>
    <m/>
    <x v="764"/>
    <x v="1311"/>
    <s v=""/>
    <m/>
    <m/>
    <n v="3312"/>
    <n v="936"/>
    <s v=""/>
  </r>
  <r>
    <n v="659"/>
    <s v="200659"/>
    <d v="2020-07-13T00:00:00"/>
    <x v="78"/>
    <n v="53665.5"/>
    <x v="801"/>
    <m/>
    <x v="776"/>
    <x v="1275"/>
    <s v=""/>
    <m/>
    <m/>
    <n v="36712.65"/>
    <n v="16952.849999999999"/>
    <s v=""/>
  </r>
  <r>
    <n v="574"/>
    <s v="200574"/>
    <d v="2020-06-29T00:00:00"/>
    <x v="23"/>
    <n v="26190"/>
    <x v="802"/>
    <m/>
    <x v="777"/>
    <x v="1312"/>
    <s v=""/>
    <m/>
    <m/>
    <n v="18580"/>
    <n v="7610"/>
    <s v=""/>
  </r>
  <r>
    <n v="752"/>
    <s v="200752"/>
    <d v="2020-08-03T00:00:00"/>
    <x v="394"/>
    <n v="816"/>
    <x v="803"/>
    <m/>
    <x v="773"/>
    <x v="1313"/>
    <s v=""/>
    <m/>
    <m/>
    <n v="539"/>
    <n v="277"/>
    <s v=""/>
  </r>
  <r>
    <n v="407"/>
    <s v="200407"/>
    <d v="2020-05-14T00:00:00"/>
    <x v="36"/>
    <n v="886680"/>
    <x v="804"/>
    <m/>
    <x v="725"/>
    <x v="1314"/>
    <s v=""/>
    <m/>
    <m/>
    <n v="780000"/>
    <n v="106680"/>
    <s v=""/>
  </r>
  <r>
    <n v="424"/>
    <s v="200424"/>
    <d v="2020-05-21T00:00:00"/>
    <x v="36"/>
    <n v="110793"/>
    <x v="804"/>
    <m/>
    <x v="778"/>
    <x v="1315"/>
    <s v=""/>
    <m/>
    <n v="4800"/>
    <n v="80416.600000000006"/>
    <n v="30376.399999999994"/>
    <s v=""/>
  </r>
  <r>
    <n v="253"/>
    <s v="200253"/>
    <d v="2020-05-25T00:00:00"/>
    <x v="36"/>
    <n v="740092"/>
    <x v="804"/>
    <m/>
    <x v="779"/>
    <x v="1316"/>
    <s v=""/>
    <m/>
    <m/>
    <n v="631552"/>
    <n v="108540"/>
    <s v=""/>
  </r>
  <r>
    <n v="431"/>
    <s v="200431"/>
    <d v="2020-05-25T00:00:00"/>
    <x v="36"/>
    <n v="1442508"/>
    <x v="804"/>
    <m/>
    <x v="779"/>
    <x v="1317"/>
    <s v=""/>
    <m/>
    <m/>
    <n v="1252922"/>
    <n v="189586"/>
    <s v=""/>
  </r>
  <r>
    <n v="401"/>
    <s v="200401"/>
    <d v="2020-06-01T00:00:00"/>
    <x v="36"/>
    <n v="1329777"/>
    <x v="804"/>
    <m/>
    <x v="777"/>
    <x v="1318"/>
    <s v=""/>
    <m/>
    <n v="42000"/>
    <n v="673282.17"/>
    <n v="656494.82999999996"/>
    <s v=""/>
  </r>
  <r>
    <n v="430"/>
    <s v="200430"/>
    <d v="2020-06-01T00:00:00"/>
    <x v="36"/>
    <n v="1034720"/>
    <x v="804"/>
    <m/>
    <x v="777"/>
    <x v="1319"/>
    <s v=""/>
    <n v="120000"/>
    <n v="46800"/>
    <n v="432397.4"/>
    <n v="602322.6"/>
    <s v=""/>
  </r>
  <r>
    <n v="776"/>
    <s v="200776"/>
    <d v="2020-08-07T00:00:00"/>
    <x v="92"/>
    <n v="12436"/>
    <x v="805"/>
    <m/>
    <x v="780"/>
    <x v="1320"/>
    <s v=""/>
    <m/>
    <m/>
    <n v="9574"/>
    <n v="2862"/>
    <s v=""/>
  </r>
  <r>
    <n v="784"/>
    <s v="200784"/>
    <d v="2020-08-10T00:00:00"/>
    <x v="57"/>
    <n v="5528"/>
    <x v="805"/>
    <m/>
    <x v="767"/>
    <x v="1321"/>
    <s v=""/>
    <m/>
    <m/>
    <n v="3752"/>
    <n v="1776"/>
    <s v=""/>
  </r>
  <r>
    <n v="773"/>
    <s v="200773"/>
    <d v="2020-08-07T00:00:00"/>
    <x v="97"/>
    <n v="11017.04"/>
    <x v="806"/>
    <m/>
    <x v="781"/>
    <x v="1322"/>
    <s v=""/>
    <m/>
    <m/>
    <n v="8475"/>
    <n v="2542.0400000000009"/>
    <s v=""/>
  </r>
  <r>
    <n v="725"/>
    <s v="200725"/>
    <d v="2020-07-27T00:00:00"/>
    <x v="102"/>
    <n v="10533"/>
    <x v="807"/>
    <m/>
    <x v="780"/>
    <x v="1323"/>
    <s v=""/>
    <m/>
    <m/>
    <n v="6660"/>
    <n v="3873"/>
    <s v=""/>
  </r>
  <r>
    <n v="800"/>
    <s v="200800"/>
    <d v="2020-08-14T00:00:00"/>
    <x v="331"/>
    <n v="6218"/>
    <x v="808"/>
    <m/>
    <x v="782"/>
    <x v="1249"/>
    <s v=""/>
    <m/>
    <m/>
    <n v="4787"/>
    <n v="1431"/>
    <s v=""/>
  </r>
  <r>
    <n v="771"/>
    <s v="200771"/>
    <d v="2020-08-13T00:00:00"/>
    <x v="395"/>
    <n v="712000"/>
    <x v="808"/>
    <n v="1"/>
    <x v="783"/>
    <x v="1324"/>
    <n v="712000"/>
    <m/>
    <m/>
    <n v="627563"/>
    <n v="84437"/>
    <n v="84437"/>
  </r>
  <r>
    <n v="652"/>
    <s v="200652"/>
    <d v="2020-07-09T00:00:00"/>
    <x v="237"/>
    <n v="5667"/>
    <x v="809"/>
    <m/>
    <x v="775"/>
    <x v="1325"/>
    <s v=""/>
    <m/>
    <m/>
    <n v="4416"/>
    <n v="1251"/>
    <s v=""/>
  </r>
  <r>
    <n v="711"/>
    <s v="200711"/>
    <d v="2020-07-23T00:00:00"/>
    <x v="396"/>
    <n v="38990"/>
    <x v="810"/>
    <n v="1"/>
    <x v="784"/>
    <x v="1271"/>
    <n v="38990"/>
    <m/>
    <m/>
    <n v="28657"/>
    <n v="10333"/>
    <n v="10333"/>
  </r>
  <r>
    <n v="713"/>
    <s v="200713"/>
    <d v="2020-07-23T00:00:00"/>
    <x v="396"/>
    <n v="31570"/>
    <x v="810"/>
    <n v="1"/>
    <x v="784"/>
    <x v="1326"/>
    <n v="31570"/>
    <m/>
    <m/>
    <n v="23609"/>
    <n v="7961"/>
    <n v="7961"/>
  </r>
  <r>
    <n v="802"/>
    <s v="200802"/>
    <d v="2020-08-14T00:00:00"/>
    <x v="101"/>
    <n v="7100"/>
    <x v="811"/>
    <m/>
    <x v="785"/>
    <x v="1327"/>
    <s v=""/>
    <m/>
    <m/>
    <n v="4686"/>
    <n v="2414"/>
    <s v=""/>
  </r>
  <r>
    <n v="809"/>
    <s v="200809"/>
    <d v="2020-08-17T00:00:00"/>
    <x v="192"/>
    <n v="3879"/>
    <x v="812"/>
    <m/>
    <x v="776"/>
    <x v="1328"/>
    <s v=""/>
    <m/>
    <m/>
    <n v="3024"/>
    <n v="855"/>
    <s v=""/>
  </r>
  <r>
    <n v="515"/>
    <s v="200515"/>
    <d v="2020-06-10T00:00:00"/>
    <x v="13"/>
    <n v="246624"/>
    <x v="813"/>
    <m/>
    <x v="762"/>
    <x v="1329"/>
    <s v=""/>
    <n v="30000"/>
    <n v="6000"/>
    <n v="113784"/>
    <n v="132840"/>
    <s v=""/>
  </r>
  <r>
    <n v="821"/>
    <s v="200821"/>
    <d v="2020-08-18T00:00:00"/>
    <x v="150"/>
    <n v="23866"/>
    <x v="813"/>
    <m/>
    <x v="783"/>
    <x v="1330"/>
    <s v=""/>
    <m/>
    <m/>
    <n v="17041"/>
    <n v="6825"/>
    <s v=""/>
  </r>
  <r>
    <n v="376"/>
    <s v="200376"/>
    <d v="2020-06-01T00:00:00"/>
    <x v="36"/>
    <n v="108426"/>
    <x v="814"/>
    <m/>
    <x v="777"/>
    <x v="1331"/>
    <s v=""/>
    <m/>
    <m/>
    <n v="79628"/>
    <n v="28798"/>
    <s v=""/>
  </r>
  <r>
    <n v="739"/>
    <s v="200739"/>
    <d v="2020-07-28T00:00:00"/>
    <x v="126"/>
    <n v="2204.9"/>
    <x v="815"/>
    <m/>
    <x v="758"/>
    <x v="1332"/>
    <s v=""/>
    <m/>
    <m/>
    <n v="1764"/>
    <n v="440.90000000000009"/>
    <s v=""/>
  </r>
  <r>
    <n v="867"/>
    <s v="200867"/>
    <d v="2020-08-31T00:00:00"/>
    <x v="126"/>
    <n v="4400"/>
    <x v="815"/>
    <m/>
    <x v="786"/>
    <x v="786"/>
    <s v=""/>
    <m/>
    <m/>
    <n v="4000"/>
    <n v="400"/>
    <s v=""/>
  </r>
  <r>
    <n v="772"/>
    <s v="200772"/>
    <d v="2020-08-07T00:00:00"/>
    <x v="102"/>
    <n v="2381"/>
    <x v="815"/>
    <m/>
    <x v="781"/>
    <x v="1333"/>
    <s v=""/>
    <m/>
    <m/>
    <n v="1449"/>
    <n v="932"/>
    <s v=""/>
  </r>
  <r>
    <n v="756"/>
    <s v="200756"/>
    <d v="2020-08-04T00:00:00"/>
    <x v="102"/>
    <n v="19041"/>
    <x v="815"/>
    <m/>
    <x v="781"/>
    <x v="1334"/>
    <s v=""/>
    <m/>
    <m/>
    <n v="14850"/>
    <n v="4191"/>
    <s v=""/>
  </r>
  <r>
    <n v="851"/>
    <s v="200851"/>
    <d v="2020-08-27T00:00:00"/>
    <x v="395"/>
    <n v="42147"/>
    <x v="816"/>
    <m/>
    <x v="787"/>
    <x v="1335"/>
    <s v=""/>
    <m/>
    <m/>
    <n v="32875"/>
    <n v="9272"/>
    <s v=""/>
  </r>
  <r>
    <n v="888"/>
    <s v="200888"/>
    <d v="2020-09-03T00:00:00"/>
    <x v="1"/>
    <n v="8892"/>
    <x v="817"/>
    <m/>
    <x v="788"/>
    <x v="1336"/>
    <s v=""/>
    <m/>
    <m/>
    <n v="6054"/>
    <n v="2838"/>
    <s v=""/>
  </r>
  <r>
    <n v="883"/>
    <s v="200883"/>
    <d v="2020-09-02T00:00:00"/>
    <x v="298"/>
    <n v="2964"/>
    <x v="817"/>
    <m/>
    <x v="786"/>
    <x v="1293"/>
    <s v=""/>
    <m/>
    <m/>
    <n v="2018"/>
    <n v="946"/>
    <s v=""/>
  </r>
  <r>
    <n v="890"/>
    <s v="200890"/>
    <d v="2020-09-03T00:00:00"/>
    <x v="397"/>
    <n v="2119"/>
    <x v="817"/>
    <n v="1"/>
    <x v="789"/>
    <x v="1337"/>
    <n v="2119"/>
    <m/>
    <m/>
    <n v="1750"/>
    <n v="369"/>
    <n v="369"/>
  </r>
  <r>
    <n v="914"/>
    <s v="200914"/>
    <d v="2020-09-09T00:00:00"/>
    <x v="398"/>
    <n v="4389"/>
    <x v="818"/>
    <n v="1"/>
    <x v="789"/>
    <x v="1338"/>
    <n v="4389"/>
    <m/>
    <m/>
    <n v="3423"/>
    <n v="966"/>
    <n v="966"/>
  </r>
  <r>
    <n v="910"/>
    <s v="200910"/>
    <d v="2020-09-09T00:00:00"/>
    <x v="332"/>
    <n v="68297"/>
    <x v="818"/>
    <m/>
    <x v="788"/>
    <x v="1339"/>
    <s v=""/>
    <m/>
    <m/>
    <n v="47514"/>
    <n v="20783"/>
    <s v=""/>
  </r>
  <r>
    <n v="916"/>
    <s v="200916"/>
    <d v="2020-09-10T00:00:00"/>
    <x v="281"/>
    <n v="211450.3"/>
    <x v="819"/>
    <m/>
    <x v="790"/>
    <x v="1340"/>
    <s v=""/>
    <m/>
    <m/>
    <n v="160092"/>
    <n v="51358.299999999988"/>
    <s v=""/>
  </r>
  <r>
    <n v="921"/>
    <s v="200921"/>
    <d v="2020-09-11T00:00:00"/>
    <x v="9"/>
    <n v="19278"/>
    <x v="819"/>
    <m/>
    <x v="789"/>
    <x v="1341"/>
    <s v=""/>
    <m/>
    <m/>
    <n v="15036"/>
    <n v="4242"/>
    <s v=""/>
  </r>
  <r>
    <n v="709"/>
    <s v="200709"/>
    <d v="2020-07-23T00:00:00"/>
    <x v="20"/>
    <n v="184248"/>
    <x v="820"/>
    <m/>
    <x v="788"/>
    <x v="1342"/>
    <s v=""/>
    <m/>
    <n v="5400"/>
    <n v="118244.6"/>
    <n v="66003.399999999994"/>
    <s v=""/>
  </r>
  <r>
    <n v="573"/>
    <s v="200573"/>
    <d v="2020-06-29T00:00:00"/>
    <x v="14"/>
    <n v="14636"/>
    <x v="820"/>
    <m/>
    <x v="766"/>
    <x v="1343"/>
    <s v=""/>
    <m/>
    <m/>
    <n v="11266"/>
    <n v="3370"/>
    <s v=""/>
  </r>
  <r>
    <n v="751"/>
    <s v="200751"/>
    <d v="2020-08-03T00:00:00"/>
    <x v="14"/>
    <n v="6620"/>
    <x v="820"/>
    <m/>
    <x v="791"/>
    <x v="1344"/>
    <s v=""/>
    <m/>
    <m/>
    <n v="5090"/>
    <n v="1530"/>
    <s v=""/>
  </r>
  <r>
    <n v="589"/>
    <s v="200589"/>
    <d v="2020-07-02T00:00:00"/>
    <x v="13"/>
    <n v="220412"/>
    <x v="821"/>
    <m/>
    <x v="780"/>
    <x v="1345"/>
    <s v=""/>
    <n v="30000"/>
    <n v="6000"/>
    <n v="93822"/>
    <n v="126590"/>
    <s v=""/>
  </r>
  <r>
    <n v="939"/>
    <s v="200939"/>
    <d v="2020-09-21T00:00:00"/>
    <x v="192"/>
    <n v="4391"/>
    <x v="821"/>
    <m/>
    <x v="792"/>
    <x v="1346"/>
    <s v=""/>
    <m/>
    <m/>
    <n v="3425"/>
    <n v="966"/>
    <s v=""/>
  </r>
  <r>
    <n v="949"/>
    <s v="200949"/>
    <d v="2020-09-23T00:00:00"/>
    <x v="128"/>
    <n v="9554"/>
    <x v="822"/>
    <m/>
    <x v="789"/>
    <x v="1347"/>
    <s v=""/>
    <m/>
    <m/>
    <n v="6947"/>
    <n v="2607"/>
    <s v=""/>
  </r>
  <r>
    <n v="937"/>
    <s v="200937"/>
    <d v="2020-09-23T00:00:00"/>
    <x v="311"/>
    <n v="3138"/>
    <x v="822"/>
    <m/>
    <x v="793"/>
    <x v="1348"/>
    <s v=""/>
    <m/>
    <m/>
    <n v="2018"/>
    <n v="1120"/>
    <s v=""/>
  </r>
  <r>
    <n v="905"/>
    <s v="200905"/>
    <d v="2020-09-08T00:00:00"/>
    <x v="20"/>
    <n v="65687"/>
    <x v="823"/>
    <m/>
    <x v="783"/>
    <x v="1349"/>
    <s v=""/>
    <m/>
    <n v="4200"/>
    <n v="37866.300000000003"/>
    <n v="27820.699999999997"/>
    <s v=""/>
  </r>
  <r>
    <n v="946"/>
    <s v="200946"/>
    <d v="2020-09-22T00:00:00"/>
    <x v="331"/>
    <n v="7106"/>
    <x v="824"/>
    <m/>
    <x v="794"/>
    <x v="1350"/>
    <s v=""/>
    <m/>
    <m/>
    <n v="5168"/>
    <n v="1938"/>
    <s v=""/>
  </r>
  <r>
    <n v="925"/>
    <s v="200925"/>
    <d v="2020-09-14T00:00:00"/>
    <x v="23"/>
    <n v="3138"/>
    <x v="825"/>
    <m/>
    <x v="795"/>
    <x v="1348"/>
    <s v=""/>
    <m/>
    <m/>
    <n v="2018"/>
    <n v="1120"/>
    <s v=""/>
  </r>
  <r>
    <n v="852"/>
    <s v="200852"/>
    <d v="2020-09-10T00:00:00"/>
    <x v="23"/>
    <n v="195634"/>
    <x v="826"/>
    <m/>
    <x v="792"/>
    <x v="1351"/>
    <s v=""/>
    <m/>
    <m/>
    <n v="107410"/>
    <n v="39315.5"/>
    <s v=""/>
  </r>
  <r>
    <n v="588"/>
    <s v="200588"/>
    <d v="2020-07-02T00:00:00"/>
    <x v="361"/>
    <n v="2742"/>
    <x v="827"/>
    <m/>
    <x v="756"/>
    <x v="166"/>
    <s v=""/>
    <m/>
    <m/>
    <n v="1864"/>
    <n v="878"/>
    <s v=""/>
  </r>
  <r>
    <n v="973"/>
    <s v="200973"/>
    <d v="2020-10-02T00:00:00"/>
    <x v="128"/>
    <n v="13690"/>
    <x v="828"/>
    <m/>
    <x v="752"/>
    <x v="1352"/>
    <s v=""/>
    <m/>
    <m/>
    <n v="11280"/>
    <n v="2410"/>
    <s v=""/>
  </r>
  <r>
    <n v="1008"/>
    <s v="201008"/>
    <d v="2020-10-13T00:00:00"/>
    <x v="298"/>
    <n v="3665"/>
    <x v="829"/>
    <m/>
    <x v="796"/>
    <x v="1353"/>
    <s v=""/>
    <m/>
    <m/>
    <n v="2858"/>
    <n v="807"/>
    <s v=""/>
  </r>
  <r>
    <n v="827"/>
    <s v="200827"/>
    <d v="2020-09-08T00:00:00"/>
    <x v="11"/>
    <n v="272424.03999999998"/>
    <x v="830"/>
    <m/>
    <x v="788"/>
    <x v="1354"/>
    <s v=""/>
    <m/>
    <n v="19200"/>
    <n v="147569.68"/>
    <n v="98967.390000000014"/>
    <s v=""/>
  </r>
  <r>
    <n v="901"/>
    <s v="200901"/>
    <d v="2020-09-07T00:00:00"/>
    <x v="227"/>
    <n v="6043.5"/>
    <x v="831"/>
    <m/>
    <x v="797"/>
    <x v="1355"/>
    <s v=""/>
    <m/>
    <m/>
    <n v="5425"/>
    <n v="618.5"/>
    <s v=""/>
  </r>
  <r>
    <n v="1035"/>
    <s v="201035"/>
    <d v="2020-10-20T00:00:00"/>
    <x v="399"/>
    <n v="2156"/>
    <x v="832"/>
    <n v="1"/>
    <x v="798"/>
    <x v="1356"/>
    <n v="2156"/>
    <m/>
    <m/>
    <n v="1504"/>
    <n v="652"/>
    <n v="652"/>
  </r>
  <r>
    <n v="1045"/>
    <s v="201045"/>
    <d v="2020-10-22T00:00:00"/>
    <x v="92"/>
    <n v="12144"/>
    <x v="833"/>
    <m/>
    <x v="799"/>
    <x v="1357"/>
    <s v=""/>
    <m/>
    <m/>
    <n v="8607"/>
    <n v="3537"/>
    <s v=""/>
  </r>
  <r>
    <n v="867"/>
    <s v="200867"/>
    <d v="2020-08-31T00:00:00"/>
    <x v="126"/>
    <n v="3269.55"/>
    <x v="833"/>
    <m/>
    <x v="786"/>
    <x v="1358"/>
    <s v=""/>
    <m/>
    <m/>
    <n v="2947"/>
    <n v="322.55000000000018"/>
    <s v=""/>
  </r>
  <r>
    <n v="1041"/>
    <s v="201041"/>
    <d v="2020-10-21T00:00:00"/>
    <x v="331"/>
    <n v="7501"/>
    <x v="833"/>
    <m/>
    <x v="800"/>
    <x v="1359"/>
    <s v=""/>
    <m/>
    <m/>
    <n v="5168"/>
    <n v="2333"/>
    <s v=""/>
  </r>
  <r>
    <n v="1055"/>
    <s v="201055"/>
    <d v="2020-10-23T00:00:00"/>
    <x v="298"/>
    <n v="5702"/>
    <x v="833"/>
    <m/>
    <x v="801"/>
    <x v="1360"/>
    <s v=""/>
    <m/>
    <m/>
    <n v="4448"/>
    <n v="1254"/>
    <s v=""/>
  </r>
  <r>
    <n v="1032"/>
    <s v="201032"/>
    <d v="2020-10-20T00:00:00"/>
    <x v="123"/>
    <n v="9874"/>
    <x v="834"/>
    <m/>
    <x v="802"/>
    <x v="1361"/>
    <s v=""/>
    <m/>
    <m/>
    <n v="7366"/>
    <n v="2508"/>
    <s v=""/>
  </r>
  <r>
    <n v="1033"/>
    <s v="201033"/>
    <d v="2020-10-20T00:00:00"/>
    <x v="123"/>
    <n v="9054"/>
    <x v="834"/>
    <m/>
    <x v="802"/>
    <x v="1362"/>
    <s v=""/>
    <m/>
    <m/>
    <n v="6368"/>
    <n v="2686"/>
    <s v=""/>
  </r>
  <r>
    <n v="944"/>
    <s v="200944"/>
    <d v="2020-10-29T00:00:00"/>
    <x v="315"/>
    <n v="3164"/>
    <x v="835"/>
    <m/>
    <x v="803"/>
    <x v="1363"/>
    <s v=""/>
    <m/>
    <m/>
    <n v="2000"/>
    <n v="998"/>
    <s v=""/>
  </r>
  <r>
    <n v="1081"/>
    <s v="201081"/>
    <d v="2020-10-29T00:00:00"/>
    <x v="371"/>
    <n v="5799.98"/>
    <x v="835"/>
    <m/>
    <x v="804"/>
    <x v="1364"/>
    <s v=""/>
    <m/>
    <m/>
    <n v="4044"/>
    <n v="1755.9799999999996"/>
    <s v=""/>
  </r>
  <r>
    <n v="951"/>
    <s v="200951"/>
    <d v="2020-09-24T00:00:00"/>
    <x v="361"/>
    <n v="40990"/>
    <x v="835"/>
    <m/>
    <x v="805"/>
    <x v="1365"/>
    <s v=""/>
    <m/>
    <m/>
    <n v="30127"/>
    <n v="10863"/>
    <s v=""/>
  </r>
  <r>
    <n v="827"/>
    <s v="200827"/>
    <d v="2020-09-08T00:00:00"/>
    <x v="11"/>
    <n v="272424.03999999998"/>
    <x v="835"/>
    <m/>
    <x v="806"/>
    <x v="1366"/>
    <s v=""/>
    <m/>
    <m/>
    <n v="21378"/>
    <n v="4508.9700000000012"/>
    <s v=""/>
  </r>
  <r>
    <n v="1062"/>
    <s v="201062"/>
    <d v="2020-10-26T00:00:00"/>
    <x v="126"/>
    <n v="10291.799999999999"/>
    <x v="835"/>
    <m/>
    <x v="807"/>
    <x v="1367"/>
    <s v=""/>
    <m/>
    <m/>
    <n v="630"/>
    <n v="68"/>
    <s v=""/>
  </r>
  <r>
    <n v="852"/>
    <s v="200852"/>
    <d v="2020-09-10T00:00:00"/>
    <x v="23"/>
    <n v="195634"/>
    <x v="836"/>
    <m/>
    <x v="792"/>
    <x v="1368"/>
    <s v=""/>
    <m/>
    <m/>
    <n v="35803"/>
    <n v="13105.5"/>
    <s v=""/>
  </r>
  <r>
    <n v="1089"/>
    <s v="201089"/>
    <d v="2020-10-29T00:00:00"/>
    <x v="9"/>
    <n v="15002"/>
    <x v="836"/>
    <m/>
    <x v="808"/>
    <x v="1369"/>
    <s v=""/>
    <m/>
    <m/>
    <n v="10336"/>
    <n v="4666"/>
    <s v=""/>
  </r>
  <r>
    <n v="1091"/>
    <s v="201091"/>
    <d v="2020-10-29T00:00:00"/>
    <x v="368"/>
    <n v="2303"/>
    <x v="836"/>
    <m/>
    <x v="800"/>
    <x v="1370"/>
    <s v=""/>
    <m/>
    <m/>
    <n v="1796"/>
    <n v="507"/>
    <s v=""/>
  </r>
  <r>
    <n v="920"/>
    <s v="200920"/>
    <d v="2020-10-26T00:00:00"/>
    <x v="224"/>
    <n v="7400"/>
    <x v="836"/>
    <m/>
    <x v="799"/>
    <x v="1371"/>
    <s v=""/>
    <m/>
    <m/>
    <n v="5090"/>
    <n v="2310"/>
    <s v=""/>
  </r>
  <r>
    <n v="965"/>
    <s v="200965"/>
    <d v="2020-10-01T00:00:00"/>
    <x v="20"/>
    <n v="69929"/>
    <x v="836"/>
    <m/>
    <x v="809"/>
    <x v="1372"/>
    <s v=""/>
    <m/>
    <n v="2400"/>
    <n v="44184.1"/>
    <n v="25744.9"/>
    <s v=""/>
  </r>
  <r>
    <n v="1114"/>
    <s v="201114"/>
    <d v="2020-11-05T00:00:00"/>
    <x v="400"/>
    <n v="4128"/>
    <x v="837"/>
    <n v="1"/>
    <x v="810"/>
    <x v="1373"/>
    <n v="4128"/>
    <m/>
    <m/>
    <n v="2724"/>
    <n v="1404"/>
    <n v="1404"/>
  </r>
  <r>
    <n v="1029"/>
    <s v="201029"/>
    <d v="2020-10-20T00:00:00"/>
    <x v="23"/>
    <n v="18750"/>
    <x v="838"/>
    <m/>
    <x v="811"/>
    <x v="1374"/>
    <s v=""/>
    <m/>
    <m/>
    <n v="11420"/>
    <n v="7330"/>
    <s v=""/>
  </r>
  <r>
    <n v="1078"/>
    <s v="201078"/>
    <d v="2020-10-28T00:00:00"/>
    <x v="401"/>
    <n v="91482"/>
    <x v="838"/>
    <n v="1"/>
    <x v="812"/>
    <x v="1375"/>
    <n v="91482"/>
    <m/>
    <m/>
    <n v="60300"/>
    <n v="31182"/>
    <n v="31182"/>
  </r>
  <r>
    <n v="944"/>
    <s v="200944"/>
    <d v="2020-10-29T00:00:00"/>
    <x v="315"/>
    <n v="3164"/>
    <x v="838"/>
    <m/>
    <x v="803"/>
    <x v="885"/>
    <s v=""/>
    <m/>
    <m/>
    <n v="208"/>
    <n v="-42"/>
    <s v=""/>
  </r>
  <r>
    <n v="1060"/>
    <s v="201060"/>
    <d v="2020-10-26T00:00:00"/>
    <x v="402"/>
    <n v="13990"/>
    <x v="839"/>
    <n v="1"/>
    <x v="813"/>
    <x v="793"/>
    <n v="13990"/>
    <m/>
    <m/>
    <n v="10282"/>
    <n v="3708"/>
    <n v="3708"/>
  </r>
  <r>
    <n v="1066"/>
    <s v="201066"/>
    <d v="2020-10-27T00:00:00"/>
    <x v="102"/>
    <n v="7492"/>
    <x v="840"/>
    <m/>
    <x v="814"/>
    <x v="1376"/>
    <s v=""/>
    <m/>
    <m/>
    <n v="5228"/>
    <n v="2264"/>
    <s v=""/>
  </r>
  <r>
    <n v="1141"/>
    <s v="201141"/>
    <d v="2020-11-13T00:00:00"/>
    <x v="338"/>
    <n v="48970"/>
    <x v="840"/>
    <m/>
    <x v="815"/>
    <x v="1377"/>
    <s v=""/>
    <m/>
    <m/>
    <n v="32650"/>
    <n v="16320"/>
    <s v=""/>
  </r>
  <r>
    <n v="1156"/>
    <s v="201156"/>
    <d v="2020-11-17T00:00:00"/>
    <x v="365"/>
    <n v="828"/>
    <x v="841"/>
    <m/>
    <x v="801"/>
    <x v="1378"/>
    <s v=""/>
    <m/>
    <m/>
    <n v="489"/>
    <n v="339"/>
    <s v=""/>
  </r>
  <r>
    <n v="1161"/>
    <s v="201161"/>
    <d v="2020-11-18T00:00:00"/>
    <x v="57"/>
    <n v="17870"/>
    <x v="842"/>
    <m/>
    <x v="815"/>
    <x v="1379"/>
    <s v=""/>
    <m/>
    <m/>
    <n v="11794"/>
    <n v="6076"/>
    <s v=""/>
  </r>
  <r>
    <n v="1158"/>
    <s v="201158"/>
    <d v="2020-11-17T00:00:00"/>
    <x v="331"/>
    <n v="7501"/>
    <x v="843"/>
    <m/>
    <x v="816"/>
    <x v="1359"/>
    <s v=""/>
    <m/>
    <m/>
    <n v="5775"/>
    <n v="1726"/>
    <s v=""/>
  </r>
  <r>
    <n v="1149"/>
    <s v="201149"/>
    <d v="2020-11-16T00:00:00"/>
    <x v="331"/>
    <n v="9498"/>
    <x v="843"/>
    <m/>
    <x v="816"/>
    <x v="1380"/>
    <s v=""/>
    <m/>
    <m/>
    <n v="7019"/>
    <n v="2479"/>
    <s v=""/>
  </r>
  <r>
    <n v="1176"/>
    <s v="201176"/>
    <d v="2020-11-20T00:00:00"/>
    <x v="73"/>
    <n v="3027"/>
    <x v="843"/>
    <m/>
    <x v="817"/>
    <x v="505"/>
    <s v=""/>
    <m/>
    <m/>
    <n v="2361"/>
    <n v="666"/>
    <s v=""/>
  </r>
  <r>
    <n v="1062"/>
    <s v="201062"/>
    <d v="2020-10-26T00:00:00"/>
    <x v="126"/>
    <n v="10291.799999999999"/>
    <x v="844"/>
    <m/>
    <x v="807"/>
    <x v="1381"/>
    <s v=""/>
    <m/>
    <m/>
    <n v="8814"/>
    <n v="779.79999999999927"/>
    <s v=""/>
  </r>
  <r>
    <n v="1187"/>
    <s v="201187"/>
    <d v="2020-11-24T00:00:00"/>
    <x v="298"/>
    <n v="37990"/>
    <x v="845"/>
    <m/>
    <x v="818"/>
    <x v="1382"/>
    <s v=""/>
    <m/>
    <m/>
    <n v="24982"/>
    <n v="13008"/>
    <s v=""/>
  </r>
  <r>
    <n v="1109"/>
    <s v="201109"/>
    <d v="2020-11-03T00:00:00"/>
    <x v="403"/>
    <n v="42990"/>
    <x v="845"/>
    <m/>
    <x v="818"/>
    <x v="1383"/>
    <s v=""/>
    <m/>
    <m/>
    <n v="30127"/>
    <n v="12863"/>
    <s v=""/>
  </r>
  <r>
    <n v="1082"/>
    <s v="201082"/>
    <d v="2020-10-30T00:00:00"/>
    <x v="11"/>
    <n v="151988.4"/>
    <x v="846"/>
    <m/>
    <x v="808"/>
    <x v="1384"/>
    <s v=""/>
    <m/>
    <n v="4800"/>
    <n v="21365.22"/>
    <n v="21935.58"/>
    <s v=""/>
  </r>
  <r>
    <n v="1074"/>
    <s v="201074"/>
    <d v="2020-10-28T00:00:00"/>
    <x v="23"/>
    <n v="19417"/>
    <x v="847"/>
    <m/>
    <x v="819"/>
    <x v="1385"/>
    <s v=""/>
    <m/>
    <m/>
    <n v="14190"/>
    <n v="5227"/>
    <s v=""/>
  </r>
  <r>
    <n v="1126"/>
    <s v="201126"/>
    <d v="2020-11-10T00:00:00"/>
    <x v="20"/>
    <n v="46466"/>
    <x v="847"/>
    <m/>
    <x v="801"/>
    <x v="1386"/>
    <s v=""/>
    <m/>
    <n v="1200"/>
    <n v="30299.3"/>
    <n v="16166.7"/>
    <s v=""/>
  </r>
  <r>
    <n v="1197"/>
    <s v="201197"/>
    <d v="2020-11-26T00:00:00"/>
    <x v="404"/>
    <n v="35561"/>
    <x v="848"/>
    <m/>
    <x v="820"/>
    <x v="1387"/>
    <s v=""/>
    <m/>
    <m/>
    <n v="26023"/>
    <n v="9538"/>
    <s v=""/>
  </r>
  <r>
    <n v="1215"/>
    <s v="201215"/>
    <d v="2020-12-03T00:00:00"/>
    <x v="204"/>
    <n v="4836"/>
    <x v="849"/>
    <m/>
    <x v="817"/>
    <x v="1388"/>
    <s v=""/>
    <m/>
    <m/>
    <n v="3437"/>
    <n v="1399"/>
    <s v=""/>
  </r>
  <r>
    <n v="1214"/>
    <s v="201214"/>
    <d v="2020-12-03T00:00:00"/>
    <x v="39"/>
    <n v="7094"/>
    <x v="849"/>
    <m/>
    <x v="821"/>
    <x v="1389"/>
    <s v=""/>
    <m/>
    <m/>
    <n v="4950"/>
    <n v="2144"/>
    <s v=""/>
  </r>
  <r>
    <n v="1222"/>
    <s v="201222"/>
    <d v="2020-11-27T00:00:00"/>
    <x v="291"/>
    <n v="1506"/>
    <x v="850"/>
    <m/>
    <x v="822"/>
    <x v="1390"/>
    <s v=""/>
    <m/>
    <m/>
    <n v="1595"/>
    <n v="-89"/>
    <s v=""/>
  </r>
  <r>
    <n v="1208"/>
    <s v="201208"/>
    <d v="2020-12-01T00:00:00"/>
    <x v="405"/>
    <n v="26648"/>
    <x v="850"/>
    <n v="1"/>
    <x v="823"/>
    <x v="1391"/>
    <n v="26648"/>
    <m/>
    <n v="600"/>
    <n v="15596"/>
    <n v="11052"/>
    <n v="11052"/>
  </r>
  <r>
    <n v="1188"/>
    <s v="201188"/>
    <d v="2020-12-01T00:00:00"/>
    <x v="405"/>
    <n v="324146"/>
    <x v="850"/>
    <n v="1"/>
    <x v="824"/>
    <x v="1392"/>
    <n v="324146"/>
    <m/>
    <m/>
    <n v="247625"/>
    <n v="76521"/>
    <n v="76521"/>
  </r>
  <r>
    <n v="1082"/>
    <s v="201082"/>
    <d v="2020-10-30T00:00:00"/>
    <x v="11"/>
    <n v="151988.4"/>
    <x v="851"/>
    <m/>
    <x v="819"/>
    <x v="1393"/>
    <s v=""/>
    <m/>
    <n v="14400"/>
    <n v="55443.4"/>
    <n v="53244.200000000004"/>
    <s v=""/>
  </r>
  <r>
    <n v="991"/>
    <s v="200991"/>
    <d v="2020-10-29T00:00:00"/>
    <x v="11"/>
    <n v="874385.02"/>
    <x v="851"/>
    <m/>
    <x v="819"/>
    <x v="1394"/>
    <s v=""/>
    <m/>
    <n v="7200"/>
    <n v="34463.599999999999"/>
    <n v="42883.6"/>
    <s v=""/>
  </r>
  <r>
    <n v="1180"/>
    <s v="201180"/>
    <d v="2020-11-23T00:00:00"/>
    <x v="11"/>
    <n v="8280"/>
    <x v="851"/>
    <m/>
    <x v="818"/>
    <x v="1395"/>
    <s v=""/>
    <m/>
    <m/>
    <n v="7530"/>
    <n v="750"/>
    <s v=""/>
  </r>
  <r>
    <n v="1024"/>
    <s v="201024"/>
    <d v="2020-10-16T00:00:00"/>
    <x v="227"/>
    <n v="7730.75"/>
    <x v="852"/>
    <m/>
    <x v="825"/>
    <x v="1396"/>
    <s v=""/>
    <m/>
    <m/>
    <n v="4909"/>
    <n v="304.05000000000018"/>
    <s v=""/>
  </r>
  <r>
    <n v="1237"/>
    <s v="201237"/>
    <d v="2020-12-10T00:00:00"/>
    <x v="406"/>
    <n v="11590"/>
    <x v="853"/>
    <n v="1"/>
    <x v="826"/>
    <x v="1397"/>
    <n v="11590"/>
    <m/>
    <m/>
    <n v="8518"/>
    <n v="3072"/>
    <n v="3072"/>
  </r>
  <r>
    <n v="1241"/>
    <s v="201241"/>
    <d v="2020-12-10T00:00:00"/>
    <x v="407"/>
    <n v="400000"/>
    <x v="854"/>
    <n v="1"/>
    <x v="827"/>
    <x v="1398"/>
    <n v="120000"/>
    <m/>
    <m/>
    <n v="78000"/>
    <n v="42000"/>
    <n v="42000"/>
  </r>
  <r>
    <n v="1258"/>
    <s v="201258"/>
    <d v="2020-12-17T00:00:00"/>
    <x v="371"/>
    <n v="2046"/>
    <x v="854"/>
    <m/>
    <x v="828"/>
    <x v="1399"/>
    <s v=""/>
    <m/>
    <m/>
    <n v="1104"/>
    <n v="942"/>
    <s v=""/>
  </r>
  <r>
    <n v="1072"/>
    <s v="201072"/>
    <d v="2020-10-27T00:00:00"/>
    <x v="14"/>
    <n v="7400"/>
    <x v="854"/>
    <m/>
    <x v="811"/>
    <x v="1371"/>
    <s v=""/>
    <m/>
    <m/>
    <n v="5090"/>
    <n v="2310"/>
    <s v=""/>
  </r>
  <r>
    <n v="1111"/>
    <s v="201111"/>
    <d v="2020-11-05T00:00:00"/>
    <x v="14"/>
    <n v="13909"/>
    <x v="854"/>
    <m/>
    <x v="829"/>
    <x v="1400"/>
    <s v=""/>
    <m/>
    <m/>
    <n v="9614"/>
    <n v="4295"/>
    <s v=""/>
  </r>
  <r>
    <n v="1219"/>
    <s v="201219"/>
    <d v="2020-12-04T00:00:00"/>
    <x v="23"/>
    <n v="20502"/>
    <x v="855"/>
    <m/>
    <x v="821"/>
    <x v="1401"/>
    <s v=""/>
    <m/>
    <m/>
    <n v="12224"/>
    <n v="5378"/>
    <s v=""/>
  </r>
  <r>
    <n v="1241"/>
    <s v="201241"/>
    <d v="2020-12-10T00:00:00"/>
    <x v="407"/>
    <n v="400000"/>
    <x v="856"/>
    <n v="1"/>
    <x v="827"/>
    <x v="1402"/>
    <n v="280000"/>
    <m/>
    <m/>
    <n v="182000"/>
    <n v="98000"/>
    <n v="98000"/>
  </r>
  <r>
    <n v="1249"/>
    <s v="201249"/>
    <d v="2020-12-14T00:00:00"/>
    <x v="102"/>
    <n v="11775"/>
    <x v="857"/>
    <m/>
    <x v="827"/>
    <x v="1403"/>
    <s v=""/>
    <m/>
    <m/>
    <n v="6985"/>
    <n v="4790"/>
    <s v=""/>
  </r>
  <r>
    <n v="1281"/>
    <s v="201281"/>
    <d v="2020-12-30T00:00:00"/>
    <x v="371"/>
    <n v="2658"/>
    <x v="858"/>
    <m/>
    <x v="828"/>
    <x v="1404"/>
    <s v=""/>
    <m/>
    <m/>
    <n v="2094"/>
    <n v="564"/>
    <s v=""/>
  </r>
  <r>
    <n v="1183"/>
    <s v="201183"/>
    <d v="2020-12-23T00:00:00"/>
    <x v="226"/>
    <n v="363398"/>
    <x v="858"/>
    <m/>
    <x v="830"/>
    <x v="1405"/>
    <s v=""/>
    <m/>
    <m/>
    <n v="186660"/>
    <n v="176738"/>
    <s v=""/>
  </r>
  <r>
    <n v="11"/>
    <s v="210011"/>
    <d v="2021-01-12T00:00:00"/>
    <x v="10"/>
    <n v="15716.5"/>
    <x v="859"/>
    <m/>
    <x v="831"/>
    <x v="1406"/>
    <s v=""/>
    <m/>
    <m/>
    <n v="13579"/>
    <n v="2137.5"/>
    <s v=""/>
  </r>
  <r>
    <n v="12"/>
    <s v="210012"/>
    <d v="2021-01-12T00:00:00"/>
    <x v="1"/>
    <n v="66990"/>
    <x v="860"/>
    <m/>
    <x v="832"/>
    <x v="1407"/>
    <s v=""/>
    <m/>
    <m/>
    <n v="49197"/>
    <n v="17793"/>
    <s v=""/>
  </r>
  <r>
    <n v="2"/>
    <s v="210002"/>
    <d v="2021-01-11T00:00:00"/>
    <x v="192"/>
    <n v="5864"/>
    <x v="861"/>
    <m/>
    <x v="833"/>
    <x v="1408"/>
    <s v=""/>
    <m/>
    <m/>
    <n v="4659"/>
    <n v="1205"/>
    <s v=""/>
  </r>
  <r>
    <n v="3"/>
    <s v="210003"/>
    <d v="2021-01-11T00:00:00"/>
    <x v="408"/>
    <n v="10000"/>
    <x v="862"/>
    <m/>
    <x v="834"/>
    <x v="640"/>
    <s v=""/>
    <m/>
    <n v="1200"/>
    <n v="3085"/>
    <n v="6915"/>
    <s v=""/>
  </r>
  <r>
    <n v="991"/>
    <s v="200991"/>
    <d v="2020-10-29T00:00:00"/>
    <x v="11"/>
    <n v="874385.02"/>
    <x v="863"/>
    <m/>
    <x v="810"/>
    <x v="1409"/>
    <s v=""/>
    <m/>
    <m/>
    <n v="661422"/>
    <n v="82749.819999999949"/>
    <s v=""/>
  </r>
  <r>
    <n v="4"/>
    <s v="210004"/>
    <d v="2021-01-13T00:00:00"/>
    <x v="150"/>
    <n v="12607"/>
    <x v="863"/>
    <m/>
    <x v="835"/>
    <x v="1410"/>
    <s v=""/>
    <m/>
    <m/>
    <n v="8320"/>
    <n v="4287"/>
    <s v=""/>
  </r>
  <r>
    <n v="1144"/>
    <s v="201144"/>
    <d v="2020-11-30T00:00:00"/>
    <x v="361"/>
    <n v="84000"/>
    <x v="864"/>
    <m/>
    <x v="836"/>
    <x v="1411"/>
    <s v=""/>
    <m/>
    <m/>
    <n v="61222"/>
    <n v="22778"/>
    <s v=""/>
  </r>
  <r>
    <n v="48"/>
    <s v="210048"/>
    <d v="2021-01-26T00:00:00"/>
    <x v="57"/>
    <n v="8534"/>
    <x v="865"/>
    <m/>
    <x v="837"/>
    <x v="1412"/>
    <s v=""/>
    <m/>
    <m/>
    <n v="6026"/>
    <n v="2508"/>
    <s v=""/>
  </r>
  <r>
    <n v="1146"/>
    <s v="201146"/>
    <d v="2020-11-30T00:00:00"/>
    <x v="361"/>
    <n v="60300"/>
    <x v="866"/>
    <m/>
    <x v="836"/>
    <x v="1413"/>
    <s v=""/>
    <m/>
    <m/>
    <n v="43012"/>
    <n v="17288"/>
    <s v=""/>
  </r>
  <r>
    <n v="1"/>
    <s v="210001"/>
    <d v="2021-01-11T00:00:00"/>
    <x v="150"/>
    <n v="6724"/>
    <x v="867"/>
    <m/>
    <x v="831"/>
    <x v="1414"/>
    <s v=""/>
    <m/>
    <m/>
    <n v="4894"/>
    <n v="1830"/>
    <s v=""/>
  </r>
  <r>
    <n v="87"/>
    <s v="210087"/>
    <d v="2021-02-03T00:00:00"/>
    <x v="409"/>
    <n v="8566"/>
    <x v="868"/>
    <n v="1"/>
    <x v="838"/>
    <x v="1415"/>
    <n v="8566"/>
    <m/>
    <m/>
    <n v="5826"/>
    <n v="2740"/>
    <n v="2740"/>
  </r>
  <r>
    <n v="57"/>
    <s v="210057"/>
    <d v="2021-01-28T00:00:00"/>
    <x v="410"/>
    <n v="17713"/>
    <x v="868"/>
    <n v="1"/>
    <x v="839"/>
    <x v="1416"/>
    <n v="17713"/>
    <m/>
    <m/>
    <n v="13817"/>
    <n v="3896"/>
    <n v="3896"/>
  </r>
  <r>
    <n v="99"/>
    <s v="210099"/>
    <d v="2021-02-04T00:00:00"/>
    <x v="398"/>
    <n v="24444"/>
    <x v="869"/>
    <m/>
    <x v="840"/>
    <x v="1417"/>
    <s v=""/>
    <m/>
    <m/>
    <n v="19068"/>
    <n v="5376"/>
    <s v=""/>
  </r>
  <r>
    <n v="92"/>
    <s v="210092"/>
    <d v="2021-02-03T00:00:00"/>
    <x v="352"/>
    <n v="2710"/>
    <x v="870"/>
    <m/>
    <x v="838"/>
    <x v="1418"/>
    <s v=""/>
    <m/>
    <m/>
    <n v="2030.15"/>
    <n v="679.84999999999991"/>
    <s v=""/>
  </r>
  <r>
    <n v="1244"/>
    <s v="201244"/>
    <d v="2020-12-11T00:00:00"/>
    <x v="20"/>
    <n v="5702"/>
    <x v="871"/>
    <m/>
    <x v="841"/>
    <x v="1360"/>
    <s v=""/>
    <m/>
    <m/>
    <n v="4447"/>
    <n v="1255"/>
    <s v=""/>
  </r>
  <r>
    <n v="15"/>
    <s v="210015"/>
    <d v="2021-01-13T00:00:00"/>
    <x v="20"/>
    <n v="38947"/>
    <x v="871"/>
    <m/>
    <x v="834"/>
    <x v="1419"/>
    <s v=""/>
    <m/>
    <m/>
    <n v="28479"/>
    <n v="10468"/>
    <s v=""/>
  </r>
  <r>
    <n v="1211"/>
    <s v="201211"/>
    <d v="2020-12-02T00:00:00"/>
    <x v="20"/>
    <n v="98783"/>
    <x v="871"/>
    <m/>
    <x v="834"/>
    <x v="1420"/>
    <s v=""/>
    <m/>
    <m/>
    <n v="70144"/>
    <n v="28639"/>
    <s v=""/>
  </r>
  <r>
    <n v="80"/>
    <s v="210080"/>
    <d v="2021-02-02T00:00:00"/>
    <x v="123"/>
    <n v="2299"/>
    <x v="872"/>
    <m/>
    <x v="842"/>
    <x v="1421"/>
    <s v=""/>
    <m/>
    <m/>
    <n v="1767"/>
    <n v="532"/>
    <s v=""/>
  </r>
  <r>
    <n v="112"/>
    <s v="210112"/>
    <d v="2021-02-08T00:00:00"/>
    <x v="371"/>
    <n v="3110"/>
    <x v="872"/>
    <m/>
    <x v="843"/>
    <x v="1422"/>
    <s v=""/>
    <m/>
    <m/>
    <n v="1864"/>
    <n v="1246"/>
    <s v=""/>
  </r>
  <r>
    <n v="1157"/>
    <s v="201157"/>
    <d v="2020-11-17T00:00:00"/>
    <x v="198"/>
    <n v="2660"/>
    <x v="873"/>
    <m/>
    <x v="815"/>
    <x v="1423"/>
    <s v=""/>
    <m/>
    <m/>
    <n v="2044"/>
    <n v="616"/>
    <s v=""/>
  </r>
  <r>
    <n v="125"/>
    <s v="210125"/>
    <d v="2021-02-12T00:00:00"/>
    <x v="371"/>
    <n v="13590"/>
    <x v="874"/>
    <m/>
    <x v="839"/>
    <x v="1424"/>
    <s v=""/>
    <m/>
    <m/>
    <n v="10600"/>
    <n v="2990"/>
    <s v=""/>
  </r>
  <r>
    <n v="123"/>
    <s v="210123"/>
    <d v="2021-02-12T00:00:00"/>
    <x v="338"/>
    <n v="191394"/>
    <x v="874"/>
    <m/>
    <x v="844"/>
    <x v="1425"/>
    <s v=""/>
    <m/>
    <m/>
    <n v="138868"/>
    <n v="52526"/>
    <s v=""/>
  </r>
  <r>
    <n v="134"/>
    <s v="210134"/>
    <d v="2021-02-16T00:00:00"/>
    <x v="370"/>
    <n v="3212"/>
    <x v="874"/>
    <m/>
    <x v="835"/>
    <x v="1426"/>
    <s v=""/>
    <m/>
    <m/>
    <n v="2208"/>
    <n v="1004"/>
    <s v=""/>
  </r>
  <r>
    <n v="130"/>
    <s v="210130"/>
    <d v="2021-02-15T00:00:00"/>
    <x v="411"/>
    <n v="5000"/>
    <x v="875"/>
    <n v="1"/>
    <x v="845"/>
    <x v="840"/>
    <n v="5000"/>
    <m/>
    <n v="600"/>
    <n v="1367"/>
    <n v="3633"/>
    <n v="3633"/>
  </r>
  <r>
    <n v="133"/>
    <s v="210133"/>
    <d v="2021-02-16T00:00:00"/>
    <x v="412"/>
    <n v="102645.4"/>
    <x v="876"/>
    <n v="1"/>
    <x v="835"/>
    <x v="1427"/>
    <n v="102645.4"/>
    <m/>
    <m/>
    <n v="64033.93"/>
    <n v="38611.469999999994"/>
    <n v="38611.469999999994"/>
  </r>
  <r>
    <n v="132"/>
    <s v="210132"/>
    <d v="2021-02-16T00:00:00"/>
    <x v="365"/>
    <n v="4020"/>
    <x v="877"/>
    <m/>
    <x v="835"/>
    <x v="1428"/>
    <s v=""/>
    <m/>
    <m/>
    <n v="2777"/>
    <n v="1243"/>
    <s v=""/>
  </r>
  <r>
    <n v="141"/>
    <s v="210141"/>
    <d v="2021-02-18T00:00:00"/>
    <x v="9"/>
    <n v="20955"/>
    <x v="877"/>
    <m/>
    <x v="846"/>
    <x v="1429"/>
    <s v=""/>
    <m/>
    <m/>
    <n v="17325"/>
    <n v="3630"/>
    <s v=""/>
  </r>
  <r>
    <n v="77"/>
    <s v="210077"/>
    <d v="2021-02-12T00:00:00"/>
    <x v="228"/>
    <n v="8564"/>
    <x v="878"/>
    <m/>
    <x v="847"/>
    <x v="1430"/>
    <s v=""/>
    <m/>
    <m/>
    <n v="6197"/>
    <n v="2367"/>
    <s v=""/>
  </r>
  <r>
    <n v="47"/>
    <s v="210047"/>
    <d v="2021-01-26T00:00:00"/>
    <x v="20"/>
    <n v="54003"/>
    <x v="879"/>
    <m/>
    <x v="848"/>
    <x v="1431"/>
    <s v=""/>
    <m/>
    <m/>
    <n v="40601"/>
    <n v="13402"/>
    <s v=""/>
  </r>
  <r>
    <n v="159"/>
    <s v="210159"/>
    <d v="2021-02-25T00:00:00"/>
    <x v="413"/>
    <n v="3362"/>
    <x v="879"/>
    <n v="1"/>
    <x v="849"/>
    <x v="1432"/>
    <n v="3362"/>
    <m/>
    <m/>
    <n v="2447"/>
    <n v="915"/>
    <n v="915"/>
  </r>
  <r>
    <n v="150"/>
    <s v="210150"/>
    <d v="2021-02-20T00:00:00"/>
    <x v="70"/>
    <n v="7111"/>
    <x v="879"/>
    <m/>
    <x v="849"/>
    <x v="1433"/>
    <s v=""/>
    <m/>
    <m/>
    <n v="6375"/>
    <n v="736"/>
    <s v=""/>
  </r>
  <r>
    <n v="1248"/>
    <s v="201248"/>
    <d v="2020-12-14T00:00:00"/>
    <x v="13"/>
    <n v="120490"/>
    <x v="879"/>
    <m/>
    <x v="828"/>
    <x v="1434"/>
    <s v=""/>
    <m/>
    <n v="7200"/>
    <n v="93324"/>
    <n v="27166"/>
    <s v=""/>
  </r>
  <r>
    <n v="131"/>
    <s v="210131"/>
    <d v="2021-02-15T00:00:00"/>
    <x v="331"/>
    <n v="6985"/>
    <x v="880"/>
    <m/>
    <x v="850"/>
    <x v="1435"/>
    <s v=""/>
    <m/>
    <m/>
    <n v="5378"/>
    <n v="1607"/>
    <s v=""/>
  </r>
  <r>
    <n v="163"/>
    <s v="210163"/>
    <d v="2021-03-01T00:00:00"/>
    <x v="227"/>
    <n v="4659.7"/>
    <x v="881"/>
    <m/>
    <x v="851"/>
    <x v="1436"/>
    <s v=""/>
    <m/>
    <m/>
    <n v="3295"/>
    <n v="1364.6999999999998"/>
    <s v=""/>
  </r>
  <r>
    <n v="161"/>
    <s v="210161"/>
    <d v="2021-02-26T00:00:00"/>
    <x v="338"/>
    <n v="39550"/>
    <x v="881"/>
    <m/>
    <x v="852"/>
    <x v="1437"/>
    <s v=""/>
    <m/>
    <m/>
    <n v="30450"/>
    <n v="9100"/>
    <s v=""/>
  </r>
  <r>
    <n v="127"/>
    <s v="210127"/>
    <d v="2021-02-15T00:00:00"/>
    <x v="414"/>
    <n v="145656"/>
    <x v="881"/>
    <n v="1"/>
    <x v="853"/>
    <x v="1438"/>
    <n v="145656"/>
    <m/>
    <m/>
    <n v="105183"/>
    <n v="40473"/>
    <n v="40473"/>
  </r>
  <r>
    <n v="142"/>
    <s v="210142"/>
    <d v="2021-02-18T00:00:00"/>
    <x v="162"/>
    <n v="31430"/>
    <x v="882"/>
    <m/>
    <x v="845"/>
    <x v="1439"/>
    <s v=""/>
    <m/>
    <m/>
    <n v="23136.5"/>
    <n v="8293.5"/>
    <s v=""/>
  </r>
  <r>
    <n v="31"/>
    <s v="210031"/>
    <d v="2021-01-20T00:00:00"/>
    <x v="198"/>
    <n v="7416"/>
    <x v="882"/>
    <m/>
    <x v="854"/>
    <x v="1440"/>
    <s v=""/>
    <m/>
    <m/>
    <n v="5715"/>
    <n v="1701"/>
    <s v=""/>
  </r>
  <r>
    <n v="167"/>
    <s v="210167"/>
    <d v="2021-03-02T00:00:00"/>
    <x v="128"/>
    <n v="9733"/>
    <x v="883"/>
    <m/>
    <x v="855"/>
    <x v="1441"/>
    <s v=""/>
    <m/>
    <m/>
    <n v="5228"/>
    <n v="4505"/>
    <s v=""/>
  </r>
  <r>
    <n v="169"/>
    <s v="210169"/>
    <d v="2021-03-03T00:00:00"/>
    <x v="192"/>
    <n v="5512"/>
    <x v="884"/>
    <m/>
    <x v="844"/>
    <x v="1442"/>
    <s v=""/>
    <m/>
    <m/>
    <n v="4067"/>
    <n v="1445"/>
    <s v=""/>
  </r>
  <r>
    <n v="1205"/>
    <s v="201205"/>
    <d v="2020-12-01T00:00:00"/>
    <x v="415"/>
    <n v="70599"/>
    <x v="885"/>
    <n v="1"/>
    <x v="856"/>
    <x v="1443"/>
    <n v="70599"/>
    <m/>
    <n v="7200"/>
    <n v="32694.560000000001"/>
    <n v="37904.44"/>
    <n v="37904.44"/>
  </r>
  <r>
    <n v="198"/>
    <s v="210198"/>
    <d v="2021-03-11T00:00:00"/>
    <x v="231"/>
    <n v="108424"/>
    <x v="885"/>
    <m/>
    <x v="840"/>
    <x v="1444"/>
    <s v=""/>
    <m/>
    <n v="600"/>
    <n v="73152"/>
    <n v="35272"/>
    <s v=""/>
  </r>
  <r>
    <n v="199"/>
    <s v="210199"/>
    <d v="2021-03-11T00:00:00"/>
    <x v="92"/>
    <n v="6332"/>
    <x v="886"/>
    <m/>
    <x v="857"/>
    <x v="1445"/>
    <s v=""/>
    <m/>
    <m/>
    <n v="4939"/>
    <n v="1393"/>
    <s v=""/>
  </r>
  <r>
    <n v="182"/>
    <s v="210182"/>
    <d v="2021-03-04T00:00:00"/>
    <x v="150"/>
    <n v="20835"/>
    <x v="886"/>
    <m/>
    <x v="858"/>
    <x v="1446"/>
    <s v=""/>
    <m/>
    <m/>
    <n v="13751"/>
    <n v="7084"/>
    <s v=""/>
  </r>
  <r>
    <n v="213"/>
    <s v="210213"/>
    <d v="2021-03-17T00:00:00"/>
    <x v="252"/>
    <n v="3576"/>
    <x v="887"/>
    <m/>
    <x v="859"/>
    <x v="1447"/>
    <s v=""/>
    <m/>
    <m/>
    <n v="2178"/>
    <n v="1398"/>
    <s v=""/>
  </r>
  <r>
    <n v="1051"/>
    <s v="201051"/>
    <d v="2020-10-26T00:00:00"/>
    <x v="361"/>
    <n v="63920"/>
    <x v="887"/>
    <m/>
    <x v="832"/>
    <x v="1448"/>
    <s v=""/>
    <m/>
    <m/>
    <n v="53591"/>
    <n v="10329"/>
    <s v=""/>
  </r>
  <r>
    <n v="991"/>
    <s v="200991"/>
    <d v="2020-10-29T00:00:00"/>
    <x v="11"/>
    <n v="874385.02"/>
    <x v="888"/>
    <m/>
    <x v="848"/>
    <x v="1449"/>
    <s v=""/>
    <m/>
    <m/>
    <n v="47827"/>
    <n v="5039"/>
    <s v=""/>
  </r>
  <r>
    <n v="36"/>
    <s v="210036"/>
    <d v="2021-02-02T00:00:00"/>
    <x v="11"/>
    <n v="453609.6"/>
    <x v="888"/>
    <m/>
    <x v="848"/>
    <x v="1450"/>
    <s v=""/>
    <m/>
    <n v="38400"/>
    <n v="172763.85"/>
    <n v="159823.35"/>
    <s v=""/>
  </r>
  <r>
    <n v="168"/>
    <s v="210168"/>
    <d v="2021-03-03T00:00:00"/>
    <x v="23"/>
    <n v="13448"/>
    <x v="889"/>
    <m/>
    <x v="860"/>
    <x v="1451"/>
    <s v=""/>
    <m/>
    <m/>
    <n v="9788"/>
    <n v="3660"/>
    <s v=""/>
  </r>
  <r>
    <n v="18"/>
    <s v="210018"/>
    <d v="2021-02-02T00:00:00"/>
    <x v="198"/>
    <n v="41220"/>
    <x v="889"/>
    <m/>
    <x v="848"/>
    <x v="1452"/>
    <s v=""/>
    <m/>
    <m/>
    <n v="28321"/>
    <n v="12899"/>
    <s v=""/>
  </r>
  <r>
    <n v="160"/>
    <s v="210160"/>
    <d v="2021-02-26T00:00:00"/>
    <x v="331"/>
    <n v="7910"/>
    <x v="890"/>
    <m/>
    <x v="861"/>
    <x v="671"/>
    <s v=""/>
    <m/>
    <m/>
    <n v="6788"/>
    <n v="1122"/>
    <s v=""/>
  </r>
  <r>
    <n v="227"/>
    <s v="210227"/>
    <d v="2021-03-18T00:00:00"/>
    <x v="416"/>
    <n v="11756"/>
    <x v="890"/>
    <m/>
    <x v="862"/>
    <x v="1453"/>
    <s v=""/>
    <m/>
    <m/>
    <n v="7758"/>
    <n v="3998"/>
    <s v=""/>
  </r>
  <r>
    <n v="195"/>
    <s v="210195"/>
    <d v="2021-03-10T00:00:00"/>
    <x v="417"/>
    <n v="24990"/>
    <x v="891"/>
    <m/>
    <x v="853"/>
    <x v="1042"/>
    <s v=""/>
    <m/>
    <m/>
    <n v="18367"/>
    <n v="6623"/>
    <s v=""/>
  </r>
  <r>
    <n v="239"/>
    <s v="210239"/>
    <d v="2021-03-23T00:00:00"/>
    <x v="398"/>
    <n v="2150"/>
    <x v="892"/>
    <m/>
    <x v="863"/>
    <x v="1454"/>
    <s v=""/>
    <m/>
    <m/>
    <n v="1675"/>
    <n v="475"/>
    <s v=""/>
  </r>
  <r>
    <n v="244"/>
    <s v="210244"/>
    <d v="2021-03-25T00:00:00"/>
    <x v="418"/>
    <n v="11590"/>
    <x v="892"/>
    <n v="1"/>
    <x v="864"/>
    <x v="1397"/>
    <n v="11590"/>
    <m/>
    <m/>
    <n v="8407.75"/>
    <n v="3182.25"/>
    <n v="3182.25"/>
  </r>
  <r>
    <n v="188"/>
    <s v="210188"/>
    <d v="2021-03-09T00:00:00"/>
    <x v="37"/>
    <n v="31764"/>
    <x v="893"/>
    <m/>
    <x v="865"/>
    <x v="1455"/>
    <s v=""/>
    <m/>
    <m/>
    <n v="19184"/>
    <n v="12580"/>
    <s v=""/>
  </r>
  <r>
    <n v="140"/>
    <s v="210140"/>
    <d v="2021-02-18T00:00:00"/>
    <x v="126"/>
    <n v="7587.95"/>
    <x v="894"/>
    <m/>
    <x v="846"/>
    <x v="1456"/>
    <s v=""/>
    <m/>
    <m/>
    <n v="6137"/>
    <n v="1450.9499999999998"/>
    <s v=""/>
  </r>
  <r>
    <n v="62"/>
    <s v="210062"/>
    <d v="2021-02-01T00:00:00"/>
    <x v="150"/>
    <n v="30509"/>
    <x v="895"/>
    <m/>
    <x v="865"/>
    <x v="1457"/>
    <s v=""/>
    <m/>
    <m/>
    <n v="20118"/>
    <n v="10391"/>
    <s v=""/>
  </r>
  <r>
    <n v="264"/>
    <s v="210264"/>
    <d v="2021-03-29T00:00:00"/>
    <x v="324"/>
    <n v="13990"/>
    <x v="895"/>
    <m/>
    <x v="866"/>
    <x v="793"/>
    <s v=""/>
    <m/>
    <m/>
    <n v="10283"/>
    <n v="3707"/>
    <s v=""/>
  </r>
  <r>
    <n v="59"/>
    <s v="210059"/>
    <d v="2021-01-29T00:00:00"/>
    <x v="13"/>
    <n v="207414"/>
    <x v="895"/>
    <m/>
    <x v="839"/>
    <x v="1458"/>
    <s v=""/>
    <m/>
    <n v="13800"/>
    <n v="162389.9"/>
    <n v="45024.100000000006"/>
    <s v=""/>
  </r>
  <r>
    <n v="1247"/>
    <s v="201247"/>
    <d v="2020-12-14T00:00:00"/>
    <x v="361"/>
    <n v="49564"/>
    <x v="896"/>
    <m/>
    <x v="828"/>
    <x v="1459"/>
    <s v=""/>
    <m/>
    <m/>
    <n v="35062"/>
    <n v="14502"/>
    <s v=""/>
  </r>
  <r>
    <n v="1224"/>
    <s v="201224"/>
    <d v="2020-12-08T00:00:00"/>
    <x v="36"/>
    <n v="137560"/>
    <x v="897"/>
    <m/>
    <x v="867"/>
    <x v="1460"/>
    <s v=""/>
    <m/>
    <m/>
    <n v="94672.53"/>
    <n v="42887.47"/>
    <s v=""/>
  </r>
  <r>
    <n v="268"/>
    <s v="210268"/>
    <d v="2021-03-30T00:00:00"/>
    <x v="371"/>
    <n v="6220"/>
    <x v="897"/>
    <m/>
    <x v="868"/>
    <x v="1461"/>
    <s v=""/>
    <m/>
    <m/>
    <n v="3728"/>
    <n v="2492"/>
    <s v=""/>
  </r>
  <r>
    <n v="100"/>
    <s v="210100"/>
    <d v="2021-02-04T00:00:00"/>
    <x v="14"/>
    <n v="1250"/>
    <x v="897"/>
    <m/>
    <x v="824"/>
    <x v="1462"/>
    <s v=""/>
    <m/>
    <m/>
    <n v="893"/>
    <n v="357"/>
    <s v=""/>
  </r>
  <r>
    <n v="233"/>
    <s v="210233"/>
    <d v="2021-03-29T00:00:00"/>
    <x v="102"/>
    <n v="9196"/>
    <x v="898"/>
    <m/>
    <x v="858"/>
    <x v="1463"/>
    <s v=""/>
    <m/>
    <m/>
    <n v="7120"/>
    <n v="2076"/>
    <s v=""/>
  </r>
  <r>
    <n v="292"/>
    <s v="210292"/>
    <d v="2021-04-02T00:00:00"/>
    <x v="371"/>
    <n v="2336"/>
    <x v="899"/>
    <m/>
    <x v="868"/>
    <x v="1464"/>
    <s v=""/>
    <m/>
    <m/>
    <n v="1822"/>
    <n v="514"/>
    <s v=""/>
  </r>
  <r>
    <n v="277"/>
    <s v="210277"/>
    <d v="2021-04-01T00:00:00"/>
    <x v="43"/>
    <n v="8976"/>
    <x v="900"/>
    <m/>
    <x v="869"/>
    <x v="1465"/>
    <s v=""/>
    <m/>
    <m/>
    <n v="6849"/>
    <n v="2127"/>
    <s v=""/>
  </r>
  <r>
    <n v="306"/>
    <s v="210306"/>
    <d v="2021-04-07T00:00:00"/>
    <x v="84"/>
    <n v="72980"/>
    <x v="901"/>
    <m/>
    <x v="870"/>
    <x v="1466"/>
    <s v=""/>
    <m/>
    <m/>
    <n v="49417"/>
    <n v="23563"/>
    <s v=""/>
  </r>
  <r>
    <n v="253"/>
    <s v="210253"/>
    <d v="2021-03-26T00:00:00"/>
    <x v="242"/>
    <n v="4280"/>
    <x v="902"/>
    <m/>
    <x v="871"/>
    <x v="1467"/>
    <s v=""/>
    <m/>
    <m/>
    <n v="2776"/>
    <n v="1504"/>
    <s v=""/>
  </r>
  <r>
    <n v="318"/>
    <s v="210318"/>
    <d v="2021-04-09T00:00:00"/>
    <x v="264"/>
    <n v="6890"/>
    <x v="903"/>
    <m/>
    <x v="872"/>
    <x v="1468"/>
    <s v=""/>
    <m/>
    <m/>
    <n v="5060"/>
    <n v="1830"/>
    <s v=""/>
  </r>
  <r>
    <n v="293"/>
    <s v="210293"/>
    <d v="2021-04-05T00:00:00"/>
    <x v="48"/>
    <n v="6985"/>
    <x v="904"/>
    <m/>
    <x v="870"/>
    <x v="1435"/>
    <s v=""/>
    <m/>
    <m/>
    <n v="5378"/>
    <n v="1607"/>
    <s v=""/>
  </r>
  <r>
    <n v="36"/>
    <s v="210036"/>
    <d v="2021-02-02T00:00:00"/>
    <x v="11"/>
    <n v="453609.6"/>
    <x v="905"/>
    <m/>
    <x v="839"/>
    <x v="1469"/>
    <s v=""/>
    <m/>
    <m/>
    <n v="105735"/>
    <n v="15287.399999999994"/>
    <s v=""/>
  </r>
  <r>
    <n v="214"/>
    <s v="210214"/>
    <d v="2021-03-17T00:00:00"/>
    <x v="102"/>
    <n v="7360"/>
    <x v="905"/>
    <m/>
    <x v="873"/>
    <x v="1470"/>
    <s v=""/>
    <m/>
    <m/>
    <n v="5292.48"/>
    <n v="2067.5200000000004"/>
    <s v=""/>
  </r>
  <r>
    <n v="348"/>
    <s v="210348"/>
    <d v="2021-04-19T00:00:00"/>
    <x v="363"/>
    <n v="775"/>
    <x v="906"/>
    <m/>
    <x v="871"/>
    <x v="1471"/>
    <s v=""/>
    <m/>
    <m/>
    <n v="604"/>
    <n v="171"/>
    <s v=""/>
  </r>
  <r>
    <n v="342"/>
    <s v="210342"/>
    <d v="2021-04-19T00:00:00"/>
    <x v="204"/>
    <n v="1466"/>
    <x v="906"/>
    <m/>
    <x v="871"/>
    <x v="477"/>
    <s v=""/>
    <m/>
    <m/>
    <n v="1143"/>
    <n v="323"/>
    <s v=""/>
  </r>
  <r>
    <n v="212"/>
    <s v="210212"/>
    <d v="2021-04-08T00:00:00"/>
    <x v="23"/>
    <n v="86102.5"/>
    <x v="906"/>
    <m/>
    <x v="874"/>
    <x v="1472"/>
    <s v=""/>
    <m/>
    <m/>
    <n v="66076.740000000005"/>
    <n v="20025.759999999995"/>
    <s v=""/>
  </r>
  <r>
    <n v="236"/>
    <s v="210236"/>
    <d v="2021-03-22T00:00:00"/>
    <x v="11"/>
    <n v="24433.99"/>
    <x v="907"/>
    <m/>
    <x v="875"/>
    <x v="1473"/>
    <s v=""/>
    <m/>
    <m/>
    <n v="15970.52"/>
    <n v="8463.4700000000012"/>
    <s v=""/>
  </r>
  <r>
    <n v="179"/>
    <s v="210179"/>
    <d v="2021-03-04T00:00:00"/>
    <x v="126"/>
    <n v="8126.85"/>
    <x v="908"/>
    <m/>
    <x v="876"/>
    <x v="1474"/>
    <s v=""/>
    <m/>
    <m/>
    <n v="7381"/>
    <n v="745.85000000000036"/>
    <s v=""/>
  </r>
  <r>
    <n v="373"/>
    <s v="210373"/>
    <d v="2021-04-26T00:00:00"/>
    <x v="57"/>
    <n v="18924"/>
    <x v="909"/>
    <m/>
    <x v="876"/>
    <x v="1475"/>
    <s v=""/>
    <m/>
    <m/>
    <n v="12490"/>
    <n v="6434"/>
    <s v=""/>
  </r>
  <r>
    <n v="351"/>
    <s v="210351"/>
    <d v="2021-04-20T00:00:00"/>
    <x v="419"/>
    <n v="198990"/>
    <x v="910"/>
    <n v="1"/>
    <x v="877"/>
    <x v="1476"/>
    <n v="198990"/>
    <m/>
    <m/>
    <n v="146138"/>
    <n v="52852"/>
    <n v="52852"/>
  </r>
  <r>
    <n v="265"/>
    <s v="210265"/>
    <d v="2021-03-30T00:00:00"/>
    <x v="45"/>
    <n v="14355"/>
    <x v="910"/>
    <m/>
    <x v="877"/>
    <x v="1477"/>
    <s v=""/>
    <m/>
    <m/>
    <n v="11196"/>
    <n v="3159"/>
    <s v=""/>
  </r>
  <r>
    <n v="334"/>
    <s v="210334"/>
    <d v="2021-04-15T00:00:00"/>
    <x v="371"/>
    <n v="3212"/>
    <x v="911"/>
    <m/>
    <x v="878"/>
    <x v="1426"/>
    <s v=""/>
    <m/>
    <m/>
    <n v="2208"/>
    <n v="1004"/>
    <s v=""/>
  </r>
  <r>
    <n v="897"/>
    <s v="200897"/>
    <d v="2020-10-06T00:00:00"/>
    <x v="36"/>
    <n v="1725817.5"/>
    <x v="911"/>
    <m/>
    <x v="810"/>
    <x v="1478"/>
    <s v=""/>
    <n v="50000"/>
    <n v="37800"/>
    <n v="1412214.45"/>
    <n v="313603.05000000005"/>
    <s v=""/>
  </r>
  <r>
    <n v="242"/>
    <s v="210242"/>
    <d v="2021-03-24T00:00:00"/>
    <x v="13"/>
    <n v="70190"/>
    <x v="912"/>
    <m/>
    <x v="879"/>
    <x v="1479"/>
    <s v=""/>
    <m/>
    <m/>
    <n v="54746"/>
    <n v="15444"/>
    <s v=""/>
  </r>
  <r>
    <n v="61"/>
    <s v="210061"/>
    <d v="2021-02-05T00:00:00"/>
    <x v="11"/>
    <n v="84546"/>
    <x v="913"/>
    <m/>
    <x v="868"/>
    <x v="1480"/>
    <s v=""/>
    <m/>
    <m/>
    <n v="68281"/>
    <n v="16265"/>
    <s v=""/>
  </r>
  <r>
    <n v="276"/>
    <s v="210276"/>
    <d v="2021-04-08T00:00:00"/>
    <x v="20"/>
    <n v="65583"/>
    <x v="914"/>
    <m/>
    <x v="880"/>
    <x v="1481"/>
    <s v=""/>
    <m/>
    <m/>
    <n v="44078"/>
    <n v="21505"/>
    <s v=""/>
  </r>
  <r>
    <n v="37"/>
    <s v="210037"/>
    <d v="2021-03-01T00:00:00"/>
    <x v="20"/>
    <n v="394717"/>
    <x v="914"/>
    <m/>
    <x v="880"/>
    <x v="1482"/>
    <s v=""/>
    <m/>
    <m/>
    <n v="316386"/>
    <n v="78331"/>
    <s v=""/>
  </r>
  <r>
    <n v="399"/>
    <s v="210399"/>
    <d v="2021-05-11T00:00:00"/>
    <x v="338"/>
    <n v="98720"/>
    <x v="915"/>
    <m/>
    <x v="881"/>
    <x v="1483"/>
    <s v=""/>
    <m/>
    <m/>
    <n v="76470"/>
    <n v="22250"/>
    <s v=""/>
  </r>
  <r>
    <n v="405"/>
    <s v="210405"/>
    <d v="2021-05-11T00:00:00"/>
    <x v="151"/>
    <n v="8000"/>
    <x v="915"/>
    <m/>
    <x v="882"/>
    <x v="47"/>
    <s v=""/>
    <m/>
    <n v="1200"/>
    <n v="2357"/>
    <n v="5643"/>
    <s v=""/>
  </r>
  <r>
    <n v="404"/>
    <s v="210404"/>
    <d v="2021-05-11T00:00:00"/>
    <x v="358"/>
    <n v="4993"/>
    <x v="915"/>
    <m/>
    <x v="883"/>
    <x v="1484"/>
    <s v=""/>
    <m/>
    <m/>
    <n v="3295"/>
    <n v="1698"/>
    <s v=""/>
  </r>
  <r>
    <n v="400"/>
    <s v="210400"/>
    <d v="2021-05-11T00:00:00"/>
    <x v="204"/>
    <n v="11377"/>
    <x v="916"/>
    <m/>
    <x v="884"/>
    <x v="1485"/>
    <s v=""/>
    <m/>
    <m/>
    <n v="7000"/>
    <n v="4377"/>
    <s v=""/>
  </r>
  <r>
    <n v="421"/>
    <s v="210421"/>
    <d v="2021-05-13T00:00:00"/>
    <x v="420"/>
    <n v="9911"/>
    <x v="916"/>
    <m/>
    <x v="876"/>
    <x v="1486"/>
    <s v=""/>
    <m/>
    <m/>
    <n v="7305"/>
    <n v="2606"/>
    <s v=""/>
  </r>
  <r>
    <n v="148"/>
    <s v="210148"/>
    <d v="2021-05-12T00:00:00"/>
    <x v="419"/>
    <n v="71485"/>
    <x v="916"/>
    <m/>
    <x v="876"/>
    <x v="1487"/>
    <s v=""/>
    <m/>
    <m/>
    <n v="48136.44"/>
    <n v="23348.559999999998"/>
    <s v=""/>
  </r>
  <r>
    <n v="407"/>
    <s v="210407"/>
    <d v="2021-05-14T00:00:00"/>
    <x v="421"/>
    <n v="26115.5"/>
    <x v="917"/>
    <n v="1"/>
    <x v="882"/>
    <x v="1488"/>
    <n v="26115.5"/>
    <m/>
    <m/>
    <n v="19697"/>
    <n v="6418.5"/>
    <n v="6418.5"/>
  </r>
  <r>
    <n v="398"/>
    <s v="210398"/>
    <d v="2021-05-07T00:00:00"/>
    <x v="422"/>
    <n v="2500"/>
    <x v="917"/>
    <m/>
    <x v="885"/>
    <x v="478"/>
    <s v=""/>
    <m/>
    <m/>
    <n v="1330"/>
    <n v="1170"/>
    <s v=""/>
  </r>
  <r>
    <n v="427"/>
    <s v="210427"/>
    <d v="2021-05-17T00:00:00"/>
    <x v="136"/>
    <n v="21056.5"/>
    <x v="918"/>
    <m/>
    <x v="885"/>
    <x v="1489"/>
    <s v=""/>
    <m/>
    <m/>
    <n v="15865"/>
    <n v="5191.5"/>
    <s v=""/>
  </r>
  <r>
    <n v="435"/>
    <s v="210435"/>
    <d v="2021-05-17T00:00:00"/>
    <x v="420"/>
    <n v="19901"/>
    <x v="918"/>
    <m/>
    <x v="885"/>
    <x v="1490"/>
    <s v=""/>
    <m/>
    <m/>
    <n v="14647"/>
    <n v="5254"/>
    <s v=""/>
  </r>
  <r>
    <n v="444"/>
    <s v="210444"/>
    <d v="2021-05-18T00:00:00"/>
    <x v="134"/>
    <n v="2248"/>
    <x v="919"/>
    <m/>
    <x v="886"/>
    <x v="1491"/>
    <s v=""/>
    <m/>
    <m/>
    <n v="1504"/>
    <n v="744"/>
    <s v=""/>
  </r>
  <r>
    <n v="406"/>
    <s v="210406"/>
    <d v="2021-05-11T00:00:00"/>
    <x v="361"/>
    <n v="24990"/>
    <x v="919"/>
    <m/>
    <x v="887"/>
    <x v="1042"/>
    <s v=""/>
    <m/>
    <m/>
    <n v="18367"/>
    <n v="6623"/>
    <s v=""/>
  </r>
  <r>
    <n v="437"/>
    <s v="210437"/>
    <d v="2021-05-17T00:00:00"/>
    <x v="279"/>
    <n v="43490"/>
    <x v="920"/>
    <m/>
    <x v="888"/>
    <x v="1492"/>
    <s v=""/>
    <m/>
    <m/>
    <n v="32182.6"/>
    <n v="11307.400000000001"/>
    <s v=""/>
  </r>
  <r>
    <n v="340"/>
    <s v="210340"/>
    <d v="2021-05-19T00:00:00"/>
    <x v="299"/>
    <n v="24964.1"/>
    <x v="921"/>
    <m/>
    <x v="889"/>
    <x v="1493"/>
    <s v=""/>
    <m/>
    <m/>
    <n v="18905"/>
    <n v="6059.0999999999985"/>
    <s v=""/>
  </r>
  <r>
    <n v="462"/>
    <s v="210462"/>
    <d v="2021-05-20T00:00:00"/>
    <x v="398"/>
    <n v="4300"/>
    <x v="921"/>
    <m/>
    <x v="890"/>
    <x v="1494"/>
    <s v=""/>
    <m/>
    <m/>
    <n v="3350"/>
    <n v="950"/>
    <s v=""/>
  </r>
  <r>
    <n v="384"/>
    <s v="210384"/>
    <d v="2021-05-11T00:00:00"/>
    <x v="371"/>
    <n v="24956"/>
    <x v="922"/>
    <m/>
    <x v="881"/>
    <x v="1495"/>
    <s v=""/>
    <m/>
    <m/>
    <n v="18142"/>
    <n v="6814"/>
    <s v=""/>
  </r>
  <r>
    <n v="495"/>
    <s v="210495"/>
    <d v="2021-05-26T00:00:00"/>
    <x v="420"/>
    <n v="8683"/>
    <x v="923"/>
    <m/>
    <x v="891"/>
    <x v="1496"/>
    <s v=""/>
    <m/>
    <m/>
    <n v="6460"/>
    <n v="2223"/>
    <s v=""/>
  </r>
  <r>
    <n v="467"/>
    <s v="210467"/>
    <d v="2021-05-20T00:00:00"/>
    <x v="371"/>
    <n v="6396"/>
    <x v="923"/>
    <m/>
    <x v="892"/>
    <x v="1497"/>
    <s v=""/>
    <m/>
    <m/>
    <n v="3728"/>
    <n v="2668"/>
    <s v=""/>
  </r>
  <r>
    <n v="494"/>
    <s v="210494"/>
    <d v="2021-05-25T00:00:00"/>
    <x v="324"/>
    <n v="1032"/>
    <x v="923"/>
    <m/>
    <x v="893"/>
    <x v="1498"/>
    <s v=""/>
    <m/>
    <m/>
    <n v="681"/>
    <n v="351"/>
    <s v=""/>
  </r>
  <r>
    <n v="486"/>
    <s v="210486"/>
    <d v="2021-05-24T00:00:00"/>
    <x v="423"/>
    <n v="13990"/>
    <x v="924"/>
    <m/>
    <x v="894"/>
    <x v="793"/>
    <s v=""/>
    <m/>
    <m/>
    <n v="10282"/>
    <n v="3708"/>
    <s v=""/>
  </r>
  <r>
    <n v="515"/>
    <s v="210515"/>
    <d v="2021-05-28T00:00:00"/>
    <x v="126"/>
    <n v="8894.4"/>
    <x v="925"/>
    <m/>
    <x v="895"/>
    <x v="1499"/>
    <s v=""/>
    <m/>
    <m/>
    <n v="1050"/>
    <n v="270"/>
    <s v=""/>
  </r>
  <r>
    <n v="492"/>
    <s v="210492"/>
    <d v="2021-05-25T00:00:00"/>
    <x v="331"/>
    <n v="7175"/>
    <x v="926"/>
    <m/>
    <x v="896"/>
    <x v="1500"/>
    <s v=""/>
    <m/>
    <m/>
    <n v="5378"/>
    <n v="1797"/>
    <s v=""/>
  </r>
  <r>
    <n v="524"/>
    <s v="210524"/>
    <d v="2021-05-31T00:00:00"/>
    <x v="1"/>
    <n v="10377"/>
    <x v="927"/>
    <m/>
    <x v="897"/>
    <x v="1501"/>
    <s v=""/>
    <m/>
    <m/>
    <n v="7852.56"/>
    <n v="2524.4399999999996"/>
    <s v=""/>
  </r>
  <r>
    <n v="517"/>
    <s v="210517"/>
    <d v="2021-05-31T00:00:00"/>
    <x v="424"/>
    <n v="2440"/>
    <x v="927"/>
    <m/>
    <x v="889"/>
    <x v="1502"/>
    <s v=""/>
    <m/>
    <m/>
    <n v="1316"/>
    <n v="1124"/>
    <s v=""/>
  </r>
  <r>
    <n v="450"/>
    <s v="210450"/>
    <d v="2021-05-19T00:00:00"/>
    <x v="157"/>
    <n v="88090"/>
    <x v="928"/>
    <m/>
    <x v="888"/>
    <x v="1503"/>
    <s v=""/>
    <m/>
    <m/>
    <n v="64038.5"/>
    <n v="24051.5"/>
    <s v=""/>
  </r>
  <r>
    <n v="262"/>
    <s v="210262"/>
    <d v="2021-03-29T00:00:00"/>
    <x v="14"/>
    <n v="2500"/>
    <x v="929"/>
    <m/>
    <x v="898"/>
    <x v="478"/>
    <s v=""/>
    <m/>
    <m/>
    <n v="1786"/>
    <n v="714"/>
    <s v=""/>
  </r>
  <r>
    <n v="554"/>
    <s v="210554"/>
    <d v="2021-06-07T00:00:00"/>
    <x v="425"/>
    <n v="5330"/>
    <x v="930"/>
    <m/>
    <x v="899"/>
    <x v="1504"/>
    <s v=""/>
    <m/>
    <m/>
    <n v="4158"/>
    <n v="1172"/>
    <s v=""/>
  </r>
  <r>
    <n v="482"/>
    <s v="210482"/>
    <d v="2021-05-24T00:00:00"/>
    <x v="37"/>
    <n v="5015"/>
    <x v="930"/>
    <m/>
    <x v="890"/>
    <x v="1505"/>
    <s v=""/>
    <m/>
    <m/>
    <n v="2847"/>
    <n v="1184"/>
    <s v=""/>
  </r>
  <r>
    <n v="545"/>
    <s v="210545"/>
    <d v="2021-06-03T00:00:00"/>
    <x v="59"/>
    <n v="4208"/>
    <x v="930"/>
    <m/>
    <x v="894"/>
    <x v="1506"/>
    <s v=""/>
    <m/>
    <m/>
    <n v="3190"/>
    <n v="1018"/>
    <s v=""/>
  </r>
  <r>
    <n v="538"/>
    <s v="210538"/>
    <d v="2021-06-01T00:00:00"/>
    <x v="23"/>
    <n v="13836"/>
    <x v="931"/>
    <m/>
    <x v="900"/>
    <x v="1507"/>
    <s v=""/>
    <m/>
    <m/>
    <n v="10488"/>
    <n v="3348"/>
    <s v=""/>
  </r>
  <r>
    <n v="585"/>
    <s v="210585"/>
    <d v="2021-06-11T00:00:00"/>
    <x v="260"/>
    <n v="4309"/>
    <x v="932"/>
    <m/>
    <x v="901"/>
    <x v="1508"/>
    <s v=""/>
    <m/>
    <m/>
    <n v="3308"/>
    <n v="1001"/>
    <s v=""/>
  </r>
  <r>
    <n v="527"/>
    <s v="210527"/>
    <d v="2021-05-31T00:00:00"/>
    <x v="20"/>
    <n v="29339"/>
    <x v="932"/>
    <m/>
    <x v="902"/>
    <x v="1509"/>
    <s v=""/>
    <m/>
    <m/>
    <n v="22258"/>
    <n v="7081"/>
    <s v=""/>
  </r>
  <r>
    <n v="561"/>
    <s v="210561"/>
    <d v="2021-06-08T00:00:00"/>
    <x v="426"/>
    <n v="35682"/>
    <x v="932"/>
    <n v="1"/>
    <x v="903"/>
    <x v="1510"/>
    <n v="35682"/>
    <m/>
    <n v="600"/>
    <n v="24877.7"/>
    <n v="10804.3"/>
    <n v="10804.3"/>
  </r>
  <r>
    <n v="590"/>
    <s v="210590"/>
    <d v="2021-06-15T00:00:00"/>
    <x v="383"/>
    <n v="24200"/>
    <x v="933"/>
    <m/>
    <x v="904"/>
    <x v="1511"/>
    <s v=""/>
    <m/>
    <n v="2400"/>
    <n v="10917.88"/>
    <n v="13282.12"/>
    <s v=""/>
  </r>
  <r>
    <n v="599"/>
    <s v="210599"/>
    <d v="2021-06-17T00:00:00"/>
    <x v="4"/>
    <n v="51552"/>
    <x v="933"/>
    <m/>
    <x v="905"/>
    <x v="1512"/>
    <s v=""/>
    <m/>
    <m/>
    <n v="37870.9"/>
    <n v="13681.099999999999"/>
    <s v=""/>
  </r>
  <r>
    <n v="596"/>
    <s v="210596"/>
    <d v="2021-06-16T00:00:00"/>
    <x v="192"/>
    <n v="9157"/>
    <x v="933"/>
    <m/>
    <x v="906"/>
    <x v="1513"/>
    <s v=""/>
    <m/>
    <m/>
    <n v="7109"/>
    <n v="2048"/>
    <s v=""/>
  </r>
  <r>
    <n v="525"/>
    <s v="210525"/>
    <d v="2021-05-31T00:00:00"/>
    <x v="228"/>
    <n v="6639"/>
    <x v="934"/>
    <m/>
    <x v="888"/>
    <x v="1514"/>
    <s v=""/>
    <m/>
    <m/>
    <m/>
    <n v="6639"/>
    <s v=""/>
  </r>
  <r>
    <n v="542"/>
    <s v="210542"/>
    <d v="2021-06-02T00:00:00"/>
    <x v="37"/>
    <n v="16080"/>
    <x v="935"/>
    <m/>
    <x v="897"/>
    <x v="947"/>
    <s v=""/>
    <m/>
    <m/>
    <m/>
    <n v="6030"/>
    <s v=""/>
  </r>
  <r>
    <n v="482"/>
    <s v="210482"/>
    <d v="2021-05-24T00:00:00"/>
    <x v="37"/>
    <n v="5015"/>
    <x v="936"/>
    <m/>
    <x v="897"/>
    <x v="1515"/>
    <s v=""/>
    <m/>
    <m/>
    <m/>
    <n v="984"/>
    <s v=""/>
  </r>
  <r>
    <n v="584"/>
    <s v="210584"/>
    <d v="2021-06-11T00:00:00"/>
    <x v="338"/>
    <n v="28495"/>
    <x v="937"/>
    <m/>
    <x v="907"/>
    <x v="1516"/>
    <s v=""/>
    <m/>
    <m/>
    <n v="16329.5"/>
    <n v="12165.5"/>
    <s v=""/>
  </r>
  <r>
    <n v="623"/>
    <s v="210623"/>
    <d v="2021-06-24T00:00:00"/>
    <x v="403"/>
    <n v="3330"/>
    <x v="938"/>
    <m/>
    <x v="895"/>
    <x v="1517"/>
    <s v=""/>
    <m/>
    <m/>
    <n v="531.5"/>
    <n v="2798.5"/>
    <s v=""/>
  </r>
  <r>
    <n v="497"/>
    <s v="210497"/>
    <d v="2021-06-15T00:00:00"/>
    <x v="427"/>
    <n v="9544"/>
    <x v="939"/>
    <n v="1"/>
    <x v="905"/>
    <x v="1518"/>
    <n v="9544"/>
    <m/>
    <m/>
    <n v="6301"/>
    <n v="3243"/>
    <n v="3243"/>
  </r>
  <r>
    <n v="644"/>
    <s v="210644"/>
    <d v="2021-06-30T00:00:00"/>
    <x v="126"/>
    <n v="8894.4"/>
    <x v="939"/>
    <m/>
    <x v="908"/>
    <x v="1519"/>
    <s v=""/>
    <m/>
    <m/>
    <n v="8057"/>
    <n v="837.39999999999964"/>
    <s v=""/>
  </r>
  <r>
    <n v="515"/>
    <s v="210515"/>
    <d v="2021-05-28T00:00:00"/>
    <x v="126"/>
    <n v="8894.4"/>
    <x v="939"/>
    <m/>
    <x v="895"/>
    <x v="1520"/>
    <s v=""/>
    <m/>
    <m/>
    <n v="6792"/>
    <n v="782.39999999999964"/>
    <s v=""/>
  </r>
  <r>
    <n v="542"/>
    <s v="210542"/>
    <d v="2021-06-02T00:00:00"/>
    <x v="37"/>
    <n v="16080"/>
    <x v="940"/>
    <m/>
    <x v="909"/>
    <x v="1521"/>
    <s v=""/>
    <m/>
    <m/>
    <n v="7835"/>
    <n v="2215"/>
    <s v=""/>
  </r>
  <r>
    <n v="621"/>
    <s v="210621"/>
    <d v="2021-07-01T00:00:00"/>
    <x v="428"/>
    <n v="120290"/>
    <x v="941"/>
    <n v="1"/>
    <x v="910"/>
    <x v="1522"/>
    <n v="120290"/>
    <m/>
    <m/>
    <n v="76737"/>
    <n v="43553"/>
    <n v="43553"/>
  </r>
  <r>
    <n v="657"/>
    <s v="210657"/>
    <d v="2021-07-05T00:00:00"/>
    <x v="428"/>
    <n v="116980"/>
    <x v="942"/>
    <n v="1"/>
    <x v="911"/>
    <x v="1523"/>
    <n v="116980"/>
    <m/>
    <m/>
    <n v="77807.38"/>
    <n v="39172.619999999995"/>
    <n v="39172.619999999995"/>
  </r>
  <r>
    <n v="629"/>
    <s v="210629"/>
    <d v="2021-06-28T00:00:00"/>
    <x v="331"/>
    <n v="7175"/>
    <x v="942"/>
    <m/>
    <x v="912"/>
    <x v="1500"/>
    <s v=""/>
    <m/>
    <m/>
    <n v="5461.43"/>
    <n v="1713.5699999999997"/>
    <s v=""/>
  </r>
  <r>
    <n v="675"/>
    <s v="210675"/>
    <d v="2021-07-05T00:00:00"/>
    <x v="192"/>
    <n v="18990"/>
    <x v="943"/>
    <m/>
    <x v="912"/>
    <x v="881"/>
    <s v=""/>
    <m/>
    <m/>
    <n v="14052"/>
    <n v="4938"/>
    <s v=""/>
  </r>
  <r>
    <n v="682"/>
    <s v="210682"/>
    <d v="2021-07-06T00:00:00"/>
    <x v="424"/>
    <n v="2500"/>
    <x v="943"/>
    <m/>
    <x v="913"/>
    <x v="478"/>
    <s v=""/>
    <m/>
    <m/>
    <n v="1330.31"/>
    <n v="1169.69"/>
    <s v=""/>
  </r>
  <r>
    <n v="656"/>
    <s v="210656"/>
    <d v="2021-07-02T00:00:00"/>
    <x v="192"/>
    <n v="6032"/>
    <x v="944"/>
    <m/>
    <x v="910"/>
    <x v="1524"/>
    <s v=""/>
    <m/>
    <m/>
    <n v="4704"/>
    <n v="1328"/>
    <s v=""/>
  </r>
  <r>
    <n v="659"/>
    <s v="210659"/>
    <d v="2021-07-05T00:00:00"/>
    <x v="402"/>
    <n v="14490"/>
    <x v="944"/>
    <m/>
    <x v="914"/>
    <x v="1006"/>
    <s v=""/>
    <m/>
    <m/>
    <n v="10650"/>
    <n v="3840"/>
    <s v=""/>
  </r>
  <r>
    <n v="696"/>
    <s v="210696"/>
    <d v="2021-07-07T00:00:00"/>
    <x v="57"/>
    <n v="9348"/>
    <x v="945"/>
    <m/>
    <x v="915"/>
    <x v="1525"/>
    <s v=""/>
    <m/>
    <m/>
    <n v="7290"/>
    <n v="2058"/>
    <s v=""/>
  </r>
  <r>
    <n v="618"/>
    <s v="210618"/>
    <d v="2021-06-22T00:00:00"/>
    <x v="383"/>
    <n v="24149"/>
    <x v="945"/>
    <m/>
    <x v="914"/>
    <x v="1526"/>
    <s v=""/>
    <m/>
    <n v="1200"/>
    <n v="14930"/>
    <n v="9219"/>
    <s v=""/>
  </r>
  <r>
    <n v="710"/>
    <s v="210710"/>
    <d v="2021-07-13T00:00:00"/>
    <x v="204"/>
    <n v="3537"/>
    <x v="946"/>
    <m/>
    <x v="916"/>
    <x v="1527"/>
    <s v=""/>
    <m/>
    <m/>
    <n v="2714"/>
    <n v="823"/>
    <s v=""/>
  </r>
  <r>
    <n v="622"/>
    <s v="210622"/>
    <d v="2021-07-24T00:00:00"/>
    <x v="39"/>
    <n v="21357"/>
    <x v="947"/>
    <m/>
    <x v="917"/>
    <x v="1528"/>
    <s v=""/>
    <m/>
    <m/>
    <n v="14410"/>
    <n v="6947"/>
    <s v=""/>
  </r>
  <r>
    <n v="662"/>
    <s v="210662"/>
    <d v="2021-07-05T00:00:00"/>
    <x v="394"/>
    <n v="6990"/>
    <x v="947"/>
    <m/>
    <x v="918"/>
    <x v="1130"/>
    <s v=""/>
    <m/>
    <n v="600"/>
    <n v="3087.69"/>
    <n v="3902.31"/>
    <s v=""/>
  </r>
  <r>
    <n v="592"/>
    <s v="210592"/>
    <d v="2021-06-15T00:00:00"/>
    <x v="198"/>
    <n v="143169"/>
    <x v="948"/>
    <m/>
    <x v="904"/>
    <x v="1529"/>
    <s v=""/>
    <m/>
    <m/>
    <n v="114544"/>
    <n v="28625"/>
    <s v=""/>
  </r>
  <r>
    <n v="185"/>
    <s v="210185"/>
    <d v="2021-06-15T00:00:00"/>
    <x v="198"/>
    <n v="132040"/>
    <x v="948"/>
    <m/>
    <x v="899"/>
    <x v="1530"/>
    <s v=""/>
    <m/>
    <m/>
    <n v="105812"/>
    <n v="26228"/>
    <s v=""/>
  </r>
  <r>
    <n v="739"/>
    <s v="210739"/>
    <d v="2021-07-21T00:00:00"/>
    <x v="226"/>
    <n v="65290"/>
    <x v="949"/>
    <m/>
    <x v="919"/>
    <x v="1531"/>
    <s v=""/>
    <m/>
    <m/>
    <n v="48314"/>
    <n v="16976"/>
    <s v=""/>
  </r>
  <r>
    <n v="701"/>
    <s v="210701"/>
    <d v="2021-07-09T00:00:00"/>
    <x v="20"/>
    <n v="42361"/>
    <x v="950"/>
    <m/>
    <x v="916"/>
    <x v="1532"/>
    <s v=""/>
    <m/>
    <m/>
    <n v="32134"/>
    <n v="10227"/>
    <s v=""/>
  </r>
  <r>
    <n v="605"/>
    <s v="210605"/>
    <d v="2021-07-20T00:00:00"/>
    <x v="422"/>
    <n v="69990"/>
    <x v="951"/>
    <m/>
    <x v="920"/>
    <x v="1533"/>
    <s v=""/>
    <m/>
    <m/>
    <n v="51792.6"/>
    <n v="18197.400000000001"/>
    <s v=""/>
  </r>
  <r>
    <n v="598"/>
    <s v="210598"/>
    <d v="2021-06-16T00:00:00"/>
    <x v="14"/>
    <n v="2780"/>
    <x v="952"/>
    <m/>
    <x v="899"/>
    <x v="1534"/>
    <s v=""/>
    <m/>
    <m/>
    <n v="1960"/>
    <n v="820"/>
    <s v=""/>
  </r>
  <r>
    <n v="785"/>
    <s v="210785"/>
    <d v="2021-08-02T00:00:00"/>
    <x v="397"/>
    <n v="13990"/>
    <x v="953"/>
    <m/>
    <x v="921"/>
    <x v="793"/>
    <s v=""/>
    <m/>
    <m/>
    <n v="10283"/>
    <n v="3707"/>
    <s v=""/>
  </r>
  <r>
    <n v="788"/>
    <s v="210788"/>
    <d v="2021-08-03T00:00:00"/>
    <x v="173"/>
    <n v="3250"/>
    <x v="953"/>
    <m/>
    <x v="922"/>
    <x v="1535"/>
    <s v=""/>
    <m/>
    <m/>
    <n v="2861"/>
    <n v="389"/>
    <s v=""/>
  </r>
  <r>
    <n v="783"/>
    <s v="210783"/>
    <d v="2021-07-30T00:00:00"/>
    <x v="177"/>
    <n v="21357"/>
    <x v="954"/>
    <m/>
    <x v="923"/>
    <x v="1528"/>
    <s v=""/>
    <m/>
    <m/>
    <n v="14410"/>
    <n v="6947"/>
    <s v=""/>
  </r>
  <r>
    <n v="790"/>
    <s v="210790"/>
    <d v="2021-08-03T00:00:00"/>
    <x v="298"/>
    <n v="3459"/>
    <x v="954"/>
    <m/>
    <x v="922"/>
    <x v="1536"/>
    <s v=""/>
    <m/>
    <m/>
    <n v="2610.81"/>
    <n v="848.19"/>
    <s v=""/>
  </r>
  <r>
    <n v="801"/>
    <s v="210801"/>
    <d v="2021-08-04T00:00:00"/>
    <x v="57"/>
    <n v="3016"/>
    <x v="955"/>
    <m/>
    <x v="922"/>
    <x v="1537"/>
    <s v=""/>
    <m/>
    <m/>
    <n v="2352"/>
    <n v="664"/>
    <s v=""/>
  </r>
  <r>
    <n v="736"/>
    <s v="210736"/>
    <d v="2021-07-21T00:00:00"/>
    <x v="37"/>
    <n v="65324"/>
    <x v="956"/>
    <m/>
    <x v="914"/>
    <x v="1538"/>
    <s v=""/>
    <m/>
    <m/>
    <n v="19184"/>
    <n v="13478"/>
    <s v=""/>
  </r>
  <r>
    <n v="762"/>
    <s v="210762"/>
    <d v="2021-07-26T00:00:00"/>
    <x v="23"/>
    <n v="6918"/>
    <x v="957"/>
    <m/>
    <x v="919"/>
    <x v="1539"/>
    <s v=""/>
    <m/>
    <m/>
    <n v="5226"/>
    <n v="1692"/>
    <s v=""/>
  </r>
  <r>
    <n v="786"/>
    <s v="210786"/>
    <d v="2021-08-02T00:00:00"/>
    <x v="150"/>
    <n v="11180"/>
    <x v="957"/>
    <m/>
    <x v="924"/>
    <x v="1540"/>
    <s v=""/>
    <m/>
    <m/>
    <n v="8720"/>
    <n v="2460"/>
    <s v=""/>
  </r>
  <r>
    <n v="722"/>
    <s v="210722"/>
    <d v="2021-07-15T00:00:00"/>
    <x v="429"/>
    <n v="25490"/>
    <x v="957"/>
    <n v="1"/>
    <x v="924"/>
    <x v="1541"/>
    <n v="25490"/>
    <m/>
    <m/>
    <n v="18735"/>
    <n v="6755"/>
    <n v="6755"/>
  </r>
  <r>
    <n v="837"/>
    <s v="210837"/>
    <d v="2021-08-11T00:00:00"/>
    <x v="92"/>
    <n v="11290"/>
    <x v="958"/>
    <m/>
    <x v="925"/>
    <x v="1542"/>
    <s v=""/>
    <m/>
    <m/>
    <n v="8298"/>
    <n v="2992"/>
    <s v=""/>
  </r>
  <r>
    <n v="773"/>
    <s v="210773"/>
    <d v="2021-07-28T00:00:00"/>
    <x v="102"/>
    <n v="3900"/>
    <x v="958"/>
    <m/>
    <x v="926"/>
    <x v="1543"/>
    <s v=""/>
    <m/>
    <m/>
    <n v="3042"/>
    <n v="858"/>
    <s v=""/>
  </r>
  <r>
    <n v="822"/>
    <s v="210822"/>
    <d v="2021-08-06T00:00:00"/>
    <x v="332"/>
    <n v="4496"/>
    <x v="959"/>
    <m/>
    <x v="924"/>
    <x v="1544"/>
    <s v=""/>
    <m/>
    <m/>
    <n v="3234.36"/>
    <n v="1261.6399999999999"/>
    <s v=""/>
  </r>
  <r>
    <n v="838"/>
    <s v="210838"/>
    <d v="2021-08-11T00:00:00"/>
    <x v="136"/>
    <n v="2126"/>
    <x v="960"/>
    <m/>
    <x v="927"/>
    <x v="1545"/>
    <s v=""/>
    <m/>
    <m/>
    <n v="1613"/>
    <n v="513"/>
    <s v=""/>
  </r>
  <r>
    <n v="736"/>
    <s v="210736"/>
    <d v="2021-07-21T00:00:00"/>
    <x v="37"/>
    <n v="65324"/>
    <x v="961"/>
    <m/>
    <x v="928"/>
    <x v="1538"/>
    <s v=""/>
    <m/>
    <m/>
    <n v="25476"/>
    <n v="7186"/>
    <s v=""/>
  </r>
  <r>
    <n v="828"/>
    <s v="210828"/>
    <d v="2021-08-16T00:00:00"/>
    <x v="408"/>
    <n v="5810"/>
    <x v="962"/>
    <m/>
    <x v="929"/>
    <x v="1546"/>
    <s v=""/>
    <m/>
    <m/>
    <n v="2847.18"/>
    <n v="2962.82"/>
    <s v=""/>
  </r>
  <r>
    <n v="386"/>
    <s v="210386"/>
    <d v="2021-06-29T00:00:00"/>
    <x v="13"/>
    <n v="384400"/>
    <x v="963"/>
    <m/>
    <x v="914"/>
    <x v="1547"/>
    <s v=""/>
    <n v="66000"/>
    <n v="13200"/>
    <n v="117371"/>
    <n v="267029"/>
    <s v=""/>
  </r>
  <r>
    <n v="880"/>
    <s v="210880"/>
    <d v="2021-08-23T00:00:00"/>
    <x v="430"/>
    <n v="7990"/>
    <x v="964"/>
    <m/>
    <x v="926"/>
    <x v="1226"/>
    <s v=""/>
    <m/>
    <n v="600"/>
    <n v="3438.21"/>
    <n v="4551.79"/>
    <s v=""/>
  </r>
  <r>
    <n v="882"/>
    <s v="210882"/>
    <d v="2021-08-23T00:00:00"/>
    <x v="431"/>
    <n v="3630.8"/>
    <x v="965"/>
    <n v="1"/>
    <x v="930"/>
    <x v="1548"/>
    <n v="3630.8"/>
    <m/>
    <m/>
    <n v="2832"/>
    <n v="798.80000000000018"/>
    <n v="798.80000000000018"/>
  </r>
  <r>
    <n v="902"/>
    <s v="210902"/>
    <d v="2021-08-25T00:00:00"/>
    <x v="57"/>
    <n v="1762"/>
    <x v="965"/>
    <m/>
    <x v="931"/>
    <x v="1549"/>
    <s v=""/>
    <m/>
    <m/>
    <n v="1164"/>
    <n v="598"/>
    <s v=""/>
  </r>
  <r>
    <n v="905"/>
    <s v="210905"/>
    <d v="2021-08-26T00:00:00"/>
    <x v="314"/>
    <n v="4134"/>
    <x v="966"/>
    <m/>
    <x v="932"/>
    <x v="1550"/>
    <s v=""/>
    <m/>
    <m/>
    <n v="3122.27"/>
    <n v="1011.73"/>
    <s v=""/>
  </r>
  <r>
    <n v="919"/>
    <s v="210919"/>
    <d v="2021-08-27T00:00:00"/>
    <x v="432"/>
    <n v="25490"/>
    <x v="967"/>
    <n v="1"/>
    <x v="933"/>
    <x v="1541"/>
    <n v="25490"/>
    <m/>
    <m/>
    <n v="18735"/>
    <n v="6755"/>
    <n v="6755"/>
  </r>
  <r>
    <n v="884"/>
    <s v="210884"/>
    <d v="2021-08-23T00:00:00"/>
    <x v="394"/>
    <n v="971"/>
    <x v="967"/>
    <m/>
    <x v="934"/>
    <x v="1551"/>
    <s v=""/>
    <m/>
    <m/>
    <n v="612"/>
    <n v="359"/>
    <s v=""/>
  </r>
  <r>
    <n v="926"/>
    <s v="210926"/>
    <d v="2021-08-31T00:00:00"/>
    <x v="226"/>
    <n v="7852"/>
    <x v="968"/>
    <m/>
    <x v="935"/>
    <x v="1552"/>
    <s v=""/>
    <m/>
    <m/>
    <n v="6124"/>
    <n v="1728"/>
    <s v=""/>
  </r>
  <r>
    <n v="920"/>
    <s v="210920"/>
    <d v="2021-08-30T00:00:00"/>
    <x v="92"/>
    <n v="6329"/>
    <x v="968"/>
    <m/>
    <x v="936"/>
    <x v="1553"/>
    <s v=""/>
    <m/>
    <m/>
    <n v="4177"/>
    <n v="2152"/>
    <s v=""/>
  </r>
  <r>
    <n v="927"/>
    <s v="210927"/>
    <d v="2021-08-31T00:00:00"/>
    <x v="433"/>
    <n v="5000"/>
    <x v="968"/>
    <n v="1"/>
    <x v="926"/>
    <x v="840"/>
    <n v="5000"/>
    <m/>
    <n v="600"/>
    <n v="2108"/>
    <n v="2892"/>
    <n v="2892"/>
  </r>
  <r>
    <n v="729"/>
    <s v="210729"/>
    <d v="2021-09-02T00:00:00"/>
    <x v="431"/>
    <n v="24494"/>
    <x v="969"/>
    <m/>
    <x v="930"/>
    <x v="1554"/>
    <s v=""/>
    <m/>
    <m/>
    <n v="19105"/>
    <n v="5389"/>
    <s v=""/>
  </r>
  <r>
    <n v="993"/>
    <s v="210993"/>
    <d v="2021-09-01T00:00:00"/>
    <x v="298"/>
    <n v="6918"/>
    <x v="969"/>
    <m/>
    <x v="937"/>
    <x v="1539"/>
    <s v=""/>
    <m/>
    <m/>
    <n v="5218.42"/>
    <n v="1699.58"/>
    <s v=""/>
  </r>
  <r>
    <n v="939"/>
    <s v="210939"/>
    <d v="2021-09-01T00:00:00"/>
    <x v="9"/>
    <n v="1998"/>
    <x v="969"/>
    <m/>
    <x v="931"/>
    <x v="1555"/>
    <s v=""/>
    <m/>
    <m/>
    <n v="1319"/>
    <n v="679"/>
    <s v=""/>
  </r>
  <r>
    <n v="916"/>
    <s v="210916"/>
    <d v="2021-08-27T00:00:00"/>
    <x v="27"/>
    <n v="8345"/>
    <x v="970"/>
    <m/>
    <x v="938"/>
    <x v="1556"/>
    <s v=""/>
    <m/>
    <m/>
    <n v="6509"/>
    <n v="1836"/>
    <s v=""/>
  </r>
  <r>
    <n v="936"/>
    <s v="210936"/>
    <d v="2021-09-01T00:00:00"/>
    <x v="304"/>
    <n v="12395"/>
    <x v="971"/>
    <m/>
    <x v="939"/>
    <x v="1557"/>
    <s v=""/>
    <m/>
    <m/>
    <n v="9382"/>
    <n v="3013"/>
    <s v=""/>
  </r>
  <r>
    <n v="962"/>
    <s v="210962"/>
    <d v="2021-09-08T00:00:00"/>
    <x v="398"/>
    <n v="4500"/>
    <x v="972"/>
    <m/>
    <x v="940"/>
    <x v="1136"/>
    <s v=""/>
    <m/>
    <m/>
    <n v="3015"/>
    <n v="1485"/>
    <s v=""/>
  </r>
  <r>
    <n v="903"/>
    <s v="210903"/>
    <d v="2021-08-26T00:00:00"/>
    <x v="102"/>
    <n v="40756"/>
    <x v="972"/>
    <m/>
    <x v="941"/>
    <x v="1558"/>
    <s v=""/>
    <m/>
    <m/>
    <n v="30880"/>
    <n v="9876"/>
    <s v=""/>
  </r>
  <r>
    <n v="978"/>
    <s v="210978"/>
    <d v="2021-09-13T00:00:00"/>
    <x v="26"/>
    <n v="1652"/>
    <x v="973"/>
    <m/>
    <x v="942"/>
    <x v="1559"/>
    <s v=""/>
    <m/>
    <m/>
    <n v="1104"/>
    <n v="548"/>
    <s v=""/>
  </r>
  <r>
    <n v="981"/>
    <s v="210981"/>
    <d v="2021-09-13T00:00:00"/>
    <x v="192"/>
    <n v="1279"/>
    <x v="974"/>
    <m/>
    <x v="943"/>
    <x v="495"/>
    <s v=""/>
    <m/>
    <m/>
    <n v="997"/>
    <n v="282"/>
    <s v=""/>
  </r>
  <r>
    <n v="900"/>
    <s v="210900"/>
    <d v="2021-09-02T00:00:00"/>
    <x v="224"/>
    <n v="7680"/>
    <x v="975"/>
    <m/>
    <x v="930"/>
    <x v="1560"/>
    <s v=""/>
    <m/>
    <m/>
    <n v="5750"/>
    <n v="1930"/>
    <s v=""/>
  </r>
  <r>
    <n v="888"/>
    <s v="210888"/>
    <d v="2021-09-21T00:00:00"/>
    <x v="434"/>
    <n v="673676.4"/>
    <x v="976"/>
    <n v="1"/>
    <x v="944"/>
    <x v="1561"/>
    <n v="673676.4"/>
    <m/>
    <m/>
    <n v="545244"/>
    <n v="128432.40000000002"/>
    <n v="128432.40000000002"/>
  </r>
  <r>
    <n v="886"/>
    <s v="210886"/>
    <d v="2021-09-07T00:00:00"/>
    <x v="23"/>
    <n v="108458"/>
    <x v="976"/>
    <m/>
    <x v="945"/>
    <x v="1562"/>
    <s v=""/>
    <m/>
    <m/>
    <n v="73023.14"/>
    <n v="35434.86"/>
    <s v=""/>
  </r>
  <r>
    <n v="1002"/>
    <s v="211002"/>
    <d v="2021-09-21T00:00:00"/>
    <x v="134"/>
    <n v="3432"/>
    <x v="976"/>
    <m/>
    <x v="946"/>
    <x v="1563"/>
    <s v=""/>
    <m/>
    <m/>
    <n v="1992"/>
    <n v="1440"/>
    <s v=""/>
  </r>
  <r>
    <n v="1007"/>
    <s v="211007"/>
    <d v="2021-09-21T00:00:00"/>
    <x v="78"/>
    <n v="8910"/>
    <x v="977"/>
    <m/>
    <x v="936"/>
    <x v="795"/>
    <s v=""/>
    <m/>
    <m/>
    <n v="6949"/>
    <n v="1961"/>
    <s v=""/>
  </r>
  <r>
    <n v="1009"/>
    <s v="211009"/>
    <d v="2021-09-21T00:00:00"/>
    <x v="78"/>
    <n v="5000"/>
    <x v="977"/>
    <m/>
    <x v="947"/>
    <x v="840"/>
    <s v=""/>
    <m/>
    <n v="600"/>
    <n v="2108"/>
    <n v="2892"/>
    <s v=""/>
  </r>
  <r>
    <n v="1014"/>
    <s v="211014"/>
    <d v="2021-09-22T00:00:00"/>
    <x v="363"/>
    <n v="2990"/>
    <x v="977"/>
    <m/>
    <x v="948"/>
    <x v="1564"/>
    <s v=""/>
    <m/>
    <m/>
    <n v="1330.42"/>
    <n v="1659.58"/>
    <s v=""/>
  </r>
  <r>
    <n v="824"/>
    <s v="210824"/>
    <d v="2021-08-06T00:00:00"/>
    <x v="20"/>
    <n v="56873"/>
    <x v="978"/>
    <m/>
    <x v="942"/>
    <x v="1565"/>
    <s v=""/>
    <m/>
    <m/>
    <n v="39844"/>
    <n v="17029"/>
    <s v=""/>
  </r>
  <r>
    <n v="846"/>
    <s v="210846"/>
    <d v="2021-08-12T00:00:00"/>
    <x v="20"/>
    <n v="22890"/>
    <x v="978"/>
    <m/>
    <x v="942"/>
    <x v="1566"/>
    <s v=""/>
    <m/>
    <m/>
    <n v="15105"/>
    <n v="7785"/>
    <s v=""/>
  </r>
  <r>
    <n v="1004"/>
    <s v="211004"/>
    <d v="2021-09-21T00:00:00"/>
    <x v="298"/>
    <n v="9071"/>
    <x v="978"/>
    <m/>
    <x v="949"/>
    <x v="1567"/>
    <s v=""/>
    <m/>
    <m/>
    <n v="5644"/>
    <n v="3427"/>
    <s v=""/>
  </r>
  <r>
    <n v="725"/>
    <s v="210725"/>
    <d v="2021-07-16T00:00:00"/>
    <x v="13"/>
    <n v="81000"/>
    <x v="978"/>
    <m/>
    <x v="950"/>
    <x v="1568"/>
    <s v=""/>
    <n v="9000"/>
    <m/>
    <n v="46600"/>
    <n v="34400"/>
    <s v=""/>
  </r>
  <r>
    <n v="867"/>
    <s v="210867"/>
    <d v="2021-08-18T00:00:00"/>
    <x v="11"/>
    <n v="97728"/>
    <x v="979"/>
    <m/>
    <x v="920"/>
    <x v="1569"/>
    <s v=""/>
    <m/>
    <m/>
    <n v="14532"/>
    <n v="9900"/>
    <s v=""/>
  </r>
  <r>
    <n v="1020"/>
    <s v="211020"/>
    <d v="2021-09-27T00:00:00"/>
    <x v="338"/>
    <n v="26127"/>
    <x v="980"/>
    <m/>
    <x v="951"/>
    <x v="1570"/>
    <s v=""/>
    <m/>
    <m/>
    <n v="17244"/>
    <n v="8883"/>
    <s v=""/>
  </r>
  <r>
    <n v="583"/>
    <s v="210583"/>
    <d v="2021-08-11T00:00:00"/>
    <x v="198"/>
    <n v="117750"/>
    <x v="981"/>
    <m/>
    <x v="932"/>
    <x v="1571"/>
    <s v=""/>
    <m/>
    <m/>
    <n v="86514.75"/>
    <n v="31235.25"/>
    <s v=""/>
  </r>
  <r>
    <n v="867"/>
    <s v="210867"/>
    <d v="2021-08-18T00:00:00"/>
    <x v="11"/>
    <n v="97728"/>
    <x v="981"/>
    <m/>
    <x v="950"/>
    <x v="1572"/>
    <s v=""/>
    <m/>
    <m/>
    <n v="35766"/>
    <n v="37530"/>
    <s v=""/>
  </r>
  <r>
    <n v="1026"/>
    <s v="211026"/>
    <d v="2021-09-29T00:00:00"/>
    <x v="435"/>
    <n v="12990"/>
    <x v="982"/>
    <m/>
    <x v="944"/>
    <x v="1573"/>
    <s v=""/>
    <m/>
    <m/>
    <n v="9612"/>
    <n v="3378"/>
    <s v=""/>
  </r>
  <r>
    <n v="1029"/>
    <s v="211029"/>
    <d v="2021-09-30T00:00:00"/>
    <x v="192"/>
    <n v="432"/>
    <x v="983"/>
    <m/>
    <x v="952"/>
    <x v="1574"/>
    <s v=""/>
    <m/>
    <m/>
    <n v="285"/>
    <n v="147"/>
    <s v=""/>
  </r>
  <r>
    <n v="1035"/>
    <s v="211035"/>
    <d v="2021-10-04T00:00:00"/>
    <x v="389"/>
    <n v="32158"/>
    <x v="984"/>
    <m/>
    <x v="953"/>
    <x v="1575"/>
    <s v=""/>
    <m/>
    <m/>
    <n v="23012.3"/>
    <n v="9145.7000000000007"/>
    <s v=""/>
  </r>
  <r>
    <n v="1037"/>
    <s v="211037"/>
    <d v="2021-10-04T00:00:00"/>
    <x v="9"/>
    <n v="1299887.1200000001"/>
    <x v="985"/>
    <m/>
    <x v="954"/>
    <x v="1576"/>
    <s v=""/>
    <m/>
    <m/>
    <n v="892167"/>
    <n v="108929.12"/>
    <s v=""/>
  </r>
  <r>
    <n v="1036"/>
    <s v="211036"/>
    <d v="2021-10-04T00:00:00"/>
    <x v="81"/>
    <n v="24080"/>
    <x v="985"/>
    <m/>
    <x v="938"/>
    <x v="1577"/>
    <s v=""/>
    <m/>
    <n v="1200"/>
    <n v="16638.86"/>
    <n v="7441.1399999999994"/>
    <s v=""/>
  </r>
  <r>
    <n v="1043"/>
    <s v="211043"/>
    <d v="2021-10-05T00:00:00"/>
    <x v="43"/>
    <n v="36864"/>
    <x v="985"/>
    <m/>
    <x v="955"/>
    <x v="1578"/>
    <s v=""/>
    <m/>
    <m/>
    <n v="27600"/>
    <n v="9264"/>
    <s v=""/>
  </r>
  <r>
    <n v="678"/>
    <s v="210678"/>
    <d v="2021-07-07T00:00:00"/>
    <x v="14"/>
    <n v="13157.5"/>
    <x v="986"/>
    <m/>
    <x v="956"/>
    <x v="1579"/>
    <s v=""/>
    <m/>
    <m/>
    <n v="9747"/>
    <n v="3410.5"/>
    <s v=""/>
  </r>
  <r>
    <n v="1034"/>
    <s v="211034"/>
    <d v="2021-10-01T00:00:00"/>
    <x v="59"/>
    <n v="4208"/>
    <x v="986"/>
    <m/>
    <x v="956"/>
    <x v="1506"/>
    <s v=""/>
    <m/>
    <m/>
    <n v="3282"/>
    <n v="926"/>
    <s v=""/>
  </r>
  <r>
    <n v="965"/>
    <s v="210965"/>
    <d v="2021-09-08T00:00:00"/>
    <x v="14"/>
    <n v="24812"/>
    <x v="987"/>
    <m/>
    <x v="957"/>
    <x v="1580"/>
    <s v=""/>
    <m/>
    <m/>
    <n v="19108"/>
    <n v="5704"/>
    <s v=""/>
  </r>
  <r>
    <n v="1023"/>
    <s v="211023"/>
    <d v="2021-09-28T00:00:00"/>
    <x v="320"/>
    <n v="16292"/>
    <x v="987"/>
    <m/>
    <x v="958"/>
    <x v="1581"/>
    <s v=""/>
    <m/>
    <m/>
    <n v="10753"/>
    <n v="5539"/>
    <s v=""/>
  </r>
  <r>
    <n v="1050"/>
    <s v="211050"/>
    <d v="2021-10-08T00:00:00"/>
    <x v="9"/>
    <n v="6770"/>
    <x v="988"/>
    <m/>
    <x v="959"/>
    <x v="1582"/>
    <s v=""/>
    <m/>
    <m/>
    <n v="5280"/>
    <n v="1490"/>
    <s v=""/>
  </r>
  <r>
    <n v="1063"/>
    <s v="211063"/>
    <d v="2021-10-13T00:00:00"/>
    <x v="22"/>
    <n v="8110"/>
    <x v="989"/>
    <m/>
    <x v="953"/>
    <x v="1583"/>
    <s v=""/>
    <m/>
    <m/>
    <n v="5904"/>
    <n v="2206"/>
    <s v=""/>
  </r>
  <r>
    <n v="1074"/>
    <s v="211074"/>
    <d v="2021-10-15T00:00:00"/>
    <x v="420"/>
    <n v="10211"/>
    <x v="990"/>
    <m/>
    <x v="957"/>
    <x v="1584"/>
    <s v=""/>
    <m/>
    <m/>
    <n v="7546"/>
    <n v="2665"/>
    <s v=""/>
  </r>
  <r>
    <n v="1083"/>
    <s v="211083"/>
    <d v="2021-10-18T00:00:00"/>
    <x v="338"/>
    <n v="36644"/>
    <x v="991"/>
    <m/>
    <x v="952"/>
    <x v="1585"/>
    <s v=""/>
    <m/>
    <m/>
    <n v="25710"/>
    <n v="10934"/>
    <s v=""/>
  </r>
  <r>
    <n v="860"/>
    <s v="210860"/>
    <d v="2021-08-23T00:00:00"/>
    <x v="436"/>
    <n v="44190"/>
    <x v="992"/>
    <m/>
    <x v="946"/>
    <x v="1586"/>
    <s v=""/>
    <m/>
    <m/>
    <n v="32924"/>
    <n v="11266"/>
    <s v=""/>
  </r>
  <r>
    <n v="1096"/>
    <s v="211096"/>
    <d v="2021-10-22T00:00:00"/>
    <x v="331"/>
    <n v="4062"/>
    <x v="993"/>
    <m/>
    <x v="955"/>
    <x v="1587"/>
    <s v=""/>
    <m/>
    <m/>
    <n v="3127"/>
    <n v="935"/>
    <s v=""/>
  </r>
  <r>
    <n v="1112"/>
    <s v="211112"/>
    <d v="2021-10-26T00:00:00"/>
    <x v="57"/>
    <n v="9672"/>
    <x v="994"/>
    <m/>
    <x v="960"/>
    <x v="1588"/>
    <s v=""/>
    <m/>
    <m/>
    <n v="7542"/>
    <n v="2130"/>
    <s v=""/>
  </r>
  <r>
    <n v="1061"/>
    <s v="211061"/>
    <d v="2021-10-12T00:00:00"/>
    <x v="20"/>
    <n v="60638"/>
    <x v="995"/>
    <m/>
    <x v="961"/>
    <x v="1589"/>
    <s v=""/>
    <m/>
    <m/>
    <n v="42765"/>
    <n v="17873"/>
    <s v=""/>
  </r>
  <r>
    <n v="998"/>
    <s v="210998"/>
    <d v="2021-10-05T00:00:00"/>
    <x v="23"/>
    <n v="544275.9"/>
    <x v="995"/>
    <m/>
    <x v="962"/>
    <x v="1590"/>
    <s v=""/>
    <m/>
    <m/>
    <n v="422095"/>
    <n v="122180.90000000002"/>
    <s v=""/>
  </r>
  <r>
    <n v="932"/>
    <s v="210932"/>
    <d v="2021-09-01T00:00:00"/>
    <x v="13"/>
    <n v="177100"/>
    <x v="995"/>
    <m/>
    <x v="963"/>
    <x v="1591"/>
    <s v=""/>
    <n v="36000"/>
    <m/>
    <n v="35403"/>
    <n v="141697"/>
    <s v=""/>
  </r>
  <r>
    <n v="1095"/>
    <s v="211095"/>
    <d v="2021-10-22T00:00:00"/>
    <x v="23"/>
    <n v="10377"/>
    <x v="996"/>
    <m/>
    <x v="958"/>
    <x v="1501"/>
    <s v=""/>
    <m/>
    <m/>
    <n v="6150"/>
    <n v="4227"/>
    <s v=""/>
  </r>
  <r>
    <n v="1131"/>
    <s v="211131"/>
    <d v="2021-10-29T00:00:00"/>
    <x v="123"/>
    <n v="4524"/>
    <x v="997"/>
    <m/>
    <x v="964"/>
    <x v="1592"/>
    <s v=""/>
    <m/>
    <m/>
    <n v="3528"/>
    <n v="996"/>
    <s v=""/>
  </r>
  <r>
    <n v="1042"/>
    <s v="211042"/>
    <d v="2021-10-05T00:00:00"/>
    <x v="37"/>
    <n v="28647"/>
    <x v="998"/>
    <m/>
    <x v="959"/>
    <x v="1593"/>
    <s v=""/>
    <m/>
    <m/>
    <n v="22343"/>
    <n v="6304"/>
    <s v=""/>
  </r>
  <r>
    <n v="1149"/>
    <s v="211149"/>
    <d v="2021-11-09T00:00:00"/>
    <x v="398"/>
    <n v="10000"/>
    <x v="998"/>
    <m/>
    <x v="965"/>
    <x v="640"/>
    <s v=""/>
    <m/>
    <m/>
    <n v="7800"/>
    <n v="2200"/>
    <s v=""/>
  </r>
  <r>
    <n v="1147"/>
    <s v="211147"/>
    <d v="2021-11-08T00:00:00"/>
    <x v="353"/>
    <n v="14490"/>
    <x v="999"/>
    <m/>
    <x v="966"/>
    <x v="1006"/>
    <s v=""/>
    <m/>
    <m/>
    <n v="11018"/>
    <n v="3472"/>
    <s v=""/>
  </r>
  <r>
    <n v="1115"/>
    <s v="211115"/>
    <d v="2021-10-28T00:00:00"/>
    <x v="437"/>
    <n v="170000"/>
    <x v="999"/>
    <n v="1"/>
    <x v="965"/>
    <x v="1594"/>
    <n v="170000"/>
    <m/>
    <m/>
    <n v="169545"/>
    <n v="455"/>
    <n v="455"/>
  </r>
  <r>
    <n v="1170"/>
    <s v="211170"/>
    <d v="2021-11-11T00:00:00"/>
    <x v="298"/>
    <n v="6918"/>
    <x v="1000"/>
    <m/>
    <x v="965"/>
    <x v="1539"/>
    <s v=""/>
    <m/>
    <m/>
    <n v="5200"/>
    <n v="1718"/>
    <s v=""/>
  </r>
  <r>
    <n v="1169"/>
    <s v="211169"/>
    <d v="2021-11-11T00:00:00"/>
    <x v="59"/>
    <n v="6341"/>
    <x v="1001"/>
    <m/>
    <x v="965"/>
    <x v="1595"/>
    <s v=""/>
    <m/>
    <m/>
    <n v="4945"/>
    <n v="1396"/>
    <s v=""/>
  </r>
  <r>
    <n v="984"/>
    <s v="210984"/>
    <d v="2021-09-14T00:00:00"/>
    <x v="11"/>
    <n v="97728"/>
    <x v="1001"/>
    <m/>
    <x v="967"/>
    <x v="1596"/>
    <s v=""/>
    <m/>
    <m/>
    <n v="42104"/>
    <n v="55624"/>
    <s v=""/>
  </r>
  <r>
    <n v="1175"/>
    <s v="211175"/>
    <d v="2021-11-12T00:00:00"/>
    <x v="22"/>
    <n v="2000"/>
    <x v="1002"/>
    <m/>
    <x v="968"/>
    <x v="926"/>
    <s v=""/>
    <m/>
    <m/>
    <n v="1430"/>
    <n v="570"/>
    <s v=""/>
  </r>
  <r>
    <n v="1157"/>
    <s v="211157"/>
    <d v="2021-11-10T00:00:00"/>
    <x v="438"/>
    <n v="15182"/>
    <x v="1002"/>
    <m/>
    <x v="969"/>
    <x v="1597"/>
    <s v=""/>
    <m/>
    <n v="2400"/>
    <n v="7688"/>
    <n v="7494"/>
    <s v=""/>
  </r>
  <r>
    <n v="1188"/>
    <s v="211188"/>
    <d v="2021-11-16T00:00:00"/>
    <x v="9"/>
    <n v="21525"/>
    <x v="1003"/>
    <m/>
    <x v="970"/>
    <x v="1598"/>
    <s v=""/>
    <m/>
    <m/>
    <n v="16426"/>
    <n v="5099"/>
    <s v=""/>
  </r>
  <r>
    <n v="1049"/>
    <s v="211049"/>
    <d v="2021-10-08T00:00:00"/>
    <x v="198"/>
    <n v="9000"/>
    <x v="1004"/>
    <m/>
    <x v="971"/>
    <x v="1599"/>
    <s v=""/>
    <m/>
    <n v="1200"/>
    <n v="2774"/>
    <n v="6226"/>
    <s v=""/>
  </r>
  <r>
    <n v="1198"/>
    <s v="211198"/>
    <d v="2021-11-18T00:00:00"/>
    <x v="9"/>
    <n v="8940"/>
    <x v="1004"/>
    <m/>
    <x v="970"/>
    <x v="1600"/>
    <s v=""/>
    <m/>
    <m/>
    <n v="5046"/>
    <n v="3894"/>
    <s v=""/>
  </r>
  <r>
    <n v="1206"/>
    <s v="211206"/>
    <d v="2021-11-18T00:00:00"/>
    <x v="439"/>
    <n v="1536"/>
    <x v="1005"/>
    <n v="1"/>
    <x v="970"/>
    <x v="1274"/>
    <n v="1536"/>
    <m/>
    <m/>
    <n v="1182"/>
    <n v="354"/>
    <n v="354"/>
  </r>
  <r>
    <n v="1177"/>
    <s v="211177"/>
    <d v="2021-11-15T00:00:00"/>
    <x v="204"/>
    <n v="3537"/>
    <x v="1006"/>
    <m/>
    <x v="972"/>
    <x v="1527"/>
    <s v=""/>
    <m/>
    <m/>
    <n v="2714"/>
    <n v="823"/>
    <s v=""/>
  </r>
  <r>
    <n v="1208"/>
    <s v="211208"/>
    <d v="2021-11-19T00:00:00"/>
    <x v="331"/>
    <n v="4715"/>
    <x v="1006"/>
    <m/>
    <x v="973"/>
    <x v="1601"/>
    <s v=""/>
    <m/>
    <m/>
    <n v="3484"/>
    <n v="1231"/>
    <s v=""/>
  </r>
  <r>
    <n v="1145"/>
    <s v="211145"/>
    <d v="2021-11-08T00:00:00"/>
    <x v="37"/>
    <n v="4398"/>
    <x v="1007"/>
    <m/>
    <x v="974"/>
    <x v="582"/>
    <s v=""/>
    <m/>
    <m/>
    <n v="2446"/>
    <n v="1952"/>
    <s v=""/>
  </r>
  <r>
    <n v="1213"/>
    <s v="211213"/>
    <d v="2021-11-23T00:00:00"/>
    <x v="424"/>
    <n v="2840.5"/>
    <x v="1007"/>
    <m/>
    <x v="975"/>
    <x v="1602"/>
    <s v=""/>
    <m/>
    <m/>
    <n v="2332"/>
    <n v="508.5"/>
    <s v=""/>
  </r>
  <r>
    <n v="1212"/>
    <s v="211212"/>
    <d v="2021-11-23T00:00:00"/>
    <x v="395"/>
    <n v="9918"/>
    <x v="1008"/>
    <m/>
    <x v="952"/>
    <x v="1603"/>
    <s v=""/>
    <m/>
    <m/>
    <n v="6546"/>
    <n v="3372"/>
    <s v=""/>
  </r>
  <r>
    <n v="1214"/>
    <s v="211214"/>
    <d v="2021-11-23T00:00:00"/>
    <x v="408"/>
    <n v="921"/>
    <x v="1008"/>
    <m/>
    <x v="976"/>
    <x v="1604"/>
    <s v=""/>
    <m/>
    <m/>
    <n v="718"/>
    <n v="203"/>
    <s v=""/>
  </r>
  <r>
    <n v="1088"/>
    <s v="211088"/>
    <d v="2021-10-19T00:00:00"/>
    <x v="13"/>
    <n v="259900"/>
    <x v="1009"/>
    <m/>
    <x v="955"/>
    <x v="1605"/>
    <s v=""/>
    <n v="54000"/>
    <m/>
    <n v="46471.51"/>
    <n v="213428.49"/>
    <s v=""/>
  </r>
  <r>
    <n v="1183"/>
    <s v="211183"/>
    <d v="2021-11-15T00:00:00"/>
    <x v="378"/>
    <n v="525"/>
    <x v="1009"/>
    <m/>
    <x v="977"/>
    <x v="1606"/>
    <s v=""/>
    <m/>
    <m/>
    <n v="299"/>
    <n v="226"/>
    <s v=""/>
  </r>
  <r>
    <n v="1223"/>
    <s v="211223"/>
    <d v="2021-11-25T00:00:00"/>
    <x v="372"/>
    <n v="1950"/>
    <x v="1010"/>
    <m/>
    <x v="973"/>
    <x v="1607"/>
    <s v=""/>
    <m/>
    <m/>
    <n v="1521"/>
    <n v="429"/>
    <s v=""/>
  </r>
  <r>
    <n v="1222"/>
    <s v="211222"/>
    <d v="2021-11-25T00:00:00"/>
    <x v="201"/>
    <n v="23301"/>
    <x v="1011"/>
    <m/>
    <x v="978"/>
    <x v="1608"/>
    <s v=""/>
    <m/>
    <m/>
    <n v="14768"/>
    <n v="8533"/>
    <s v=""/>
  </r>
  <r>
    <n v="1239"/>
    <s v="211239"/>
    <d v="2021-11-30T00:00:00"/>
    <x v="57"/>
    <n v="8328"/>
    <x v="1012"/>
    <m/>
    <x v="979"/>
    <x v="1609"/>
    <s v=""/>
    <m/>
    <m/>
    <n v="4875"/>
    <n v="3453"/>
    <s v=""/>
  </r>
  <r>
    <n v="1240"/>
    <s v="211240"/>
    <d v="2021-12-01T00:00:00"/>
    <x v="332"/>
    <n v="34866"/>
    <x v="1012"/>
    <m/>
    <x v="980"/>
    <x v="1610"/>
    <s v=""/>
    <m/>
    <m/>
    <n v="25858"/>
    <n v="9008"/>
    <s v=""/>
  </r>
  <r>
    <n v="1196"/>
    <s v="211196"/>
    <d v="2021-11-17T00:00:00"/>
    <x v="37"/>
    <n v="3660"/>
    <x v="1013"/>
    <m/>
    <x v="969"/>
    <x v="1611"/>
    <s v=""/>
    <m/>
    <m/>
    <n v="2594"/>
    <n v="1066"/>
    <s v=""/>
  </r>
  <r>
    <n v="1259"/>
    <s v="211259"/>
    <d v="2021-12-02T00:00:00"/>
    <x v="70"/>
    <n v="18719"/>
    <x v="1014"/>
    <m/>
    <x v="981"/>
    <x v="1612"/>
    <s v=""/>
    <m/>
    <m/>
    <n v="9112"/>
    <n v="9607"/>
    <s v=""/>
  </r>
  <r>
    <n v="1184"/>
    <s v="211184"/>
    <d v="2021-12-01T00:00:00"/>
    <x v="440"/>
    <n v="3000"/>
    <x v="1015"/>
    <m/>
    <x v="980"/>
    <x v="1613"/>
    <s v=""/>
    <m/>
    <m/>
    <n v="1350"/>
    <n v="1650"/>
    <s v=""/>
  </r>
  <r>
    <n v="1271"/>
    <s v="211271"/>
    <d v="2021-12-06T00:00:00"/>
    <x v="22"/>
    <n v="2000"/>
    <x v="1015"/>
    <m/>
    <x v="982"/>
    <x v="926"/>
    <s v=""/>
    <m/>
    <m/>
    <n v="1430"/>
    <n v="570"/>
    <s v=""/>
  </r>
  <r>
    <n v="1161"/>
    <s v="211161"/>
    <d v="2021-11-10T00:00:00"/>
    <x v="417"/>
    <n v="3250"/>
    <x v="1016"/>
    <m/>
    <x v="983"/>
    <x v="1535"/>
    <s v=""/>
    <m/>
    <m/>
    <n v="2861"/>
    <n v="389"/>
    <s v=""/>
  </r>
  <r>
    <n v="1160"/>
    <s v="211160"/>
    <d v="2021-11-10T00:00:00"/>
    <x v="417"/>
    <n v="50490"/>
    <x v="1017"/>
    <m/>
    <x v="983"/>
    <x v="1614"/>
    <s v=""/>
    <m/>
    <m/>
    <n v="37110"/>
    <n v="13380"/>
    <s v=""/>
  </r>
  <r>
    <n v="1269"/>
    <s v="211269"/>
    <d v="2021-12-03T00:00:00"/>
    <x v="294"/>
    <n v="13990"/>
    <x v="1017"/>
    <m/>
    <x v="984"/>
    <x v="793"/>
    <s v=""/>
    <m/>
    <m/>
    <n v="9810"/>
    <n v="4180"/>
    <s v=""/>
  </r>
  <r>
    <n v="1283"/>
    <s v="211283"/>
    <d v="2021-12-09T00:00:00"/>
    <x v="43"/>
    <n v="69990"/>
    <x v="1018"/>
    <m/>
    <x v="985"/>
    <x v="1533"/>
    <s v=""/>
    <m/>
    <m/>
    <n v="51792"/>
    <n v="18198"/>
    <s v=""/>
  </r>
  <r>
    <n v="1300"/>
    <s v="211300"/>
    <d v="2021-12-14T00:00:00"/>
    <x v="441"/>
    <n v="4570"/>
    <x v="1019"/>
    <m/>
    <x v="986"/>
    <x v="1116"/>
    <s v=""/>
    <m/>
    <m/>
    <n v="3509"/>
    <n v="1061"/>
    <s v=""/>
  </r>
  <r>
    <n v="1178"/>
    <s v="211178"/>
    <d v="2021-11-15T00:00:00"/>
    <x v="204"/>
    <n v="977"/>
    <x v="1020"/>
    <m/>
    <x v="984"/>
    <x v="1615"/>
    <s v=""/>
    <m/>
    <m/>
    <n v="644"/>
    <n v="333"/>
    <s v=""/>
  </r>
  <r>
    <n v="1091"/>
    <s v="211091"/>
    <d v="2021-10-21T00:00:00"/>
    <x v="20"/>
    <n v="97583"/>
    <x v="1021"/>
    <m/>
    <x v="982"/>
    <x v="1616"/>
    <s v=""/>
    <m/>
    <m/>
    <n v="67577.399999999994"/>
    <n v="30005.600000000006"/>
    <s v=""/>
  </r>
  <r>
    <n v="1182"/>
    <s v="211182"/>
    <d v="2021-11-15T00:00:00"/>
    <x v="20"/>
    <n v="165000"/>
    <x v="1021"/>
    <m/>
    <x v="987"/>
    <x v="1617"/>
    <s v=""/>
    <m/>
    <m/>
    <n v="152000"/>
    <n v="13000"/>
    <s v=""/>
  </r>
  <r>
    <n v="943"/>
    <s v="210943"/>
    <d v="2021-09-03T00:00:00"/>
    <x v="14"/>
    <n v="20000"/>
    <x v="1022"/>
    <m/>
    <x v="988"/>
    <x v="1618"/>
    <s v=""/>
    <m/>
    <n v="2400"/>
    <n v="6600"/>
    <n v="13400"/>
    <s v=""/>
  </r>
  <r>
    <n v="1056"/>
    <s v="211056"/>
    <d v="2021-10-12T00:00:00"/>
    <x v="14"/>
    <n v="17774.5"/>
    <x v="1022"/>
    <m/>
    <x v="957"/>
    <x v="1619"/>
    <s v=""/>
    <m/>
    <m/>
    <n v="13197"/>
    <n v="4577.5"/>
    <s v=""/>
  </r>
  <r>
    <n v="1289"/>
    <s v="211289"/>
    <d v="2021-12-09T00:00:00"/>
    <x v="331"/>
    <n v="4062"/>
    <x v="1022"/>
    <m/>
    <x v="952"/>
    <x v="1587"/>
    <s v=""/>
    <m/>
    <m/>
    <n v="3127"/>
    <n v="935"/>
    <s v=""/>
  </r>
  <r>
    <n v="1303"/>
    <s v="211303"/>
    <d v="2021-12-14T00:00:00"/>
    <x v="417"/>
    <n v="50490"/>
    <x v="1022"/>
    <m/>
    <x v="989"/>
    <x v="1614"/>
    <s v=""/>
    <m/>
    <m/>
    <n v="37110"/>
    <n v="13380"/>
    <s v=""/>
  </r>
  <r>
    <n v="1119"/>
    <s v="211119"/>
    <d v="2021-10-28T00:00:00"/>
    <x v="23"/>
    <n v="24582"/>
    <x v="1023"/>
    <m/>
    <x v="990"/>
    <x v="1620"/>
    <s v=""/>
    <m/>
    <m/>
    <n v="16943"/>
    <n v="7639"/>
    <s v=""/>
  </r>
  <r>
    <n v="1231"/>
    <s v="211231"/>
    <d v="2021-11-29T00:00:00"/>
    <x v="126"/>
    <n v="10464"/>
    <x v="1024"/>
    <m/>
    <x v="989"/>
    <x v="1621"/>
    <s v=""/>
    <m/>
    <m/>
    <n v="8057"/>
    <n v="2407"/>
    <s v=""/>
  </r>
  <r>
    <n v="1225"/>
    <s v="211225"/>
    <d v="2021-01-26T00:00:00"/>
    <x v="23"/>
    <n v="18348"/>
    <x v="1024"/>
    <m/>
    <x v="984"/>
    <x v="1622"/>
    <s v=""/>
    <m/>
    <m/>
    <n v="14310"/>
    <n v="4038"/>
    <s v=""/>
  </r>
  <r>
    <n v="1310"/>
    <s v="211310"/>
    <d v="2021-12-17T00:00:00"/>
    <x v="394"/>
    <n v="8910"/>
    <x v="1025"/>
    <m/>
    <x v="991"/>
    <x v="795"/>
    <s v=""/>
    <m/>
    <m/>
    <n v="6950"/>
    <n v="1960"/>
    <s v=""/>
  </r>
  <r>
    <n v="1204"/>
    <s v="221204"/>
    <d v="2022-11-18T00:00:00"/>
    <x v="198"/>
    <n v="135840.5"/>
    <x v="1026"/>
    <m/>
    <x v="992"/>
    <x v="1623"/>
    <s v=""/>
    <m/>
    <m/>
    <n v="105812"/>
    <n v="30028.5"/>
    <s v=""/>
  </r>
  <r>
    <n v="1174"/>
    <s v="211174"/>
    <d v="2021-11-12T00:00:00"/>
    <x v="37"/>
    <n v="4400"/>
    <x v="1027"/>
    <m/>
    <x v="984"/>
    <x v="786"/>
    <s v=""/>
    <m/>
    <m/>
    <n v="3430"/>
    <n v="970"/>
    <s v=""/>
  </r>
  <r>
    <n v="13"/>
    <s v="220013"/>
    <d v="2022-01-13T00:00:00"/>
    <x v="22"/>
    <n v="4403"/>
    <x v="1028"/>
    <m/>
    <x v="993"/>
    <x v="1624"/>
    <s v=""/>
    <m/>
    <m/>
    <n v="3304"/>
    <n v="1099"/>
    <s v=""/>
  </r>
  <r>
    <n v="12"/>
    <s v="220012"/>
    <d v="2022-01-13T00:00:00"/>
    <x v="59"/>
    <n v="4208"/>
    <x v="1029"/>
    <m/>
    <x v="994"/>
    <x v="1506"/>
    <s v=""/>
    <m/>
    <m/>
    <n v="3282"/>
    <n v="926"/>
    <s v=""/>
  </r>
  <r>
    <n v="1280"/>
    <s v="211280"/>
    <d v="2021-12-08T00:00:00"/>
    <x v="20"/>
    <n v="38446"/>
    <x v="1030"/>
    <m/>
    <x v="995"/>
    <x v="1625"/>
    <s v=""/>
    <m/>
    <m/>
    <n v="29711"/>
    <n v="8735"/>
    <s v=""/>
  </r>
  <r>
    <n v="31"/>
    <s v="220031"/>
    <d v="2022-01-19T00:00:00"/>
    <x v="92"/>
    <n v="12616"/>
    <x v="1031"/>
    <m/>
    <x v="996"/>
    <x v="1626"/>
    <s v=""/>
    <m/>
    <m/>
    <n v="9840"/>
    <n v="2776"/>
    <s v=""/>
  </r>
  <r>
    <n v="33"/>
    <s v="220033"/>
    <d v="2022-01-21T00:00:00"/>
    <x v="437"/>
    <n v="1684"/>
    <x v="1032"/>
    <m/>
    <x v="997"/>
    <x v="1627"/>
    <s v=""/>
    <m/>
    <m/>
    <n v="1111"/>
    <n v="573"/>
    <s v=""/>
  </r>
  <r>
    <n v="22"/>
    <s v="220022"/>
    <d v="2022-01-14T00:00:00"/>
    <x v="331"/>
    <n v="4062"/>
    <x v="1033"/>
    <m/>
    <x v="998"/>
    <x v="1587"/>
    <s v=""/>
    <m/>
    <m/>
    <n v="3127"/>
    <n v="935"/>
    <s v=""/>
  </r>
  <r>
    <n v="1314"/>
    <s v="211314"/>
    <d v="2021-12-28T00:00:00"/>
    <x v="23"/>
    <n v="310040"/>
    <x v="1034"/>
    <m/>
    <x v="999"/>
    <x v="1628"/>
    <s v=""/>
    <m/>
    <m/>
    <n v="229265.62"/>
    <n v="80774.38"/>
    <s v=""/>
  </r>
  <r>
    <n v="1233"/>
    <s v="211233"/>
    <d v="2021-11-29T00:00:00"/>
    <x v="11"/>
    <n v="97728"/>
    <x v="1034"/>
    <m/>
    <x v="1000"/>
    <x v="1596"/>
    <s v=""/>
    <m/>
    <m/>
    <n v="42624"/>
    <n v="55104"/>
    <s v=""/>
  </r>
  <r>
    <n v="16"/>
    <s v="220016"/>
    <d v="2022-01-13T00:00:00"/>
    <x v="102"/>
    <n v="2776"/>
    <x v="1035"/>
    <m/>
    <x v="997"/>
    <x v="1629"/>
    <s v=""/>
    <m/>
    <m/>
    <n v="1857"/>
    <n v="919"/>
    <s v=""/>
  </r>
  <r>
    <n v="4"/>
    <s v="220004"/>
    <d v="2022-01-10T00:00:00"/>
    <x v="13"/>
    <n v="209250"/>
    <x v="1036"/>
    <m/>
    <x v="976"/>
    <x v="1630"/>
    <s v=""/>
    <n v="45000"/>
    <m/>
    <n v="31928.75"/>
    <n v="177321.25"/>
    <s v=""/>
  </r>
  <r>
    <n v="14"/>
    <s v="220014"/>
    <d v="2022-01-13T00:00:00"/>
    <x v="102"/>
    <n v="12000"/>
    <x v="1037"/>
    <m/>
    <x v="1001"/>
    <x v="319"/>
    <s v=""/>
    <m/>
    <m/>
    <n v="8851.2800000000007"/>
    <n v="3148.7199999999993"/>
    <s v=""/>
  </r>
  <r>
    <n v="56"/>
    <s v="220056"/>
    <d v="2022-02-01T00:00:00"/>
    <x v="442"/>
    <n v="18290"/>
    <x v="1038"/>
    <m/>
    <x v="1002"/>
    <x v="778"/>
    <s v=""/>
    <m/>
    <m/>
    <n v="12855"/>
    <n v="5435"/>
    <s v=""/>
  </r>
  <r>
    <n v="65"/>
    <s v="220065"/>
    <d v="2022-02-03T00:00:00"/>
    <x v="265"/>
    <n v="1260"/>
    <x v="1039"/>
    <m/>
    <x v="1003"/>
    <x v="1631"/>
    <s v=""/>
    <m/>
    <m/>
    <n v="932.13"/>
    <n v="327.87"/>
    <s v=""/>
  </r>
  <r>
    <n v="40"/>
    <s v="220040"/>
    <d v="2022-01-24T00:00:00"/>
    <x v="37"/>
    <n v="63064"/>
    <x v="1040"/>
    <m/>
    <x v="1004"/>
    <x v="1632"/>
    <s v=""/>
    <m/>
    <m/>
    <n v="28509"/>
    <n v="8048"/>
    <s v=""/>
  </r>
  <r>
    <n v="1180"/>
    <s v="211180"/>
    <d v="2021-11-15T00:00:00"/>
    <x v="198"/>
    <n v="7338"/>
    <x v="1041"/>
    <m/>
    <x v="984"/>
    <x v="1633"/>
    <s v=""/>
    <m/>
    <m/>
    <n v="4747"/>
    <n v="2591"/>
    <s v=""/>
  </r>
  <r>
    <n v="85"/>
    <s v="220085"/>
    <d v="2022-02-11T00:00:00"/>
    <x v="57"/>
    <n v="4550"/>
    <x v="1042"/>
    <m/>
    <x v="1005"/>
    <x v="1634"/>
    <s v=""/>
    <m/>
    <m/>
    <n v="3229.5"/>
    <n v="1320.5"/>
    <s v=""/>
  </r>
  <r>
    <n v="94"/>
    <s v="220094"/>
    <d v="2022-02-17T00:00:00"/>
    <x v="443"/>
    <n v="191000"/>
    <x v="1043"/>
    <n v="1"/>
    <x v="1001"/>
    <x v="1635"/>
    <n v="191000"/>
    <m/>
    <m/>
    <n v="151322"/>
    <n v="39678"/>
    <n v="39678"/>
  </r>
  <r>
    <n v="101"/>
    <s v="220101"/>
    <d v="2022-02-21T00:00:00"/>
    <x v="9"/>
    <n v="3630"/>
    <x v="1044"/>
    <m/>
    <x v="1006"/>
    <x v="1636"/>
    <s v=""/>
    <m/>
    <m/>
    <n v="2396"/>
    <n v="1234"/>
    <s v=""/>
  </r>
  <r>
    <n v="24"/>
    <s v="220024"/>
    <d v="2022-01-17T00:00:00"/>
    <x v="13"/>
    <n v="207000"/>
    <x v="1045"/>
    <m/>
    <x v="1007"/>
    <x v="1637"/>
    <s v=""/>
    <n v="45000"/>
    <m/>
    <n v="30660"/>
    <n v="176340"/>
    <s v=""/>
  </r>
  <r>
    <n v="86"/>
    <s v="220086"/>
    <d v="2022-02-14T00:00:00"/>
    <x v="331"/>
    <n v="8498"/>
    <x v="1045"/>
    <m/>
    <x v="1008"/>
    <x v="1638"/>
    <s v=""/>
    <m/>
    <m/>
    <n v="6254"/>
    <n v="2244"/>
    <s v=""/>
  </r>
  <r>
    <n v="106"/>
    <s v="220106"/>
    <d v="2022-02-21T00:00:00"/>
    <x v="32"/>
    <n v="3630"/>
    <x v="1046"/>
    <m/>
    <x v="1009"/>
    <x v="1636"/>
    <s v=""/>
    <m/>
    <m/>
    <n v="2232"/>
    <n v="1398"/>
    <s v=""/>
  </r>
  <r>
    <n v="108"/>
    <s v="220108"/>
    <d v="2022-02-22T00:00:00"/>
    <x v="134"/>
    <n v="4720"/>
    <x v="1047"/>
    <m/>
    <x v="1010"/>
    <x v="1639"/>
    <s v=""/>
    <m/>
    <m/>
    <n v="3008"/>
    <n v="1712"/>
    <s v=""/>
  </r>
  <r>
    <n v="99"/>
    <s v="220099"/>
    <d v="2022-02-18T00:00:00"/>
    <x v="1"/>
    <n v="10377"/>
    <x v="1047"/>
    <m/>
    <x v="1011"/>
    <x v="1501"/>
    <s v=""/>
    <m/>
    <m/>
    <n v="8061"/>
    <n v="2316"/>
    <s v=""/>
  </r>
  <r>
    <n v="117"/>
    <s v="220117"/>
    <d v="2022-02-25T00:00:00"/>
    <x v="57"/>
    <n v="18160"/>
    <x v="1048"/>
    <m/>
    <x v="1012"/>
    <x v="1640"/>
    <s v=""/>
    <m/>
    <m/>
    <n v="11986"/>
    <n v="6174"/>
    <s v=""/>
  </r>
  <r>
    <n v="1093"/>
    <s v="211093"/>
    <d v="2021-10-21T00:00:00"/>
    <x v="126"/>
    <n v="6211.3"/>
    <x v="1048"/>
    <m/>
    <x v="994"/>
    <x v="1641"/>
    <s v=""/>
    <m/>
    <m/>
    <n v="5037"/>
    <n v="1174.3000000000002"/>
    <s v=""/>
  </r>
  <r>
    <n v="40"/>
    <s v="220040"/>
    <d v="2022-01-24T00:00:00"/>
    <x v="37"/>
    <n v="63064"/>
    <x v="1049"/>
    <m/>
    <x v="1005"/>
    <x v="1642"/>
    <s v=""/>
    <m/>
    <m/>
    <n v="21753"/>
    <n v="4754"/>
    <s v=""/>
  </r>
  <r>
    <n v="122"/>
    <s v="220122"/>
    <d v="2022-02-28T00:00:00"/>
    <x v="57"/>
    <n v="2340"/>
    <x v="1050"/>
    <m/>
    <x v="1013"/>
    <x v="1643"/>
    <s v=""/>
    <m/>
    <m/>
    <n v="1738"/>
    <n v="602"/>
    <s v=""/>
  </r>
  <r>
    <n v="123"/>
    <s v="220123"/>
    <d v="2022-03-01T00:00:00"/>
    <x v="10"/>
    <n v="22290"/>
    <x v="1050"/>
    <m/>
    <x v="1013"/>
    <x v="1644"/>
    <s v=""/>
    <m/>
    <m/>
    <n v="15612"/>
    <n v="6678"/>
    <s v=""/>
  </r>
  <r>
    <n v="128"/>
    <s v="220128"/>
    <d v="2022-03-02T00:00:00"/>
    <x v="298"/>
    <n v="6918"/>
    <x v="1051"/>
    <m/>
    <x v="1014"/>
    <x v="1539"/>
    <s v=""/>
    <m/>
    <m/>
    <n v="5374"/>
    <n v="1544"/>
    <s v=""/>
  </r>
  <r>
    <n v="136"/>
    <s v="220136"/>
    <d v="2022-03-03T00:00:00"/>
    <x v="338"/>
    <n v="45420"/>
    <x v="1051"/>
    <m/>
    <x v="1015"/>
    <x v="1645"/>
    <s v=""/>
    <m/>
    <m/>
    <n v="29976"/>
    <n v="15444"/>
    <s v=""/>
  </r>
  <r>
    <n v="144"/>
    <s v="220144"/>
    <d v="2022-03-05T00:00:00"/>
    <x v="444"/>
    <n v="40490"/>
    <x v="1051"/>
    <m/>
    <x v="1014"/>
    <x v="1646"/>
    <s v=""/>
    <m/>
    <m/>
    <n v="22251"/>
    <n v="18239"/>
    <s v=""/>
  </r>
  <r>
    <n v="142"/>
    <s v="220142"/>
    <d v="2022-03-05T00:00:00"/>
    <x v="126"/>
    <n v="1930"/>
    <x v="1052"/>
    <m/>
    <x v="1016"/>
    <x v="1647"/>
    <s v=""/>
    <m/>
    <m/>
    <n v="1180"/>
    <n v="750"/>
    <s v=""/>
  </r>
  <r>
    <n v="132"/>
    <s v="220132"/>
    <d v="2022-03-03T00:00:00"/>
    <x v="126"/>
    <n v="10979"/>
    <x v="1052"/>
    <m/>
    <x v="1016"/>
    <x v="1648"/>
    <s v=""/>
    <m/>
    <m/>
    <n v="8057"/>
    <n v="2922"/>
    <s v=""/>
  </r>
  <r>
    <n v="1155"/>
    <s v="221155"/>
    <d v="2022-03-09T00:00:00"/>
    <x v="403"/>
    <n v="11500"/>
    <x v="1053"/>
    <m/>
    <x v="1017"/>
    <x v="320"/>
    <s v=""/>
    <m/>
    <m/>
    <n v="5724.25"/>
    <n v="5775.75"/>
    <s v=""/>
  </r>
  <r>
    <n v="161"/>
    <s v="220161"/>
    <d v="2022-03-11T00:00:00"/>
    <x v="371"/>
    <n v="13510"/>
    <x v="1054"/>
    <m/>
    <x v="1018"/>
    <x v="1649"/>
    <s v=""/>
    <m/>
    <m/>
    <n v="4450"/>
    <n v="4278"/>
    <s v=""/>
  </r>
  <r>
    <n v="137"/>
    <s v="220137"/>
    <d v="2022-03-10T00:00:00"/>
    <x v="445"/>
    <n v="2163000"/>
    <x v="1054"/>
    <n v="1"/>
    <x v="1019"/>
    <x v="1650"/>
    <n v="2163000"/>
    <m/>
    <m/>
    <n v="2007510"/>
    <n v="155490"/>
    <n v="155490"/>
  </r>
  <r>
    <n v="156"/>
    <s v="220156"/>
    <d v="2022-03-10T00:00:00"/>
    <x v="445"/>
    <n v="2163000"/>
    <x v="1055"/>
    <n v="1"/>
    <x v="1019"/>
    <x v="1650"/>
    <n v="2163000"/>
    <m/>
    <m/>
    <n v="2007520"/>
    <n v="155480"/>
    <n v="155480"/>
  </r>
  <r>
    <n v="149"/>
    <s v="220149"/>
    <d v="2022-03-09T00:00:00"/>
    <x v="331"/>
    <n v="9118"/>
    <x v="1055"/>
    <m/>
    <x v="1020"/>
    <x v="1651"/>
    <s v=""/>
    <m/>
    <m/>
    <n v="5524"/>
    <n v="3594"/>
    <s v=""/>
  </r>
  <r>
    <n v="168"/>
    <s v="220168"/>
    <d v="2022-03-14T00:00:00"/>
    <x v="403"/>
    <n v="19930"/>
    <x v="1056"/>
    <m/>
    <x v="1021"/>
    <x v="1652"/>
    <s v=""/>
    <m/>
    <m/>
    <n v="9767"/>
    <n v="10163"/>
    <s v=""/>
  </r>
  <r>
    <n v="175"/>
    <s v="220175"/>
    <d v="2022-03-16T00:00:00"/>
    <x v="204"/>
    <n v="5470"/>
    <x v="1057"/>
    <m/>
    <x v="1022"/>
    <x v="1653"/>
    <s v=""/>
    <m/>
    <m/>
    <n v="2714"/>
    <n v="2756"/>
    <s v=""/>
  </r>
  <r>
    <n v="3"/>
    <s v="220003"/>
    <d v="2022-01-10T00:00:00"/>
    <x v="198"/>
    <n v="4900"/>
    <x v="1058"/>
    <m/>
    <x v="1023"/>
    <x v="12"/>
    <s v=""/>
    <m/>
    <m/>
    <n v="3042"/>
    <n v="1858"/>
    <s v=""/>
  </r>
  <r>
    <n v="44"/>
    <s v="220044"/>
    <d v="2022-01-24T00:00:00"/>
    <x v="394"/>
    <n v="150596"/>
    <x v="1058"/>
    <m/>
    <x v="1024"/>
    <x v="1654"/>
    <s v=""/>
    <m/>
    <m/>
    <n v="115686"/>
    <n v="34910"/>
    <s v=""/>
  </r>
  <r>
    <n v="161"/>
    <s v="220161"/>
    <d v="2022-03-11T00:00:00"/>
    <x v="371"/>
    <n v="13510"/>
    <x v="1059"/>
    <m/>
    <x v="1018"/>
    <x v="1655"/>
    <s v=""/>
    <m/>
    <m/>
    <n v="2447"/>
    <n v="2335"/>
    <s v=""/>
  </r>
  <r>
    <n v="247"/>
    <s v="220247"/>
    <d v="2022-04-06T00:00:00"/>
    <x v="446"/>
    <n v="35601"/>
    <x v="1060"/>
    <n v="1"/>
    <x v="1025"/>
    <x v="1656"/>
    <n v="35000"/>
    <m/>
    <m/>
    <n v="21750"/>
    <n v="13250"/>
    <n v="13250"/>
  </r>
  <r>
    <n v="194"/>
    <s v="220194"/>
    <d v="2022-03-22T00:00:00"/>
    <x v="298"/>
    <n v="17680"/>
    <x v="1061"/>
    <m/>
    <x v="1026"/>
    <x v="1657"/>
    <s v=""/>
    <m/>
    <m/>
    <n v="13790"/>
    <n v="3890"/>
    <s v=""/>
  </r>
  <r>
    <n v="189"/>
    <s v="220189"/>
    <d v="2022-03-22T00:00:00"/>
    <x v="390"/>
    <n v="600"/>
    <x v="1062"/>
    <m/>
    <x v="1026"/>
    <x v="400"/>
    <s v=""/>
    <m/>
    <m/>
    <n v="243.5"/>
    <n v="356.5"/>
    <s v=""/>
  </r>
  <r>
    <n v="150"/>
    <s v="220150"/>
    <d v="2022-03-09T00:00:00"/>
    <x v="23"/>
    <n v="26000"/>
    <x v="1063"/>
    <m/>
    <x v="1027"/>
    <x v="1658"/>
    <s v=""/>
    <m/>
    <m/>
    <n v="13430"/>
    <n v="12570"/>
    <s v=""/>
  </r>
  <r>
    <n v="171"/>
    <s v="220171"/>
    <d v="2022-03-15T00:00:00"/>
    <x v="102"/>
    <n v="4300"/>
    <x v="1064"/>
    <m/>
    <x v="1006"/>
    <x v="1494"/>
    <s v=""/>
    <m/>
    <m/>
    <n v="1857"/>
    <n v="2443"/>
    <s v=""/>
  </r>
  <r>
    <n v="226"/>
    <s v="220226"/>
    <d v="2022-03-30T00:00:00"/>
    <x v="357"/>
    <n v="113740"/>
    <x v="1065"/>
    <m/>
    <x v="1006"/>
    <x v="1659"/>
    <s v=""/>
    <m/>
    <m/>
    <n v="60766"/>
    <n v="52974"/>
    <s v=""/>
  </r>
  <r>
    <n v="224"/>
    <s v="220224"/>
    <d v="2022-03-30T00:00:00"/>
    <x v="10"/>
    <n v="7668"/>
    <x v="1066"/>
    <m/>
    <x v="1006"/>
    <x v="1660"/>
    <s v=""/>
    <m/>
    <m/>
    <n v="5623"/>
    <n v="2045"/>
    <s v=""/>
  </r>
  <r>
    <n v="211"/>
    <s v="220211"/>
    <d v="2022-03-25T00:00:00"/>
    <x v="320"/>
    <n v="1480"/>
    <x v="1066"/>
    <m/>
    <x v="1012"/>
    <x v="1661"/>
    <s v=""/>
    <m/>
    <m/>
    <n v="977"/>
    <n v="503"/>
    <s v=""/>
  </r>
  <r>
    <n v="214"/>
    <s v="220214"/>
    <d v="2022-03-28T00:00:00"/>
    <x v="371"/>
    <n v="15920"/>
    <x v="1066"/>
    <m/>
    <x v="1028"/>
    <x v="1662"/>
    <s v=""/>
    <m/>
    <m/>
    <n v="9470"/>
    <n v="6450"/>
    <s v=""/>
  </r>
  <r>
    <n v="247"/>
    <s v="220247"/>
    <d v="2022-04-06T00:00:00"/>
    <x v="446"/>
    <n v="35601"/>
    <x v="1067"/>
    <n v="1"/>
    <x v="1025"/>
    <x v="1663"/>
    <n v="601"/>
    <m/>
    <m/>
    <n v="601"/>
    <n v="0"/>
    <n v="0"/>
  </r>
  <r>
    <n v="76"/>
    <s v="220076"/>
    <d v="2022-02-08T00:00:00"/>
    <x v="13"/>
    <n v="222400"/>
    <x v="1068"/>
    <m/>
    <x v="1005"/>
    <x v="1664"/>
    <s v=""/>
    <n v="45000"/>
    <m/>
    <n v="46330"/>
    <n v="176070"/>
    <s v=""/>
  </r>
  <r>
    <n v="239"/>
    <s v="220239"/>
    <d v="2022-04-04T00:00:00"/>
    <x v="32"/>
    <n v="492"/>
    <x v="1068"/>
    <m/>
    <x v="1026"/>
    <x v="1665"/>
    <s v=""/>
    <m/>
    <m/>
    <n v="158"/>
    <n v="334"/>
    <s v=""/>
  </r>
  <r>
    <n v="253"/>
    <s v="220253"/>
    <d v="2022-04-06T00:00:00"/>
    <x v="58"/>
    <n v="17150"/>
    <x v="1068"/>
    <m/>
    <x v="1029"/>
    <x v="1666"/>
    <s v=""/>
    <m/>
    <m/>
    <n v="8990"/>
    <n v="8160"/>
    <s v=""/>
  </r>
  <r>
    <n v="34"/>
    <s v="220034"/>
    <d v="2022-03-14T00:00:00"/>
    <x v="23"/>
    <n v="32490"/>
    <x v="1069"/>
    <m/>
    <x v="1027"/>
    <x v="1206"/>
    <s v=""/>
    <m/>
    <m/>
    <n v="23750"/>
    <n v="8740"/>
    <s v=""/>
  </r>
  <r>
    <n v="163"/>
    <s v="220163"/>
    <d v="2022-03-14T00:00:00"/>
    <x v="20"/>
    <n v="24100"/>
    <x v="1070"/>
    <m/>
    <x v="1024"/>
    <x v="1667"/>
    <s v=""/>
    <m/>
    <m/>
    <n v="12504"/>
    <n v="11596"/>
    <s v=""/>
  </r>
  <r>
    <n v="254"/>
    <s v="220254"/>
    <d v="2022-04-07T00:00:00"/>
    <x v="23"/>
    <n v="21400"/>
    <x v="1071"/>
    <m/>
    <x v="1030"/>
    <x v="1668"/>
    <s v=""/>
    <m/>
    <m/>
    <n v="10697.4"/>
    <n v="10702.6"/>
    <s v=""/>
  </r>
  <r>
    <n v="291"/>
    <s v="220291"/>
    <d v="2022-04-15T00:00:00"/>
    <x v="101"/>
    <n v="30380"/>
    <x v="1072"/>
    <m/>
    <x v="1031"/>
    <x v="1669"/>
    <s v=""/>
    <m/>
    <m/>
    <n v="23692"/>
    <n v="6688"/>
    <s v=""/>
  </r>
  <r>
    <n v="255"/>
    <s v="220255"/>
    <d v="2022-04-07T00:00:00"/>
    <x v="102"/>
    <n v="3300"/>
    <x v="1073"/>
    <m/>
    <x v="1032"/>
    <x v="1670"/>
    <s v=""/>
    <m/>
    <m/>
    <n v="1258.5"/>
    <n v="2041.5"/>
    <s v=""/>
  </r>
  <r>
    <n v="212"/>
    <s v="220212"/>
    <d v="2022-03-25T00:00:00"/>
    <x v="37"/>
    <n v="21400"/>
    <x v="1074"/>
    <m/>
    <x v="1018"/>
    <x v="1668"/>
    <s v=""/>
    <m/>
    <m/>
    <n v="10737"/>
    <n v="10663"/>
    <s v=""/>
  </r>
  <r>
    <n v="339"/>
    <s v="220339"/>
    <d v="2022-04-28T00:00:00"/>
    <x v="101"/>
    <n v="8050"/>
    <x v="1074"/>
    <m/>
    <x v="1031"/>
    <x v="1671"/>
    <s v=""/>
    <m/>
    <m/>
    <n v="4638"/>
    <n v="3412"/>
    <s v=""/>
  </r>
  <r>
    <n v="352"/>
    <s v="220352"/>
    <d v="2022-05-04T00:00:00"/>
    <x v="81"/>
    <n v="15070"/>
    <x v="1075"/>
    <m/>
    <x v="1033"/>
    <x v="1672"/>
    <s v=""/>
    <m/>
    <m/>
    <n v="7979"/>
    <n v="7091"/>
    <s v=""/>
  </r>
  <r>
    <n v="361"/>
    <s v="220361"/>
    <d v="2022-05-05T00:00:00"/>
    <x v="173"/>
    <n v="24620"/>
    <x v="1076"/>
    <m/>
    <x v="1034"/>
    <x v="1673"/>
    <s v=""/>
    <m/>
    <m/>
    <n v="19204"/>
    <n v="5416"/>
    <s v=""/>
  </r>
  <r>
    <n v="386"/>
    <s v="220386"/>
    <d v="2022-05-13T00:00:00"/>
    <x v="447"/>
    <n v="11350"/>
    <x v="1077"/>
    <m/>
    <x v="1025"/>
    <x v="1674"/>
    <s v=""/>
    <m/>
    <m/>
    <n v="4950"/>
    <n v="6400"/>
    <s v=""/>
  </r>
  <r>
    <n v="383"/>
    <s v="220383"/>
    <d v="2022-05-13T00:00:00"/>
    <x v="372"/>
    <n v="19600"/>
    <x v="1078"/>
    <m/>
    <x v="1025"/>
    <x v="1675"/>
    <s v=""/>
    <m/>
    <m/>
    <n v="6972"/>
    <n v="12628"/>
    <s v=""/>
  </r>
  <r>
    <n v="377"/>
    <s v="220377"/>
    <d v="2022-05-12T00:00:00"/>
    <x v="331"/>
    <n v="11100"/>
    <x v="1078"/>
    <m/>
    <x v="1035"/>
    <x v="1676"/>
    <s v=""/>
    <m/>
    <m/>
    <n v="5524"/>
    <n v="5576"/>
    <s v=""/>
  </r>
  <r>
    <n v="384"/>
    <s v="220384"/>
    <d v="2022-05-13T00:00:00"/>
    <x v="54"/>
    <n v="9600"/>
    <x v="1078"/>
    <m/>
    <x v="1036"/>
    <x v="736"/>
    <s v=""/>
    <m/>
    <m/>
    <n v="3492"/>
    <n v="6108"/>
    <s v=""/>
  </r>
  <r>
    <n v="398"/>
    <s v="220398"/>
    <d v="2022-05-18T00:00:00"/>
    <x v="32"/>
    <n v="296"/>
    <x v="1079"/>
    <m/>
    <x v="1037"/>
    <x v="1677"/>
    <s v=""/>
    <m/>
    <m/>
    <n v="54"/>
    <n v="242"/>
    <s v=""/>
  </r>
  <r>
    <n v="247"/>
    <s v="220247"/>
    <d v="2022-04-06T00:00:00"/>
    <x v="446"/>
    <n v="45601"/>
    <x v="1080"/>
    <m/>
    <x v="1025"/>
    <x v="640"/>
    <s v=""/>
    <m/>
    <m/>
    <n v="10000"/>
    <n v="0"/>
    <s v=""/>
  </r>
  <r>
    <n v="370"/>
    <s v="220370"/>
    <d v="2022-05-12T00:00:00"/>
    <x v="448"/>
    <n v="223780"/>
    <x v="1046"/>
    <n v="1"/>
    <x v="1038"/>
    <x v="1678"/>
    <n v="111890"/>
    <m/>
    <m/>
    <n v="62596"/>
    <n v="49294"/>
    <n v="49294"/>
  </r>
  <r>
    <n v="381"/>
    <s v="220381"/>
    <d v="2022-05-12T00:00:00"/>
    <x v="448"/>
    <n v="1106370"/>
    <x v="1046"/>
    <n v="1"/>
    <x v="1038"/>
    <x v="1679"/>
    <n v="553185"/>
    <m/>
    <m/>
    <n v="312786"/>
    <n v="240399"/>
    <n v="240399"/>
  </r>
  <r>
    <n v="197"/>
    <s v="220197"/>
    <d v="2022-03-23T00:00:00"/>
    <x v="20"/>
    <n v="41430"/>
    <x v="1047"/>
    <m/>
    <x v="1039"/>
    <x v="1680"/>
    <s v=""/>
    <m/>
    <n v="1200"/>
    <n v="18645"/>
    <n v="22785"/>
    <s v=""/>
  </r>
  <r>
    <n v="231"/>
    <s v="220231"/>
    <d v="2022-03-30T00:00:00"/>
    <x v="20"/>
    <n v="68040"/>
    <x v="1047"/>
    <m/>
    <x v="1039"/>
    <x v="1681"/>
    <s v=""/>
    <m/>
    <m/>
    <n v="37627"/>
    <n v="30413"/>
    <s v=""/>
  </r>
  <r>
    <n v="243"/>
    <s v="220243"/>
    <d v="2022-04-11T00:00:00"/>
    <x v="11"/>
    <n v="378331.2"/>
    <x v="1081"/>
    <m/>
    <x v="1040"/>
    <x v="1682"/>
    <s v=""/>
    <m/>
    <n v="19200"/>
    <n v="39344"/>
    <n v="89449.600000000006"/>
    <s v=""/>
  </r>
  <r>
    <n v="405"/>
    <s v="220405"/>
    <d v="2022-05-20T00:00:00"/>
    <x v="449"/>
    <n v="19855"/>
    <x v="1082"/>
    <m/>
    <x v="1041"/>
    <x v="1683"/>
    <s v=""/>
    <m/>
    <m/>
    <n v="10308"/>
    <n v="9547"/>
    <s v=""/>
  </r>
  <r>
    <n v="196"/>
    <s v="220196"/>
    <d v="2022-03-23T00:00:00"/>
    <x v="13"/>
    <n v="303400"/>
    <x v="1082"/>
    <m/>
    <x v="1039"/>
    <x v="1684"/>
    <s v=""/>
    <n v="60000"/>
    <n v="12000"/>
    <n v="79014.2"/>
    <n v="224385.8"/>
    <s v=""/>
  </r>
  <r>
    <n v="397"/>
    <s v="220397"/>
    <d v="2022-05-18T00:00:00"/>
    <x v="23"/>
    <n v="32100"/>
    <x v="1083"/>
    <m/>
    <x v="1042"/>
    <x v="1685"/>
    <s v=""/>
    <m/>
    <m/>
    <n v="11101"/>
    <n v="7004"/>
    <s v=""/>
  </r>
  <r>
    <n v="446"/>
    <s v="220446"/>
    <d v="2022-05-30T00:00:00"/>
    <x v="311"/>
    <n v="250"/>
    <x v="1083"/>
    <m/>
    <x v="1043"/>
    <x v="1686"/>
    <s v=""/>
    <m/>
    <m/>
    <n v="52"/>
    <n v="198"/>
    <s v=""/>
  </r>
  <r>
    <n v="427"/>
    <s v="220427"/>
    <d v="2022-05-25T00:00:00"/>
    <x v="383"/>
    <n v="24100"/>
    <x v="1083"/>
    <m/>
    <x v="1044"/>
    <x v="1667"/>
    <s v=""/>
    <m/>
    <m/>
    <n v="14427"/>
    <n v="9673"/>
    <s v=""/>
  </r>
  <r>
    <n v="370"/>
    <s v="220370"/>
    <d v="2022-05-12T00:00:00"/>
    <x v="448"/>
    <n v="223780"/>
    <x v="1083"/>
    <n v="1"/>
    <x v="1038"/>
    <x v="1678"/>
    <n v="111890"/>
    <m/>
    <m/>
    <n v="62596"/>
    <n v="49294"/>
    <n v="49294"/>
  </r>
  <r>
    <n v="381"/>
    <s v="220381"/>
    <d v="2022-05-12T00:00:00"/>
    <x v="448"/>
    <n v="1106370"/>
    <x v="1083"/>
    <n v="1"/>
    <x v="1038"/>
    <x v="1679"/>
    <n v="553185"/>
    <m/>
    <m/>
    <n v="312786"/>
    <n v="240399"/>
    <n v="240399"/>
  </r>
  <r>
    <n v="437"/>
    <s v="220437"/>
    <d v="2022-05-27T00:00:00"/>
    <x v="237"/>
    <n v="10050"/>
    <x v="1084"/>
    <m/>
    <x v="1045"/>
    <x v="1521"/>
    <s v=""/>
    <m/>
    <m/>
    <n v="6567"/>
    <n v="3483"/>
    <s v=""/>
  </r>
  <r>
    <n v="453"/>
    <s v="220453"/>
    <d v="2022-05-31T00:00:00"/>
    <x v="398"/>
    <n v="61099"/>
    <x v="1085"/>
    <m/>
    <x v="1046"/>
    <x v="1687"/>
    <s v=""/>
    <m/>
    <m/>
    <n v="41784"/>
    <n v="19315"/>
    <s v=""/>
  </r>
  <r>
    <n v="426"/>
    <s v="220426"/>
    <d v="2022-05-24T00:00:00"/>
    <x v="437"/>
    <n v="18700"/>
    <x v="1086"/>
    <m/>
    <x v="1031"/>
    <x v="1688"/>
    <s v=""/>
    <m/>
    <m/>
    <n v="5870"/>
    <n v="12830"/>
    <s v=""/>
  </r>
  <r>
    <n v="116"/>
    <s v="220116"/>
    <d v="2022-04-19T00:00:00"/>
    <x v="450"/>
    <n v="96440"/>
    <x v="1087"/>
    <m/>
    <x v="1043"/>
    <x v="1689"/>
    <s v=""/>
    <m/>
    <m/>
    <n v="48886"/>
    <n v="36584"/>
    <s v=""/>
  </r>
  <r>
    <n v="494"/>
    <s v="220494"/>
    <d v="2022-06-07T00:00:00"/>
    <x v="57"/>
    <n v="5280"/>
    <x v="1088"/>
    <m/>
    <x v="1047"/>
    <x v="1690"/>
    <s v=""/>
    <m/>
    <m/>
    <n v="4118"/>
    <n v="1162"/>
    <s v=""/>
  </r>
  <r>
    <n v="186"/>
    <s v="220186"/>
    <d v="2022-06-06T00:00:00"/>
    <x v="446"/>
    <n v="90063"/>
    <x v="1089"/>
    <m/>
    <x v="1048"/>
    <x v="1691"/>
    <s v=""/>
    <m/>
    <m/>
    <n v="61549"/>
    <n v="14403"/>
    <s v=""/>
  </r>
  <r>
    <n v="243"/>
    <s v="220243"/>
    <d v="2022-04-11T00:00:00"/>
    <x v="11"/>
    <n v="378331.2"/>
    <x v="1089"/>
    <m/>
    <x v="1040"/>
    <x v="1692"/>
    <s v=""/>
    <m/>
    <n v="7200"/>
    <n v="14757"/>
    <n v="33540.6"/>
    <s v=""/>
  </r>
  <r>
    <n v="423"/>
    <s v="220423"/>
    <d v="2022-05-24T00:00:00"/>
    <x v="228"/>
    <n v="13580"/>
    <x v="1090"/>
    <m/>
    <x v="1044"/>
    <x v="1693"/>
    <s v=""/>
    <m/>
    <m/>
    <n v="11598"/>
    <n v="1982"/>
    <s v=""/>
  </r>
  <r>
    <n v="491"/>
    <s v="220491"/>
    <d v="2022-06-07T00:00:00"/>
    <x v="23"/>
    <n v="26750"/>
    <x v="1091"/>
    <m/>
    <x v="1044"/>
    <x v="1694"/>
    <s v=""/>
    <m/>
    <m/>
    <n v="17915"/>
    <n v="8835"/>
    <s v=""/>
  </r>
  <r>
    <n v="283"/>
    <s v="220283"/>
    <d v="2022-04-14T00:00:00"/>
    <x v="20"/>
    <n v="144470"/>
    <x v="1091"/>
    <m/>
    <x v="1049"/>
    <x v="1695"/>
    <s v=""/>
    <m/>
    <m/>
    <n v="73277"/>
    <n v="71193"/>
    <s v=""/>
  </r>
  <r>
    <n v="477"/>
    <s v="220477"/>
    <d v="2022-06-03T00:00:00"/>
    <x v="1"/>
    <n v="12150"/>
    <x v="1092"/>
    <m/>
    <x v="1050"/>
    <x v="1696"/>
    <s v=""/>
    <m/>
    <m/>
    <n v="10749"/>
    <n v="1401"/>
    <s v=""/>
  </r>
  <r>
    <n v="243"/>
    <s v="220243"/>
    <d v="2022-04-11T00:00:00"/>
    <x v="11"/>
    <n v="378331.2"/>
    <x v="1093"/>
    <m/>
    <x v="1049"/>
    <x v="1697"/>
    <s v=""/>
    <m/>
    <m/>
    <n v="82813"/>
    <n v="118427"/>
    <s v=""/>
  </r>
  <r>
    <n v="513"/>
    <s v="220513"/>
    <d v="2022-06-14T00:00:00"/>
    <x v="448"/>
    <n v="559450"/>
    <x v="1093"/>
    <m/>
    <x v="1034"/>
    <x v="1698"/>
    <s v=""/>
    <m/>
    <m/>
    <n v="156490"/>
    <n v="123235"/>
    <s v=""/>
  </r>
  <r>
    <n v="565"/>
    <s v="220565"/>
    <d v="2022-06-23T00:00:00"/>
    <x v="394"/>
    <n v="93290"/>
    <x v="1094"/>
    <m/>
    <x v="1051"/>
    <x v="1699"/>
    <s v=""/>
    <m/>
    <m/>
    <n v="58304"/>
    <n v="34986"/>
    <s v=""/>
  </r>
  <r>
    <n v="535"/>
    <s v="220535"/>
    <d v="2022-06-17T00:00:00"/>
    <x v="59"/>
    <n v="4800"/>
    <x v="1095"/>
    <m/>
    <x v="1052"/>
    <x v="1700"/>
    <s v=""/>
    <m/>
    <m/>
    <n v="3282"/>
    <n v="1518"/>
    <s v=""/>
  </r>
  <r>
    <n v="587"/>
    <s v="220587"/>
    <d v="2022-06-30T00:00:00"/>
    <x v="332"/>
    <n v="5260"/>
    <x v="1095"/>
    <m/>
    <x v="1053"/>
    <x v="1701"/>
    <s v=""/>
    <m/>
    <m/>
    <n v="3364"/>
    <n v="1896"/>
    <s v=""/>
  </r>
  <r>
    <n v="513"/>
    <s v="220513"/>
    <d v="2022-06-14T00:00:00"/>
    <x v="448"/>
    <n v="559450"/>
    <x v="1095"/>
    <m/>
    <x v="1034"/>
    <x v="1698"/>
    <s v=""/>
    <m/>
    <m/>
    <n v="156490"/>
    <n v="123235"/>
    <s v=""/>
  </r>
  <r>
    <n v="594"/>
    <s v="220594"/>
    <d v="2022-07-01T00:00:00"/>
    <x v="451"/>
    <n v="8000"/>
    <x v="1096"/>
    <m/>
    <x v="1053"/>
    <x v="47"/>
    <s v=""/>
    <m/>
    <n v="600"/>
    <n v="2616"/>
    <n v="5384"/>
    <s v=""/>
  </r>
  <r>
    <n v="580"/>
    <s v="220580"/>
    <d v="2022-06-28T00:00:00"/>
    <x v="192"/>
    <n v="5310"/>
    <x v="1096"/>
    <m/>
    <x v="1053"/>
    <x v="1702"/>
    <s v=""/>
    <m/>
    <m/>
    <n v="5310"/>
    <n v="0"/>
    <s v=""/>
  </r>
  <r>
    <n v="509"/>
    <s v="220509"/>
    <d v="2022-06-10T00:00:00"/>
    <x v="198"/>
    <n v="171290"/>
    <x v="1097"/>
    <m/>
    <x v="1054"/>
    <x v="1703"/>
    <s v=""/>
    <m/>
    <m/>
    <n v="160000"/>
    <n v="11290"/>
    <s v=""/>
  </r>
  <r>
    <n v="320"/>
    <s v="220320"/>
    <d v="2022-04-25T00:00:00"/>
    <x v="13"/>
    <n v="187500"/>
    <x v="1098"/>
    <m/>
    <x v="1049"/>
    <x v="1704"/>
    <s v=""/>
    <n v="45000"/>
    <m/>
    <n v="38100"/>
    <n v="149400"/>
    <s v=""/>
  </r>
  <r>
    <n v="378"/>
    <s v="220378"/>
    <d v="2022-05-12T00:00:00"/>
    <x v="13"/>
    <n v="185000"/>
    <x v="1098"/>
    <m/>
    <x v="1049"/>
    <x v="1705"/>
    <s v=""/>
    <n v="36000"/>
    <m/>
    <n v="33790"/>
    <n v="151210"/>
    <s v=""/>
  </r>
  <r>
    <n v="392"/>
    <s v="220392"/>
    <d v="2022-05-17T00:00:00"/>
    <x v="13"/>
    <n v="217500"/>
    <x v="1098"/>
    <m/>
    <x v="1049"/>
    <x v="1706"/>
    <s v=""/>
    <n v="45000"/>
    <m/>
    <n v="27405"/>
    <n v="190095"/>
    <s v=""/>
  </r>
  <r>
    <n v="589"/>
    <s v="220589"/>
    <d v="2022-06-30T00:00:00"/>
    <x v="381"/>
    <n v="20450"/>
    <x v="1099"/>
    <m/>
    <x v="1055"/>
    <x v="1707"/>
    <s v=""/>
    <m/>
    <n v="600"/>
    <n v="3922"/>
    <n v="16528"/>
    <s v=""/>
  </r>
  <r>
    <n v="637"/>
    <s v="220637"/>
    <d v="2022-07-15T00:00:00"/>
    <x v="54"/>
    <n v="9600"/>
    <x v="1100"/>
    <m/>
    <x v="1056"/>
    <x v="736"/>
    <s v=""/>
    <m/>
    <m/>
    <n v="3744"/>
    <n v="5856"/>
    <s v=""/>
  </r>
  <r>
    <n v="502"/>
    <s v="220502"/>
    <d v="2022-06-08T00:00:00"/>
    <x v="72"/>
    <n v="104360"/>
    <x v="1101"/>
    <m/>
    <x v="1050"/>
    <x v="1708"/>
    <s v=""/>
    <m/>
    <n v="600"/>
    <n v="71891"/>
    <n v="32469"/>
    <s v=""/>
  </r>
  <r>
    <n v="404"/>
    <s v="220404"/>
    <d v="2022-05-20T00:00:00"/>
    <x v="78"/>
    <n v="37490"/>
    <x v="1102"/>
    <m/>
    <x v="1057"/>
    <x v="1709"/>
    <s v=""/>
    <m/>
    <m/>
    <n v="27376"/>
    <n v="10114"/>
    <s v=""/>
  </r>
  <r>
    <n v="661"/>
    <s v="220661"/>
    <d v="2022-07-21T00:00:00"/>
    <x v="57"/>
    <n v="10030"/>
    <x v="1103"/>
    <m/>
    <x v="1058"/>
    <x v="1710"/>
    <s v=""/>
    <m/>
    <m/>
    <n v="5574"/>
    <n v="4456"/>
    <s v=""/>
  </r>
  <r>
    <n v="669"/>
    <s v="220669"/>
    <d v="2022-07-22T00:00:00"/>
    <x v="452"/>
    <n v="3800"/>
    <x v="1103"/>
    <n v="1"/>
    <x v="1059"/>
    <x v="1711"/>
    <n v="3800"/>
    <m/>
    <m/>
    <n v="2964"/>
    <n v="836"/>
    <n v="836"/>
  </r>
  <r>
    <n v="662"/>
    <s v="220662"/>
    <d v="2022-07-21T00:00:00"/>
    <x v="9"/>
    <n v="43600"/>
    <x v="1103"/>
    <m/>
    <x v="1058"/>
    <x v="1712"/>
    <s v=""/>
    <m/>
    <m/>
    <n v="27620"/>
    <n v="15980"/>
    <s v=""/>
  </r>
  <r>
    <n v="671"/>
    <s v="220671"/>
    <d v="2022-07-22T00:00:00"/>
    <x v="9"/>
    <n v="23940"/>
    <x v="1104"/>
    <m/>
    <x v="1060"/>
    <x v="1713"/>
    <s v=""/>
    <m/>
    <m/>
    <n v="18674"/>
    <n v="5266"/>
    <s v=""/>
  </r>
  <r>
    <n v="551"/>
    <s v="220551"/>
    <d v="2022-06-21T00:00:00"/>
    <x v="198"/>
    <n v="2500"/>
    <x v="1105"/>
    <m/>
    <x v="1061"/>
    <x v="478"/>
    <s v=""/>
    <m/>
    <m/>
    <n v="1391"/>
    <n v="1109"/>
    <s v=""/>
  </r>
  <r>
    <n v="712"/>
    <s v="220712"/>
    <d v="2022-08-02T00:00:00"/>
    <x v="162"/>
    <n v="9860"/>
    <x v="1106"/>
    <m/>
    <x v="1062"/>
    <x v="1714"/>
    <s v=""/>
    <m/>
    <m/>
    <n v="8106.26"/>
    <n v="1753.7399999999998"/>
    <s v=""/>
  </r>
  <r>
    <n v="713"/>
    <s v="220713"/>
    <d v="2022-08-02T00:00:00"/>
    <x v="162"/>
    <n v="2180"/>
    <x v="1106"/>
    <m/>
    <x v="1062"/>
    <x v="1715"/>
    <s v=""/>
    <m/>
    <m/>
    <n v="1902"/>
    <n v="278"/>
    <s v=""/>
  </r>
  <r>
    <n v="715"/>
    <s v="220715"/>
    <d v="2022-08-02T00:00:00"/>
    <x v="59"/>
    <n v="7200"/>
    <x v="1107"/>
    <m/>
    <x v="1063"/>
    <x v="1716"/>
    <s v=""/>
    <m/>
    <m/>
    <n v="4923"/>
    <n v="2277"/>
    <s v=""/>
  </r>
  <r>
    <n v="723"/>
    <s v="220723"/>
    <d v="2022-08-03T00:00:00"/>
    <x v="453"/>
    <n v="4930"/>
    <x v="1108"/>
    <m/>
    <x v="1064"/>
    <x v="1717"/>
    <s v=""/>
    <m/>
    <m/>
    <n v="4286"/>
    <n v="644"/>
    <s v=""/>
  </r>
  <r>
    <n v="668"/>
    <s v="220668"/>
    <d v="2022-06-22T00:00:00"/>
    <x v="23"/>
    <n v="26750"/>
    <x v="1108"/>
    <m/>
    <x v="1058"/>
    <x v="1694"/>
    <s v=""/>
    <m/>
    <m/>
    <n v="17915"/>
    <n v="8835"/>
    <s v=""/>
  </r>
  <r>
    <n v="1314"/>
    <s v="221314"/>
    <d v="2022-12-28T00:00:00"/>
    <x v="23"/>
    <n v="310040"/>
    <x v="1108"/>
    <m/>
    <x v="1058"/>
    <x v="1718"/>
    <s v=""/>
    <m/>
    <m/>
    <n v="11715"/>
    <n v="2280"/>
    <s v=""/>
  </r>
  <r>
    <n v="738"/>
    <s v="220738"/>
    <d v="2022-08-08T00:00:00"/>
    <x v="332"/>
    <n v="10520"/>
    <x v="1108"/>
    <m/>
    <x v="1064"/>
    <x v="1719"/>
    <s v=""/>
    <m/>
    <m/>
    <n v="7012"/>
    <n v="3508"/>
    <s v=""/>
  </r>
  <r>
    <n v="729"/>
    <s v="220729"/>
    <d v="2022-08-04T00:00:00"/>
    <x v="448"/>
    <n v="700701"/>
    <x v="1109"/>
    <m/>
    <x v="1065"/>
    <x v="1720"/>
    <s v=""/>
    <m/>
    <m/>
    <n v="208525"/>
    <n v="141825.5"/>
    <s v=""/>
  </r>
  <r>
    <n v="757"/>
    <s v="220757"/>
    <d v="2022-08-12T00:00:00"/>
    <x v="454"/>
    <n v="77890"/>
    <x v="1110"/>
    <n v="1"/>
    <x v="1066"/>
    <x v="1721"/>
    <n v="77890"/>
    <m/>
    <m/>
    <n v="57638"/>
    <n v="20252"/>
    <n v="20252"/>
  </r>
  <r>
    <n v="778"/>
    <s v="220778"/>
    <d v="2022-08-17T00:00:00"/>
    <x v="398"/>
    <n v="16070"/>
    <x v="1111"/>
    <m/>
    <x v="1067"/>
    <x v="1722"/>
    <s v=""/>
    <m/>
    <m/>
    <n v="8634"/>
    <n v="7436"/>
    <s v=""/>
  </r>
  <r>
    <n v="781"/>
    <s v="220781"/>
    <d v="2022-08-17T00:00:00"/>
    <x v="298"/>
    <n v="8100"/>
    <x v="1112"/>
    <m/>
    <x v="1068"/>
    <x v="1723"/>
    <s v=""/>
    <m/>
    <m/>
    <n v="6358.38"/>
    <n v="1741.62"/>
    <s v=""/>
  </r>
  <r>
    <n v="729"/>
    <s v="220729"/>
    <d v="2022-08-04T00:00:00"/>
    <x v="448"/>
    <n v="700701"/>
    <x v="1112"/>
    <m/>
    <x v="1065"/>
    <x v="1720"/>
    <s v=""/>
    <m/>
    <m/>
    <n v="208523"/>
    <n v="141827.5"/>
    <s v=""/>
  </r>
  <r>
    <n v="776"/>
    <s v="220776"/>
    <d v="2022-08-17T00:00:00"/>
    <x v="57"/>
    <n v="4520"/>
    <x v="1113"/>
    <m/>
    <x v="1069"/>
    <x v="1724"/>
    <s v=""/>
    <m/>
    <m/>
    <n v="3525"/>
    <n v="995"/>
    <s v=""/>
  </r>
  <r>
    <n v="777"/>
    <s v="220777"/>
    <d v="2022-08-17T00:00:00"/>
    <x v="39"/>
    <n v="22380"/>
    <x v="1113"/>
    <m/>
    <x v="1070"/>
    <x v="1725"/>
    <s v=""/>
    <m/>
    <m/>
    <n v="17456"/>
    <n v="4924"/>
    <s v=""/>
  </r>
  <r>
    <n v="779"/>
    <s v="220779"/>
    <d v="2022-08-17T00:00:00"/>
    <x v="454"/>
    <n v="3590"/>
    <x v="1113"/>
    <n v="1"/>
    <x v="1071"/>
    <x v="1072"/>
    <n v="3590"/>
    <m/>
    <m/>
    <n v="2524.5"/>
    <n v="1065.5"/>
    <n v="1065.5"/>
  </r>
  <r>
    <n v="773"/>
    <s v="220773"/>
    <d v="2022-08-17T00:00:00"/>
    <x v="445"/>
    <n v="15400"/>
    <x v="1114"/>
    <m/>
    <x v="1072"/>
    <x v="1726"/>
    <s v=""/>
    <m/>
    <m/>
    <n v="13550"/>
    <n v="1850"/>
    <s v=""/>
  </r>
  <r>
    <n v="667"/>
    <s v="220667"/>
    <d v="2022-08-23T00:00:00"/>
    <x v="455"/>
    <n v="367686"/>
    <x v="1114"/>
    <m/>
    <x v="1073"/>
    <x v="1727"/>
    <s v=""/>
    <m/>
    <m/>
    <n v="268407"/>
    <n v="99279"/>
    <s v=""/>
  </r>
  <r>
    <n v="792"/>
    <s v="220792"/>
    <d v="2022-08-22T00:00:00"/>
    <x v="324"/>
    <n v="18790"/>
    <x v="1115"/>
    <m/>
    <x v="1074"/>
    <x v="384"/>
    <s v=""/>
    <m/>
    <m/>
    <n v="13810"/>
    <n v="4980"/>
    <s v=""/>
  </r>
  <r>
    <n v="793"/>
    <s v="220793"/>
    <d v="2022-08-22T00:00:00"/>
    <x v="211"/>
    <n v="1000"/>
    <x v="1115"/>
    <m/>
    <x v="1071"/>
    <x v="1728"/>
    <s v=""/>
    <m/>
    <m/>
    <n v="390"/>
    <n v="610"/>
    <s v=""/>
  </r>
  <r>
    <n v="686"/>
    <s v="220686"/>
    <d v="2022-08-09T00:00:00"/>
    <x v="102"/>
    <n v="1038"/>
    <x v="1116"/>
    <m/>
    <x v="1066"/>
    <x v="1729"/>
    <s v=""/>
    <m/>
    <m/>
    <n v="749"/>
    <n v="289"/>
    <s v=""/>
  </r>
  <r>
    <n v="776"/>
    <s v="220776"/>
    <d v="2022-08-17T00:00:00"/>
    <x v="57"/>
    <n v="950"/>
    <x v="1116"/>
    <m/>
    <x v="1069"/>
    <x v="1730"/>
    <s v=""/>
    <m/>
    <m/>
    <n v="120"/>
    <n v="830"/>
    <s v=""/>
  </r>
  <r>
    <n v="799"/>
    <s v="220799"/>
    <d v="2022-08-23T00:00:00"/>
    <x v="298"/>
    <n v="3630"/>
    <x v="1116"/>
    <m/>
    <x v="1070"/>
    <x v="1636"/>
    <s v=""/>
    <m/>
    <m/>
    <n v="2831"/>
    <n v="799"/>
    <s v=""/>
  </r>
  <r>
    <n v="795"/>
    <s v="220795"/>
    <d v="2022-08-22T00:00:00"/>
    <x v="448"/>
    <n v="44600"/>
    <x v="1116"/>
    <m/>
    <x v="1075"/>
    <x v="1731"/>
    <s v=""/>
    <m/>
    <m/>
    <n v="34788"/>
    <n v="9812"/>
    <s v=""/>
  </r>
  <r>
    <n v="788"/>
    <s v="220788"/>
    <d v="2022-08-22T00:00:00"/>
    <x v="101"/>
    <n v="6560"/>
    <x v="1117"/>
    <m/>
    <x v="1076"/>
    <x v="1732"/>
    <s v=""/>
    <m/>
    <m/>
    <n v="6560"/>
    <n v="0"/>
    <s v=""/>
  </r>
  <r>
    <n v="391"/>
    <s v="220391"/>
    <d v="2022-05-17T00:00:00"/>
    <x v="20"/>
    <n v="79620"/>
    <x v="1117"/>
    <m/>
    <x v="1077"/>
    <x v="1733"/>
    <s v=""/>
    <m/>
    <m/>
    <n v="39817.54"/>
    <n v="39802.46"/>
    <s v=""/>
  </r>
  <r>
    <n v="532"/>
    <s v="220532"/>
    <d v="2022-06-17T00:00:00"/>
    <x v="20"/>
    <n v="81940"/>
    <x v="1117"/>
    <m/>
    <x v="1077"/>
    <x v="1734"/>
    <s v=""/>
    <m/>
    <n v="1200"/>
    <n v="39366.639999999999"/>
    <n v="42573.36"/>
    <s v=""/>
  </r>
  <r>
    <n v="650"/>
    <s v="220650"/>
    <d v="2022-07-19T00:00:00"/>
    <x v="20"/>
    <n v="6970"/>
    <x v="1117"/>
    <m/>
    <x v="1077"/>
    <x v="1735"/>
    <s v=""/>
    <m/>
    <m/>
    <n v="5026.3999999999996"/>
    <n v="1943.6000000000004"/>
    <s v=""/>
  </r>
  <r>
    <n v="764"/>
    <s v="220764"/>
    <d v="2022-08-15T00:00:00"/>
    <x v="37"/>
    <n v="14700"/>
    <x v="1118"/>
    <m/>
    <x v="1078"/>
    <x v="1736"/>
    <s v=""/>
    <m/>
    <m/>
    <n v="10152"/>
    <n v="4548"/>
    <s v=""/>
  </r>
  <r>
    <n v="821"/>
    <s v="220821"/>
    <d v="2022-08-29T00:00:00"/>
    <x v="48"/>
    <n v="8720"/>
    <x v="1119"/>
    <m/>
    <x v="1076"/>
    <x v="1737"/>
    <s v=""/>
    <m/>
    <m/>
    <n v="6605.82"/>
    <n v="2114.1800000000003"/>
    <s v=""/>
  </r>
  <r>
    <n v="824"/>
    <s v="220824"/>
    <d v="2022-08-30T00:00:00"/>
    <x v="408"/>
    <n v="7000"/>
    <x v="1120"/>
    <m/>
    <x v="1079"/>
    <x v="9"/>
    <s v=""/>
    <m/>
    <n v="600"/>
    <n v="2022"/>
    <n v="4978"/>
    <s v=""/>
  </r>
  <r>
    <n v="831"/>
    <s v="220831"/>
    <d v="2022-09-01T00:00:00"/>
    <x v="363"/>
    <n v="5190"/>
    <x v="1121"/>
    <m/>
    <x v="1080"/>
    <x v="1738"/>
    <s v=""/>
    <m/>
    <m/>
    <n v="2558.7199999999998"/>
    <n v="2631.28"/>
    <s v=""/>
  </r>
  <r>
    <n v="828"/>
    <s v="220828"/>
    <d v="2022-08-31T00:00:00"/>
    <x v="331"/>
    <n v="9840"/>
    <x v="1121"/>
    <m/>
    <x v="1081"/>
    <x v="1739"/>
    <s v=""/>
    <m/>
    <m/>
    <n v="9640"/>
    <n v="200"/>
    <s v=""/>
  </r>
  <r>
    <n v="790"/>
    <s v="220790"/>
    <d v="2022-08-22T00:00:00"/>
    <x v="456"/>
    <n v="17150"/>
    <x v="1122"/>
    <m/>
    <x v="1082"/>
    <x v="1666"/>
    <s v=""/>
    <m/>
    <m/>
    <n v="13992"/>
    <n v="3158"/>
    <s v=""/>
  </r>
  <r>
    <n v="832"/>
    <s v="220832"/>
    <d v="2022-09-01T00:00:00"/>
    <x v="457"/>
    <n v="4030"/>
    <x v="1123"/>
    <n v="1"/>
    <x v="1083"/>
    <x v="1740"/>
    <n v="4030"/>
    <m/>
    <m/>
    <n v="2009.15"/>
    <n v="2020.85"/>
    <n v="2020.85"/>
  </r>
  <r>
    <n v="703"/>
    <s v="220703"/>
    <d v="2022-08-01T00:00:00"/>
    <x v="37"/>
    <n v="69370"/>
    <x v="1123"/>
    <m/>
    <x v="1067"/>
    <x v="1741"/>
    <s v=""/>
    <m/>
    <m/>
    <n v="51673"/>
    <n v="17697"/>
    <s v=""/>
  </r>
  <r>
    <n v="829"/>
    <s v="220829"/>
    <d v="2022-08-31T00:00:00"/>
    <x v="304"/>
    <n v="60020"/>
    <x v="1124"/>
    <m/>
    <x v="1070"/>
    <x v="1742"/>
    <s v=""/>
    <m/>
    <m/>
    <n v="39813"/>
    <n v="20207"/>
    <s v=""/>
  </r>
  <r>
    <n v="626"/>
    <s v="220626"/>
    <d v="2022-07-13T00:00:00"/>
    <x v="20"/>
    <n v="84950"/>
    <x v="1125"/>
    <m/>
    <x v="1084"/>
    <x v="1743"/>
    <s v=""/>
    <m/>
    <n v="2400"/>
    <n v="33738.74"/>
    <n v="51211.26"/>
    <s v=""/>
  </r>
  <r>
    <n v="443"/>
    <s v="220443"/>
    <d v="2022-08-01T00:00:00"/>
    <x v="198"/>
    <n v="399886"/>
    <x v="1126"/>
    <m/>
    <x v="1060"/>
    <x v="1744"/>
    <s v=""/>
    <m/>
    <m/>
    <n v="329747"/>
    <n v="70139"/>
    <s v=""/>
  </r>
  <r>
    <n v="635"/>
    <s v="220635"/>
    <d v="2022-07-15T00:00:00"/>
    <x v="198"/>
    <n v="13170"/>
    <x v="1126"/>
    <m/>
    <x v="1060"/>
    <x v="1745"/>
    <s v=""/>
    <m/>
    <m/>
    <n v="3254"/>
    <n v="9916"/>
    <s v=""/>
  </r>
  <r>
    <n v="807"/>
    <s v="220807"/>
    <d v="2022-08-24T00:00:00"/>
    <x v="371"/>
    <n v="7480"/>
    <x v="1127"/>
    <m/>
    <x v="1085"/>
    <x v="1746"/>
    <s v=""/>
    <m/>
    <m/>
    <n v="5864"/>
    <n v="1616"/>
    <s v=""/>
  </r>
  <r>
    <n v="863"/>
    <s v="220863"/>
    <d v="2022-09-15T00:00:00"/>
    <x v="458"/>
    <n v="434883"/>
    <x v="1128"/>
    <n v="1"/>
    <x v="1086"/>
    <x v="1747"/>
    <n v="217441.5"/>
    <m/>
    <m/>
    <n v="117999"/>
    <n v="99442.5"/>
    <n v="99442.5"/>
  </r>
  <r>
    <n v="864"/>
    <s v="220864"/>
    <d v="2022-09-15T00:00:00"/>
    <x v="458"/>
    <n v="111500"/>
    <x v="1128"/>
    <n v="1"/>
    <x v="1086"/>
    <x v="1748"/>
    <n v="55750"/>
    <m/>
    <m/>
    <n v="43485"/>
    <n v="12265"/>
    <n v="12265"/>
  </r>
  <r>
    <n v="782"/>
    <s v="220782"/>
    <d v="2022-08-17T00:00:00"/>
    <x v="198"/>
    <n v="15500"/>
    <x v="1129"/>
    <m/>
    <x v="1071"/>
    <x v="1749"/>
    <s v=""/>
    <m/>
    <n v="1200"/>
    <n v="3254"/>
    <n v="12246"/>
    <s v=""/>
  </r>
  <r>
    <n v="904"/>
    <s v="220904"/>
    <d v="2022-09-29T00:00:00"/>
    <x v="3"/>
    <n v="13120"/>
    <x v="1130"/>
    <m/>
    <x v="1087"/>
    <x v="1732"/>
    <s v=""/>
    <m/>
    <m/>
    <n v="6560"/>
    <n v="0"/>
    <s v=""/>
  </r>
  <r>
    <n v="817"/>
    <s v="220817"/>
    <d v="2022-08-25T00:00:00"/>
    <x v="20"/>
    <n v="23990"/>
    <x v="1131"/>
    <m/>
    <x v="1076"/>
    <x v="1750"/>
    <s v=""/>
    <m/>
    <n v="1200"/>
    <n v="10624.41"/>
    <n v="13365.59"/>
    <s v=""/>
  </r>
  <r>
    <n v="920"/>
    <s v="220920"/>
    <d v="2022-10-05T00:00:00"/>
    <x v="84"/>
    <n v="51990"/>
    <x v="1131"/>
    <m/>
    <x v="1088"/>
    <x v="1751"/>
    <s v=""/>
    <m/>
    <m/>
    <n v="33781.33"/>
    <n v="18208.669999999998"/>
    <s v=""/>
  </r>
  <r>
    <n v="914"/>
    <s v="220914"/>
    <d v="2022-10-04T00:00:00"/>
    <x v="331"/>
    <n v="9840"/>
    <x v="1132"/>
    <m/>
    <x v="1089"/>
    <x v="1739"/>
    <s v=""/>
    <m/>
    <m/>
    <n v="7988.8"/>
    <n v="1851.1999999999998"/>
    <s v=""/>
  </r>
  <r>
    <n v="934"/>
    <s v="220934"/>
    <d v="2022-10-11T00:00:00"/>
    <x v="92"/>
    <n v="10780"/>
    <x v="1133"/>
    <m/>
    <x v="1090"/>
    <x v="1752"/>
    <s v=""/>
    <m/>
    <m/>
    <n v="7114"/>
    <n v="3666"/>
    <s v=""/>
  </r>
  <r>
    <n v="927"/>
    <s v="220927"/>
    <d v="2022-10-12T00:00:00"/>
    <x v="338"/>
    <n v="559936"/>
    <x v="1134"/>
    <m/>
    <x v="1091"/>
    <x v="1753"/>
    <s v=""/>
    <m/>
    <m/>
    <n v="418773"/>
    <n v="141163"/>
    <s v=""/>
  </r>
  <r>
    <n v="916"/>
    <s v="220916"/>
    <d v="2022-10-04T00:00:00"/>
    <x v="401"/>
    <n v="10000"/>
    <x v="1135"/>
    <m/>
    <x v="1088"/>
    <x v="640"/>
    <s v=""/>
    <m/>
    <n v="500"/>
    <n v="3259"/>
    <n v="6741"/>
    <s v=""/>
  </r>
  <r>
    <n v="958"/>
    <s v="220958"/>
    <d v="2022-10-14T00:00:00"/>
    <x v="459"/>
    <n v="29990"/>
    <x v="1135"/>
    <n v="1"/>
    <x v="1092"/>
    <x v="857"/>
    <n v="29990"/>
    <m/>
    <m/>
    <n v="17631"/>
    <n v="12359"/>
    <n v="12359"/>
  </r>
  <r>
    <n v="945"/>
    <s v="220945"/>
    <d v="2022-10-12T00:00:00"/>
    <x v="177"/>
    <n v="8000"/>
    <x v="1136"/>
    <m/>
    <x v="1093"/>
    <x v="47"/>
    <s v=""/>
    <m/>
    <n v="600"/>
    <n v="2434"/>
    <n v="5566"/>
    <s v=""/>
  </r>
  <r>
    <n v="904"/>
    <s v="220904"/>
    <d v="2022-09-29T00:00:00"/>
    <x v="3"/>
    <n v="13120"/>
    <x v="1137"/>
    <m/>
    <x v="1094"/>
    <x v="1732"/>
    <s v=""/>
    <m/>
    <m/>
    <n v="5264.9"/>
    <n v="1295.1000000000004"/>
    <s v=""/>
  </r>
  <r>
    <n v="973"/>
    <s v="220973"/>
    <d v="2022-10-19T00:00:00"/>
    <x v="298"/>
    <n v="8100"/>
    <x v="1138"/>
    <m/>
    <x v="1095"/>
    <x v="1723"/>
    <s v=""/>
    <m/>
    <m/>
    <n v="6383.24"/>
    <n v="1716.7600000000002"/>
    <s v=""/>
  </r>
  <r>
    <n v="834"/>
    <s v="220834"/>
    <d v="2022-09-28T00:00:00"/>
    <x v="13"/>
    <n v="49800"/>
    <x v="1139"/>
    <m/>
    <x v="1096"/>
    <x v="1754"/>
    <s v=""/>
    <m/>
    <m/>
    <n v="12312"/>
    <n v="37488"/>
    <s v=""/>
  </r>
  <r>
    <n v="987"/>
    <s v="220987"/>
    <d v="2022-10-24T00:00:00"/>
    <x v="408"/>
    <n v="7950"/>
    <x v="1139"/>
    <m/>
    <x v="1097"/>
    <x v="1755"/>
    <s v=""/>
    <m/>
    <n v="600"/>
    <n v="1846.5"/>
    <n v="6103.5"/>
    <s v=""/>
  </r>
  <r>
    <n v="1009"/>
    <s v="221009"/>
    <d v="2022-10-31T00:00:00"/>
    <x v="22"/>
    <n v="3000"/>
    <x v="1140"/>
    <m/>
    <x v="1098"/>
    <x v="1613"/>
    <s v=""/>
    <m/>
    <m/>
    <n v="1560"/>
    <n v="1440"/>
    <s v=""/>
  </r>
  <r>
    <n v="1005"/>
    <s v="221005"/>
    <d v="2022-10-28T00:00:00"/>
    <x v="342"/>
    <n v="8030"/>
    <x v="1141"/>
    <m/>
    <x v="1099"/>
    <x v="1756"/>
    <s v=""/>
    <m/>
    <m/>
    <n v="6263"/>
    <n v="1767"/>
    <s v=""/>
  </r>
  <r>
    <n v="988"/>
    <s v="220988"/>
    <d v="2022-10-25T00:00:00"/>
    <x v="367"/>
    <n v="227"/>
    <x v="1142"/>
    <m/>
    <x v="1100"/>
    <x v="1757"/>
    <s v=""/>
    <m/>
    <m/>
    <n v="112"/>
    <n v="115"/>
    <s v=""/>
  </r>
  <r>
    <n v="1029"/>
    <s v="221029"/>
    <d v="2022-11-08T00:00:00"/>
    <x v="437"/>
    <n v="35235"/>
    <x v="1143"/>
    <m/>
    <x v="1091"/>
    <x v="1758"/>
    <s v=""/>
    <m/>
    <m/>
    <n v="29265"/>
    <n v="5970"/>
    <s v=""/>
  </r>
  <r>
    <n v="899"/>
    <s v="220899"/>
    <d v="2022-10-03T00:00:00"/>
    <x v="20"/>
    <n v="33940"/>
    <x v="1144"/>
    <m/>
    <x v="1088"/>
    <x v="444"/>
    <s v=""/>
    <m/>
    <n v="500"/>
    <n v="16181"/>
    <n v="17759"/>
    <s v=""/>
  </r>
  <r>
    <n v="923"/>
    <s v="220923"/>
    <d v="2022-10-06T00:00:00"/>
    <x v="20"/>
    <n v="15000"/>
    <x v="1144"/>
    <m/>
    <x v="1088"/>
    <x v="1759"/>
    <s v=""/>
    <m/>
    <n v="500"/>
    <n v="3672"/>
    <n v="11328"/>
    <s v=""/>
  </r>
  <r>
    <n v="990"/>
    <s v="220990"/>
    <d v="2022-11-09T00:00:00"/>
    <x v="192"/>
    <n v="23390"/>
    <x v="1144"/>
    <m/>
    <x v="1101"/>
    <x v="1760"/>
    <s v=""/>
    <m/>
    <m/>
    <n v="17583"/>
    <n v="5807"/>
    <s v=""/>
  </r>
  <r>
    <n v="997"/>
    <s v="220997"/>
    <d v="2022-10-27T00:00:00"/>
    <x v="460"/>
    <n v="83910"/>
    <x v="1144"/>
    <m/>
    <x v="1102"/>
    <x v="1761"/>
    <s v=""/>
    <m/>
    <m/>
    <n v="55687"/>
    <n v="28223"/>
    <s v=""/>
  </r>
  <r>
    <n v="1047"/>
    <s v="221047"/>
    <d v="2022-11-14T00:00:00"/>
    <x v="22"/>
    <n v="3000"/>
    <x v="1145"/>
    <m/>
    <x v="1103"/>
    <x v="1613"/>
    <s v=""/>
    <m/>
    <m/>
    <n v="1560"/>
    <n v="1440"/>
    <s v=""/>
  </r>
  <r>
    <n v="1054"/>
    <s v="221054"/>
    <d v="2022-11-15T00:00:00"/>
    <x v="331"/>
    <n v="4920"/>
    <x v="1146"/>
    <m/>
    <x v="1104"/>
    <x v="1762"/>
    <s v=""/>
    <m/>
    <m/>
    <n v="3788"/>
    <n v="1132"/>
    <s v=""/>
  </r>
  <r>
    <n v="991"/>
    <s v="220991"/>
    <d v="2022-10-26T00:00:00"/>
    <x v="102"/>
    <n v="4520"/>
    <x v="1147"/>
    <m/>
    <x v="1104"/>
    <x v="1724"/>
    <s v=""/>
    <m/>
    <m/>
    <n v="2160"/>
    <n v="2360"/>
    <s v=""/>
  </r>
  <r>
    <n v="1085"/>
    <s v="221085"/>
    <d v="2022-11-23T00:00:00"/>
    <x v="128"/>
    <n v="8850"/>
    <x v="1148"/>
    <m/>
    <x v="940"/>
    <x v="1763"/>
    <s v=""/>
    <m/>
    <m/>
    <n v="6900"/>
    <n v="1950"/>
    <s v=""/>
  </r>
  <r>
    <n v="1088"/>
    <s v="221088"/>
    <d v="2022-11-23T00:00:00"/>
    <x v="445"/>
    <n v="8300"/>
    <x v="1148"/>
    <m/>
    <x v="1105"/>
    <x v="1764"/>
    <s v=""/>
    <m/>
    <m/>
    <n v="5478"/>
    <n v="2822"/>
    <s v=""/>
  </r>
  <r>
    <n v="1064"/>
    <s v="221064"/>
    <d v="2022-11-22T00:00:00"/>
    <x v="408"/>
    <n v="211340"/>
    <x v="1149"/>
    <m/>
    <x v="1106"/>
    <x v="1765"/>
    <s v=""/>
    <m/>
    <n v="600"/>
    <n v="76177.5"/>
    <n v="29492.5"/>
    <s v=""/>
  </r>
  <r>
    <n v="1092"/>
    <s v="221092"/>
    <d v="2022-11-24T00:00:00"/>
    <x v="461"/>
    <n v="7570"/>
    <x v="1149"/>
    <n v="1"/>
    <x v="1105"/>
    <x v="1766"/>
    <n v="7570"/>
    <m/>
    <m/>
    <n v="5904"/>
    <n v="1666"/>
    <n v="1666"/>
  </r>
  <r>
    <n v="1118"/>
    <s v="221118"/>
    <d v="2022-12-01T00:00:00"/>
    <x v="462"/>
    <n v="5500"/>
    <x v="1150"/>
    <m/>
    <x v="1107"/>
    <x v="1144"/>
    <s v=""/>
    <m/>
    <m/>
    <n v="4726"/>
    <n v="774"/>
    <s v=""/>
  </r>
  <r>
    <n v="1121"/>
    <s v="221121"/>
    <d v="2022-12-05T00:00:00"/>
    <x v="437"/>
    <n v="11241"/>
    <x v="1151"/>
    <m/>
    <x v="1091"/>
    <x v="1767"/>
    <s v=""/>
    <m/>
    <m/>
    <n v="9742"/>
    <n v="1499"/>
    <s v=""/>
  </r>
  <r>
    <n v="1120"/>
    <s v="221120"/>
    <d v="2022-12-01T00:00:00"/>
    <x v="331"/>
    <n v="4920"/>
    <x v="1151"/>
    <m/>
    <x v="1108"/>
    <x v="1762"/>
    <s v=""/>
    <m/>
    <m/>
    <n v="3788"/>
    <n v="1132"/>
    <s v=""/>
  </r>
  <r>
    <n v="965"/>
    <s v="220965"/>
    <d v="2022-10-18T00:00:00"/>
    <x v="198"/>
    <n v="34313"/>
    <x v="1152"/>
    <m/>
    <x v="1109"/>
    <x v="1768"/>
    <s v=""/>
    <m/>
    <m/>
    <n v="21790"/>
    <n v="12523"/>
    <s v=""/>
  </r>
  <r>
    <n v="1095"/>
    <s v="221095"/>
    <d v="2022-11-28T00:00:00"/>
    <x v="123"/>
    <n v="3540"/>
    <x v="1152"/>
    <m/>
    <x v="1105"/>
    <x v="1769"/>
    <s v=""/>
    <m/>
    <m/>
    <n v="2764"/>
    <n v="776"/>
    <s v=""/>
  </r>
  <r>
    <n v="1064"/>
    <s v="221064"/>
    <d v="2022-11-22T00:00:00"/>
    <x v="408"/>
    <n v="211340"/>
    <x v="1153"/>
    <m/>
    <x v="1106"/>
    <x v="1765"/>
    <s v=""/>
    <m/>
    <m/>
    <n v="76177.5"/>
    <n v="29492.5"/>
    <s v=""/>
  </r>
  <r>
    <n v="1060"/>
    <s v="221060"/>
    <d v="2022-11-23T00:00:00"/>
    <x v="448"/>
    <n v="844110"/>
    <x v="1154"/>
    <m/>
    <x v="940"/>
    <x v="1770"/>
    <s v=""/>
    <m/>
    <m/>
    <n v="608869"/>
    <n v="235241"/>
    <s v=""/>
  </r>
  <r>
    <n v="1038"/>
    <s v="221038"/>
    <d v="2022-11-10T00:00:00"/>
    <x v="23"/>
    <n v="26750"/>
    <x v="1155"/>
    <m/>
    <x v="1110"/>
    <x v="1694"/>
    <s v=""/>
    <m/>
    <m/>
    <n v="15795"/>
    <n v="10955"/>
    <s v=""/>
  </r>
  <r>
    <n v="116"/>
    <s v="220116"/>
    <d v="2022-04-19T00:00:00"/>
    <x v="450"/>
    <n v="96440"/>
    <x v="1155"/>
    <m/>
    <x v="1111"/>
    <x v="1771"/>
    <s v=""/>
    <m/>
    <m/>
    <n v="6474"/>
    <n v="4496"/>
    <s v=""/>
  </r>
  <r>
    <n v="1171"/>
    <s v="221171"/>
    <d v="2022-12-20T00:00:00"/>
    <x v="22"/>
    <n v="5272"/>
    <x v="1156"/>
    <m/>
    <x v="1111"/>
    <x v="1772"/>
    <s v=""/>
    <m/>
    <m/>
    <n v="4190"/>
    <n v="1082"/>
    <s v=""/>
  </r>
  <r>
    <n v="1173"/>
    <s v="221173"/>
    <d v="2022-12-20T00:00:00"/>
    <x v="22"/>
    <n v="3960"/>
    <x v="1156"/>
    <m/>
    <x v="940"/>
    <x v="1773"/>
    <s v=""/>
    <m/>
    <m/>
    <n v="3088"/>
    <n v="872"/>
    <s v=""/>
  </r>
  <r>
    <n v="618"/>
    <s v="220618"/>
    <d v="2022-07-11T00:00:00"/>
    <x v="14"/>
    <n v="63840"/>
    <x v="1157"/>
    <m/>
    <x v="1060"/>
    <x v="1774"/>
    <s v=""/>
    <m/>
    <m/>
    <n v="49156"/>
    <n v="14684"/>
    <s v=""/>
  </r>
  <r>
    <n v="1145"/>
    <s v="221145"/>
    <d v="2022-12-09T00:00:00"/>
    <x v="271"/>
    <n v="16730"/>
    <x v="1158"/>
    <m/>
    <x v="940"/>
    <x v="1775"/>
    <s v=""/>
    <m/>
    <m/>
    <n v="11744"/>
    <n v="4986"/>
    <s v=""/>
  </r>
  <r>
    <n v="1180"/>
    <s v="221180"/>
    <d v="2022-12-21T00:00:00"/>
    <x v="450"/>
    <n v="59440"/>
    <x v="1158"/>
    <m/>
    <x v="940"/>
    <x v="1776"/>
    <s v=""/>
    <m/>
    <m/>
    <n v="46531"/>
    <n v="12909"/>
    <s v=""/>
  </r>
  <r>
    <n v="1179"/>
    <s v="221179"/>
    <d v="2022-12-21T00:00:00"/>
    <x v="277"/>
    <n v="8560"/>
    <x v="1159"/>
    <m/>
    <x v="1112"/>
    <x v="1777"/>
    <s v=""/>
    <m/>
    <m/>
    <n v="6676"/>
    <n v="1884"/>
    <s v=""/>
  </r>
  <r>
    <n v="1181"/>
    <s v="221181"/>
    <d v="2022-12-21T00:00:00"/>
    <x v="450"/>
    <n v="14960"/>
    <x v="1160"/>
    <m/>
    <x v="940"/>
    <x v="1778"/>
    <s v=""/>
    <m/>
    <m/>
    <n v="8829"/>
    <n v="6131"/>
    <s v=""/>
  </r>
  <r>
    <n v="1192"/>
    <s v="221192"/>
    <d v="2022-12-23T00:00:00"/>
    <x v="277"/>
    <n v="10058"/>
    <x v="1161"/>
    <m/>
    <x v="940"/>
    <x v="1779"/>
    <s v=""/>
    <m/>
    <m/>
    <n v="7254"/>
    <n v="2804"/>
    <s v=""/>
  </r>
  <r>
    <n v="1153"/>
    <s v="221153"/>
    <d v="2022-12-19T00:00:00"/>
    <x v="463"/>
    <n v="65580"/>
    <x v="1161"/>
    <m/>
    <x v="1113"/>
    <x v="1780"/>
    <s v=""/>
    <m/>
    <m/>
    <n v="46359"/>
    <n v="19221"/>
    <s v=""/>
  </r>
  <r>
    <n v="979"/>
    <s v="220979"/>
    <d v="2022-10-25T00:00:00"/>
    <x v="20"/>
    <n v="94561"/>
    <x v="1162"/>
    <m/>
    <x v="1114"/>
    <x v="1781"/>
    <s v=""/>
    <m/>
    <n v="500"/>
    <n v="58371"/>
    <n v="36190"/>
    <s v=""/>
  </r>
  <r>
    <n v="978"/>
    <s v="220978"/>
    <d v="2022-11-11T00:00:00"/>
    <x v="20"/>
    <n v="30600"/>
    <x v="1162"/>
    <m/>
    <x v="1114"/>
    <x v="1782"/>
    <s v=""/>
    <m/>
    <m/>
    <n v="23868"/>
    <n v="6732"/>
    <s v=""/>
  </r>
  <r>
    <n v="1201"/>
    <s v="221201"/>
    <d v="2022-12-28T00:00:00"/>
    <x v="22"/>
    <n v="7500"/>
    <x v="1162"/>
    <m/>
    <x v="1115"/>
    <x v="1783"/>
    <s v=""/>
    <m/>
    <m/>
    <n v="3900"/>
    <n v="3600"/>
    <s v=""/>
  </r>
  <r>
    <n v="1186"/>
    <s v="221186"/>
    <d v="2022-12-22T00:00:00"/>
    <x v="464"/>
    <n v="13590"/>
    <x v="1162"/>
    <n v="1"/>
    <x v="1115"/>
    <x v="1424"/>
    <n v="13590"/>
    <m/>
    <m/>
    <n v="9988"/>
    <n v="3602"/>
    <n v="3602"/>
  </r>
  <r>
    <n v="1202"/>
    <s v="221202"/>
    <d v="2022-12-28T00:00:00"/>
    <x v="420"/>
    <n v="3460"/>
    <x v="1163"/>
    <m/>
    <x v="940"/>
    <x v="1784"/>
    <s v=""/>
    <m/>
    <m/>
    <n v="2698"/>
    <n v="762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70A9B-AE05-4211-B5C7-7B4A8B0AF0C5}" name="Сводная таблица4" cacheId="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73:Q89" firstHeaderRow="1" firstDataRow="3" firstDataCol="1"/>
  <pivotFields count="19">
    <pivotField showAll="0"/>
    <pivotField showAll="0"/>
    <pivotField showAll="0"/>
    <pivotField axis="axisRow" showAll="0" measureFilter="1" sortType="descending">
      <items count="466">
        <item x="440"/>
        <item x="5"/>
        <item x="172"/>
        <item x="46"/>
        <item x="451"/>
        <item x="452"/>
        <item x="144"/>
        <item x="15"/>
        <item x="93"/>
        <item x="206"/>
        <item x="463"/>
        <item x="164"/>
        <item x="133"/>
        <item x="303"/>
        <item x="314"/>
        <item x="180"/>
        <item x="37"/>
        <item x="72"/>
        <item x="354"/>
        <item x="138"/>
        <item x="441"/>
        <item x="116"/>
        <item x="65"/>
        <item x="381"/>
        <item x="329"/>
        <item x="226"/>
        <item x="335"/>
        <item x="301"/>
        <item x="49"/>
        <item x="289"/>
        <item x="330"/>
        <item x="197"/>
        <item x="462"/>
        <item x="374"/>
        <item x="26"/>
        <item x="368"/>
        <item x="83"/>
        <item x="66"/>
        <item x="282"/>
        <item x="357"/>
        <item x="8"/>
        <item x="188"/>
        <item x="198"/>
        <item x="325"/>
        <item x="327"/>
        <item x="132"/>
        <item x="249"/>
        <item x="55"/>
        <item x="372"/>
        <item x="126"/>
        <item x="387"/>
        <item x="346"/>
        <item x="371"/>
        <item x="275"/>
        <item x="87"/>
        <item x="173"/>
        <item x="165"/>
        <item x="286"/>
        <item x="50"/>
        <item x="245"/>
        <item x="271"/>
        <item x="408"/>
        <item x="247"/>
        <item x="256"/>
        <item x="395"/>
        <item x="182"/>
        <item x="110"/>
        <item x="33"/>
        <item x="255"/>
        <item x="298"/>
        <item x="60"/>
        <item x="57"/>
        <item x="199"/>
        <item x="260"/>
        <item x="402"/>
        <item x="423"/>
        <item x="124"/>
        <item x="238"/>
        <item x="32"/>
        <item x="63"/>
        <item x="194"/>
        <item x="320"/>
        <item x="312"/>
        <item x="433"/>
        <item x="193"/>
        <item x="201"/>
        <item x="270"/>
        <item x="295"/>
        <item x="404"/>
        <item x="377"/>
        <item x="21"/>
        <item x="410"/>
        <item x="225"/>
        <item x="318"/>
        <item x="223"/>
        <item x="373"/>
        <item x="436"/>
        <item x="415"/>
        <item x="28"/>
        <item x="427"/>
        <item x="56"/>
        <item x="432"/>
        <item x="75"/>
        <item x="261"/>
        <item x="168"/>
        <item x="241"/>
        <item x="150"/>
        <item x="340"/>
        <item x="122"/>
        <item x="42"/>
        <item x="210"/>
        <item x="171"/>
        <item x="370"/>
        <item x="339"/>
        <item x="248"/>
        <item x="81"/>
        <item x="231"/>
        <item x="263"/>
        <item x="356"/>
        <item x="222"/>
        <item x="252"/>
        <item x="141"/>
        <item x="292"/>
        <item x="319"/>
        <item x="48"/>
        <item x="73"/>
        <item x="464"/>
        <item x="191"/>
        <item x="117"/>
        <item x="235"/>
        <item x="20"/>
        <item x="345"/>
        <item x="443"/>
        <item x="24"/>
        <item x="428"/>
        <item x="283"/>
        <item x="84"/>
        <item x="397"/>
        <item x="444"/>
        <item x="296"/>
        <item x="429"/>
        <item x="437"/>
        <item x="92"/>
        <item x="79"/>
        <item x="4"/>
        <item x="388"/>
        <item x="453"/>
        <item x="186"/>
        <item x="202"/>
        <item x="342"/>
        <item x="230"/>
        <item x="7"/>
        <item x="0"/>
        <item x="391"/>
        <item x="386"/>
        <item x="106"/>
        <item x="100"/>
        <item x="291"/>
        <item x="313"/>
        <item x="74"/>
        <item x="115"/>
        <item x="293"/>
        <item x="104"/>
        <item x="365"/>
        <item x="455"/>
        <item x="454"/>
        <item x="239"/>
        <item x="403"/>
        <item x="175"/>
        <item x="86"/>
        <item x="363"/>
        <item x="36"/>
        <item x="62"/>
        <item x="17"/>
        <item x="108"/>
        <item x="53"/>
        <item x="367"/>
        <item x="361"/>
        <item x="228"/>
        <item x="69"/>
        <item x="183"/>
        <item x="151"/>
        <item x="459"/>
        <item x="412"/>
        <item x="413"/>
        <item x="265"/>
        <item x="227"/>
        <item x="268"/>
        <item x="360"/>
        <item x="426"/>
        <item x="352"/>
        <item x="351"/>
        <item x="347"/>
        <item x="447"/>
        <item x="80"/>
        <item x="200"/>
        <item x="411"/>
        <item x="343"/>
        <item x="294"/>
        <item x="23"/>
        <item x="366"/>
        <item x="378"/>
        <item x="306"/>
        <item x="91"/>
        <item x="290"/>
        <item x="155"/>
        <item x="409"/>
        <item x="190"/>
        <item x="446"/>
        <item x="418"/>
        <item x="6"/>
        <item x="105"/>
        <item x="111"/>
        <item x="78"/>
        <item x="376"/>
        <item x="243"/>
        <item x="52"/>
        <item x="25"/>
        <item x="85"/>
        <item x="405"/>
        <item x="424"/>
        <item x="384"/>
        <item x="128"/>
        <item x="382"/>
        <item x="430"/>
        <item x="22"/>
        <item x="287"/>
        <item x="398"/>
        <item x="280"/>
        <item x="61"/>
        <item x="187"/>
        <item x="254"/>
        <item x="448"/>
        <item x="393"/>
        <item x="19"/>
        <item x="204"/>
        <item x="27"/>
        <item x="137"/>
        <item x="59"/>
        <item x="211"/>
        <item x="311"/>
        <item x="207"/>
        <item x="253"/>
        <item x="457"/>
        <item x="237"/>
        <item x="328"/>
        <item x="278"/>
        <item x="458"/>
        <item x="13"/>
        <item x="396"/>
        <item x="71"/>
        <item x="422"/>
        <item x="41"/>
        <item x="349"/>
        <item x="259"/>
        <item x="213"/>
        <item x="218"/>
        <item x="76"/>
        <item x="380"/>
        <item x="435"/>
        <item x="240"/>
        <item x="439"/>
        <item x="131"/>
        <item x="31"/>
        <item x="96"/>
        <item x="269"/>
        <item x="95"/>
        <item x="35"/>
        <item x="2"/>
        <item x="134"/>
        <item x="420"/>
        <item x="362"/>
        <item x="130"/>
        <item x="162"/>
        <item x="331"/>
        <item x="146"/>
        <item x="359"/>
        <item x="161"/>
        <item x="246"/>
        <item x="307"/>
        <item x="215"/>
        <item x="179"/>
        <item x="355"/>
        <item x="450"/>
        <item x="102"/>
        <item x="189"/>
        <item x="406"/>
        <item x="364"/>
        <item x="140"/>
        <item x="169"/>
        <item x="185"/>
        <item x="276"/>
        <item x="308"/>
        <item x="139"/>
        <item x="149"/>
        <item x="258"/>
        <item x="274"/>
        <item x="323"/>
        <item x="40"/>
        <item x="460"/>
        <item x="251"/>
        <item x="12"/>
        <item x="157"/>
        <item x="136"/>
        <item x="434"/>
        <item x="181"/>
        <item x="99"/>
        <item x="16"/>
        <item x="285"/>
        <item x="68"/>
        <item x="456"/>
        <item x="135"/>
        <item x="216"/>
        <item x="214"/>
        <item x="344"/>
        <item x="153"/>
        <item x="267"/>
        <item x="272"/>
        <item x="195"/>
        <item x="337"/>
        <item x="304"/>
        <item x="317"/>
        <item x="70"/>
        <item x="414"/>
        <item x="302"/>
        <item x="389"/>
        <item x="148"/>
        <item x="262"/>
        <item x="353"/>
        <item x="163"/>
        <item x="407"/>
        <item x="236"/>
        <item x="217"/>
        <item x="321"/>
        <item x="219"/>
        <item x="82"/>
        <item x="34"/>
        <item x="244"/>
        <item x="154"/>
        <item x="264"/>
        <item x="445"/>
        <item x="125"/>
        <item x="419"/>
        <item x="203"/>
        <item x="176"/>
        <item x="147"/>
        <item x="299"/>
        <item x="159"/>
        <item x="47"/>
        <item x="9"/>
        <item x="234"/>
        <item x="461"/>
        <item x="250"/>
        <item x="229"/>
        <item x="14"/>
        <item x="120"/>
        <item x="107"/>
        <item x="98"/>
        <item x="273"/>
        <item x="1"/>
        <item x="90"/>
        <item x="29"/>
        <item x="184"/>
        <item x="160"/>
        <item x="341"/>
        <item x="38"/>
        <item x="257"/>
        <item x="112"/>
        <item x="358"/>
        <item x="442"/>
        <item x="392"/>
        <item x="67"/>
        <item x="3"/>
        <item x="11"/>
        <item x="324"/>
        <item x="390"/>
        <item x="123"/>
        <item x="300"/>
        <item x="266"/>
        <item x="336"/>
        <item x="297"/>
        <item x="114"/>
        <item x="97"/>
        <item x="375"/>
        <item x="326"/>
        <item x="348"/>
        <item x="334"/>
        <item x="305"/>
        <item x="145"/>
        <item x="58"/>
        <item x="177"/>
        <item x="152"/>
        <item x="54"/>
        <item x="284"/>
        <item x="205"/>
        <item x="143"/>
        <item x="309"/>
        <item x="30"/>
        <item x="350"/>
        <item x="322"/>
        <item x="277"/>
        <item x="383"/>
        <item x="166"/>
        <item x="142"/>
        <item x="281"/>
        <item x="170"/>
        <item x="416"/>
        <item x="379"/>
        <item x="103"/>
        <item x="421"/>
        <item x="156"/>
        <item x="192"/>
        <item x="233"/>
        <item x="51"/>
        <item x="64"/>
        <item x="417"/>
        <item x="127"/>
        <item x="332"/>
        <item x="167"/>
        <item x="77"/>
        <item x="174"/>
        <item x="178"/>
        <item x="316"/>
        <item x="88"/>
        <item x="431"/>
        <item x="333"/>
        <item x="212"/>
        <item x="232"/>
        <item x="129"/>
        <item x="196"/>
        <item x="43"/>
        <item x="39"/>
        <item x="118"/>
        <item x="401"/>
        <item x="369"/>
        <item x="18"/>
        <item x="288"/>
        <item x="101"/>
        <item x="399"/>
        <item x="221"/>
        <item x="385"/>
        <item x="10"/>
        <item x="438"/>
        <item x="279"/>
        <item x="220"/>
        <item x="400"/>
        <item x="338"/>
        <item x="109"/>
        <item x="44"/>
        <item x="310"/>
        <item x="315"/>
        <item x="449"/>
        <item x="113"/>
        <item x="224"/>
        <item x="242"/>
        <item x="208"/>
        <item x="94"/>
        <item x="425"/>
        <item x="45"/>
        <item x="121"/>
        <item x="209"/>
        <item x="89"/>
        <item x="119"/>
        <item x="394"/>
        <item x="1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numFmtId="43" showAll="0">
      <items count="1786">
        <item x="348"/>
        <item x="407"/>
        <item x="633"/>
        <item x="885"/>
        <item x="421"/>
        <item x="965"/>
        <item x="1757"/>
        <item x="1686"/>
        <item x="1044"/>
        <item x="1677"/>
        <item x="927"/>
        <item x="192"/>
        <item x="140"/>
        <item x="769"/>
        <item x="1574"/>
        <item x="1041"/>
        <item x="739"/>
        <item x="1665"/>
        <item x="1190"/>
        <item x="796"/>
        <item x="1606"/>
        <item x="1207"/>
        <item x="471"/>
        <item x="349"/>
        <item x="1155"/>
        <item x="391"/>
        <item x="400"/>
        <item x="1663"/>
        <item x="1230"/>
        <item x="176"/>
        <item x="266"/>
        <item x="709"/>
        <item x="1156"/>
        <item x="102"/>
        <item x="1367"/>
        <item x="725"/>
        <item x="433"/>
        <item x="1288"/>
        <item x="198"/>
        <item x="218"/>
        <item x="1471"/>
        <item x="627"/>
        <item x="1313"/>
        <item x="513"/>
        <item x="1378"/>
        <item x="680"/>
        <item x="215"/>
        <item x="972"/>
        <item x="916"/>
        <item x="1604"/>
        <item x="452"/>
        <item x="1730"/>
        <item x="417"/>
        <item x="1551"/>
        <item x="1146"/>
        <item x="805"/>
        <item x="1615"/>
        <item x="951"/>
        <item x="1515"/>
        <item x="1081"/>
        <item x="491"/>
        <item x="1728"/>
        <item x="560"/>
        <item x="1498"/>
        <item x="473"/>
        <item x="1729"/>
        <item x="691"/>
        <item x="681"/>
        <item x="108"/>
        <item x="1166"/>
        <item x="213"/>
        <item x="115"/>
        <item x="427"/>
        <item x="979"/>
        <item x="710"/>
        <item x="335"/>
        <item x="599"/>
        <item x="929"/>
        <item x="298"/>
        <item x="1149"/>
        <item x="985"/>
        <item x="757"/>
        <item x="567"/>
        <item x="1462"/>
        <item x="1016"/>
        <item x="168"/>
        <item x="1631"/>
        <item x="579"/>
        <item x="475"/>
        <item x="837"/>
        <item x="987"/>
        <item x="495"/>
        <item x="435"/>
        <item x="551"/>
        <item x="932"/>
        <item x="146"/>
        <item x="1061"/>
        <item x="245"/>
        <item x="1499"/>
        <item x="270"/>
        <item x="1179"/>
        <item x="345"/>
        <item x="1171"/>
        <item x="705"/>
        <item x="1053"/>
        <item x="527"/>
        <item x="1165"/>
        <item x="743"/>
        <item x="953"/>
        <item x="561"/>
        <item x="49"/>
        <item x="558"/>
        <item x="477"/>
        <item x="506"/>
        <item x="1661"/>
        <item x="426"/>
        <item x="900"/>
        <item x="324"/>
        <item x="1390"/>
        <item x="252"/>
        <item x="970"/>
        <item x="441"/>
        <item x="523"/>
        <item x="872"/>
        <item x="935"/>
        <item x="1274"/>
        <item x="95"/>
        <item x="78"/>
        <item x="585"/>
        <item x="199"/>
        <item x="914"/>
        <item x="587"/>
        <item x="147"/>
        <item x="1559"/>
        <item x="787"/>
        <item x="695"/>
        <item x="1627"/>
        <item x="983"/>
        <item x="928"/>
        <item x="838"/>
        <item x="376"/>
        <item x="1549"/>
        <item x="482"/>
        <item x="923"/>
        <item x="317"/>
        <item x="1048"/>
        <item x="1208"/>
        <item x="1257"/>
        <item x="512"/>
        <item x="2"/>
        <item x="606"/>
        <item x="673"/>
        <item x="1300"/>
        <item x="781"/>
        <item x="420"/>
        <item x="1647"/>
        <item x="310"/>
        <item x="159"/>
        <item x="1177"/>
        <item x="533"/>
        <item x="1607"/>
        <item x="76"/>
        <item x="119"/>
        <item x="1555"/>
        <item x="926"/>
        <item x="986"/>
        <item x="1147"/>
        <item x="1276"/>
        <item x="1399"/>
        <item x="1227"/>
        <item x="553"/>
        <item x="596"/>
        <item x="353"/>
        <item x="459"/>
        <item x="458"/>
        <item x="1180"/>
        <item x="692"/>
        <item x="0"/>
        <item x="1337"/>
        <item x="737"/>
        <item x="1545"/>
        <item x="73"/>
        <item x="1454"/>
        <item x="1356"/>
        <item x="733"/>
        <item x="369"/>
        <item x="933"/>
        <item x="398"/>
        <item x="1715"/>
        <item x="89"/>
        <item x="1026"/>
        <item x="997"/>
        <item x="1332"/>
        <item x="594"/>
        <item x="470"/>
        <item x="406"/>
        <item x="1491"/>
        <item x="968"/>
        <item x="1178"/>
        <item x="207"/>
        <item x="195"/>
        <item x="464"/>
        <item x="1421"/>
        <item x="1284"/>
        <item x="1370"/>
        <item x="273"/>
        <item x="1119"/>
        <item x="1464"/>
        <item x="1643"/>
        <item x="358"/>
        <item x="1333"/>
        <item x="944"/>
        <item x="679"/>
        <item x="1502"/>
        <item x="555"/>
        <item x="859"/>
        <item x="126"/>
        <item x="1306"/>
        <item x="1"/>
        <item x="619"/>
        <item x="1197"/>
        <item x="1210"/>
        <item x="478"/>
        <item x="1193"/>
        <item x="782"/>
        <item x="727"/>
        <item x="910"/>
        <item x="1202"/>
        <item x="658"/>
        <item x="372"/>
        <item x="110"/>
        <item x="1083"/>
        <item x="16"/>
        <item x="1142"/>
        <item x="803"/>
        <item x="1404"/>
        <item x="1423"/>
        <item x="432"/>
        <item x="552"/>
        <item x="1099"/>
        <item x="1220"/>
        <item x="1107"/>
        <item x="1418"/>
        <item x="306"/>
        <item x="39"/>
        <item x="646"/>
        <item x="166"/>
        <item x="1629"/>
        <item x="1534"/>
        <item x="1253"/>
        <item x="746"/>
        <item x="712"/>
        <item x="1283"/>
        <item x="1246"/>
        <item x="1602"/>
        <item x="448"/>
        <item x="300"/>
        <item x="890"/>
        <item x="1122"/>
        <item x="1216"/>
        <item x="1132"/>
        <item x="27"/>
        <item x="494"/>
        <item x="202"/>
        <item x="735"/>
        <item x="1293"/>
        <item x="1564"/>
        <item x="405"/>
        <item x="1363"/>
        <item x="1613"/>
        <item x="1304"/>
        <item x="1537"/>
        <item x="771"/>
        <item x="505"/>
        <item x="460"/>
        <item x="1307"/>
        <item x="32"/>
        <item x="99"/>
        <item x="100"/>
        <item x="598"/>
        <item x="442"/>
        <item x="1422"/>
        <item x="1348"/>
        <item x="998"/>
        <item x="984"/>
        <item x="676"/>
        <item x="635"/>
        <item x="689"/>
        <item x="1037"/>
        <item x="91"/>
        <item x="647"/>
        <item x="1426"/>
        <item x="1182"/>
        <item x="836"/>
        <item x="826"/>
        <item x="534"/>
        <item x="1535"/>
        <item x="1358"/>
        <item x="388"/>
        <item x="1670"/>
        <item x="1068"/>
        <item x="1303"/>
        <item x="1517"/>
        <item x="707"/>
        <item x="496"/>
        <item x="1432"/>
        <item x="898"/>
        <item x="1219"/>
        <item x="1563"/>
        <item x="1297"/>
        <item x="489"/>
        <item x="1536"/>
        <item x="1784"/>
        <item x="234"/>
        <item x="1527"/>
        <item x="1769"/>
        <item x="476"/>
        <item x="122"/>
        <item x="1447"/>
        <item x="1072"/>
        <item x="1636"/>
        <item x="1548"/>
        <item x="1611"/>
        <item x="1353"/>
        <item x="1039"/>
        <item x="810"/>
        <item x="562"/>
        <item x="1244"/>
        <item x="1025"/>
        <item x="1711"/>
        <item x="1209"/>
        <item x="1184"/>
        <item x="103"/>
        <item x="804"/>
        <item x="137"/>
        <item x="222"/>
        <item x="1224"/>
        <item x="1010"/>
        <item x="1096"/>
        <item x="276"/>
        <item x="1328"/>
        <item x="196"/>
        <item x="4"/>
        <item x="1543"/>
        <item x="750"/>
        <item x="1091"/>
        <item x="1213"/>
        <item x="1215"/>
        <item x="1773"/>
        <item x="286"/>
        <item x="808"/>
        <item x="293"/>
        <item x="136"/>
        <item x="789"/>
        <item x="385"/>
        <item x="1428"/>
        <item x="1740"/>
        <item x="1505"/>
        <item x="969"/>
        <item x="1587"/>
        <item x="318"/>
        <item x="626"/>
        <item x="649"/>
        <item x="612"/>
        <item x="1373"/>
        <item x="305"/>
        <item x="74"/>
        <item x="1550"/>
        <item x="120"/>
        <item x="88"/>
        <item x="583"/>
        <item x="336"/>
        <item x="1273"/>
        <item x="1506"/>
        <item x="1134"/>
        <item x="994"/>
        <item x="1311"/>
        <item x="112"/>
        <item x="1467"/>
        <item x="179"/>
        <item x="1494"/>
        <item x="1508"/>
        <item x="876"/>
        <item x="1282"/>
        <item x="233"/>
        <item x="1173"/>
        <item x="770"/>
        <item x="1002"/>
        <item x="1192"/>
        <item x="1114"/>
        <item x="1338"/>
        <item x="1346"/>
        <item x="582"/>
        <item x="786"/>
        <item x="1624"/>
        <item x="38"/>
        <item x="430"/>
        <item x="729"/>
        <item x="637"/>
        <item x="401"/>
        <item x="338"/>
        <item x="182"/>
        <item x="354"/>
        <item x="1544"/>
        <item x="383"/>
        <item x="538"/>
        <item x="1136"/>
        <item x="51"/>
        <item x="660"/>
        <item x="1154"/>
        <item x="1724"/>
        <item x="1592"/>
        <item x="1634"/>
        <item x="327"/>
        <item x="588"/>
        <item x="666"/>
        <item x="1116"/>
        <item x="5"/>
        <item x="114"/>
        <item x="783"/>
        <item x="330"/>
        <item x="303"/>
        <item x="1436"/>
        <item x="1264"/>
        <item x="1074"/>
        <item x="255"/>
        <item x="497"/>
        <item x="1601"/>
        <item x="1639"/>
        <item x="158"/>
        <item x="559"/>
        <item x="654"/>
        <item x="109"/>
        <item x="181"/>
        <item x="1655"/>
        <item x="892"/>
        <item x="1045"/>
        <item x="1700"/>
        <item x="530"/>
        <item x="1102"/>
        <item x="1001"/>
        <item x="1388"/>
        <item x="570"/>
        <item x="520"/>
        <item x="652"/>
        <item x="127"/>
        <item x="153"/>
        <item x="1111"/>
        <item x="431"/>
        <item x="753"/>
        <item x="12"/>
        <item x="1268"/>
        <item x="1113"/>
        <item x="848"/>
        <item x="419"/>
        <item x="1762"/>
        <item x="350"/>
        <item x="1717"/>
        <item x="665"/>
        <item x="309"/>
        <item x="792"/>
        <item x="367"/>
        <item x="1062"/>
        <item x="220"/>
        <item x="1484"/>
        <item x="840"/>
        <item x="1019"/>
        <item x="84"/>
        <item x="616"/>
        <item x="675"/>
        <item x="454"/>
        <item x="835"/>
        <item x="46"/>
        <item x="967"/>
        <item x="1054"/>
        <item x="316"/>
        <item x="790"/>
        <item x="62"/>
        <item x="915"/>
        <item x="622"/>
        <item x="1157"/>
        <item x="1738"/>
        <item x="156"/>
        <item x="35"/>
        <item x="125"/>
        <item x="1396"/>
        <item x="152"/>
        <item x="798"/>
        <item x="1701"/>
        <item x="1772"/>
        <item x="1690"/>
        <item x="711"/>
        <item x="445"/>
        <item x="172"/>
        <item x="1702"/>
        <item x="794"/>
        <item x="1504"/>
        <item x="363"/>
        <item x="871"/>
        <item x="3"/>
        <item x="394"/>
        <item x="148"/>
        <item x="1080"/>
        <item x="90"/>
        <item x="713"/>
        <item x="931"/>
        <item x="13"/>
        <item x="1301"/>
        <item x="362"/>
        <item x="1234"/>
        <item x="518"/>
        <item x="1653"/>
        <item x="893"/>
        <item x="975"/>
        <item x="1144"/>
        <item x="1442"/>
        <item x="636"/>
        <item x="877"/>
        <item x="1321"/>
        <item x="6"/>
        <item x="714"/>
        <item x="974"/>
        <item x="913"/>
        <item x="1093"/>
        <item x="415"/>
        <item x="229"/>
        <item x="630"/>
        <item x="651"/>
        <item x="760"/>
        <item x="1325"/>
        <item x="600"/>
        <item x="1360"/>
        <item x="174"/>
        <item x="504"/>
        <item x="342"/>
        <item x="1167"/>
        <item x="1094"/>
        <item x="469"/>
        <item x="1364"/>
        <item x="1546"/>
        <item x="1200"/>
        <item x="955"/>
        <item x="874"/>
        <item x="535"/>
        <item x="1408"/>
        <item x="526"/>
        <item x="576"/>
        <item x="1291"/>
        <item x="1295"/>
        <item x="708"/>
        <item x="225"/>
        <item x="23"/>
        <item x="42"/>
        <item x="815"/>
        <item x="116"/>
        <item x="947"/>
        <item x="1524"/>
        <item x="1355"/>
        <item x="239"/>
        <item x="701"/>
        <item x="1235"/>
        <item x="231"/>
        <item x="1073"/>
        <item x="569"/>
        <item x="575"/>
        <item x="481"/>
        <item x="268"/>
        <item x="1641"/>
        <item x="1249"/>
        <item x="1461"/>
        <item x="817"/>
        <item x="265"/>
        <item x="856"/>
        <item x="563"/>
        <item x="742"/>
        <item x="749"/>
        <item x="873"/>
        <item x="1553"/>
        <item x="1445"/>
        <item x="1595"/>
        <item x="912"/>
        <item x="1497"/>
        <item x="891"/>
        <item x="1117"/>
        <item x="659"/>
        <item x="1229"/>
        <item x="37"/>
        <item x="360"/>
        <item x="1028"/>
        <item x="374"/>
        <item x="1732"/>
        <item x="1148"/>
        <item x="866"/>
        <item x="1145"/>
        <item x="138"/>
        <item x="1344"/>
        <item x="1514"/>
        <item x="774"/>
        <item x="834"/>
        <item x="1239"/>
        <item x="1414"/>
        <item x="867"/>
        <item x="351"/>
        <item x="1191"/>
        <item x="655"/>
        <item x="1582"/>
        <item x="820"/>
        <item x="860"/>
        <item x="487"/>
        <item x="644"/>
        <item x="1468"/>
        <item x="1539"/>
        <item x="996"/>
        <item x="1135"/>
        <item x="493"/>
        <item x="1735"/>
        <item x="768"/>
        <item x="1435"/>
        <item x="1130"/>
        <item x="9"/>
        <item x="907"/>
        <item x="773"/>
        <item x="1238"/>
        <item x="1389"/>
        <item x="578"/>
        <item x="1327"/>
        <item x="1350"/>
        <item x="843"/>
        <item x="1433"/>
        <item x="624"/>
        <item x="193"/>
        <item x="1256"/>
        <item x="1500"/>
        <item x="22"/>
        <item x="402"/>
        <item x="1716"/>
        <item x="716"/>
        <item x="821"/>
        <item x="728"/>
        <item x="194"/>
        <item x="1033"/>
        <item x="81"/>
        <item x="586"/>
        <item x="1254"/>
        <item x="1258"/>
        <item x="1633"/>
        <item x="766"/>
        <item x="1470"/>
        <item x="1371"/>
        <item x="780"/>
        <item x="1440"/>
        <item x="105"/>
        <item x="1172"/>
        <item x="1746"/>
        <item x="1376"/>
        <item x="1783"/>
        <item x="1359"/>
        <item x="1302"/>
        <item x="1766"/>
        <item x="1520"/>
        <item x="1456"/>
        <item x="519"/>
        <item x="83"/>
        <item x="1660"/>
        <item x="1223"/>
        <item x="1560"/>
        <item x="966"/>
        <item x="952"/>
        <item x="584"/>
        <item x="333"/>
        <item x="1071"/>
        <item x="132"/>
        <item x="1097"/>
        <item x="200"/>
        <item x="474"/>
        <item x="700"/>
        <item x="1552"/>
        <item x="321"/>
        <item x="1259"/>
        <item x="671"/>
        <item x="906"/>
        <item x="1755"/>
        <item x="516"/>
        <item x="1079"/>
        <item x="1226"/>
        <item x="47"/>
        <item x="903"/>
        <item x="1756"/>
        <item x="325"/>
        <item x="1671"/>
        <item x="1008"/>
        <item x="853"/>
        <item x="1723"/>
        <item x="525"/>
        <item x="1583"/>
        <item x="1474"/>
        <item x="154"/>
        <item x="393"/>
        <item x="1115"/>
        <item x="1395"/>
        <item x="577"/>
        <item x="1059"/>
        <item x="1764"/>
        <item x="1609"/>
        <item x="1556"/>
        <item x="446"/>
        <item x="1162"/>
        <item x="1027"/>
        <item x="271"/>
        <item x="323"/>
        <item x="785"/>
        <item x="1638"/>
        <item x="1412"/>
        <item x="1777"/>
        <item x="1430"/>
        <item x="1415"/>
        <item x="772"/>
        <item x="539"/>
        <item x="887"/>
        <item x="886"/>
        <item x="410"/>
        <item x="177"/>
        <item x="1496"/>
        <item x="1221"/>
        <item x="170"/>
        <item x="1737"/>
        <item x="1046"/>
        <item x="1649"/>
        <item x="397"/>
        <item x="632"/>
        <item x="1763"/>
        <item x="1336"/>
        <item x="1519"/>
        <item x="795"/>
        <item x="925"/>
        <item x="480"/>
        <item x="1600"/>
        <item x="314"/>
        <item x="510"/>
        <item x="70"/>
        <item x="882"/>
        <item x="1465"/>
        <item x="919"/>
        <item x="922"/>
        <item x="1599"/>
        <item x="107"/>
        <item x="1266"/>
        <item x="745"/>
        <item x="375"/>
        <item x="1362"/>
        <item x="1567"/>
        <item x="1032"/>
        <item x="852"/>
        <item x="1651"/>
        <item x="1298"/>
        <item x="934"/>
        <item x="1513"/>
        <item x="1126"/>
        <item x="1463"/>
        <item x="724"/>
        <item x="60"/>
        <item x="784"/>
        <item x="828"/>
        <item x="1055"/>
        <item x="548"/>
        <item x="759"/>
        <item x="1525"/>
        <item x="203"/>
        <item x="816"/>
        <item x="466"/>
        <item x="546"/>
        <item x="24"/>
        <item x="10"/>
        <item x="1075"/>
        <item x="359"/>
        <item x="79"/>
        <item x="1380"/>
        <item x="1518"/>
        <item x="183"/>
        <item x="1347"/>
        <item x="294"/>
        <item x="264"/>
        <item x="1381"/>
        <item x="736"/>
        <item x="813"/>
        <item x="537"/>
        <item x="726"/>
        <item x="1588"/>
        <item x="661"/>
        <item x="77"/>
        <item x="1124"/>
        <item x="950"/>
        <item x="1194"/>
        <item x="1441"/>
        <item x="869"/>
        <item x="1243"/>
        <item x="450"/>
        <item x="1127"/>
        <item x="331"/>
        <item x="868"/>
        <item x="1739"/>
        <item x="568"/>
        <item x="1714"/>
        <item x="1361"/>
        <item x="67"/>
        <item x="1272"/>
        <item x="791"/>
        <item x="1486"/>
        <item x="1603"/>
        <item x="833"/>
        <item x="1137"/>
        <item x="263"/>
        <item x="522"/>
        <item x="1017"/>
        <item x="640"/>
        <item x="617"/>
        <item x="113"/>
        <item x="259"/>
        <item x="1710"/>
        <item x="228"/>
        <item x="643"/>
        <item x="993"/>
        <item x="123"/>
        <item x="1521"/>
        <item x="1779"/>
        <item x="133"/>
        <item x="802"/>
        <item x="814"/>
        <item x="653"/>
        <item x="608"/>
        <item x="1584"/>
        <item x="1011"/>
        <item x="267"/>
        <item x="827"/>
        <item x="467"/>
        <item x="899"/>
        <item x="411"/>
        <item x="1501"/>
        <item x="763"/>
        <item x="355"/>
        <item x="1621"/>
        <item x="1022"/>
        <item x="457"/>
        <item x="656"/>
        <item x="1719"/>
        <item x="1323"/>
        <item x="1287"/>
        <item x="235"/>
        <item x="468"/>
        <item x="963"/>
        <item x="1110"/>
        <item x="488"/>
        <item x="819"/>
        <item x="94"/>
        <item x="64"/>
        <item x="948"/>
        <item x="1236"/>
        <item x="1752"/>
        <item x="1139"/>
        <item x="80"/>
        <item x="1771"/>
        <item x="1648"/>
        <item x="751"/>
        <item x="1322"/>
        <item x="638"/>
        <item x="395"/>
        <item x="1676"/>
        <item x="412"/>
        <item x="980"/>
        <item x="1540"/>
        <item x="1205"/>
        <item x="1767"/>
        <item x="1542"/>
        <item x="1674"/>
        <item x="283"/>
        <item x="1106"/>
        <item x="1485"/>
        <item x="409"/>
        <item x="320"/>
        <item x="800"/>
        <item x="693"/>
        <item x="1397"/>
        <item x="1453"/>
        <item x="1403"/>
        <item x="425"/>
        <item x="34"/>
        <item x="544"/>
        <item x="275"/>
        <item x="11"/>
        <item x="438"/>
        <item x="319"/>
        <item x="1112"/>
        <item x="241"/>
        <item x="232"/>
        <item x="1357"/>
        <item x="1696"/>
        <item x="14"/>
        <item x="639"/>
        <item x="1557"/>
        <item x="684"/>
        <item x="841"/>
        <item x="1320"/>
        <item x="978"/>
        <item x="545"/>
        <item x="378"/>
        <item x="1410"/>
        <item x="1626"/>
        <item x="98"/>
        <item x="258"/>
        <item x="1084"/>
        <item x="1082"/>
        <item x="901"/>
        <item x="683"/>
        <item x="1121"/>
        <item x="302"/>
        <item x="1573"/>
        <item x="1138"/>
        <item x="609"/>
        <item x="614"/>
        <item x="209"/>
        <item x="43"/>
        <item x="1579"/>
        <item x="1745"/>
        <item x="663"/>
        <item x="738"/>
        <item x="945"/>
        <item x="1125"/>
        <item x="1260"/>
        <item x="601"/>
        <item x="1451"/>
        <item x="514"/>
        <item x="8"/>
        <item x="515"/>
        <item x="1693"/>
        <item x="1424"/>
        <item x="911"/>
        <item x="1352"/>
        <item x="56"/>
        <item x="938"/>
        <item x="699"/>
        <item x="1507"/>
        <item x="1400"/>
        <item x="793"/>
        <item x="1718"/>
        <item x="717"/>
        <item x="142"/>
        <item x="597"/>
        <item x="1477"/>
        <item x="1035"/>
        <item x="429"/>
        <item x="1006"/>
        <item x="607"/>
        <item x="128"/>
        <item x="261"/>
        <item x="1343"/>
        <item x="173"/>
        <item x="1736"/>
        <item x="443"/>
        <item x="382"/>
        <item x="54"/>
        <item x="424"/>
        <item x="465"/>
        <item x="1778"/>
        <item x="581"/>
        <item x="1759"/>
        <item x="1369"/>
        <item x="428"/>
        <item x="1225"/>
        <item x="1672"/>
        <item x="973"/>
        <item x="184"/>
        <item x="1597"/>
        <item x="672"/>
        <item x="1088"/>
        <item x="697"/>
        <item x="1726"/>
        <item x="698"/>
        <item x="1309"/>
        <item x="1749"/>
        <item x="1029"/>
        <item x="92"/>
        <item x="830"/>
        <item x="44"/>
        <item x="824"/>
        <item x="1406"/>
        <item x="696"/>
        <item x="253"/>
        <item x="1308"/>
        <item x="1662"/>
        <item x="894"/>
        <item x="224"/>
        <item x="1722"/>
        <item x="486"/>
        <item x="381"/>
        <item x="850"/>
        <item x="731"/>
        <item x="822"/>
        <item x="1581"/>
        <item x="390"/>
        <item x="197"/>
        <item x="1186"/>
        <item x="589"/>
        <item x="352"/>
        <item x="1245"/>
        <item x="845"/>
        <item x="1775"/>
        <item x="451"/>
        <item x="641"/>
        <item x="256"/>
        <item x="1129"/>
        <item x="118"/>
        <item x="1161"/>
        <item x="492"/>
        <item x="1085"/>
        <item x="413"/>
        <item x="1666"/>
        <item x="1131"/>
        <item x="943"/>
        <item x="1277"/>
        <item x="1185"/>
        <item x="117"/>
        <item x="971"/>
        <item x="524"/>
        <item x="1401"/>
        <item x="41"/>
        <item x="1007"/>
        <item x="1657"/>
        <item x="677"/>
        <item x="536"/>
        <item x="1416"/>
        <item x="206"/>
        <item x="1619"/>
        <item x="777"/>
        <item x="1000"/>
        <item x="1379"/>
        <item x="347"/>
        <item x="25"/>
        <item x="498"/>
        <item x="690"/>
        <item x="399"/>
        <item x="69"/>
        <item x="1685"/>
        <item x="884"/>
        <item x="380"/>
        <item x="472"/>
        <item x="1640"/>
        <item x="334"/>
        <item x="778"/>
        <item x="531"/>
        <item x="1622"/>
        <item x="40"/>
        <item x="370"/>
        <item x="645"/>
        <item x="508"/>
        <item x="1049"/>
        <item x="832"/>
        <item x="1688"/>
        <item x="1612"/>
        <item x="216"/>
        <item x="1374"/>
        <item x="384"/>
        <item x="1098"/>
        <item x="143"/>
        <item x="1475"/>
        <item x="322"/>
        <item x="881"/>
        <item x="1334"/>
        <item x="178"/>
        <item x="269"/>
        <item x="863"/>
        <item x="364"/>
        <item x="590"/>
        <item x="1196"/>
        <item x="243"/>
        <item x="1341"/>
        <item x="765"/>
        <item x="761"/>
        <item x="566"/>
        <item x="1385"/>
        <item x="703"/>
        <item x="1675"/>
        <item x="453"/>
        <item x="1040"/>
        <item x="542"/>
        <item x="797"/>
        <item x="875"/>
        <item x="1683"/>
        <item x="277"/>
        <item x="1490"/>
        <item x="1652"/>
        <item x="1174"/>
        <item x="629"/>
        <item x="642"/>
        <item x="741"/>
        <item x="1618"/>
        <item x="896"/>
        <item x="603"/>
        <item x="344"/>
        <item x="247"/>
        <item x="201"/>
        <item x="1292"/>
        <item x="747"/>
        <item x="1104"/>
        <item x="1305"/>
        <item x="767"/>
        <item x="1707"/>
        <item x="190"/>
        <item x="96"/>
        <item x="618"/>
        <item x="905"/>
        <item x="281"/>
        <item x="1446"/>
        <item x="313"/>
        <item x="332"/>
        <item x="490"/>
        <item x="1429"/>
        <item x="499"/>
        <item x="1218"/>
        <item x="356"/>
        <item x="404"/>
        <item x="246"/>
        <item x="1489"/>
        <item x="1051"/>
        <item x="1280"/>
        <item x="982"/>
        <item x="1285"/>
        <item x="920"/>
        <item x="1528"/>
        <item x="1668"/>
        <item x="990"/>
        <item x="764"/>
        <item x="811"/>
        <item x="26"/>
        <item x="1598"/>
        <item x="121"/>
        <item x="1252"/>
        <item x="1143"/>
        <item x="941"/>
        <item x="788"/>
        <item x="1100"/>
        <item x="1118"/>
        <item x="1009"/>
        <item x="403"/>
        <item x="883"/>
        <item x="366"/>
        <item x="1644"/>
        <item x="240"/>
        <item x="1725"/>
        <item x="1024"/>
        <item x="1189"/>
        <item x="1233"/>
        <item x="756"/>
        <item x="17"/>
        <item x="157"/>
        <item x="806"/>
        <item x="1012"/>
        <item x="63"/>
        <item x="682"/>
        <item x="191"/>
        <item x="175"/>
        <item x="1183"/>
        <item x="1566"/>
        <item x="889"/>
        <item x="416"/>
        <item x="634"/>
        <item x="422"/>
        <item x="1608"/>
        <item x="1101"/>
        <item x="1760"/>
        <item x="918"/>
        <item x="1250"/>
        <item x="297"/>
        <item x="662"/>
        <item x="1330"/>
        <item x="161"/>
        <item x="1713"/>
        <item x="1750"/>
        <item x="865"/>
        <item x="1577"/>
        <item x="1667"/>
        <item x="1526"/>
        <item x="288"/>
        <item x="1511"/>
        <item x="615"/>
        <item x="1569"/>
        <item x="1473"/>
        <item x="507"/>
        <item x="1417"/>
        <item x="620"/>
        <item x="959"/>
        <item x="1554"/>
        <item x="1620"/>
        <item x="942"/>
        <item x="1169"/>
        <item x="1673"/>
        <item x="755"/>
        <item x="254"/>
        <item x="1580"/>
        <item x="106"/>
        <item x="1222"/>
        <item x="1495"/>
        <item x="1493"/>
        <item x="1042"/>
        <item x="995"/>
        <item x="1031"/>
        <item x="878"/>
        <item x="611"/>
        <item x="591"/>
        <item x="740"/>
        <item x="613"/>
        <item x="799"/>
        <item x="1541"/>
        <item x="1366"/>
        <item x="1658"/>
        <item x="1488"/>
        <item x="1570"/>
        <item x="187"/>
        <item x="1312"/>
        <item x="625"/>
        <item x="312"/>
        <item x="371"/>
        <item x="287"/>
        <item x="1036"/>
        <item x="1642"/>
        <item x="1391"/>
        <item x="1694"/>
        <item x="628"/>
        <item x="1057"/>
        <item x="36"/>
        <item x="957"/>
        <item x="549"/>
        <item x="1232"/>
        <item x="571"/>
        <item x="694"/>
        <item x="250"/>
        <item x="82"/>
        <item x="361"/>
        <item x="961"/>
        <item x="1516"/>
        <item x="289"/>
        <item x="1593"/>
        <item x="862"/>
        <item x="71"/>
        <item x="648"/>
        <item x="895"/>
        <item x="1509"/>
        <item x="155"/>
        <item x="167"/>
        <item x="962"/>
        <item x="857"/>
        <item x="340"/>
        <item x="1066"/>
        <item x="829"/>
        <item x="1669"/>
        <item x="1056"/>
        <item x="150"/>
        <item x="1457"/>
        <item x="1782"/>
        <item x="779"/>
        <item x="66"/>
        <item x="290"/>
        <item x="1160"/>
        <item x="529"/>
        <item x="565"/>
        <item x="1261"/>
        <item x="517"/>
        <item x="308"/>
        <item x="1089"/>
        <item x="484"/>
        <item x="1439"/>
        <item x="1326"/>
        <item x="75"/>
        <item x="346"/>
        <item x="1455"/>
        <item x="205"/>
        <item x="989"/>
        <item x="669"/>
        <item x="1014"/>
        <item x="33"/>
        <item x="1575"/>
        <item x="485"/>
        <item x="1206"/>
        <item x="864"/>
        <item x="1538"/>
        <item x="249"/>
        <item x="1140"/>
        <item x="455"/>
        <item x="65"/>
        <item x="307"/>
        <item x="1141"/>
        <item x="1187"/>
        <item x="149"/>
        <item x="1255"/>
        <item x="748"/>
        <item x="501"/>
        <item x="444"/>
        <item x="111"/>
        <item x="447"/>
        <item x="134"/>
        <item x="204"/>
        <item x="801"/>
        <item x="1768"/>
        <item x="851"/>
        <item x="365"/>
        <item x="1610"/>
        <item x="547"/>
        <item x="97"/>
        <item x="960"/>
        <item x="1656"/>
        <item x="880"/>
        <item x="1758"/>
        <item x="1387"/>
        <item x="1510"/>
        <item x="664"/>
        <item x="854"/>
        <item x="483"/>
        <item x="610"/>
        <item x="1289"/>
        <item x="1632"/>
        <item x="1585"/>
        <item x="1578"/>
        <item x="991"/>
        <item x="1005"/>
        <item x="718"/>
        <item x="556"/>
        <item x="1709"/>
        <item x="1133"/>
        <item x="437"/>
        <item x="217"/>
        <item x="1038"/>
        <item x="449"/>
        <item x="7"/>
        <item x="1034"/>
        <item x="1382"/>
        <item x="1290"/>
        <item x="1625"/>
        <item x="1109"/>
        <item x="730"/>
        <item x="93"/>
        <item x="208"/>
        <item x="1419"/>
        <item x="1271"/>
        <item x="946"/>
        <item x="456"/>
        <item x="1437"/>
        <item x="1163"/>
        <item x="807"/>
        <item x="1105"/>
        <item x="328"/>
        <item x="139"/>
        <item x="414"/>
        <item x="1646"/>
        <item x="129"/>
        <item x="592"/>
        <item x="423"/>
        <item x="1558"/>
        <item x="29"/>
        <item x="1365"/>
        <item x="1452"/>
        <item x="1018"/>
        <item x="396"/>
        <item x="1680"/>
        <item x="1240"/>
        <item x="104"/>
        <item x="479"/>
        <item x="1335"/>
        <item x="1532"/>
        <item x="706"/>
        <item x="573"/>
        <item x="244"/>
        <item x="434"/>
        <item x="678"/>
        <item x="1383"/>
        <item x="45"/>
        <item x="1384"/>
        <item x="1052"/>
        <item x="1492"/>
        <item x="169"/>
        <item x="1712"/>
        <item x="373"/>
        <item x="1586"/>
        <item x="141"/>
        <item x="657"/>
        <item x="1731"/>
        <item x="999"/>
        <item x="861"/>
        <item x="87"/>
        <item x="389"/>
        <item x="165"/>
        <item x="282"/>
        <item x="1645"/>
        <item x="1020"/>
        <item x="686"/>
        <item x="186"/>
        <item x="720"/>
        <item x="1386"/>
        <item x="59"/>
        <item x="272"/>
        <item x="1204"/>
        <item x="144"/>
        <item x="19"/>
        <item x="580"/>
        <item x="847"/>
        <item x="279"/>
        <item x="1692"/>
        <item x="668"/>
        <item x="1368"/>
        <item x="1377"/>
        <item x="368"/>
        <item x="28"/>
        <item x="1263"/>
        <item x="842"/>
        <item x="1095"/>
        <item x="1459"/>
        <item x="280"/>
        <item x="1754"/>
        <item x="509"/>
        <item x="1199"/>
        <item x="1614"/>
        <item x="1128"/>
        <item x="1175"/>
        <item x="189"/>
        <item x="284"/>
        <item x="151"/>
        <item x="921"/>
        <item x="1512"/>
        <item x="285"/>
        <item x="1170"/>
        <item x="844"/>
        <item x="939"/>
        <item x="1751"/>
        <item x="752"/>
        <item x="528"/>
        <item x="418"/>
        <item x="1449"/>
        <item x="131"/>
        <item x="185"/>
        <item x="723"/>
        <item x="809"/>
        <item x="1275"/>
        <item x="1431"/>
        <item x="1310"/>
        <item x="219"/>
        <item x="940"/>
        <item x="1003"/>
        <item x="1748"/>
        <item x="1247"/>
        <item x="262"/>
        <item x="1565"/>
        <item x="511"/>
        <item x="124"/>
        <item x="257"/>
        <item x="227"/>
        <item x="775"/>
        <item x="1776"/>
        <item x="1742"/>
        <item x="917"/>
        <item x="1413"/>
        <item x="1589"/>
        <item x="1108"/>
        <item x="839"/>
        <item x="1286"/>
        <item x="1687"/>
        <item x="1217"/>
        <item x="211"/>
        <item x="292"/>
        <item x="1069"/>
        <item x="1159"/>
        <item x="135"/>
        <item x="163"/>
        <item x="1296"/>
        <item x="1070"/>
        <item x="557"/>
        <item x="291"/>
        <item x="732"/>
        <item x="236"/>
        <item x="908"/>
        <item x="1248"/>
        <item x="1774"/>
        <item x="1448"/>
        <item x="992"/>
        <item x="237"/>
        <item x="72"/>
        <item x="61"/>
        <item x="1531"/>
        <item x="1103"/>
        <item x="1780"/>
        <item x="1481"/>
        <item x="650"/>
        <item x="1349"/>
        <item x="1065"/>
        <item x="1176"/>
        <item x="1092"/>
        <item x="343"/>
        <item x="1407"/>
        <item x="1681"/>
        <item x="162"/>
        <item x="1339"/>
        <item x="357"/>
        <item x="1741"/>
        <item x="1372"/>
        <item x="1533"/>
        <item x="1479"/>
        <item x="210"/>
        <item x="1443"/>
        <item x="541"/>
        <item x="564"/>
        <item x="1164"/>
        <item x="1487"/>
        <item x="1270"/>
        <item x="1281"/>
        <item x="572"/>
        <item x="1188"/>
        <item x="1181"/>
        <item x="379"/>
        <item x="670"/>
        <item x="1466"/>
        <item x="1572"/>
        <item x="1231"/>
        <item x="1198"/>
        <item x="855"/>
        <item x="937"/>
        <item x="101"/>
        <item x="1691"/>
        <item x="949"/>
        <item x="1394"/>
        <item x="1721"/>
        <item x="500"/>
        <item x="818"/>
        <item x="1076"/>
        <item x="230"/>
        <item x="248"/>
        <item x="1195"/>
        <item x="1237"/>
        <item x="50"/>
        <item x="1733"/>
        <item x="1568"/>
        <item x="1064"/>
        <item x="1734"/>
        <item x="532"/>
        <item x="758"/>
        <item x="386"/>
        <item x="1761"/>
        <item x="1411"/>
        <item x="734"/>
        <item x="160"/>
        <item x="1480"/>
        <item x="1743"/>
        <item x="55"/>
        <item x="1689"/>
        <item x="30"/>
        <item x="1472"/>
        <item x="744"/>
        <item x="1503"/>
        <item x="754"/>
        <item x="897"/>
        <item x="180"/>
        <item x="1267"/>
        <item x="1375"/>
        <item x="762"/>
        <item x="20"/>
        <item x="521"/>
        <item x="21"/>
        <item x="1699"/>
        <item x="540"/>
        <item x="1781"/>
        <item x="687"/>
        <item x="593"/>
        <item x="68"/>
        <item x="301"/>
        <item x="1015"/>
        <item x="311"/>
        <item x="503"/>
        <item x="238"/>
        <item x="1616"/>
        <item x="1596"/>
        <item x="53"/>
        <item x="221"/>
        <item x="1483"/>
        <item x="1420"/>
        <item x="463"/>
        <item x="719"/>
        <item x="212"/>
        <item x="377"/>
        <item x="1265"/>
        <item x="408"/>
        <item x="1214"/>
        <item x="1427"/>
        <item x="604"/>
        <item x="988"/>
        <item x="1708"/>
        <item x="1262"/>
        <item x="936"/>
        <item x="337"/>
        <item x="1765"/>
        <item x="278"/>
        <item x="1013"/>
        <item x="1444"/>
        <item x="1331"/>
        <item x="1562"/>
        <item x="688"/>
        <item x="1393"/>
        <item x="621"/>
        <item x="48"/>
        <item x="15"/>
        <item x="1315"/>
        <item x="831"/>
        <item x="1678"/>
        <item x="1659"/>
        <item x="436"/>
        <item x="339"/>
        <item x="1523"/>
        <item x="1151"/>
        <item x="1571"/>
        <item x="1158"/>
        <item x="341"/>
        <item x="1398"/>
        <item x="1522"/>
        <item x="1434"/>
        <item x="299"/>
        <item x="461"/>
        <item x="1469"/>
        <item x="52"/>
        <item x="956"/>
        <item x="685"/>
        <item x="721"/>
        <item x="602"/>
        <item x="164"/>
        <item x="976"/>
        <item x="825"/>
        <item x="1682"/>
        <item x="1530"/>
        <item x="315"/>
        <item x="502"/>
        <item x="631"/>
        <item x="1078"/>
        <item x="188"/>
        <item x="1623"/>
        <item x="1058"/>
        <item x="1030"/>
        <item x="1460"/>
        <item x="667"/>
        <item x="704"/>
        <item x="1050"/>
        <item x="849"/>
        <item x="57"/>
        <item x="58"/>
        <item x="1529"/>
        <item x="1695"/>
        <item x="1438"/>
        <item x="1351"/>
        <item x="1086"/>
        <item x="326"/>
        <item x="296"/>
        <item x="1654"/>
        <item x="812"/>
        <item x="86"/>
        <item x="977"/>
        <item x="930"/>
        <item x="595"/>
        <item x="1251"/>
        <item x="823"/>
        <item x="1023"/>
        <item x="274"/>
        <item x="1077"/>
        <item x="387"/>
        <item x="1617"/>
        <item x="1168"/>
        <item x="251"/>
        <item x="1299"/>
        <item x="1594"/>
        <item x="1703"/>
        <item x="909"/>
        <item x="1591"/>
        <item x="1153"/>
        <item x="31"/>
        <item x="1120"/>
        <item x="1211"/>
        <item x="1090"/>
        <item x="1047"/>
        <item x="1342"/>
        <item x="1705"/>
        <item x="145"/>
        <item x="1704"/>
        <item x="1242"/>
        <item x="1635"/>
        <item x="1425"/>
        <item x="954"/>
        <item x="1476"/>
        <item x="329"/>
        <item x="1228"/>
        <item x="226"/>
        <item x="605"/>
        <item x="1697"/>
        <item x="1269"/>
        <item x="1294"/>
        <item x="1637"/>
        <item x="1458"/>
        <item x="1004"/>
        <item x="1630"/>
        <item x="1340"/>
        <item x="1279"/>
        <item x="440"/>
        <item x="958"/>
        <item x="1747"/>
        <item x="1706"/>
        <item x="702"/>
        <item x="1345"/>
        <item x="1664"/>
        <item x="574"/>
        <item x="18"/>
        <item x="223"/>
        <item x="715"/>
        <item x="295"/>
        <item x="623"/>
        <item x="1123"/>
        <item x="1354"/>
        <item x="1329"/>
        <item x="879"/>
        <item x="1063"/>
        <item x="214"/>
        <item x="1241"/>
        <item x="550"/>
        <item x="1278"/>
        <item x="1605"/>
        <item x="1152"/>
        <item x="85"/>
        <item x="554"/>
        <item x="888"/>
        <item x="870"/>
        <item x="1698"/>
        <item x="1402"/>
        <item x="392"/>
        <item x="981"/>
        <item x="1021"/>
        <item x="924"/>
        <item x="439"/>
        <item x="776"/>
        <item x="1203"/>
        <item x="1684"/>
        <item x="1043"/>
        <item x="1628"/>
        <item x="242"/>
        <item x="260"/>
        <item x="304"/>
        <item x="1392"/>
        <item x="1450"/>
        <item x="1212"/>
        <item x="1720"/>
        <item x="1087"/>
        <item x="1405"/>
        <item x="1727"/>
        <item x="1547"/>
        <item x="543"/>
        <item x="1482"/>
        <item x="1744"/>
        <item x="902"/>
        <item x="858"/>
        <item x="722"/>
        <item x="171"/>
        <item x="1067"/>
        <item x="1590"/>
        <item x="1679"/>
        <item x="1753"/>
        <item x="130"/>
        <item x="846"/>
        <item x="462"/>
        <item x="1561"/>
        <item x="1324"/>
        <item x="1316"/>
        <item x="1409"/>
        <item x="964"/>
        <item x="904"/>
        <item x="1770"/>
        <item x="674"/>
        <item x="1314"/>
        <item x="1576"/>
        <item x="1319"/>
        <item x="1150"/>
        <item x="1318"/>
        <item x="1317"/>
        <item x="1478"/>
        <item x="1201"/>
        <item x="1060"/>
        <item x="1650"/>
        <item t="default"/>
      </items>
    </pivotField>
    <pivotField showAll="0"/>
    <pivotField showAll="0"/>
    <pivotField showAll="0"/>
    <pivotField showAll="0"/>
    <pivotField dataField="1" numFmtId="43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10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</items>
    </pivotField>
    <pivotField showAll="0" defaultSubtotal="0"/>
    <pivotField showAll="0" defaultSubtotal="0"/>
  </pivotFields>
  <rowFields count="1">
    <field x="3"/>
  </rowFields>
  <rowItems count="14">
    <i>
      <x v="248"/>
    </i>
    <i>
      <x v="171"/>
    </i>
    <i>
      <x v="373"/>
    </i>
    <i>
      <x v="446"/>
    </i>
    <i>
      <x v="130"/>
    </i>
    <i>
      <x v="340"/>
    </i>
    <i>
      <x v="232"/>
    </i>
    <i>
      <x v="8"/>
    </i>
    <i>
      <x v="199"/>
    </i>
    <i>
      <x v="349"/>
    </i>
    <i>
      <x v="106"/>
    </i>
    <i>
      <x v="42"/>
    </i>
    <i>
      <x v="430"/>
    </i>
    <i t="grand">
      <x/>
    </i>
  </rowItems>
  <colFields count="2">
    <field x="16"/>
    <field x="-2"/>
  </colFields>
  <colItems count="16"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 t="grand">
      <x/>
    </i>
    <i t="grand" i="1">
      <x/>
    </i>
  </colItems>
  <dataFields count="2">
    <dataField name="Сумма по полю Продажа" fld="8" baseField="0" baseItem="0" numFmtId="172"/>
    <dataField name="Сумма по полю Маржа" fld="13" baseField="0" baseItem="0"/>
  </dataFields>
  <formats count="8">
    <format dxfId="10">
      <pivotArea outline="0" collapsedLevelsAreSubtotals="1" fieldPosition="0"/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2"/>
          </reference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3"/>
          </reference>
        </references>
      </pivotArea>
    </format>
    <format dxfId="4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4"/>
          </reference>
        </references>
      </pivotArea>
    </format>
    <format dxfId="3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5"/>
          </reference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6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7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8"/>
          </reference>
        </references>
      </pivotArea>
    </format>
  </formats>
  <pivotTableStyleInfo name="PivotStyleMedium9" showRowHeaders="1" showColHeaders="1" showRowStripes="0" showColStripes="0" showLastColumn="1"/>
  <filters count="1">
    <filter fld="3" type="valueGreaterThanOrEqual" evalOrder="-1" id="1" iMeasureFld="0">
      <autoFilter ref="A1">
        <filterColumn colId="0">
          <customFilters>
            <customFilter operator="greaterThanOrEqual" val="1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01746-4CDD-4F48-9021-0BF0DE0B9138}" name="Сводная таблица1" cacheId="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A16:B24" firstHeaderRow="1" firstDataRow="1" firstDataCol="1"/>
  <pivotFields count="19">
    <pivotField showAll="0"/>
    <pivotField showAll="0"/>
    <pivotField showAll="0"/>
    <pivotField showAll="0"/>
    <pivotField numFmtId="43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43" showAll="0"/>
    <pivotField showAll="0"/>
    <pivotField showAll="0"/>
    <pivotField showAll="0"/>
    <pivotField showAll="0"/>
    <pivotField dataField="1" numFmtId="43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Row" showAll="0">
      <items count="10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</pivotFields>
  <rowFields count="3">
    <field x="18"/>
    <field x="17"/>
    <field x="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Сумма по полю Маржа" fld="13" baseField="0" baseItem="0" numFmtId="172"/>
  </dataFields>
  <formats count="1">
    <format dxfId="6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03EBA-2957-46BC-8CAC-84EE003E593C}" name="Сводная таблица3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A32:B41" firstHeaderRow="1" firstDataRow="1" firstDataCol="1"/>
  <pivotFields count="16"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4" showAll="0"/>
    <pivotField numFmtId="4" showAll="0"/>
    <pivotField showAll="0"/>
    <pivotField showAll="0"/>
    <pivotField numFmtId="3" showAll="0"/>
    <pivotField numFmtId="3" showAll="0"/>
    <pivotField showAll="0"/>
    <pivotField showAll="0"/>
    <pivotField showAll="0"/>
    <pivotField numFmtId="3" showAll="0"/>
    <pivotField numFmtId="3" showAll="0"/>
    <pivotField dataField="1" numFmtId="3" showAll="0"/>
    <pivotField numFmtId="3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</items>
    </pivotField>
  </pivotFields>
  <rowFields count="3">
    <field x="15"/>
    <field x="14"/>
    <field x="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Среднее по полю Итого Факт" fld="12" subtotal="average" baseField="15" baseItem="1" numFmtId="172"/>
  </dataFields>
  <formats count="1">
    <format dxfId="119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22985-28E8-4C47-96E1-3190E4884B2E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A3:B11" firstHeaderRow="1" firstDataRow="1" firstDataCol="1"/>
  <pivotFields count="16"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4" showAll="0"/>
    <pivotField numFmtId="4" showAll="0"/>
    <pivotField dataField="1" showAll="0"/>
    <pivotField showAll="0"/>
    <pivotField numFmtId="3" showAll="0"/>
    <pivotField numFmtId="3" showAll="0"/>
    <pivotField showAll="0"/>
    <pivotField showAll="0"/>
    <pivotField showAll="0"/>
    <pivotField numFmtId="3" showAll="0"/>
    <pivotField numFmtId="3" showAll="0"/>
    <pivotField numFmtId="3" showAll="0">
      <items count="95">
        <item x="43"/>
        <item x="11"/>
        <item x="9"/>
        <item x="57"/>
        <item x="92"/>
        <item x="36"/>
        <item x="1"/>
        <item x="0"/>
        <item x="6"/>
        <item x="5"/>
        <item x="7"/>
        <item x="37"/>
        <item x="75"/>
        <item x="68"/>
        <item x="45"/>
        <item x="41"/>
        <item x="42"/>
        <item x="85"/>
        <item x="81"/>
        <item x="35"/>
        <item x="83"/>
        <item x="30"/>
        <item x="47"/>
        <item x="63"/>
        <item x="51"/>
        <item x="76"/>
        <item x="31"/>
        <item x="17"/>
        <item x="67"/>
        <item x="71"/>
        <item x="26"/>
        <item x="8"/>
        <item x="22"/>
        <item x="12"/>
        <item x="77"/>
        <item x="19"/>
        <item x="91"/>
        <item x="58"/>
        <item x="2"/>
        <item x="56"/>
        <item x="82"/>
        <item x="15"/>
        <item x="49"/>
        <item x="80"/>
        <item x="74"/>
        <item x="33"/>
        <item x="13"/>
        <item x="46"/>
        <item x="20"/>
        <item x="90"/>
        <item x="29"/>
        <item x="40"/>
        <item x="65"/>
        <item x="24"/>
        <item x="32"/>
        <item x="44"/>
        <item x="38"/>
        <item x="25"/>
        <item x="14"/>
        <item x="27"/>
        <item x="53"/>
        <item x="78"/>
        <item x="59"/>
        <item x="93"/>
        <item x="62"/>
        <item x="28"/>
        <item x="69"/>
        <item x="16"/>
        <item x="79"/>
        <item x="70"/>
        <item x="52"/>
        <item x="10"/>
        <item x="3"/>
        <item x="23"/>
        <item x="72"/>
        <item x="88"/>
        <item x="48"/>
        <item x="61"/>
        <item x="73"/>
        <item x="21"/>
        <item x="55"/>
        <item x="64"/>
        <item x="54"/>
        <item x="18"/>
        <item x="60"/>
        <item x="89"/>
        <item x="39"/>
        <item x="4"/>
        <item x="34"/>
        <item x="87"/>
        <item x="84"/>
        <item x="50"/>
        <item x="86"/>
        <item x="66"/>
        <item t="default"/>
      </items>
    </pivotField>
    <pivotField numFmtId="3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sd="0" x="9"/>
        <item t="default" sd="0"/>
      </items>
    </pivotField>
  </pivotFields>
  <rowFields count="3">
    <field x="15"/>
    <field x="14"/>
    <field x="0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Сумма по полю Маржа" fld="3" baseField="0" baseItem="0" numFmtId="172"/>
  </dataFields>
  <formats count="1">
    <format dxfId="118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105BC6-B144-4040-A3E0-291F724C9303}" name="Февраль2015" displayName="Февраль2015" ref="A1:I18" totalsRowCount="1" headerRowDxfId="3030" tableBorderDxfId="3029">
  <autoFilter ref="A1:I17" xr:uid="{13105BC6-B144-4040-A3E0-291F724C9303}"/>
  <tableColumns count="9">
    <tableColumn id="1" xr3:uid="{34A346A2-415A-4A60-BE7E-E71B9D7AE586}" name="Номер" totalsRowLabel="Итог" dataDxfId="3028" totalsRowDxfId="3027"/>
    <tableColumn id="2" xr3:uid="{33F69B7E-DF2D-4B27-A63A-B2C5EBFAE274}" name="Дата" dataDxfId="3026" totalsRowDxfId="3025"/>
    <tableColumn id="3" xr3:uid="{66D4230C-337C-45CD-8F6A-FF95164AEEA9}" name="Клиент" dataDxfId="3024" totalsRowDxfId="3023"/>
    <tableColumn id="4" xr3:uid="{53F65F1A-D3C2-41D9-B48E-518E708B36D2}" name="Сумма" dataDxfId="3022" totalsRowDxfId="3021"/>
    <tableColumn id="5" xr3:uid="{B97F9710-F7DE-48B1-95CC-6F756CD7439E}" name="Оплата" totalsRowFunction="custom" dataDxfId="3020" totalsRowDxfId="3019">
      <totalsRowFormula>Февраль2015[[#Totals],[Отгрузка]]</totalsRowFormula>
    </tableColumn>
    <tableColumn id="6" xr3:uid="{6DBB35A4-BD25-411B-A872-8F818DC60A59}" name="Заказ" dataDxfId="3018" totalsRowDxfId="3017"/>
    <tableColumn id="7" xr3:uid="{E8AD73AD-11C0-47E7-8B1E-D0312B26D960}" name="Отгрузка" totalsRowFunction="custom" dataDxfId="3016" totalsRowDxfId="3015">
      <totalsRowFormula>H18*0.02+I18*0.02</totalsRowFormula>
    </tableColumn>
    <tableColumn id="8" xr3:uid="{5B8BB2E6-097C-4054-B9A2-A18B28900100}" name="Продажа" totalsRowFunction="sum" dataDxfId="3014" totalsRowDxfId="3013">
      <calculatedColumnFormula>D2</calculatedColumnFormula>
    </tableColumn>
    <tableColumn id="9" xr3:uid="{BBE21368-8422-49A0-9454-94B8DB03F1A6}" name="Продажа НК" totalsRowFunction="sum" dataDxfId="3012" totalsRowDxfId="3011">
      <calculatedColumnFormula>H2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E3CFF8-9D09-4FA9-9BE7-33653C91653B}" name="Апрель2015" displayName="Апрель2015" ref="A37:I53" totalsRowCount="1" headerRowDxfId="3010" tableBorderDxfId="3009">
  <autoFilter ref="A37:I52" xr:uid="{32E3CFF8-9D09-4FA9-9BE7-33653C91653B}"/>
  <tableColumns count="9">
    <tableColumn id="1" xr3:uid="{9549DA0E-6B3C-4083-AE1D-0BCE401BDF9E}" name="Номер" totalsRowLabel="Итог" dataDxfId="3008" totalsRowDxfId="3007"/>
    <tableColumn id="2" xr3:uid="{98B19189-5EED-4835-9816-943C65E2115E}" name="Дата" dataDxfId="3006" totalsRowDxfId="3005"/>
    <tableColumn id="3" xr3:uid="{9C40B77E-6BA7-425C-8402-BDC063BFE6D2}" name="Клиент" dataDxfId="3004" totalsRowDxfId="3003"/>
    <tableColumn id="4" xr3:uid="{BA84BA7C-B049-4235-9EB6-A0B49ED9379D}" name="Сумма" dataDxfId="3002" totalsRowDxfId="3001"/>
    <tableColumn id="5" xr3:uid="{5AFD6FE1-9614-4CCF-9246-9CA9D870653C}" name="Оплата" totalsRowFunction="custom" dataDxfId="3000" totalsRowDxfId="2999">
      <totalsRowFormula>Апрель2015[[#Totals],[Отгрузка]]</totalsRowFormula>
    </tableColumn>
    <tableColumn id="6" xr3:uid="{FA790941-E11D-4B9B-8ED0-7C1AC095E80B}" name="Заказ" dataDxfId="2998" totalsRowDxfId="2997"/>
    <tableColumn id="7" xr3:uid="{53F0D5C4-31E0-47D0-A1D1-04F23A29CDBE}" name="Отгрузка" totalsRowFunction="custom" dataDxfId="2996" totalsRowDxfId="2995">
      <totalsRowFormula>H53*0.05+I53*0.02</totalsRowFormula>
    </tableColumn>
    <tableColumn id="8" xr3:uid="{4838D903-3208-4FD9-B424-C05BFC22CA83}" name="Продажа" totalsRowFunction="sum" dataDxfId="2994" totalsRowDxfId="2993">
      <calculatedColumnFormula>D38</calculatedColumnFormula>
    </tableColumn>
    <tableColumn id="9" xr3:uid="{BE4FAAFF-0495-40AE-B994-71426FF06082}" name="Продажа НК" totalsRowFunction="sum" dataDxfId="2992" totalsRowDxfId="299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D7FA48-CC4C-4C64-B979-675F2BA2D73E}" name="Май2015" displayName="Май2015" ref="A54:I76" totalsRowCount="1" headerRowDxfId="2990" tableBorderDxfId="2989">
  <autoFilter ref="A54:I75" xr:uid="{43D7FA48-CC4C-4C64-B979-675F2BA2D73E}"/>
  <tableColumns count="9">
    <tableColumn id="1" xr3:uid="{2E7921E7-79C8-4A4B-8721-40A625347846}" name="Номер" totalsRowLabel="Итог" dataDxfId="2988" totalsRowDxfId="2987"/>
    <tableColumn id="2" xr3:uid="{A7FC6F41-7BF1-4302-A8D0-3AC5320EAAE6}" name="Дата" dataDxfId="2986" totalsRowDxfId="2985"/>
    <tableColumn id="3" xr3:uid="{59358B1C-33AE-4B33-969A-F235F33990BA}" name="Клиент" dataDxfId="2984" totalsRowDxfId="2983"/>
    <tableColumn id="4" xr3:uid="{B2B3E443-BA38-452B-8DB2-B5FE762F9E1F}" name="Сумма" dataDxfId="2982" totalsRowDxfId="2981"/>
    <tableColumn id="5" xr3:uid="{445830FA-CF48-42A4-804A-95BBF2E5A1CC}" name="Оплата" totalsRowFunction="custom" dataDxfId="2980" totalsRowDxfId="2979">
      <totalsRowFormula>Май2015[[#Totals],[Отгрузка]]</totalsRowFormula>
    </tableColumn>
    <tableColumn id="6" xr3:uid="{16DC4E0D-F830-4671-A0D9-3F0BF91818B7}" name="Заказ" dataDxfId="2978" totalsRowDxfId="2977"/>
    <tableColumn id="7" xr3:uid="{0EF67FF5-3DB2-4546-A124-9C407265B948}" name="Отгрузка" totalsRowFunction="custom" dataDxfId="2976" totalsRowDxfId="2975">
      <totalsRowFormula>H76*0.05+I76*0.02</totalsRowFormula>
    </tableColumn>
    <tableColumn id="8" xr3:uid="{2833DC78-42B9-4139-BD5B-491FB989197F}" name="Продажа" totalsRowFunction="sum" dataDxfId="2974" totalsRowDxfId="2973">
      <calculatedColumnFormula>D55</calculatedColumnFormula>
    </tableColumn>
    <tableColumn id="9" xr3:uid="{00D8F970-42F0-4746-B77C-DF137A845DE7}" name="Продажа НК" totalsRowFunction="sum" dataDxfId="2972" totalsRowDxfId="297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3AE493-0621-42B2-898C-4BC95C6573AF}" name="Июнь2015" displayName="Июнь2015" ref="A77:I99" totalsRowCount="1" headerRowDxfId="2970" tableBorderDxfId="2969">
  <autoFilter ref="A77:I98" xr:uid="{FA3AE493-0621-42B2-898C-4BC95C6573AF}"/>
  <tableColumns count="9">
    <tableColumn id="1" xr3:uid="{A76730BB-DD71-4F50-97EE-087BFD80608F}" name="Номер" totalsRowLabel="Итог" dataDxfId="2968" totalsRowDxfId="2967"/>
    <tableColumn id="2" xr3:uid="{17DCF62A-0CDF-461B-811E-47D3605CB9C2}" name="Дата" dataDxfId="2966" totalsRowDxfId="2965"/>
    <tableColumn id="3" xr3:uid="{362BBB03-8584-46BC-B812-5ABB3A941BEE}" name="Клиент" dataDxfId="2964" totalsRowDxfId="2963"/>
    <tableColumn id="4" xr3:uid="{D006C759-8F7B-449B-AF68-82A6E8186F5F}" name="Сумма" dataDxfId="2962" totalsRowDxfId="2961"/>
    <tableColumn id="5" xr3:uid="{B079D6ED-ED41-40E0-A425-B4132BBABB71}" name="Оплата" totalsRowFunction="custom" dataDxfId="2960" totalsRowDxfId="2959">
      <totalsRowFormula>Июнь2015[[#Totals],[Отгрузка]]</totalsRowFormula>
    </tableColumn>
    <tableColumn id="6" xr3:uid="{39815BEC-9133-4A66-89B0-F08EC1483058}" name="Заказ" dataDxfId="2958" totalsRowDxfId="2957"/>
    <tableColumn id="7" xr3:uid="{8BBD5E02-623D-477D-8973-AEFFDAA20620}" name="Отгрузка" totalsRowFunction="custom" dataDxfId="2956" totalsRowDxfId="2955">
      <totalsRowFormula>H99*0.05+I99*0.02</totalsRowFormula>
    </tableColumn>
    <tableColumn id="8" xr3:uid="{F94C15BA-4B77-49F5-9CAD-49105A3AB02B}" name="Продажа" totalsRowFunction="sum" dataDxfId="2954" totalsRowDxfId="2953">
      <calculatedColumnFormula>D78</calculatedColumnFormula>
    </tableColumn>
    <tableColumn id="9" xr3:uid="{1AA49EAA-1546-4229-8FE3-6190D1372219}" name="Продажа НК" totalsRowFunction="sum" dataDxfId="2952" totalsRowDxfId="295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5FC5812-8F8E-44EC-9AB0-4611AE921980}" name="Июль2015" displayName="Июль2015" ref="A100:I115" totalsRowCount="1" headerRowDxfId="2950" tableBorderDxfId="2949">
  <autoFilter ref="A100:I114" xr:uid="{75FC5812-8F8E-44EC-9AB0-4611AE921980}"/>
  <tableColumns count="9">
    <tableColumn id="1" xr3:uid="{24501B28-B7E2-4BB8-90AE-A9B23145E705}" name="Номер" totalsRowLabel="Итог" dataDxfId="2948" totalsRowDxfId="2947"/>
    <tableColumn id="2" xr3:uid="{9401F66C-F696-4C2B-8916-452EAEABF933}" name="Дата" dataDxfId="2946" totalsRowDxfId="2945"/>
    <tableColumn id="3" xr3:uid="{63579C79-BD58-4E4B-B6C4-C2368C4A39E3}" name="Клиент" dataDxfId="2944" totalsRowDxfId="2943"/>
    <tableColumn id="4" xr3:uid="{448FDFE3-4AFE-42B5-851F-67F971E33328}" name="Сумма" dataDxfId="2942" totalsRowDxfId="2941"/>
    <tableColumn id="5" xr3:uid="{F295201B-CE82-43FA-BD28-E12D3C6518F0}" name="Оплата" totalsRowFunction="custom" dataDxfId="2940" totalsRowDxfId="2939">
      <totalsRowFormula>Июль2015[[#Totals],[Отгрузка]]</totalsRowFormula>
    </tableColumn>
    <tableColumn id="6" xr3:uid="{147E0C04-CD70-4315-875F-4C891A3A4C27}" name="Заказ" dataDxfId="2938" totalsRowDxfId="2937"/>
    <tableColumn id="7" xr3:uid="{978A04DA-8B6B-48CC-91DB-659074CEAA59}" name="Отгрузка" totalsRowFunction="custom" dataDxfId="2936" totalsRowDxfId="2935">
      <totalsRowFormula>H115*0.02+I115*0.02</totalsRowFormula>
    </tableColumn>
    <tableColumn id="8" xr3:uid="{B87ADFD6-7646-4496-B1A9-5DAE349AA305}" name="Продажа" totalsRowFunction="sum" dataDxfId="2934" totalsRowDxfId="2933">
      <calculatedColumnFormula>D101</calculatedColumnFormula>
    </tableColumn>
    <tableColumn id="9" xr3:uid="{0B08D692-D945-4788-8130-7AA0A0C31329}" name="Продажа НК" totalsRowFunction="sum" dataDxfId="2932" totalsRowDxfId="293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94C71BE-6802-4699-8514-430D1266F5BF}" name="Август2015" displayName="Август2015" ref="A116:I133" totalsRowCount="1" headerRowDxfId="2930" tableBorderDxfId="2929">
  <autoFilter ref="A116:I132" xr:uid="{B94C71BE-6802-4699-8514-430D1266F5BF}"/>
  <tableColumns count="9">
    <tableColumn id="1" xr3:uid="{B4F3D715-F3D1-42AD-A081-22E650B575B1}" name="Номер" totalsRowLabel="Итог" dataDxfId="2928" totalsRowDxfId="2927"/>
    <tableColumn id="2" xr3:uid="{EB7352AE-9C67-464B-A799-1CEC8BA91DDF}" name="Дата" dataDxfId="2926" totalsRowDxfId="2925"/>
    <tableColumn id="3" xr3:uid="{69D98321-ADA9-40BA-9F3C-490CCFD453C3}" name="Клиент" dataDxfId="2924" totalsRowDxfId="2923"/>
    <tableColumn id="4" xr3:uid="{C51AC889-789B-4450-A32C-2000C44547A5}" name="Сумма" dataDxfId="2922" totalsRowDxfId="2921"/>
    <tableColumn id="5" xr3:uid="{67900A17-4CC6-48F3-AAD9-F0CCBC6C7A00}" name="Оплата" totalsRowFunction="custom" dataDxfId="2920" totalsRowDxfId="2919">
      <totalsRowFormula>Август2015[[#Totals],[Отгрузка]]</totalsRowFormula>
    </tableColumn>
    <tableColumn id="6" xr3:uid="{16F3B7C7-2A20-4015-A7D2-0931B59932DF}" name="Заказ" dataDxfId="2918" totalsRowDxfId="2917"/>
    <tableColumn id="7" xr3:uid="{628DD8A7-AE7F-4248-AEA3-8963F5746D29}" name="Отгрузка" totalsRowFunction="custom" dataDxfId="2916" totalsRowDxfId="2915">
      <totalsRowFormula>H133*0.02+I133*0.02</totalsRowFormula>
    </tableColumn>
    <tableColumn id="8" xr3:uid="{1600C706-D708-471F-8AEA-9896DC9EA4FB}" name="Продажа" totalsRowFunction="sum" dataDxfId="2914" totalsRowDxfId="2913">
      <calculatedColumnFormula>D117</calculatedColumnFormula>
    </tableColumn>
    <tableColumn id="9" xr3:uid="{F10E3A9D-F7D7-4531-81ED-3781981411D9}" name="Продажа НК" totalsRowFunction="sum" dataDxfId="2912" totalsRowDxfId="2911">
      <calculatedColumnFormula>H117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5F7B89-54EB-4BD0-9A2C-9C023BDEB9D4}" name="Сентябрь2015" displayName="Сентябрь2015" ref="A134:I155" totalsRowCount="1" headerRowDxfId="2910" tableBorderDxfId="2909">
  <autoFilter ref="A134:I154" xr:uid="{2C5F7B89-54EB-4BD0-9A2C-9C023BDEB9D4}"/>
  <tableColumns count="9">
    <tableColumn id="1" xr3:uid="{9FAF7020-A723-4B34-AC55-2784A338DBD3}" name="Номер" totalsRowLabel="Итог" dataDxfId="2908" totalsRowDxfId="2907"/>
    <tableColumn id="2" xr3:uid="{5E3252B9-588B-44A0-8EB0-4369B02A68AD}" name="Дата" dataDxfId="2906" totalsRowDxfId="2905"/>
    <tableColumn id="3" xr3:uid="{C2B954F8-E68C-4256-9BC1-C132D0F8BBC5}" name="Клиент" dataDxfId="2904" totalsRowDxfId="2903"/>
    <tableColumn id="4" xr3:uid="{45F32405-46FB-46FD-91F6-F89371027F75}" name="Сумма" dataDxfId="2902" totalsRowDxfId="2901"/>
    <tableColumn id="5" xr3:uid="{324534F5-93BB-4C15-821E-AABC2497B31D}" name="Оплата" totalsRowFunction="custom" dataDxfId="2900" totalsRowDxfId="2899">
      <totalsRowFormula>Сентябрь2015[[#Totals],[Отгрузка]]</totalsRowFormula>
    </tableColumn>
    <tableColumn id="6" xr3:uid="{AD9191CC-11B5-417E-8298-8D7F09946000}" name="Заказ" dataDxfId="2898" totalsRowDxfId="2897"/>
    <tableColumn id="7" xr3:uid="{32D281D5-03D4-45FD-BF14-B1A480F51B9C}" name="Отгрузка" totalsRowFunction="custom" dataDxfId="2896" totalsRowDxfId="2895">
      <totalsRowFormula>H155*0.02+I155*0.02</totalsRowFormula>
    </tableColumn>
    <tableColumn id="8" xr3:uid="{69F87476-95D2-4B6D-9AFA-AA6AA4EEE1F7}" name="Продажа" totalsRowFunction="sum" dataDxfId="2894" totalsRowDxfId="2893">
      <calculatedColumnFormula>D135</calculatedColumnFormula>
    </tableColumn>
    <tableColumn id="9" xr3:uid="{02541D0C-9B3A-47B6-BD8A-CAAF9543C8AC}" name="Продажа НК" totalsRowFunction="sum" dataDxfId="2892" totalsRowDxfId="289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DBD3C18-F012-451E-8E7F-EB057DED9DED}" name="Октябрь2015" displayName="Октябрь2015" ref="A156:I183" totalsRowCount="1" headerRowDxfId="2890" tableBorderDxfId="2889">
  <autoFilter ref="A156:I182" xr:uid="{BDBD3C18-F012-451E-8E7F-EB057DED9DED}"/>
  <tableColumns count="9">
    <tableColumn id="1" xr3:uid="{1AF59C7F-2C07-4F46-8F0D-67C8D8C1B7CF}" name="Номер" totalsRowLabel="Итог" dataDxfId="2888" totalsRowDxfId="2887"/>
    <tableColumn id="2" xr3:uid="{DCB2E4C1-95CD-4B6C-BE98-276BDDE64CB3}" name="Дата" dataDxfId="2886" totalsRowDxfId="2885"/>
    <tableColumn id="3" xr3:uid="{1830A752-8D1C-4003-A323-6F3FF75F0756}" name="Клиент" dataDxfId="2884" totalsRowDxfId="2883"/>
    <tableColumn id="4" xr3:uid="{FE51E292-0346-475F-AC4D-40C529E636CA}" name="Сумма" dataDxfId="2882" totalsRowDxfId="2881"/>
    <tableColumn id="5" xr3:uid="{98CA77DA-07F3-4471-8BFF-CF027327B6C4}" name="Оплата" totalsRowFunction="custom" dataDxfId="2880" totalsRowDxfId="2879">
      <totalsRowFormula>Октябрь2015[[#Totals],[Отгрузка]]</totalsRowFormula>
    </tableColumn>
    <tableColumn id="6" xr3:uid="{9851AA98-57D7-4854-9BB5-3988C3BB57DF}" name="Заказ" dataDxfId="2878" totalsRowDxfId="2877"/>
    <tableColumn id="7" xr3:uid="{C8AE2EEE-7F84-44DF-9D9D-EFD1B256882F}" name="Отгрузка" totalsRowFunction="custom" dataDxfId="2876" totalsRowDxfId="2875">
      <totalsRowFormula>H183*0.05+I183*0.02</totalsRowFormula>
    </tableColumn>
    <tableColumn id="8" xr3:uid="{BE7791BD-ABA9-4BDD-8ABE-485095BC5272}" name="Продажа" totalsRowFunction="sum" dataDxfId="2874" totalsRowDxfId="2873"/>
    <tableColumn id="9" xr3:uid="{A43A0384-750A-4F37-9671-FAD6037B22A9}" name="Продажа НК" totalsRowFunction="sum" dataDxfId="2872" totalsRowDxfId="287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56A9FCB-3689-467A-9E8F-655A315E0621}" name="Ноябрь2015" displayName="Ноябрь2015" ref="A184:I195" totalsRowCount="1" headerRowDxfId="2870" tableBorderDxfId="2869">
  <autoFilter ref="A184:I194" xr:uid="{E56A9FCB-3689-467A-9E8F-655A315E0621}"/>
  <tableColumns count="9">
    <tableColumn id="1" xr3:uid="{2ED9AA7D-BD4C-4609-8385-FD44E45130D3}" name="Номер" totalsRowLabel="Итог" dataDxfId="2868" totalsRowDxfId="2867"/>
    <tableColumn id="2" xr3:uid="{8E604198-4DF3-4E3A-9238-ED5E38A15885}" name="Дата" dataDxfId="2866" totalsRowDxfId="2865"/>
    <tableColumn id="3" xr3:uid="{A5153769-5C65-47DE-8016-6F225004E561}" name="Клиент" dataDxfId="2864" totalsRowDxfId="2863"/>
    <tableColumn id="4" xr3:uid="{82EA4680-9736-40F0-81EB-65C37DE944CF}" name="Сумма" dataDxfId="2862" totalsRowDxfId="2861"/>
    <tableColumn id="5" xr3:uid="{31494003-21BB-4837-9699-8BA7C3089379}" name="Оплата" totalsRowFunction="custom" dataDxfId="2860" totalsRowDxfId="2859">
      <totalsRowFormula>Ноябрь2015[[#Totals],[Отгрузка]]</totalsRowFormula>
    </tableColumn>
    <tableColumn id="6" xr3:uid="{E4E67F8B-71A3-487C-97FB-C033656E3A20}" name="Заказ" dataDxfId="2858" totalsRowDxfId="2857"/>
    <tableColumn id="7" xr3:uid="{1AE0B71B-6812-4216-8826-9E89DE435414}" name="Отгрузка" totalsRowFunction="custom" dataDxfId="2856" totalsRowDxfId="2855">
      <totalsRowFormula>H195*0.02+I195*0.02</totalsRowFormula>
    </tableColumn>
    <tableColumn id="8" xr3:uid="{83B6861C-B726-4510-8B0E-21AB9FEAFCFB}" name="Продажа" totalsRowFunction="sum" dataDxfId="2854" totalsRowDxfId="2853">
      <calculatedColumnFormula>D185</calculatedColumnFormula>
    </tableColumn>
    <tableColumn id="9" xr3:uid="{8DA62EE1-2DEB-49FE-AB53-742E9ED59EC2}" name="Продажа НК" totalsRowFunction="sum" dataDxfId="2852" totalsRowDxfId="2851">
      <calculatedColumnFormula>H185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3777A15-E9AE-4D20-884F-D2D3F5F90A32}" name="Декабрь2015" displayName="Декабрь2015" ref="A196:I222" totalsRowCount="1" headerRowDxfId="2850" tableBorderDxfId="2849">
  <autoFilter ref="A196:I221" xr:uid="{13777A15-E9AE-4D20-884F-D2D3F5F90A32}"/>
  <tableColumns count="9">
    <tableColumn id="1" xr3:uid="{C03E7F33-F8FD-49C4-BAD2-EDC245542E09}" name="Номер" totalsRowLabel="Итог" dataDxfId="2848" totalsRowDxfId="2847"/>
    <tableColumn id="2" xr3:uid="{183C9D2A-6F84-4741-BAA8-F8F3E233690C}" name="Дата" dataDxfId="2846" totalsRowDxfId="2845"/>
    <tableColumn id="3" xr3:uid="{8FB6223B-7DB3-42BD-AC2E-5AF2D7D5D27F}" name="Клиент" dataDxfId="2844" totalsRowDxfId="2843"/>
    <tableColumn id="4" xr3:uid="{B1E5F8B0-35F9-46CF-B172-6611866F50DA}" name="Сумма" dataDxfId="2842" totalsRowDxfId="2841"/>
    <tableColumn id="5" xr3:uid="{D3200515-2673-4E32-94CB-820585E66424}" name="Оплата" totalsRowFunction="custom" dataDxfId="2840" totalsRowDxfId="2839">
      <totalsRowFormula>Декабрь2015[[#Totals],[Отгрузка]]</totalsRowFormula>
    </tableColumn>
    <tableColumn id="6" xr3:uid="{1E5CADC9-3C41-43E4-8A5B-837B18993C9D}" name="Заказ" dataDxfId="2838" totalsRowDxfId="2837"/>
    <tableColumn id="7" xr3:uid="{CBB1A0D1-5639-47AA-83C6-FB5B2CCA4288}" name="Отгрузка" totalsRowFunction="custom" dataDxfId="2836" totalsRowDxfId="2835">
      <totalsRowFormula>H222*0.05+I222*0.02</totalsRowFormula>
    </tableColumn>
    <tableColumn id="8" xr3:uid="{93EE173B-79AC-42B2-BD5B-315F9D1B846A}" name="Продажа" totalsRowFunction="sum" dataDxfId="2834" totalsRowDxfId="2833">
      <calculatedColumnFormula>D197</calculatedColumnFormula>
    </tableColumn>
    <tableColumn id="9" xr3:uid="{67C8D3BB-29F4-4A5D-B400-C164C0379B6B}" name="Продажа НК" totalsRowFunction="sum" dataDxfId="2832" totalsRowDxfId="283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6432CB8-6095-4181-AFDD-BE7DFD87BD3A}" name="Январь2016" displayName="Январь2016" ref="A223:I238" totalsRowCount="1" headerRowDxfId="2830" tableBorderDxfId="2829">
  <autoFilter ref="A223:I237" xr:uid="{A6432CB8-6095-4181-AFDD-BE7DFD87BD3A}"/>
  <tableColumns count="9">
    <tableColumn id="1" xr3:uid="{0E521EE4-BFE3-420D-B373-7FC7595402E9}" name="Номер" totalsRowLabel="Итог" dataDxfId="2828" totalsRowDxfId="2827"/>
    <tableColumn id="2" xr3:uid="{A5DD55C9-5007-4919-A2DD-7790B82F73C9}" name="Дата" dataDxfId="2826" totalsRowDxfId="2825"/>
    <tableColumn id="3" xr3:uid="{E93D95E0-A87E-485D-AAEF-470409852F14}" name="Клиент" dataDxfId="2824" totalsRowDxfId="2823"/>
    <tableColumn id="4" xr3:uid="{52620DB9-85EB-4058-B268-EBB130CB8343}" name="Сумма" dataDxfId="2822" totalsRowDxfId="2821"/>
    <tableColumn id="5" xr3:uid="{F9F10E1E-7AFD-4464-8D26-0F532F214E54}" name="Оплата" totalsRowFunction="custom" dataDxfId="2820" totalsRowDxfId="2819">
      <totalsRowFormula>Январь2016[[#Totals],[Отгрузка]]</totalsRowFormula>
    </tableColumn>
    <tableColumn id="6" xr3:uid="{8BBEE07D-4C59-4760-BC6F-5EC5365D8AB9}" name="Заказ" dataDxfId="2818" totalsRowDxfId="2817"/>
    <tableColumn id="7" xr3:uid="{8DC804BB-3BB7-442D-8795-A96D6ACE350F}" name="Отгрузка" totalsRowFunction="custom" dataDxfId="2816" totalsRowDxfId="2815">
      <totalsRowFormula>H238*0.02+I238*0.02</totalsRowFormula>
    </tableColumn>
    <tableColumn id="8" xr3:uid="{00759B65-33A0-4CC2-B8E0-67B7A482C08D}" name="Продажа" totalsRowFunction="sum" dataDxfId="2814" totalsRowDxfId="2813">
      <calculatedColumnFormula>D224</calculatedColumnFormula>
    </tableColumn>
    <tableColumn id="9" xr3:uid="{B8693FC5-D889-4DCF-BC98-A02A5F4BE440}" name="Продажа НК" totalsRowFunction="sum" dataDxfId="2812" totalsRowDxfId="281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5B920A6-660E-4186-8577-6438FABCEDD4}" name="Февраль2016" displayName="Февраль2016" ref="A239:I257" totalsRowCount="1" headerRowDxfId="2810" tableBorderDxfId="2809">
  <autoFilter ref="A239:I256" xr:uid="{D5B920A6-660E-4186-8577-6438FABCEDD4}"/>
  <tableColumns count="9">
    <tableColumn id="1" xr3:uid="{6ABF16F6-15E4-4CF9-A2E6-3FD6483914E1}" name="Номер" totalsRowLabel="Итог" dataDxfId="2808" totalsRowDxfId="2807"/>
    <tableColumn id="2" xr3:uid="{3AE83414-F32D-40F1-A4FD-238EB8669B7B}" name="Дата" dataDxfId="2806" totalsRowDxfId="2805"/>
    <tableColumn id="3" xr3:uid="{4A9AA052-1478-4DFB-80B6-6FD9485500D8}" name="Клиент" dataDxfId="2804" totalsRowDxfId="2803"/>
    <tableColumn id="4" xr3:uid="{B8E5681D-FB4C-4DAD-A9E5-1B4BA8109CB0}" name="Сумма" dataDxfId="2802" totalsRowDxfId="2801"/>
    <tableColumn id="5" xr3:uid="{B337D922-1751-47A6-8821-D8FB968F3262}" name="Оплата" totalsRowFunction="custom" dataDxfId="2800" totalsRowDxfId="2799">
      <totalsRowFormula>Февраль2016[[#Totals],[Отгрузка]]</totalsRowFormula>
    </tableColumn>
    <tableColumn id="6" xr3:uid="{9E3E19A2-9C12-4F45-9E3C-75503F41780D}" name="Заказ" dataDxfId="2798" totalsRowDxfId="2797"/>
    <tableColumn id="7" xr3:uid="{4861A17D-2CE7-4028-BC82-EEB45A8C9B3A}" name="Отгрузка" totalsRowFunction="custom" dataDxfId="2796" totalsRowDxfId="2795">
      <totalsRowFormula>H257*0.05+I257*0.02</totalsRowFormula>
    </tableColumn>
    <tableColumn id="8" xr3:uid="{B3465416-5F0F-4F57-AF6A-16AAB895E7F2}" name="Продажа" totalsRowFunction="sum" dataDxfId="2794" totalsRowDxfId="2793">
      <calculatedColumnFormula>D240</calculatedColumnFormula>
    </tableColumn>
    <tableColumn id="9" xr3:uid="{959F3209-55A8-433A-A7B2-B2C1A525BAF6}" name="Продажа НК" totalsRowFunction="sum" dataDxfId="2792" totalsRowDxfId="279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BE5A5732-FA5E-4145-906C-2280F1B165F5}" name="Март2015" displayName="Март2015" ref="A19:I36" totalsRowCount="1" headerRowDxfId="2790" tableBorderDxfId="2789">
  <autoFilter ref="A19:I35" xr:uid="{BE5A5732-FA5E-4145-906C-2280F1B165F5}"/>
  <tableColumns count="9">
    <tableColumn id="1" xr3:uid="{DE99768A-C723-4428-AD29-E17C30E04F4E}" name="Номер" totalsRowLabel="Итог" dataDxfId="2788" totalsRowDxfId="2787"/>
    <tableColumn id="2" xr3:uid="{14452958-551C-4981-84BC-C80711333950}" name="Дата" dataDxfId="2786" totalsRowDxfId="2785"/>
    <tableColumn id="3" xr3:uid="{DB355842-C06F-4DF0-BE27-BD50B0A16DA3}" name="Клиент" dataDxfId="2784" totalsRowDxfId="2783"/>
    <tableColumn id="4" xr3:uid="{A83A3EB3-2AD0-4033-9A32-E99CAFE782DA}" name="Сумма" dataDxfId="2782" totalsRowDxfId="2781"/>
    <tableColumn id="5" xr3:uid="{B2E6D10D-14AB-423B-B946-C4C7B0025308}" name="Оплата" totalsRowFunction="custom" dataDxfId="2780" totalsRowDxfId="2779">
      <totalsRowFormula>Март2015[[#Totals],[Отгрузка]]</totalsRowFormula>
    </tableColumn>
    <tableColumn id="6" xr3:uid="{10A471DE-5F7C-4DF2-BCA0-45A27932ACE5}" name="Заказ" dataDxfId="2778" totalsRowDxfId="2777"/>
    <tableColumn id="7" xr3:uid="{F4A1B70F-483D-458E-87B1-9D77E21C8185}" name="Отгрузка" totalsRowFunction="custom" dataDxfId="2776" totalsRowDxfId="2775">
      <totalsRowFormula>H36*0.02+I36*0.02</totalsRowFormula>
    </tableColumn>
    <tableColumn id="8" xr3:uid="{C06E4895-B9AA-4790-BBF5-50B097A67253}" name="Продажа" totalsRowFunction="sum" dataDxfId="2774" totalsRowDxfId="2773"/>
    <tableColumn id="9" xr3:uid="{E8ACF5C6-2B5B-4B63-B2A0-9DF5979A7721}" name="Продажа НК" totalsRowFunction="sum" dataDxfId="2772" totalsRowDxfId="277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F6929A-EAA2-4288-80EB-99AD291EA0E4}" name="Январь2023" displayName="Январь2023" ref="A2275:O2283" totalsRowCount="1" headerRowDxfId="2770" tableBorderDxfId="2769">
  <autoFilter ref="A2275:O2282" xr:uid="{53F6929A-EAA2-4288-80EB-99AD291EA0E4}"/>
  <tableColumns count="15">
    <tableColumn id="1" xr3:uid="{FEE00F35-C6B5-46E8-B7D5-EA09A1D3AF25}" name="Номер" totalsRowLabel="Итог" dataDxfId="2768" totalsRowDxfId="2767"/>
    <tableColumn id="2" xr3:uid="{F6533FEC-EE62-4A99-B91F-392E643D03F1}" name="Дата" dataDxfId="2766" totalsRowDxfId="2765"/>
    <tableColumn id="3" xr3:uid="{55C0D730-ED2C-4C2C-A463-1F75DC71FA5E}" name="Клиент" dataDxfId="2764" totalsRowDxfId="2763"/>
    <tableColumn id="4" xr3:uid="{FD2B3A24-773D-473E-A97F-752229FF4721}" name="Сумма" dataDxfId="2762" totalsRowDxfId="2761"/>
    <tableColumn id="5" xr3:uid="{CC1E28F3-AD72-489B-B109-5FF822EBC1CE}" name="Оплата" dataDxfId="2760" totalsRowDxfId="2759"/>
    <tableColumn id="6" xr3:uid="{9FA27DFC-E206-4791-AD55-E6E9DDC944E4}" name="Заказ" totalsRowFunction="custom" dataDxfId="2758" totalsRowDxfId="2757">
      <totalsRowFormula>M2283*0.17+N2283*0.06</totalsRowFormula>
    </tableColumn>
    <tableColumn id="7" xr3:uid="{9AE8421D-1585-493C-8AAB-2C0B230DA90A}" name="Отгрузка" totalsRowFunction="custom" dataDxfId="2756" totalsRowDxfId="2755">
      <totalsRowFormula>H2283*0.05+I2283*0.02</totalsRowFormula>
    </tableColumn>
    <tableColumn id="8" xr3:uid="{83573A4C-3BC1-44B8-BEEC-77EBD08E0990}" name="Продажа" totalsRowFunction="sum" dataDxfId="2754" totalsRowDxfId="2753"/>
    <tableColumn id="9" xr3:uid="{9FD4A6FC-5EBC-46AD-8E1D-515C8F33F7CE}" name="Продажа НК" totalsRowFunction="sum" dataDxfId="2752" totalsRowDxfId="2751"/>
    <tableColumn id="10" xr3:uid="{3F34E2B5-D267-4DDF-8853-05545E6D82BF}" name="отк" totalsRowFunction="sum" dataDxfId="2750" totalsRowDxfId="2749"/>
    <tableColumn id="11" xr3:uid="{F6AEBCE1-557C-40EB-B948-4CDA80563778}" name="шланги" totalsRowFunction="sum" dataDxfId="2748" totalsRowDxfId="2747"/>
    <tableColumn id="12" xr3:uid="{EDF4DCDB-2B23-468D-901E-54216643353C}" name="Закупка" totalsRowFunction="sum" dataDxfId="2746" totalsRowDxfId="2745"/>
    <tableColumn id="13" xr3:uid="{4F19B888-A33C-416C-91E6-A29FA374027C}" name="Маржа" totalsRowFunction="sum" dataDxfId="2744" totalsRowDxfId="2743"/>
    <tableColumn id="14" xr3:uid="{CDEBC6AF-B496-448F-A598-0CCA21E62C85}" name="Маржа НК" totalsRowFunction="sum" dataDxfId="2742" totalsRowDxfId="2741"/>
    <tableColumn id="15" xr3:uid="{D55D6BC0-24B5-4AA3-AC20-C5493EDFF19E}" name="% маржи" dataDxfId="2740" totalsRowDxfId="2739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0B510A-FF11-4AC9-9A5D-CF51B9DCC481}" name="Март2016" displayName="Март2016" ref="A1:O27" totalsRowCount="1" headerRowDxfId="2738" tableBorderDxfId="2737">
  <autoFilter ref="A1:O26" xr:uid="{680B510A-FF11-4AC9-9A5D-CF51B9DCC481}"/>
  <tableColumns count="15">
    <tableColumn id="1" xr3:uid="{51DEB5D4-4919-402C-82B7-051B9405E073}" name="Номер" totalsRowLabel="Итог" dataDxfId="2736" totalsRowDxfId="2735"/>
    <tableColumn id="2" xr3:uid="{02966EC7-0F02-413A-9795-32079263D5CE}" name="Дата" dataDxfId="2734" totalsRowDxfId="2733"/>
    <tableColumn id="3" xr3:uid="{EA5CBFF4-14A9-4526-B065-9A1247D4D81F}" name="Клиент" dataDxfId="2732" totalsRowDxfId="2731"/>
    <tableColumn id="4" xr3:uid="{7A957EB4-4260-41A3-B20E-D73196B485CD}" name="Сумма" dataDxfId="2730" totalsRowDxfId="2729"/>
    <tableColumn id="5" xr3:uid="{216CEEDF-6C39-4A9E-8D95-261882820E53}" name="Оплата" totalsRowLabel="55 900,00" dataDxfId="2728" totalsRowDxfId="100"/>
    <tableColumn id="6" xr3:uid="{DF7C1841-0A84-47B8-95F6-26B12808DAA0}" name="Заказ" totalsRowFunction="custom" dataDxfId="2727" totalsRowDxfId="2726">
      <totalsRowFormula>M27*0.17+N27*0.06</totalsRowFormula>
    </tableColumn>
    <tableColumn id="7" xr3:uid="{B17F5DD7-F1A9-40C5-8844-5377B52CDAE1}" name="Отгрузка" totalsRowFunction="custom" dataDxfId="2725" totalsRowDxfId="2724">
      <totalsRowFormula>H27*0.05+I27*0.02</totalsRowFormula>
    </tableColumn>
    <tableColumn id="8" xr3:uid="{2BEDEE5B-C759-4819-8EFB-B041066E529D}" name="Продажа" totalsRowFunction="sum" dataDxfId="2723" totalsRowDxfId="2722">
      <calculatedColumnFormula>D2</calculatedColumnFormula>
    </tableColumn>
    <tableColumn id="9" xr3:uid="{193BB222-BCFF-48BF-AC7C-30903AAC1A26}" name="Продажа НК" totalsRowFunction="sum" dataDxfId="2721" totalsRowDxfId="2720"/>
    <tableColumn id="10" xr3:uid="{F1F81D92-3498-4C85-A286-3F5E2B7C3EE0}" name="отк" totalsRowFunction="sum" dataDxfId="2719" totalsRowDxfId="2718"/>
    <tableColumn id="11" xr3:uid="{6DC9556B-B004-40E5-81D2-F4BFCE2A61FF}" name="шланги" totalsRowFunction="sum" dataDxfId="2717" totalsRowDxfId="2716"/>
    <tableColumn id="12" xr3:uid="{A4A1E217-321C-49C5-83BE-296558DF3DFC}" name="Закупка" totalsRowFunction="sum" dataDxfId="2715" totalsRowDxfId="2714"/>
    <tableColumn id="13" xr3:uid="{DC353258-AD0A-450D-8B12-E839FF26F691}" name="Маржа" totalsRowFunction="sum" dataDxfId="2713" totalsRowDxfId="2712">
      <calculatedColumnFormula>H2-L2-J2-K2</calculatedColumnFormula>
    </tableColumn>
    <tableColumn id="14" xr3:uid="{412C88CA-CBDA-465F-9593-72EF5E3FC399}" name="Маржа НК" totalsRowFunction="sum" dataDxfId="2711" totalsRowDxfId="2710"/>
    <tableColumn id="15" xr3:uid="{CDCC959C-B085-4BF9-9F06-ADCAB1B9F7BD}" name="% маржи" totalsRowFunction="custom" dataDxfId="2709" totalsRowDxfId="2708">
      <calculatedColumnFormula>M2/H2</calculatedColumnFormula>
      <totalsRowFormula>M27/H27</totalsRow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B98B74A-DF68-4958-802B-A6119C7E574D}" name="Апрель2016" displayName="Апрель2016" ref="A28:O63" totalsRowCount="1" headerRowDxfId="2707" tableBorderDxfId="2706">
  <autoFilter ref="A28:O62" xr:uid="{5B98B74A-DF68-4958-802B-A6119C7E574D}"/>
  <tableColumns count="15">
    <tableColumn id="1" xr3:uid="{7974C0F3-FC96-40F2-91D8-E42B6B494EAC}" name="Номер" totalsRowLabel="Итог" dataDxfId="2705" totalsRowDxfId="2704"/>
    <tableColumn id="2" xr3:uid="{9A7D158C-78DD-4E69-BA66-A43C213E6B20}" name="Дата" dataDxfId="2703" totalsRowDxfId="2702"/>
    <tableColumn id="3" xr3:uid="{C220EC82-ED8A-40B3-A4DE-AC38B36AF54A}" name="Клиент" dataDxfId="2701" totalsRowDxfId="2700"/>
    <tableColumn id="4" xr3:uid="{36F28207-457F-421C-ADA7-E61427969AAB}" name="Сумма" dataDxfId="2699" totalsRowDxfId="2698"/>
    <tableColumn id="5" xr3:uid="{030B117D-A25C-4BB0-A85D-0EA91E395D40}" name="Оплата" totalsRowLabel="65000,00" dataDxfId="2697" totalsRowDxfId="2696"/>
    <tableColumn id="6" xr3:uid="{6DF396F6-7860-41F5-B70F-96D1F7A66DEC}" name="Заказ" totalsRowFunction="custom" dataDxfId="2695" totalsRowDxfId="2694">
      <totalsRowFormula>M63*0.17+N63*0.06</totalsRowFormula>
    </tableColumn>
    <tableColumn id="7" xr3:uid="{2F1EBFD7-4F80-4B96-9D6C-DEDFF2A0C0AE}" name="Отгрузка" totalsRowFunction="custom" dataDxfId="2693" totalsRowDxfId="2692">
      <totalsRowFormula>H63*0.05+I63*0.02</totalsRowFormula>
    </tableColumn>
    <tableColumn id="8" xr3:uid="{42EB79C7-81DF-421B-971F-A76213CE499F}" name="Продажа" totalsRowFunction="sum" dataDxfId="2691" totalsRowDxfId="2690">
      <calculatedColumnFormula>D29</calculatedColumnFormula>
    </tableColumn>
    <tableColumn id="9" xr3:uid="{D891090D-43DD-41A7-B322-D064638244E7}" name="Продажа НК" totalsRowFunction="sum" dataDxfId="2689" totalsRowDxfId="2688"/>
    <tableColumn id="10" xr3:uid="{D67190C8-C022-44FC-BDED-AC0FDF27ECD8}" name="отк" totalsRowFunction="sum" dataDxfId="2687" totalsRowDxfId="2686"/>
    <tableColumn id="11" xr3:uid="{230D01F9-9E85-41CC-A716-4ADB88717824}" name="шланги" totalsRowFunction="sum" dataDxfId="2685" totalsRowDxfId="2684"/>
    <tableColumn id="12" xr3:uid="{89D114FF-5DE5-4941-8479-537E155EE5C9}" name="Закупка" totalsRowFunction="sum" dataDxfId="2683" totalsRowDxfId="2682"/>
    <tableColumn id="13" xr3:uid="{B96D168F-BF0D-4A22-8DCF-89189141D879}" name="Маржа" totalsRowFunction="sum" dataDxfId="2681" totalsRowDxfId="2680">
      <calculatedColumnFormula>H29-L29-J29-K29</calculatedColumnFormula>
    </tableColumn>
    <tableColumn id="14" xr3:uid="{7BF1E742-6EA1-45B0-898D-CB04A97C29AE}" name="Маржа НК" totalsRowFunction="sum" dataDxfId="2679" totalsRowDxfId="2678"/>
    <tableColumn id="15" xr3:uid="{65FD66F6-A2F1-454F-B2C6-606BECDA8708}" name="% маржи" totalsRowFunction="custom" dataDxfId="2677" totalsRowDxfId="2676">
      <calculatedColumnFormula>M29/H29</calculatedColumnFormula>
      <totalsRowFormula>M63/H63</totalsRow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6EDF2A6-52B7-47B8-B3AF-A3CF5CF5E192}" name="Май2016" displayName="Май2016" ref="A64:O89" totalsRowCount="1" headerRowDxfId="2675" tableBorderDxfId="2674">
  <autoFilter ref="A64:O88" xr:uid="{06EDF2A6-52B7-47B8-B3AF-A3CF5CF5E192}"/>
  <tableColumns count="15">
    <tableColumn id="1" xr3:uid="{AAC72A03-AD24-4C7D-B05B-A5F4A4166882}" name="Номер" totalsRowLabel="Итог" dataDxfId="2673" totalsRowDxfId="2672"/>
    <tableColumn id="2" xr3:uid="{F20902F1-C68D-4715-AE3B-42649561B3C2}" name="Дата" dataDxfId="2671" totalsRowDxfId="2670"/>
    <tableColumn id="3" xr3:uid="{E5AA0003-E334-4F4D-83CD-B98AECAE3646}" name="Клиент" dataDxfId="2669" totalsRowDxfId="2668"/>
    <tableColumn id="4" xr3:uid="{198F3805-65C3-44A3-903E-19F77343B909}" name="Сумма" dataDxfId="2667" totalsRowDxfId="2666"/>
    <tableColumn id="5" xr3:uid="{BE429F1E-5174-48E6-BCC6-8399DCAF55AC}" name="Оплата" totalsRowLabel="49100,00" dataDxfId="2665" totalsRowDxfId="2664"/>
    <tableColumn id="6" xr3:uid="{3F6DBE10-D54D-4552-9F9C-9B8C295896D7}" name="Заказ" totalsRowFunction="custom" dataDxfId="2663" totalsRowDxfId="2662">
      <totalsRowFormula>M89*0.17+N89*0.06</totalsRowFormula>
    </tableColumn>
    <tableColumn id="7" xr3:uid="{B6F50A4B-8354-4E9A-821E-53C5EF273B10}" name="Отгрузка" totalsRowFunction="custom" dataDxfId="2661" totalsRowDxfId="2660">
      <totalsRowFormula>H89*0.05+I89*0.02</totalsRowFormula>
    </tableColumn>
    <tableColumn id="8" xr3:uid="{D755ABCB-5B6A-4C5C-ACDE-438B78FFC388}" name="Продажа" totalsRowFunction="sum" dataDxfId="2659" totalsRowDxfId="2658">
      <calculatedColumnFormula>D65</calculatedColumnFormula>
    </tableColumn>
    <tableColumn id="9" xr3:uid="{B7E9F891-69A6-439E-9E3F-8837DD5DEE94}" name="Продажа НК" totalsRowFunction="sum" dataDxfId="2657" totalsRowDxfId="2656"/>
    <tableColumn id="10" xr3:uid="{E005DCF1-19E5-45EB-AC1B-C98FD6A18AD7}" name="отк" totalsRowFunction="sum" dataDxfId="2655" totalsRowDxfId="2654"/>
    <tableColumn id="11" xr3:uid="{266B6978-1EF4-4A04-A33A-E4B98D158341}" name="шланги" totalsRowFunction="sum" dataDxfId="2653" totalsRowDxfId="2652"/>
    <tableColumn id="12" xr3:uid="{3C350D95-1EA5-4FD8-A89F-789CBABDCFBB}" name="Закупка" totalsRowFunction="sum" dataDxfId="2651" totalsRowDxfId="2650"/>
    <tableColumn id="13" xr3:uid="{F5D830BD-8994-46AF-B311-9ECA8287F57A}" name="Маржа" totalsRowFunction="sum" dataDxfId="2649" totalsRowDxfId="2648">
      <calculatedColumnFormula>H65-L65-J65-K65</calculatedColumnFormula>
    </tableColumn>
    <tableColumn id="14" xr3:uid="{B35E44C4-AFC7-4C38-B468-0E0AEAE43F73}" name="Маржа НК" totalsRowFunction="sum" dataDxfId="2647" totalsRowDxfId="2646"/>
    <tableColumn id="15" xr3:uid="{8E331FDB-5001-4DBF-91D9-C3C248A9E511}" name="% маржи" totalsRowFunction="custom" dataDxfId="2645" totalsRowDxfId="2644">
      <calculatedColumnFormula>M65/H65</calculatedColumnFormula>
      <totalsRowFormula>M89/H89</totalsRow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AC7E9D7-E72B-41BD-96BC-ADB48A0EA5E1}" name="Июнь2016" displayName="Июнь2016" ref="A90:O122" totalsRowCount="1" headerRowDxfId="2643" tableBorderDxfId="2642">
  <autoFilter ref="A90:O121" xr:uid="{0AC7E9D7-E72B-41BD-96BC-ADB48A0EA5E1}"/>
  <tableColumns count="15">
    <tableColumn id="1" xr3:uid="{B0923333-496D-4EC2-AEF6-26B543696102}" name="Номер" totalsRowLabel="Итог" dataDxfId="2641" totalsRowDxfId="2640"/>
    <tableColumn id="2" xr3:uid="{D114A8EF-C597-4D91-A793-AB622119E6B0}" name="Дата" dataDxfId="2639" totalsRowDxfId="2638"/>
    <tableColumn id="3" xr3:uid="{53FA64F8-75D3-47E0-BFD0-785D54C19756}" name="Клиент" dataDxfId="2637" totalsRowDxfId="2636"/>
    <tableColumn id="4" xr3:uid="{6EEE79CF-4ADE-41B3-8203-17DAB006D4D1}" name="Сумма" dataDxfId="2635" totalsRowDxfId="2634"/>
    <tableColumn id="5" xr3:uid="{EB112538-37A9-46B6-B412-3579E1F0C8B4}" name="Оплата" totalsRowLabel="72700,00" dataDxfId="2633" totalsRowDxfId="2632"/>
    <tableColumn id="6" xr3:uid="{9F3C3A4E-F1EC-4128-BF19-C211C33F6F5B}" name="Заказ" totalsRowFunction="custom" dataDxfId="2631" totalsRowDxfId="2630">
      <totalsRowFormula>M122*0.17+N122*0.06</totalsRowFormula>
    </tableColumn>
    <tableColumn id="7" xr3:uid="{FB568E9E-197F-4BAA-9BF2-CA5B9025A58D}" name="Отгрузка" totalsRowFunction="custom" dataDxfId="2629" totalsRowDxfId="2628">
      <totalsRowFormula>H122*0.05+I122*0.02</totalsRowFormula>
    </tableColumn>
    <tableColumn id="8" xr3:uid="{CBB4A8D8-708C-43D5-B6F9-DCF05EFD54CE}" name="Продажа" totalsRowFunction="sum" dataDxfId="2627" totalsRowDxfId="2626">
      <calculatedColumnFormula>D91</calculatedColumnFormula>
    </tableColumn>
    <tableColumn id="9" xr3:uid="{66D640BB-5EA4-4385-8CDF-0A4D10F92C39}" name="Продажа НК" totalsRowFunction="sum" dataDxfId="2625" totalsRowDxfId="2624"/>
    <tableColumn id="10" xr3:uid="{6810C02F-66A4-41E0-826B-404459C09E72}" name="отк" totalsRowFunction="sum" dataDxfId="2623" totalsRowDxfId="2622"/>
    <tableColumn id="11" xr3:uid="{2445A5DF-9283-4559-AEAA-8D436899ADDB}" name="шланги" totalsRowFunction="sum" dataDxfId="2621" totalsRowDxfId="2620"/>
    <tableColumn id="12" xr3:uid="{338497E3-23CD-4B53-862D-B19885E11108}" name="Закупка" totalsRowFunction="sum" dataDxfId="2619" totalsRowDxfId="2618"/>
    <tableColumn id="13" xr3:uid="{CA948D1D-2F69-435C-9D90-CF8AFE7D0F2D}" name="Маржа" totalsRowFunction="sum" dataDxfId="2617" totalsRowDxfId="2616">
      <calculatedColumnFormula>H91-L91-J91-K91</calculatedColumnFormula>
    </tableColumn>
    <tableColumn id="14" xr3:uid="{B46102D0-9F24-43FA-B54A-3C23176FFC97}" name="Маржа НК" totalsRowFunction="sum" dataDxfId="2615" totalsRowDxfId="2614"/>
    <tableColumn id="15" xr3:uid="{4EFA7054-42E9-495A-A2A7-4556A14A8CDC}" name="% маржи" totalsRowFunction="custom" dataDxfId="2613" totalsRowDxfId="2612">
      <calculatedColumnFormula>M91/H91</calculatedColumnFormula>
      <totalsRowFormula>M122/H122</totalsRow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F934FED-3BE3-4714-8E3D-EE5A5D043F32}" name="Июль2016" displayName="Июль2016" ref="A123:O140" totalsRowCount="1" headerRowDxfId="2611" tableBorderDxfId="2610">
  <autoFilter ref="A123:O139" xr:uid="{AF934FED-3BE3-4714-8E3D-EE5A5D043F32}"/>
  <tableColumns count="15">
    <tableColumn id="1" xr3:uid="{BFF92868-9EA9-4CC3-B7E4-C8242744F13E}" name="Номер" totalsRowLabel="Итог" dataDxfId="2609" totalsRowDxfId="2608"/>
    <tableColumn id="2" xr3:uid="{B9A8A1EC-4B5D-46E8-AF1B-550E28724D59}" name="Дата" dataDxfId="2607" totalsRowDxfId="2606"/>
    <tableColumn id="3" xr3:uid="{ED129646-C714-404A-B1F7-090F87DA32A8}" name="Клиент" dataDxfId="2605" totalsRowDxfId="2604"/>
    <tableColumn id="4" xr3:uid="{CAA0DDBF-2504-481D-B893-1F71FC746EBD}" name="Сумма" dataDxfId="2603" totalsRowDxfId="2602"/>
    <tableColumn id="5" xr3:uid="{26CC6F25-F7DE-4EB8-A2CB-3A38C9D41D2A}" name="Оплата" totalsRowLabel="35500,00" dataDxfId="2601" totalsRowDxfId="2600"/>
    <tableColumn id="6" xr3:uid="{6D099B7C-3457-41D0-902E-D97CCA20EB4C}" name="Заказ" totalsRowFunction="custom" dataDxfId="2599" totalsRowDxfId="2598">
      <totalsRowFormula>M140*0.17+N140*0.06</totalsRowFormula>
    </tableColumn>
    <tableColumn id="7" xr3:uid="{C0039C56-053B-4AEF-8FF9-75B4DBEF5E4E}" name="Отгрузка" totalsRowFunction="custom" dataDxfId="2597" totalsRowDxfId="2596">
      <totalsRowFormula>H140*0.05+I140*0.02</totalsRowFormula>
    </tableColumn>
    <tableColumn id="8" xr3:uid="{032B01F6-5F37-4C1F-8C99-4A34411082A5}" name="Продажа" totalsRowFunction="sum" dataDxfId="2595" totalsRowDxfId="2594">
      <calculatedColumnFormula>D124</calculatedColumnFormula>
    </tableColumn>
    <tableColumn id="9" xr3:uid="{24B31807-0094-41C9-913E-28E8F0855A8F}" name="Продажа НК" totalsRowFunction="sum" dataDxfId="2593" totalsRowDxfId="2592"/>
    <tableColumn id="10" xr3:uid="{DE465FA3-277A-4D85-8FA7-C80278D705F9}" name="отк" totalsRowFunction="sum" dataDxfId="2591" totalsRowDxfId="2590"/>
    <tableColumn id="11" xr3:uid="{73341418-C9A3-417A-A7CB-63EEFF2429CF}" name="шланги" totalsRowFunction="sum" dataDxfId="2589" totalsRowDxfId="2588"/>
    <tableColumn id="12" xr3:uid="{AFEBFE6C-1A45-4E59-84DE-8C416AD184AC}" name="Закупка" totalsRowFunction="sum" dataDxfId="2587" totalsRowDxfId="2586"/>
    <tableColumn id="13" xr3:uid="{D04C2B92-ED31-4A6C-98EF-828F30DC6D4F}" name="Маржа" totalsRowFunction="sum" dataDxfId="2585" totalsRowDxfId="2584">
      <calculatedColumnFormula>H124-L124-J124-K124</calculatedColumnFormula>
    </tableColumn>
    <tableColumn id="14" xr3:uid="{4DE856D3-C810-4788-8C28-786A543E7768}" name="Маржа НК" totalsRowFunction="sum" dataDxfId="2583" totalsRowDxfId="2582"/>
    <tableColumn id="15" xr3:uid="{5F9462B9-DB12-41E7-980F-B2A564E3A17B}" name="% маржи" totalsRowFunction="custom" dataDxfId="2581" totalsRowDxfId="2580">
      <calculatedColumnFormula>M124/H124</calculatedColumnFormula>
      <totalsRowFormula>M140/H140</totalsRow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7A82B7A-33E7-4955-8CF6-942E275BD772}" name="Август2016" displayName="Август2016" ref="A141:O185" totalsRowCount="1" headerRowDxfId="2579" tableBorderDxfId="2578">
  <autoFilter ref="A141:O184" xr:uid="{87A82B7A-33E7-4955-8CF6-942E275BD772}"/>
  <tableColumns count="15">
    <tableColumn id="1" xr3:uid="{434B5B78-FC16-4368-AC3A-02CF3625CD71}" name="Номер" totalsRowLabel="Итог" dataDxfId="2577" totalsRowDxfId="2576"/>
    <tableColumn id="2" xr3:uid="{91858301-0C2C-4BDD-8D83-CA98BA24579A}" name="Дата" dataDxfId="2575" totalsRowDxfId="2574"/>
    <tableColumn id="3" xr3:uid="{DA3C507A-BAB7-4BBB-88F1-3D59100FD878}" name="Клиент" dataDxfId="2573" totalsRowDxfId="2572"/>
    <tableColumn id="4" xr3:uid="{D0E71358-56D7-4CEE-B557-0239AA6311AF}" name="Сумма" dataDxfId="2571" totalsRowDxfId="2570"/>
    <tableColumn id="5" xr3:uid="{79A94224-E2BC-4F04-B1E4-91ABAEDD1998}" name="Оплата" totalsRowLabel="90450,00" dataDxfId="2569" totalsRowDxfId="2568"/>
    <tableColumn id="6" xr3:uid="{F6327447-10DA-4433-829E-602503E3AC5C}" name="Заказ" totalsRowFunction="custom" dataDxfId="2567" totalsRowDxfId="2566">
      <totalsRowFormula>M185*0.17+N185*0.06</totalsRowFormula>
    </tableColumn>
    <tableColumn id="7" xr3:uid="{81FE14B4-02F1-487C-8C14-91003F8849F7}" name="Отгрузка" totalsRowFunction="custom" dataDxfId="2565" totalsRowDxfId="2564">
      <totalsRowFormula>H185*0.05+I185*0.02</totalsRowFormula>
    </tableColumn>
    <tableColumn id="8" xr3:uid="{B305E0FF-5B4F-4800-A00F-75A424561BBB}" name="Продажа" totalsRowFunction="sum" dataDxfId="2563" totalsRowDxfId="2562">
      <calculatedColumnFormula>D142</calculatedColumnFormula>
    </tableColumn>
    <tableColumn id="9" xr3:uid="{612731F1-14D5-41C6-A828-CF0553916EF6}" name="Продажа НК" totalsRowFunction="sum" dataDxfId="2561" totalsRowDxfId="2560"/>
    <tableColumn id="10" xr3:uid="{D352D25E-C799-4720-949F-EBF4E89E43FA}" name="отк" totalsRowFunction="sum" dataDxfId="2559" totalsRowDxfId="2558"/>
    <tableColumn id="11" xr3:uid="{D8275BBD-37C5-4DDB-9098-D0A0D0D390A6}" name="шланги" totalsRowFunction="sum" dataDxfId="2557" totalsRowDxfId="2556"/>
    <tableColumn id="12" xr3:uid="{C6435BA8-7514-4B8F-A847-C35E1023F17C}" name="Закупка" totalsRowFunction="sum" dataDxfId="2555" totalsRowDxfId="2554"/>
    <tableColumn id="13" xr3:uid="{2DD5BD9B-CA65-4042-BEE5-0982F3A40633}" name="Маржа" totalsRowFunction="sum" dataDxfId="2553" totalsRowDxfId="2552">
      <calculatedColumnFormula>H142-L142-J142-K142</calculatedColumnFormula>
    </tableColumn>
    <tableColumn id="14" xr3:uid="{23BAB850-951F-477B-826D-322FAA3EF6E7}" name="Маржа НК" totalsRowFunction="sum" dataDxfId="2551" totalsRowDxfId="2550"/>
    <tableColumn id="15" xr3:uid="{1EA60EC7-5757-4330-B94F-06570A017145}" name="% маржи" totalsRowFunction="custom" dataDxfId="2549" totalsRowDxfId="2548">
      <calculatedColumnFormula>M142/H142</calculatedColumnFormula>
      <totalsRowFormula>M185/H185</totalsRow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9772491-1908-4D26-B7A1-8BE7BC0C847E}" name="Сентябрь2016" displayName="Сентябрь2016" ref="A186:O213" totalsRowCount="1" headerRowDxfId="2547" tableBorderDxfId="2546">
  <autoFilter ref="A186:O212" xr:uid="{F9772491-1908-4D26-B7A1-8BE7BC0C847E}"/>
  <tableColumns count="15">
    <tableColumn id="1" xr3:uid="{97B14B99-A6B5-4E84-AFBD-9DF2022F7B1B}" name="Номер" totalsRowLabel="Итог" dataDxfId="2545" totalsRowDxfId="2544"/>
    <tableColumn id="2" xr3:uid="{FD197250-C851-4A40-BCBB-05F536BB8791}" name="Дата" dataDxfId="2543" totalsRowDxfId="2542"/>
    <tableColumn id="3" xr3:uid="{4E383660-7545-4BC2-B458-D1FAE14F4329}" name="Клиент" dataDxfId="2541" totalsRowDxfId="2540"/>
    <tableColumn id="4" xr3:uid="{D12AAD2B-B39D-4803-89AC-7D5993D71A71}" name="Сумма" dataDxfId="2539" totalsRowDxfId="2538"/>
    <tableColumn id="5" xr3:uid="{646058B3-2BC0-414F-8AE9-037A42522886}" name="Оплата" totalsRowLabel="44 400  " dataDxfId="2537" totalsRowDxfId="2536"/>
    <tableColumn id="6" xr3:uid="{BBE67D39-4FA8-41EC-A4C7-C7A3F990663B}" name="Заказ" totalsRowFunction="custom" dataDxfId="2535" totalsRowDxfId="2534">
      <totalsRowFormula>M213*0.17+N213*0.06</totalsRowFormula>
    </tableColumn>
    <tableColumn id="7" xr3:uid="{F7DE3A50-460A-4270-83B2-151862E08036}" name="Отгрузка" totalsRowFunction="custom" dataDxfId="2533" totalsRowDxfId="2532">
      <totalsRowFormula>H213*0.05+I213*0.02</totalsRowFormula>
    </tableColumn>
    <tableColumn id="8" xr3:uid="{A3AAF5D1-8BDB-468A-B357-349150821530}" name="Продажа" totalsRowFunction="sum" dataDxfId="2531" totalsRowDxfId="2530">
      <calculatedColumnFormula>D187</calculatedColumnFormula>
    </tableColumn>
    <tableColumn id="9" xr3:uid="{77522562-582C-444D-809F-53474C085FFA}" name="Продажа НК" totalsRowFunction="sum" dataDxfId="2529" totalsRowDxfId="2528"/>
    <tableColumn id="10" xr3:uid="{255E5E56-6F7F-4625-A0FC-03CB2A742568}" name="отк" totalsRowFunction="sum" dataDxfId="2527" totalsRowDxfId="2526"/>
    <tableColumn id="11" xr3:uid="{7E1241E5-16ED-4534-A310-E2B8200B0C1D}" name="шланги" totalsRowFunction="sum" dataDxfId="2525" totalsRowDxfId="2524"/>
    <tableColumn id="12" xr3:uid="{5C281B38-ED18-4ABA-AF89-A437B7C2D502}" name="Закупка" totalsRowFunction="sum" dataDxfId="2523" totalsRowDxfId="2522"/>
    <tableColumn id="13" xr3:uid="{F12C8848-9081-44C0-B17A-5F74366D2F91}" name="Маржа" totalsRowFunction="sum" dataDxfId="2521" totalsRowDxfId="2520">
      <calculatedColumnFormula>H187-L187-J187-K187</calculatedColumnFormula>
    </tableColumn>
    <tableColumn id="14" xr3:uid="{77C0A68F-6765-4F81-9353-EC24F0477B21}" name="Маржа НК" totalsRowFunction="sum" dataDxfId="2519" totalsRowDxfId="2518"/>
    <tableColumn id="15" xr3:uid="{D674E9A1-DAFD-47DF-A748-E2F5FFB47605}" name="% маржи" totalsRowFunction="custom" dataDxfId="2517" totalsRowDxfId="2516">
      <calculatedColumnFormula>M187/H187</calculatedColumnFormula>
      <totalsRowFormula>M213/H213</totalsRowFormula>
    </tableColumn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5D5D649-3BA2-4970-A770-937CE7755AF6}" name="Октябрь2016" displayName="Октябрь2016" ref="A214:O243" totalsRowCount="1" headerRowDxfId="2515" tableBorderDxfId="2514">
  <autoFilter ref="A214:O242" xr:uid="{75D5D649-3BA2-4970-A770-937CE7755AF6}"/>
  <tableColumns count="15">
    <tableColumn id="1" xr3:uid="{504932EF-A427-412F-85DC-6EFFE8313C64}" name="Номер" totalsRowLabel="Итог" dataDxfId="2513" totalsRowDxfId="2512"/>
    <tableColumn id="2" xr3:uid="{59A13676-3153-47AB-BD62-153B8B7F1BC7}" name="Дата" dataDxfId="2511" totalsRowDxfId="2510"/>
    <tableColumn id="3" xr3:uid="{D4CD1852-C2EB-436E-AED4-991F61BFD741}" name="Клиент" dataDxfId="2509" totalsRowDxfId="2508"/>
    <tableColumn id="4" xr3:uid="{D47E69F8-6A87-4F39-A00D-C8F4D1591F52}" name="Сумма" dataDxfId="2507" totalsRowDxfId="2506"/>
    <tableColumn id="5" xr3:uid="{BEF7A25C-EFB4-4726-84B4-DF6F428ABD1E}" name="Оплата" totalsRowLabel="56 400  " dataDxfId="2505" totalsRowDxfId="2504"/>
    <tableColumn id="6" xr3:uid="{BCEAB051-F6F0-44FF-AA8C-DC1835306556}" name="Заказ" totalsRowFunction="custom" dataDxfId="2503" totalsRowDxfId="2502">
      <totalsRowFormula>M243*0.17+N243*0.06</totalsRowFormula>
    </tableColumn>
    <tableColumn id="7" xr3:uid="{E4A9E169-E9CF-439F-B38A-D802719C56DF}" name="Отгрузка" totalsRowFunction="custom" dataDxfId="2501" totalsRowDxfId="2500">
      <totalsRowFormula>H243*0.05+I243*0.02</totalsRowFormula>
    </tableColumn>
    <tableColumn id="8" xr3:uid="{D003AAF4-D8B1-4A4F-AF59-7DE401ACBEBA}" name="Продажа" totalsRowFunction="sum" dataDxfId="2499" totalsRowDxfId="2498">
      <calculatedColumnFormula>D215</calculatedColumnFormula>
    </tableColumn>
    <tableColumn id="9" xr3:uid="{00F3BBDE-0097-4FAE-B404-9069E7A8353B}" name="Продажа НК" totalsRowFunction="sum" dataDxfId="2497" totalsRowDxfId="2496"/>
    <tableColumn id="10" xr3:uid="{4B039391-BB1C-4E67-8524-051A11A89048}" name="отк" totalsRowFunction="sum" dataDxfId="2495" totalsRowDxfId="2494"/>
    <tableColumn id="11" xr3:uid="{61E997E7-7CCC-4CA5-B952-3795088E01A9}" name="шланги" totalsRowFunction="sum" dataDxfId="2493" totalsRowDxfId="2492"/>
    <tableColumn id="12" xr3:uid="{BFE69FAB-5291-4A8C-9090-D68192D8B13D}" name="Закупка" totalsRowFunction="sum" dataDxfId="2491" totalsRowDxfId="2490"/>
    <tableColumn id="13" xr3:uid="{002CF18D-FDFF-4700-9DE4-5EEEC608511E}" name="Маржа" totalsRowFunction="sum" dataDxfId="2489" totalsRowDxfId="2488">
      <calculatedColumnFormula>H215-L215-J215-K215</calculatedColumnFormula>
    </tableColumn>
    <tableColumn id="14" xr3:uid="{E41C5EC4-6BD5-49BF-9E5E-90F19C0BE790}" name="Маржа НК" totalsRowFunction="sum" dataDxfId="2487" totalsRowDxfId="2486"/>
    <tableColumn id="15" xr3:uid="{4E22F230-1C9F-445E-B326-B1B108EA79CE}" name="% маржи" totalsRowFunction="custom" dataDxfId="2485" totalsRowDxfId="2484">
      <calculatedColumnFormula>M215/H215</calculatedColumnFormula>
      <totalsRowFormula>M243/H243</totalsRowFormula>
    </tableColumn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0534E29-9E8D-4B17-AFA3-BA4F08BA73BE}" name="Ноябрь2016" displayName="Ноябрь2016" ref="A244:O272" totalsRowCount="1" headerRowDxfId="2483" tableBorderDxfId="2482">
  <autoFilter ref="A244:O271" xr:uid="{F0534E29-9E8D-4B17-AFA3-BA4F08BA73BE}"/>
  <tableColumns count="15">
    <tableColumn id="1" xr3:uid="{7E865FDD-2085-482A-9ED0-CD54E22295BA}" name="Номер" totalsRowLabel="Итог" dataDxfId="2481" totalsRowDxfId="2480"/>
    <tableColumn id="2" xr3:uid="{FE68E387-B595-4271-A7A1-AA4B4A034C52}" name="Дата" dataDxfId="2479" totalsRowDxfId="2478"/>
    <tableColumn id="3" xr3:uid="{23A10CAF-CF8C-4D07-8507-086D65625DCD}" name="Клиент" dataDxfId="2477" totalsRowDxfId="2476"/>
    <tableColumn id="4" xr3:uid="{845EC01D-531F-450A-8DBA-F37C84910AB1}" name="Сумма" dataDxfId="2475" totalsRowDxfId="2474"/>
    <tableColumn id="5" xr3:uid="{733F0625-8771-42BC-9D70-088CE22D1632}" name="Оплата" totalsRowLabel="84 500  " dataDxfId="2473" totalsRowDxfId="2472"/>
    <tableColumn id="6" xr3:uid="{948C4CFB-6108-43CD-AF26-BE64ABE66A1F}" name="Заказ" totalsRowFunction="custom" dataDxfId="2471" totalsRowDxfId="2470">
      <totalsRowFormula>M272*0.17+N272*0.06</totalsRowFormula>
    </tableColumn>
    <tableColumn id="7" xr3:uid="{E7E65635-1AD6-46F6-8C9B-41F530ED3735}" name="Отгрузка" totalsRowFunction="custom" dataDxfId="2469" totalsRowDxfId="2468">
      <totalsRowFormula>H272*0.05+I272*0.02</totalsRowFormula>
    </tableColumn>
    <tableColumn id="8" xr3:uid="{CA2D8BEE-DCA3-47B8-8CBB-15716B7B6BAA}" name="Продажа" totalsRowFunction="sum" dataDxfId="2467" totalsRowDxfId="2466">
      <calculatedColumnFormula>D245</calculatedColumnFormula>
    </tableColumn>
    <tableColumn id="9" xr3:uid="{AF6078E2-65AD-41C4-AE7C-D3636ACB33CA}" name="Продажа НК" totalsRowFunction="sum" dataDxfId="2465" totalsRowDxfId="2464"/>
    <tableColumn id="10" xr3:uid="{0F54B80C-B4E6-4373-AD82-54A8B7EC9BA5}" name="отк" totalsRowFunction="sum" dataDxfId="2463" totalsRowDxfId="2462"/>
    <tableColumn id="11" xr3:uid="{4A1E663B-CD91-40A0-8F13-220467B31A63}" name="шланги" totalsRowFunction="sum" dataDxfId="2461" totalsRowDxfId="2460"/>
    <tableColumn id="12" xr3:uid="{548E94FA-A337-4FA2-B538-5A272C9662A5}" name="Закупка" totalsRowFunction="sum" dataDxfId="2459" totalsRowDxfId="2458"/>
    <tableColumn id="13" xr3:uid="{B5FD0077-16A6-4664-BD1A-8842AF53C8A6}" name="Маржа" totalsRowFunction="sum" dataDxfId="2457" totalsRowDxfId="2456">
      <calculatedColumnFormula>H245-L245-J245-K245</calculatedColumnFormula>
    </tableColumn>
    <tableColumn id="14" xr3:uid="{02EE7945-D01E-49CC-AEF4-B2060AD8257C}" name="Маржа НК" totalsRowFunction="sum" dataDxfId="2455" totalsRowDxfId="2454"/>
    <tableColumn id="15" xr3:uid="{A593A51E-B8F8-4E8D-8633-A6B2C44696C1}" name="% маржи" totalsRowFunction="custom" dataDxfId="2453" totalsRowDxfId="2452">
      <calculatedColumnFormula>M245/H245</calculatedColumnFormula>
      <totalsRowFormula>M272/H272</totalsRowFormula>
    </tableColumn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0DD3683-900B-463E-86FD-CD16568B4988}" name="Декабрь2016" displayName="Декабрь2016" ref="A273:O305" totalsRowCount="1" headerRowDxfId="2451" tableBorderDxfId="2450">
  <autoFilter ref="A273:O304" xr:uid="{C0DD3683-900B-463E-86FD-CD16568B4988}"/>
  <tableColumns count="15">
    <tableColumn id="1" xr3:uid="{6B0B9ED8-05BA-4D35-A22D-23D02718304A}" name="Номер" totalsRowLabel="Итог" dataDxfId="2449" totalsRowDxfId="2448"/>
    <tableColumn id="2" xr3:uid="{78E1ABDE-900E-4DC2-BE1F-3FB7657D71A1}" name="Дата" dataDxfId="2447" totalsRowDxfId="2446"/>
    <tableColumn id="3" xr3:uid="{AD8CE81E-EDDE-4140-9D3D-5766C0843616}" name="Клиент" dataDxfId="2445" totalsRowDxfId="2444"/>
    <tableColumn id="4" xr3:uid="{F18E02F6-964C-459C-868F-BE6601F97FA9}" name="Сумма" dataDxfId="2443" totalsRowDxfId="2442"/>
    <tableColumn id="5" xr3:uid="{88340E71-6A9D-4575-BC8B-780A742B579A}" name="Оплата" totalsRowLabel="42 400  " dataDxfId="2441" totalsRowDxfId="2440"/>
    <tableColumn id="6" xr3:uid="{B10F951F-435D-4245-8B30-8B9ABB8BBAD5}" name="Заказ" totalsRowFunction="custom" dataDxfId="2439" totalsRowDxfId="2438">
      <totalsRowFormula>M305*0.17+N305*0.06</totalsRowFormula>
    </tableColumn>
    <tableColumn id="7" xr3:uid="{63179D4A-1AA4-4009-AE58-507A2E8D9285}" name="Отгрузка" totalsRowFunction="custom" dataDxfId="2437" totalsRowDxfId="2436">
      <totalsRowFormula>H305*0.05+I305*0.02</totalsRowFormula>
    </tableColumn>
    <tableColumn id="8" xr3:uid="{7C221041-4194-4844-BE02-1C4723F56F2E}" name="Продажа" totalsRowFunction="sum" dataDxfId="2435" totalsRowDxfId="2434">
      <calculatedColumnFormula>D274</calculatedColumnFormula>
    </tableColumn>
    <tableColumn id="9" xr3:uid="{DBE97538-595A-4D9A-B332-A636178B8846}" name="Продажа НК" totalsRowFunction="sum" dataDxfId="2433" totalsRowDxfId="2432"/>
    <tableColumn id="10" xr3:uid="{5184E11A-1BF3-47D6-83EF-E9110AE733B0}" name="отк" totalsRowFunction="sum" dataDxfId="2431" totalsRowDxfId="2430"/>
    <tableColumn id="11" xr3:uid="{87CF1DA7-233E-4DB1-B482-F0C68E5FC0E5}" name="шланги" totalsRowFunction="sum" dataDxfId="2429" totalsRowDxfId="2428"/>
    <tableColumn id="12" xr3:uid="{C2FDDE1D-DF4C-458B-A251-110F56CD412B}" name="Закупка" totalsRowFunction="sum" dataDxfId="2427" totalsRowDxfId="2426"/>
    <tableColumn id="13" xr3:uid="{9018B249-1870-46FF-AAB8-E22C69759593}" name="Маржа" totalsRowFunction="sum" dataDxfId="2425" totalsRowDxfId="2424">
      <calculatedColumnFormula>H274-L274-J274-K274</calculatedColumnFormula>
    </tableColumn>
    <tableColumn id="14" xr3:uid="{481A24D0-9C2F-439A-8B83-447429BD8B7F}" name="Маржа НК" totalsRowFunction="sum" dataDxfId="2423" totalsRowDxfId="2422"/>
    <tableColumn id="15" xr3:uid="{6B7C80E1-BC89-44C0-994D-7CAE82560DD5}" name="% маржи" totalsRowFunction="custom" dataDxfId="2421" totalsRowDxfId="2420">
      <calculatedColumnFormula>M274/H274</calculatedColumnFormula>
      <totalsRowFormula>M305/H305</totalsRowFormula>
    </tableColumn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A406F1E-7747-4998-B0E4-64BE14029DEC}" name="Январь2017" displayName="Январь2017" ref="A306:O327" totalsRowCount="1" headerRowDxfId="2419" tableBorderDxfId="2418">
  <autoFilter ref="A306:O326" xr:uid="{BA406F1E-7747-4998-B0E4-64BE14029DEC}"/>
  <tableColumns count="15">
    <tableColumn id="1" xr3:uid="{9F6C2926-F288-42AA-A27F-26400E9FDBDF}" name="Номер" totalsRowLabel="Итог" dataDxfId="2417" totalsRowDxfId="2416"/>
    <tableColumn id="2" xr3:uid="{CE67504A-5829-48E3-8C05-AE2AB9978B9D}" name="Дата" dataDxfId="2415" totalsRowDxfId="2414"/>
    <tableColumn id="3" xr3:uid="{9476631D-0230-45AD-916B-FB5A1EADC1AC}" name="Клиент" dataDxfId="2413" totalsRowDxfId="2412"/>
    <tableColumn id="4" xr3:uid="{82740569-79C0-489F-AF01-3A2C0FEE2C2D}" name="Сумма" dataDxfId="2411" totalsRowDxfId="2410"/>
    <tableColumn id="5" xr3:uid="{A80BD329-BC76-4DBC-9AD1-0A62FD173576}" name="Оплата" totalsRowLabel="78 400  " dataDxfId="2409" totalsRowDxfId="2408"/>
    <tableColumn id="6" xr3:uid="{88EE17E5-7CC6-4FF2-9460-59AB9D1812D4}" name="Заказ" totalsRowFunction="custom" dataDxfId="2407" totalsRowDxfId="2406">
      <totalsRowFormula>M327*0.17+N327*0.06+8000</totalsRowFormula>
    </tableColumn>
    <tableColumn id="7" xr3:uid="{8AD9945A-AEE7-4B1F-8239-38BE91D46661}" name="Отгрузка" totalsRowFunction="custom" dataDxfId="2405" totalsRowDxfId="2404">
      <totalsRowFormula>H327*0.05+I327*0.02</totalsRowFormula>
    </tableColumn>
    <tableColumn id="8" xr3:uid="{0F75138C-C011-41A0-8EA5-ECC5C84BF5F4}" name="Продажа" totalsRowFunction="sum" dataDxfId="2403" totalsRowDxfId="2402"/>
    <tableColumn id="9" xr3:uid="{677E96BB-6B47-4D46-A660-F666A09E8620}" name="Продажа НК" totalsRowFunction="sum" dataDxfId="2401" totalsRowDxfId="2400"/>
    <tableColumn id="10" xr3:uid="{7BFA644B-E17B-47B0-B071-2D19FCC51F0C}" name="отк" totalsRowFunction="sum" dataDxfId="2399" totalsRowDxfId="2398"/>
    <tableColumn id="11" xr3:uid="{C2ACC7E5-A2BE-4AE9-A917-32C1022F8617}" name="шланги" totalsRowFunction="sum" dataDxfId="2397" totalsRowDxfId="2396"/>
    <tableColumn id="12" xr3:uid="{82E8713F-96FA-41D4-835D-7C49C81055D5}" name="Закупка" totalsRowFunction="sum" dataDxfId="2395" totalsRowDxfId="2394"/>
    <tableColumn id="13" xr3:uid="{3CD2B3CE-C505-450D-B5DC-85CB94437651}" name="Маржа" totalsRowFunction="sum" dataDxfId="2393" totalsRowDxfId="2392">
      <calculatedColumnFormula>H307-L307-J307-K307</calculatedColumnFormula>
    </tableColumn>
    <tableColumn id="14" xr3:uid="{A1D4873E-ABAD-491C-88B0-641A6BC3D12C}" name="Маржа НК" totalsRowFunction="sum" dataDxfId="2391" totalsRowDxfId="2390"/>
    <tableColumn id="15" xr3:uid="{62FB7B64-DAE1-4CEB-A7AA-F605296E0695}" name="% маржи" totalsRowFunction="custom" dataDxfId="2389" totalsRowDxfId="2388">
      <calculatedColumnFormula>M307/H307</calculatedColumnFormula>
      <totalsRowFormula>M327/H327</totalsRowFormula>
    </tableColumn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0BFA190-9440-4431-B2E4-CBF0FAD1F6BF}" name="Февраль2017" displayName="Февраль2017" ref="A328:O355" totalsRowCount="1" headerRowDxfId="2387" tableBorderDxfId="2386">
  <autoFilter ref="A328:O354" xr:uid="{C0BFA190-9440-4431-B2E4-CBF0FAD1F6BF}"/>
  <tableColumns count="15">
    <tableColumn id="1" xr3:uid="{4356A96E-CFBD-4304-9199-818C5AC9AC0A}" name="Номер" totalsRowLabel="Итог" dataDxfId="2385" totalsRowDxfId="2384"/>
    <tableColumn id="2" xr3:uid="{4DBCD08F-3063-455B-A806-7FF9C47A2F9A}" name="Дата" dataDxfId="2383" totalsRowDxfId="2382"/>
    <tableColumn id="3" xr3:uid="{0198089C-5857-478B-9C43-0962623E9D40}" name="Клиент" dataDxfId="2381" totalsRowDxfId="2380"/>
    <tableColumn id="4" xr3:uid="{8445DC3D-A39F-461D-84AD-25C49FF89B6B}" name="Сумма" dataDxfId="2379" totalsRowDxfId="2378"/>
    <tableColumn id="5" xr3:uid="{A0B933F5-476E-4655-993B-19130D8C8FE7}" name="Оплата" totalsRowLabel="61 500  " dataDxfId="2377" totalsRowDxfId="2376"/>
    <tableColumn id="6" xr3:uid="{09EF988B-B5A2-40AF-92CC-28178F91D6F4}" name="Заказ" totalsRowFunction="custom" dataDxfId="2375" totalsRowDxfId="2374">
      <totalsRowFormula>M355*0.17+N355*0.06+8000</totalsRowFormula>
    </tableColumn>
    <tableColumn id="7" xr3:uid="{4214917F-3DF0-45E9-A2E2-CE38D5B3DE22}" name="Отгрузка" totalsRowFunction="custom" dataDxfId="2373" totalsRowDxfId="2372">
      <totalsRowFormula>H355*0.05+I355*0.02</totalsRowFormula>
    </tableColumn>
    <tableColumn id="8" xr3:uid="{8EDCE351-E5FC-43D7-B611-224BCA3309BE}" name="Продажа" totalsRowFunction="sum" dataDxfId="2371" totalsRowDxfId="2370">
      <calculatedColumnFormula>D329</calculatedColumnFormula>
    </tableColumn>
    <tableColumn id="9" xr3:uid="{AADC5B0B-9AC8-4EC3-A273-ADC52E744BFD}" name="Продажа НК" totalsRowFunction="sum" dataDxfId="2369" totalsRowDxfId="2368"/>
    <tableColumn id="10" xr3:uid="{93E726C0-A8B0-4983-9847-877580D96FA0}" name="отк" totalsRowFunction="sum" dataDxfId="2367" totalsRowDxfId="2366"/>
    <tableColumn id="11" xr3:uid="{15B25385-8106-4B03-8B47-6FBD06B3227F}" name="шланги" totalsRowFunction="sum" dataDxfId="2365" totalsRowDxfId="2364"/>
    <tableColumn id="12" xr3:uid="{D0CF6E86-F82B-49BA-A064-C6951AEF9569}" name="Закупка" totalsRowFunction="sum" dataDxfId="2363" totalsRowDxfId="2362"/>
    <tableColumn id="13" xr3:uid="{D668ABFE-6259-4FC6-A550-93D2C7B9AF86}" name="Маржа" totalsRowFunction="sum" dataDxfId="2361" totalsRowDxfId="2360">
      <calculatedColumnFormula>H329-L329-J329-K329</calculatedColumnFormula>
    </tableColumn>
    <tableColumn id="14" xr3:uid="{C097162B-4D30-44F4-A393-38DD2688030D}" name="Маржа НК" totalsRowFunction="sum" dataDxfId="2359" totalsRowDxfId="2358"/>
    <tableColumn id="15" xr3:uid="{BE5781C2-1C97-4D01-9682-2B25DE1515EB}" name="% маржи" totalsRowFunction="custom" dataDxfId="2357" totalsRowDxfId="2356">
      <calculatedColumnFormula>M329/H329</calculatedColumnFormula>
      <totalsRowFormula>M355/H355</totalsRowFormula>
    </tableColumn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F618BB7-7F2F-4B4D-AD39-6EF6929FB8E5}" name="Март2017" displayName="Март2017" ref="A356:O390" totalsRowCount="1" headerRowDxfId="2355" tableBorderDxfId="2354">
  <autoFilter ref="A356:O389" xr:uid="{4F618BB7-7F2F-4B4D-AD39-6EF6929FB8E5}"/>
  <tableColumns count="15">
    <tableColumn id="1" xr3:uid="{0C806EC9-3462-4CDE-A20F-877BB93B367D}" name="Номер" totalsRowLabel="Итог" dataDxfId="2353" totalsRowDxfId="2352"/>
    <tableColumn id="2" xr3:uid="{62E6095D-2715-40FA-9B15-F8AC6B8C85F5}" name="Дата" dataDxfId="2351" totalsRowDxfId="2350"/>
    <tableColumn id="3" xr3:uid="{246144FB-79DB-454B-82D1-7FEB65673F58}" name="Клиент" dataDxfId="2349" totalsRowDxfId="2348"/>
    <tableColumn id="4" xr3:uid="{69A3ECB4-E049-4BC4-938F-362DDEFEB05F}" name="Сумма" dataDxfId="2347" totalsRowDxfId="2346"/>
    <tableColumn id="5" xr3:uid="{50970F94-7ED3-4DB2-BE85-4B492E5D718D}" name="Оплата" totalsRowLabel="64 800  " dataDxfId="2345" totalsRowDxfId="2344"/>
    <tableColumn id="6" xr3:uid="{CA9E45DD-E678-4BC2-B205-58EF78797B87}" name="Заказ" totalsRowFunction="custom" dataDxfId="2343" totalsRowDxfId="2342">
      <totalsRowFormula>M390*0.17+N390*0.06+8000</totalsRowFormula>
    </tableColumn>
    <tableColumn id="7" xr3:uid="{2A6D38C5-490F-478B-A287-4A9624579452}" name="Отгрузка" totalsRowFunction="custom" dataDxfId="2341" totalsRowDxfId="2340">
      <totalsRowFormula>H390*0.05+I390*0.02</totalsRowFormula>
    </tableColumn>
    <tableColumn id="8" xr3:uid="{2542DD27-E1BB-4D22-A882-BB1E0936D2BF}" name="Продажа" totalsRowFunction="sum" dataDxfId="2339" totalsRowDxfId="2338">
      <calculatedColumnFormula>D357</calculatedColumnFormula>
    </tableColumn>
    <tableColumn id="9" xr3:uid="{51A5F11E-52E5-4892-9DE5-2FA1CA7CECAD}" name="Продажа НК" totalsRowFunction="sum" dataDxfId="2337" totalsRowDxfId="2336"/>
    <tableColumn id="10" xr3:uid="{E759275D-2347-4C48-873F-4CF393DBF236}" name="отк" totalsRowFunction="sum" dataDxfId="2335" totalsRowDxfId="2334"/>
    <tableColumn id="11" xr3:uid="{CBA6B6DC-5ABE-44A0-8578-0D8F6D1F1534}" name="шланги" totalsRowFunction="sum" dataDxfId="2333" totalsRowDxfId="2332"/>
    <tableColumn id="12" xr3:uid="{5F401618-EE2A-41EE-8DA6-46161B1E6364}" name="Закупка" totalsRowFunction="sum" dataDxfId="2331" totalsRowDxfId="2330"/>
    <tableColumn id="13" xr3:uid="{F4C07076-9F2C-4DBB-B8E1-4B54483C38AE}" name="Маржа" totalsRowFunction="sum" dataDxfId="2329" totalsRowDxfId="2328">
      <calculatedColumnFormula>H357-L357-J357-K357</calculatedColumnFormula>
    </tableColumn>
    <tableColumn id="14" xr3:uid="{E0CEBF0D-3BA2-474F-AA96-D33A784FB806}" name="Маржа НК" totalsRowFunction="sum" dataDxfId="2327" totalsRowDxfId="2326"/>
    <tableColumn id="15" xr3:uid="{AD374556-63B3-4E0C-9A2A-9F9E226D82B5}" name="% маржи" totalsRowFunction="custom" dataDxfId="2325" totalsRowDxfId="2324">
      <calculatedColumnFormula>M357/H357</calculatedColumnFormula>
      <totalsRowFormula>M390/H390</totalsRowFormula>
    </tableColumn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71E5550-C08C-4F55-AF59-AAE60AD8D86D}" name="Апрель2017" displayName="Апрель2017" ref="A391:O423" totalsRowCount="1" headerRowDxfId="2323" tableBorderDxfId="2322">
  <autoFilter ref="A391:O422" xr:uid="{671E5550-C08C-4F55-AF59-AAE60AD8D86D}"/>
  <tableColumns count="15">
    <tableColumn id="1" xr3:uid="{F6075EEB-3AF3-4163-9A23-626B6E4FE0E7}" name="Номер" totalsRowLabel="Итог" dataDxfId="2321" totalsRowDxfId="2320"/>
    <tableColumn id="2" xr3:uid="{20C3C0A0-458E-41DE-AFAF-346FCB5339B5}" name="Дата" dataDxfId="2319" totalsRowDxfId="2318"/>
    <tableColumn id="3" xr3:uid="{5A9D2F44-5E49-4C24-9519-8683421D6CC7}" name="Клиент" dataDxfId="2317" totalsRowDxfId="2316"/>
    <tableColumn id="4" xr3:uid="{F99AA960-EB11-4C80-B0C7-FB141B41CEDC}" name="Сумма" dataDxfId="2315" totalsRowDxfId="2314"/>
    <tableColumn id="5" xr3:uid="{D79EE30D-EF5E-42EA-BBB5-3725ADB58052}" name="Оплата" totalsRowLabel="40 150  " dataDxfId="2313" totalsRowDxfId="2312"/>
    <tableColumn id="6" xr3:uid="{4D611F88-954F-4176-A7F9-CD51C287D138}" name="Заказ" totalsRowFunction="custom" dataDxfId="2311" totalsRowDxfId="2310">
      <totalsRowFormula>M423*0.17+N423*0.06+8000</totalsRowFormula>
    </tableColumn>
    <tableColumn id="7" xr3:uid="{32573464-160E-44F8-AC14-3AE8A62D9CC1}" name="Отгрузка" totalsRowFunction="custom" dataDxfId="2309" totalsRowDxfId="2308">
      <totalsRowFormula>H423*0.05+I423*0.02</totalsRowFormula>
    </tableColumn>
    <tableColumn id="8" xr3:uid="{9E673BB9-6297-4D3C-9631-EE5004FE88DF}" name="Продажа" totalsRowFunction="sum" dataDxfId="2307" totalsRowDxfId="2306">
      <calculatedColumnFormula>D392</calculatedColumnFormula>
    </tableColumn>
    <tableColumn id="9" xr3:uid="{CC707945-C64B-4CE8-9316-CD875875A5F5}" name="Продажа НК" totalsRowFunction="sum" dataDxfId="2305" totalsRowDxfId="2304"/>
    <tableColumn id="10" xr3:uid="{46AD4BFC-0665-41EF-A571-868A3DEA2E7B}" name="отк" totalsRowFunction="sum" dataDxfId="2303" totalsRowDxfId="2302"/>
    <tableColumn id="11" xr3:uid="{F77E778F-BF05-4E13-901A-CFBF8E3B529B}" name="шланги" totalsRowFunction="sum" dataDxfId="2301" totalsRowDxfId="2300"/>
    <tableColumn id="12" xr3:uid="{F9245254-2F92-432D-9998-3BB46CF3780C}" name="Закупка" totalsRowFunction="sum" dataDxfId="2299" totalsRowDxfId="2298"/>
    <tableColumn id="13" xr3:uid="{3E2B949E-F172-4FEB-9175-EA89861D4BC0}" name="Маржа" totalsRowFunction="sum" dataDxfId="2297" totalsRowDxfId="2296">
      <calculatedColumnFormula>H392-L392-J392-K392</calculatedColumnFormula>
    </tableColumn>
    <tableColumn id="14" xr3:uid="{803B10F0-A8FC-421F-AFD6-A654BF7B4603}" name="Маржа НК" totalsRowFunction="sum" dataDxfId="2295" totalsRowDxfId="2294"/>
    <tableColumn id="15" xr3:uid="{450D0439-59B2-4933-98E3-05212C645512}" name="% маржи" totalsRowFunction="custom" dataDxfId="2293" totalsRowDxfId="2292">
      <calculatedColumnFormula>M392/H392</calculatedColumnFormula>
      <totalsRowFormula>M423/H423</totalsRowFormula>
    </tableColumn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5E4405F-80E5-427E-8395-CAF095C02D44}" name="Май2017" displayName="Май2017" ref="A424:O466" totalsRowCount="1" headerRowDxfId="2291" tableBorderDxfId="2290">
  <autoFilter ref="A424:O465" xr:uid="{95E4405F-80E5-427E-8395-CAF095C02D44}"/>
  <tableColumns count="15">
    <tableColumn id="1" xr3:uid="{8333C551-4D7A-44FB-AB0F-730D40DC0EDB}" name="Номер" totalsRowLabel="Итог" dataDxfId="2289" totalsRowDxfId="2288"/>
    <tableColumn id="2" xr3:uid="{68B7EB69-75A0-4A00-AB42-B63C0492CBF9}" name="Дата" dataDxfId="2287" totalsRowDxfId="2286"/>
    <tableColumn id="3" xr3:uid="{76006148-A69A-4B8E-88BA-A9FDC580590D}" name="Клиент" dataDxfId="2285" totalsRowDxfId="2284"/>
    <tableColumn id="4" xr3:uid="{80646CB1-4528-45D2-BB53-55DE2A948B17}" name="Сумма" dataDxfId="2283" totalsRowDxfId="2282"/>
    <tableColumn id="5" xr3:uid="{831AC306-F49B-4B48-97E9-A2101276570D}" name="Оплата" totalsRowLabel="66 400  " dataDxfId="2281" totalsRowDxfId="2280"/>
    <tableColumn id="6" xr3:uid="{87DB64D7-1ADB-4FBC-BC81-FFCF00732492}" name="Заказ" totalsRowFunction="custom" dataDxfId="2279" totalsRowDxfId="2278">
      <totalsRowFormula>M466*0.17+N466*0.06+8000</totalsRowFormula>
    </tableColumn>
    <tableColumn id="7" xr3:uid="{5634897D-EA8C-4C99-97F4-2B7E806FD513}" name="Отгрузка" totalsRowFunction="custom" dataDxfId="2277" totalsRowDxfId="2276">
      <totalsRowFormula>H466*0.05+I466*0.02</totalsRowFormula>
    </tableColumn>
    <tableColumn id="8" xr3:uid="{0BF2703B-4FDD-4F12-9AA3-1AC723AE16E3}" name="Продажа" totalsRowFunction="sum" dataDxfId="2275" totalsRowDxfId="2274">
      <calculatedColumnFormula>D425</calculatedColumnFormula>
    </tableColumn>
    <tableColumn id="9" xr3:uid="{F15B79AB-7701-4FEE-BC93-3A31156791A8}" name="Продажа НК" totalsRowFunction="sum" dataDxfId="2273" totalsRowDxfId="2272"/>
    <tableColumn id="10" xr3:uid="{AFE89F60-B0FE-415B-8BDA-5B7297C4CBE3}" name="отк" totalsRowFunction="sum" dataDxfId="2271" totalsRowDxfId="2270"/>
    <tableColumn id="11" xr3:uid="{6F6A40F2-7D5B-49CE-85EC-307AE9DB398E}" name="шланги" totalsRowFunction="sum" dataDxfId="2269" totalsRowDxfId="2268"/>
    <tableColumn id="12" xr3:uid="{9A623DE1-585C-49EA-8648-FDB3CA5EF9AE}" name="Закупка" totalsRowFunction="sum" dataDxfId="2267" totalsRowDxfId="2266"/>
    <tableColumn id="13" xr3:uid="{5B8FB585-960F-41B5-94A6-7153A0AC1A49}" name="Маржа" totalsRowFunction="sum" dataDxfId="2265" totalsRowDxfId="2264">
      <calculatedColumnFormula>H425-L425-J425-K425</calculatedColumnFormula>
    </tableColumn>
    <tableColumn id="14" xr3:uid="{764C36E9-647A-44DE-B0C8-724D21320B70}" name="Маржа НК" totalsRowFunction="sum" dataDxfId="2263" totalsRowDxfId="2262"/>
    <tableColumn id="15" xr3:uid="{EAAEA8B6-769A-41EA-9F8B-70B2A4CF6627}" name="% маржи" totalsRowFunction="custom" dataDxfId="2261" totalsRowDxfId="2260">
      <calculatedColumnFormula>M425/H425</calculatedColumnFormula>
      <totalsRowFormula>M466/H466</totalsRowFormula>
    </tableColumn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E59004A2-82D1-4635-93D3-FE8BBE282817}" name="Июнь2017" displayName="Июнь2017" ref="A467:O500" totalsRowCount="1" headerRowDxfId="2259" tableBorderDxfId="2258">
  <autoFilter ref="A467:O499" xr:uid="{E59004A2-82D1-4635-93D3-FE8BBE282817}"/>
  <tableColumns count="15">
    <tableColumn id="1" xr3:uid="{DD5CD88A-CB3D-40AA-A634-C59050A62808}" name="Номер" totalsRowLabel="Итог" dataDxfId="2257" totalsRowDxfId="2256"/>
    <tableColumn id="2" xr3:uid="{DE3C93D2-B741-47E5-9999-1E4182F761DA}" name="Дата" dataDxfId="2255" totalsRowDxfId="2254"/>
    <tableColumn id="3" xr3:uid="{0E8CD678-3173-4294-92DC-4C459F357E83}" name="Клиент" dataDxfId="2253" totalsRowDxfId="2252"/>
    <tableColumn id="4" xr3:uid="{8D40659D-2E25-4E55-8DAD-6111B611B17B}" name="Сумма" dataDxfId="2251" totalsRowDxfId="2250"/>
    <tableColumn id="5" xr3:uid="{0CCE71AE-FAF5-4E77-BCA6-77386DE643D9}" name="Оплата" totalsRowLabel="70 900  " dataDxfId="2249" totalsRowDxfId="2248"/>
    <tableColumn id="6" xr3:uid="{A295C918-6168-463F-A28A-7DB8DCE32550}" name="Заказ" totalsRowFunction="custom" dataDxfId="2247" totalsRowDxfId="2246">
      <totalsRowFormula>M500*0.17+N500*0.06+8000</totalsRowFormula>
    </tableColumn>
    <tableColumn id="7" xr3:uid="{E5D5B4DF-FA61-4A63-B92B-76EDF6C9C947}" name="Отгрузка" totalsRowFunction="custom" dataDxfId="2245" totalsRowDxfId="2244">
      <totalsRowFormula>H500*0.05+I500*0.02</totalsRowFormula>
    </tableColumn>
    <tableColumn id="8" xr3:uid="{CC5B35F2-A3F2-4F1D-BAB3-7FA86CB29F5A}" name="Продажа" totalsRowFunction="sum" dataDxfId="2243" totalsRowDxfId="2242">
      <calculatedColumnFormula>D468</calculatedColumnFormula>
    </tableColumn>
    <tableColumn id="9" xr3:uid="{6E329092-C680-4E0B-A48E-E2D421AF8073}" name="Продажа НК" totalsRowFunction="sum" dataDxfId="2241" totalsRowDxfId="2240"/>
    <tableColumn id="10" xr3:uid="{4A2D016E-BE6F-45A8-A427-C2A2776B1286}" name="отк" totalsRowFunction="sum" dataDxfId="2239" totalsRowDxfId="2238"/>
    <tableColumn id="11" xr3:uid="{50FC76D0-98C3-47C0-8DDF-ED1DB7230DFF}" name="шланги" totalsRowFunction="sum" dataDxfId="2237" totalsRowDxfId="2236"/>
    <tableColumn id="12" xr3:uid="{CE235DB5-8CA7-4D05-ADF4-C6E9597CB7A5}" name="Закупка" totalsRowFunction="sum" dataDxfId="2235" totalsRowDxfId="2234"/>
    <tableColumn id="13" xr3:uid="{2127053A-EBF0-4444-B08E-6E00E0A37358}" name="Маржа" totalsRowFunction="sum" dataDxfId="2233" totalsRowDxfId="2232">
      <calculatedColumnFormula>H468-L468-J468-K468</calculatedColumnFormula>
    </tableColumn>
    <tableColumn id="14" xr3:uid="{B3F3A8A2-D135-4818-8815-7CED7E88C240}" name="Маржа НК" totalsRowFunction="sum" dataDxfId="2231" totalsRowDxfId="2230"/>
    <tableColumn id="15" xr3:uid="{C4E7682A-D649-4888-A6AC-6727E6D3C7D6}" name="% маржи" totalsRowFunction="custom" dataDxfId="2229" totalsRowDxfId="2228">
      <calculatedColumnFormula>M468/H468</calculatedColumnFormula>
      <totalsRowFormula>M500/H500</totalsRowFormula>
    </tableColumn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CAC867F-9B54-4171-9621-303803058C56}" name="Июль2017" displayName="Июль2017" ref="A501:O528" totalsRowCount="1" headerRowDxfId="2227" tableBorderDxfId="2226">
  <autoFilter ref="A501:O527" xr:uid="{CCAC867F-9B54-4171-9621-303803058C56}"/>
  <tableColumns count="15">
    <tableColumn id="1" xr3:uid="{2D5361C9-9A15-4A10-899A-285A01EBBB7F}" name="Номер" totalsRowLabel="Итог" dataDxfId="2225" totalsRowDxfId="2224"/>
    <tableColumn id="2" xr3:uid="{6F93A859-FCBE-4753-95FE-2E676147152B}" name="Дата" dataDxfId="2223" totalsRowDxfId="2222"/>
    <tableColumn id="3" xr3:uid="{CEB98A8C-9FC4-4348-8FA3-FBFD50A71B59}" name="Клиент" dataDxfId="2221" totalsRowDxfId="2220"/>
    <tableColumn id="4" xr3:uid="{5812E5C3-8818-43F5-BA46-CCEC25E2471F}" name="Сумма" dataDxfId="2219" totalsRowDxfId="2218"/>
    <tableColumn id="5" xr3:uid="{B6C82BBF-BFAC-4B17-AAD2-9A4E3D6786C0}" name="Оплата" totalsRowLabel="57 400  " dataDxfId="2217" totalsRowDxfId="2216"/>
    <tableColumn id="6" xr3:uid="{D5888D4F-0504-46F4-824C-C5C62D71D734}" name="Заказ" totalsRowFunction="custom" dataDxfId="2215" totalsRowDxfId="2214">
      <totalsRowFormula>M528*0.17+N528*0.06+8000</totalsRowFormula>
    </tableColumn>
    <tableColumn id="7" xr3:uid="{35C5FD5F-B6B6-4058-9286-66A0FE314FC1}" name="Отгрузка" totalsRowFunction="custom" dataDxfId="2213" totalsRowDxfId="2212">
      <totalsRowFormula>H528*0.05+I528*0.02</totalsRowFormula>
    </tableColumn>
    <tableColumn id="8" xr3:uid="{71E0D17A-ACA7-4B83-A993-7D1ACAA8292A}" name="Продажа" totalsRowFunction="sum" dataDxfId="2211" totalsRowDxfId="2210">
      <calculatedColumnFormula>D502</calculatedColumnFormula>
    </tableColumn>
    <tableColumn id="9" xr3:uid="{05303856-F3C7-4D4D-A244-E4CA99EDAC5D}" name="Продажа НК" totalsRowFunction="sum" dataDxfId="2209" totalsRowDxfId="2208"/>
    <tableColumn id="10" xr3:uid="{57DA7F85-278C-47BF-A076-3FE0C107B34A}" name="отк" totalsRowFunction="sum" dataDxfId="2207" totalsRowDxfId="2206"/>
    <tableColumn id="11" xr3:uid="{07938541-EF11-4FC9-9301-1A6C459D3883}" name="шланги" totalsRowFunction="sum" dataDxfId="2205" totalsRowDxfId="2204"/>
    <tableColumn id="12" xr3:uid="{63E7DE42-9121-4B58-BB17-D30EACB9A5E6}" name="Закупка" totalsRowFunction="sum" dataDxfId="2203" totalsRowDxfId="2202"/>
    <tableColumn id="13" xr3:uid="{947BB4F0-FEBF-49AB-8A03-807C826491EE}" name="Маржа" totalsRowFunction="sum" dataDxfId="2201" totalsRowDxfId="2200">
      <calculatedColumnFormula>H502-L502-J502-K502</calculatedColumnFormula>
    </tableColumn>
    <tableColumn id="14" xr3:uid="{60A932E5-1D51-4946-B62D-1768D4082340}" name="Маржа НК" totalsRowFunction="sum" dataDxfId="2199" totalsRowDxfId="2198"/>
    <tableColumn id="15" xr3:uid="{33EE1853-D877-44F2-9FCA-7BAF26650AA0}" name="% маржи" totalsRowFunction="custom" dataDxfId="2197" totalsRowDxfId="2196">
      <calculatedColumnFormula>M502/H502</calculatedColumnFormula>
      <totalsRowFormula>M528/H528</totalsRowFormula>
    </tableColumn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F95638C-7F6D-4D33-AFC1-44B95C551CAC}" name="Август2017" displayName="Август2017" ref="A529:O570" totalsRowCount="1" headerRowDxfId="2195" tableBorderDxfId="2194">
  <autoFilter ref="A529:O569" xr:uid="{FF95638C-7F6D-4D33-AFC1-44B95C551CAC}"/>
  <tableColumns count="15">
    <tableColumn id="1" xr3:uid="{B2EF7CEA-0747-4A50-9DF4-52D430404958}" name="Номер" totalsRowLabel="Итог" dataDxfId="2193" totalsRowDxfId="2192"/>
    <tableColumn id="2" xr3:uid="{32D3CAB1-3BB9-4A34-BED6-89C5EF4F8E52}" name="Дата" dataDxfId="2191" totalsRowDxfId="2190"/>
    <tableColumn id="3" xr3:uid="{FD8CB208-9637-4D3C-ADC9-408B0E3AFC68}" name="Клиент" dataDxfId="2189" totalsRowDxfId="2188"/>
    <tableColumn id="4" xr3:uid="{1D5B0557-13FC-4C52-9688-1FAFD41A34DF}" name="Сумма" dataDxfId="2187" totalsRowDxfId="2186"/>
    <tableColumn id="5" xr3:uid="{38C295BA-F907-4F85-99DF-52E858E538E8}" name="Оплата" totalsRowLabel="25 900  " dataDxfId="2185" totalsRowDxfId="2184"/>
    <tableColumn id="6" xr3:uid="{BC54627A-CF32-445F-A61F-DF692B911DDD}" name="Заказ" totalsRowFunction="custom" dataDxfId="2183" totalsRowDxfId="2182">
      <totalsRowFormula>M570*0.12+N570*0.06+8000</totalsRowFormula>
    </tableColumn>
    <tableColumn id="7" xr3:uid="{5A8F94F3-C448-4AB2-B533-2F71198CEB37}" name="Отгрузка" totalsRowFunction="custom" dataDxfId="2181" totalsRowDxfId="2180">
      <totalsRowFormula>H570*0.05+I570*0.02</totalsRowFormula>
    </tableColumn>
    <tableColumn id="8" xr3:uid="{8617A739-0161-40E7-AF8A-4DFEE95A8298}" name="Продажа" totalsRowFunction="sum" dataDxfId="2179" totalsRowDxfId="2178">
      <calculatedColumnFormula>D530</calculatedColumnFormula>
    </tableColumn>
    <tableColumn id="9" xr3:uid="{033B2BE1-C737-47A7-8F31-E89548C6311C}" name="Продажа НК" totalsRowFunction="sum" dataDxfId="2177" totalsRowDxfId="2176"/>
    <tableColumn id="10" xr3:uid="{FB676C59-DCF4-498E-9667-368D3040B6E9}" name="отк" totalsRowFunction="sum" dataDxfId="2175" totalsRowDxfId="2174"/>
    <tableColumn id="11" xr3:uid="{E8F3796B-06C5-4D97-AF72-28FAF9756F0C}" name="шланги" totalsRowFunction="sum" dataDxfId="2173" totalsRowDxfId="2172"/>
    <tableColumn id="12" xr3:uid="{0E21E652-4A75-4436-A3C0-22A8A60EEE8A}" name="Закупка" totalsRowFunction="sum" dataDxfId="2171" totalsRowDxfId="2170"/>
    <tableColumn id="13" xr3:uid="{9D9E755C-EDFD-46ED-8FD3-C1F14CEC94ED}" name="Маржа" totalsRowFunction="sum" dataDxfId="2169" totalsRowDxfId="2168">
      <calculatedColumnFormula>H530-L530-J530-K530</calculatedColumnFormula>
    </tableColumn>
    <tableColumn id="14" xr3:uid="{08290574-852C-46D8-835C-CE427EDA5358}" name="Маржа НК" totalsRowFunction="sum" dataDxfId="2167" totalsRowDxfId="2166"/>
    <tableColumn id="15" xr3:uid="{58E2C024-5632-4D51-ABFE-C0470155E1F2}" name="% маржи" totalsRowFunction="custom" dataDxfId="2165" totalsRowDxfId="2164">
      <calculatedColumnFormula>M530/H530</calculatedColumnFormula>
      <totalsRowFormula>M570/H570</totalsRowFormula>
    </tableColumn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3103E8A-349E-4145-80EA-028094A107C7}" name="Сентябрь2017" displayName="Сентябрь2017" ref="A571:O593" totalsRowCount="1" headerRowDxfId="2163" tableBorderDxfId="2162">
  <autoFilter ref="A571:O592" xr:uid="{E3103E8A-349E-4145-80EA-028094A107C7}"/>
  <tableColumns count="15">
    <tableColumn id="1" xr3:uid="{B24288B5-C22A-475B-B8A9-30DFF0D7A706}" name="Номер" totalsRowLabel="Итог" dataDxfId="2161" totalsRowDxfId="2160"/>
    <tableColumn id="2" xr3:uid="{11321BEE-0660-4FF6-9828-112A439C198D}" name="Дата" dataDxfId="2159" totalsRowDxfId="2158"/>
    <tableColumn id="3" xr3:uid="{BBE5F499-5F4B-472C-B789-D5DB30B4FFE3}" name="Клиент" dataDxfId="2157" totalsRowDxfId="2156"/>
    <tableColumn id="4" xr3:uid="{B6F7A7C0-BD44-4FA4-A08B-B94B7B0060C1}" name="Сумма" dataDxfId="2155" totalsRowDxfId="2154"/>
    <tableColumn id="5" xr3:uid="{4DC469B2-2929-4DB7-8652-7F40287967AA}" name="Оплата" totalsRowLabel="33 000  " dataDxfId="2153" totalsRowDxfId="2152"/>
    <tableColumn id="6" xr3:uid="{3BE58D28-72BA-4DE1-8F2D-92A6D2EA6D16}" name="Заказ" totalsRowFunction="custom" dataDxfId="2151" totalsRowDxfId="2150">
      <totalsRowFormula>M593*0.12+N593*0.06+8000</totalsRowFormula>
    </tableColumn>
    <tableColumn id="7" xr3:uid="{BE2CF601-8D2E-47F6-BDA6-C905ACF31888}" name="Отгрузка" totalsRowFunction="custom" dataDxfId="2149" totalsRowDxfId="2148">
      <totalsRowFormula>H593*0.05+I593*0.02</totalsRowFormula>
    </tableColumn>
    <tableColumn id="8" xr3:uid="{541C148E-4D40-475F-8EF5-71CB89538871}" name="Продажа" totalsRowFunction="sum" dataDxfId="2147" totalsRowDxfId="2146">
      <calculatedColumnFormula>D572</calculatedColumnFormula>
    </tableColumn>
    <tableColumn id="9" xr3:uid="{DE1428D8-EC6C-4589-B9FC-1C684686262C}" name="Продажа НК" totalsRowFunction="sum" dataDxfId="2145" totalsRowDxfId="2144"/>
    <tableColumn id="10" xr3:uid="{C55DE575-A5E7-4124-B13E-A5F19920A916}" name="отк" totalsRowFunction="sum" dataDxfId="2143" totalsRowDxfId="2142"/>
    <tableColumn id="11" xr3:uid="{4ED6AAAC-9B44-42F2-8042-50D32CA4F685}" name="шланги" totalsRowFunction="sum" dataDxfId="2141" totalsRowDxfId="2140"/>
    <tableColumn id="12" xr3:uid="{7D969ED3-5D4B-4548-A1F8-E257485A94D4}" name="Закупка" totalsRowFunction="sum" dataDxfId="2139" totalsRowDxfId="2138"/>
    <tableColumn id="13" xr3:uid="{220C2C41-E94E-4C12-8F01-748D6BE93ACE}" name="Маржа" totalsRowFunction="sum" dataDxfId="2137" totalsRowDxfId="2136">
      <calculatedColumnFormula>H572-L572-J572-K572</calculatedColumnFormula>
    </tableColumn>
    <tableColumn id="14" xr3:uid="{11F3631C-B5CB-42ED-A0B9-C0BDE7F51BBF}" name="Маржа НК" totalsRowFunction="sum" dataDxfId="2135" totalsRowDxfId="2134"/>
    <tableColumn id="15" xr3:uid="{60BB1F3B-54DF-4887-98F6-6FF22904EA8F}" name="% маржи" totalsRowFunction="custom" dataDxfId="2133" totalsRowDxfId="2132">
      <calculatedColumnFormula>M572/H572</calculatedColumnFormula>
      <totalsRowFormula>M593/H593</totalsRowFormula>
    </tableColumn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59862B0-BC98-46BB-B798-709211776641}" name="Октябрь2017" displayName="Октябрь2017" ref="A594:O635" totalsRowCount="1" headerRowDxfId="2131" tableBorderDxfId="2130">
  <autoFilter ref="A594:O634" xr:uid="{359862B0-BC98-46BB-B798-709211776641}"/>
  <tableColumns count="15">
    <tableColumn id="1" xr3:uid="{1931F19B-A425-4E50-855B-2A01DEB1C3C5}" name="Номер" totalsRowLabel="Итог" dataDxfId="2129" totalsRowDxfId="2128"/>
    <tableColumn id="2" xr3:uid="{F1C4DEB4-B587-42B5-8CEA-D794148C2D44}" name="Дата" dataDxfId="2127" totalsRowDxfId="2126"/>
    <tableColumn id="3" xr3:uid="{839E1E03-D034-47F4-8594-5806375861B4}" name="Клиент" dataDxfId="2125" totalsRowDxfId="2124"/>
    <tableColumn id="4" xr3:uid="{46605F59-1919-49AB-85AE-1D4DBE456B81}" name="Сумма" dataDxfId="2123" totalsRowDxfId="2122"/>
    <tableColumn id="5" xr3:uid="{D3428129-38F8-4A0F-BDD1-4BE41BC12816}" name="Оплата" totalsRowLabel="61 700  " dataDxfId="2121" totalsRowDxfId="2120"/>
    <tableColumn id="6" xr3:uid="{A4F6E976-B240-477D-B930-74C2EDF111BF}" name="Заказ" totalsRowFunction="custom" dataDxfId="2119" totalsRowDxfId="2118">
      <totalsRowFormula>M635*0.17+N635*0.06+8000</totalsRowFormula>
    </tableColumn>
    <tableColumn id="7" xr3:uid="{EE7456DD-673B-4CBB-B919-D829CF990421}" name="Отгрузка" totalsRowFunction="custom" dataDxfId="2117" totalsRowDxfId="2116">
      <totalsRowFormula>H635*0.05+I635*0.02</totalsRowFormula>
    </tableColumn>
    <tableColumn id="8" xr3:uid="{386003E1-63BB-45DF-9ADC-95E519757DF4}" name="Продажа" totalsRowFunction="sum" dataDxfId="2115" totalsRowDxfId="2114">
      <calculatedColumnFormula>D595</calculatedColumnFormula>
    </tableColumn>
    <tableColumn id="9" xr3:uid="{CB1F7707-C6E9-4150-8A45-F1DD359BF03A}" name="Продажа НК" totalsRowFunction="sum" dataDxfId="2113" totalsRowDxfId="2112"/>
    <tableColumn id="10" xr3:uid="{B1C4AA48-C8EA-4AFC-B720-0E221EC88E7F}" name="отк" totalsRowFunction="sum" dataDxfId="2111" totalsRowDxfId="2110"/>
    <tableColumn id="11" xr3:uid="{9A78EBFF-454A-461E-A8BB-339F0E154E68}" name="шланги" totalsRowFunction="sum" dataDxfId="2109" totalsRowDxfId="2108"/>
    <tableColumn id="12" xr3:uid="{E1FB3546-4703-4F7F-8481-F020732C0B90}" name="Закупка" totalsRowFunction="sum" dataDxfId="2107" totalsRowDxfId="2106"/>
    <tableColumn id="13" xr3:uid="{574AAF5D-5932-4BB7-9389-92DAA7523847}" name="Маржа" totalsRowFunction="sum" dataDxfId="2105" totalsRowDxfId="2104">
      <calculatedColumnFormula>H595-L595-J595-K595</calculatedColumnFormula>
    </tableColumn>
    <tableColumn id="14" xr3:uid="{ADA8A2F9-73E1-4CE5-A81C-802FF217AAA4}" name="Маржа НК" totalsRowFunction="sum" dataDxfId="2103" totalsRowDxfId="2102"/>
    <tableColumn id="15" xr3:uid="{9F0D23F2-E3E1-4FE5-9CA3-08FED40E486C}" name="% маржи" totalsRowFunction="custom" dataDxfId="2101" totalsRowDxfId="2100">
      <calculatedColumnFormula>M595/H595</calculatedColumnFormula>
      <totalsRowFormula>M635/H635</totalsRowFormula>
    </tableColumn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91AD22C3-2646-4113-A646-5BAC2FF86D76}" name="Ноябрь2017" displayName="Ноябрь2017" ref="A636:O669" totalsRowCount="1" headerRowDxfId="2099" tableBorderDxfId="2098">
  <autoFilter ref="A636:O668" xr:uid="{91AD22C3-2646-4113-A646-5BAC2FF86D76}"/>
  <tableColumns count="15">
    <tableColumn id="1" xr3:uid="{1089269A-4082-4702-AC3B-7F0A96A6349F}" name="Номер" totalsRowLabel="Итог" dataDxfId="2097" totalsRowDxfId="2096"/>
    <tableColumn id="2" xr3:uid="{FDE26914-7F8C-4631-8184-15C76350A404}" name="Дата" dataDxfId="2095" totalsRowDxfId="2094"/>
    <tableColumn id="3" xr3:uid="{D5D897F0-0CC0-4C17-81F2-7FF6E57DEE60}" name="Клиент" dataDxfId="2093" totalsRowDxfId="2092"/>
    <tableColumn id="4" xr3:uid="{AB90BD15-85CD-4CD7-8C4C-6EE459EDE02E}" name="Сумма" dataDxfId="2091" totalsRowDxfId="2090"/>
    <tableColumn id="5" xr3:uid="{39B4296F-839A-4DA1-B0A9-B7718A33D775}" name="Оплата" totalsRowLabel="55 300  " dataDxfId="2089" totalsRowDxfId="2088"/>
    <tableColumn id="6" xr3:uid="{E852B3AC-88D0-4AD9-8D5A-A777BFD30307}" name="Заказ" totalsRowFunction="custom" dataDxfId="2087" totalsRowDxfId="2086">
      <totalsRowFormula>M669*0.17+N669*0.06+8000</totalsRowFormula>
    </tableColumn>
    <tableColumn id="7" xr3:uid="{7AA1805F-605E-4F7E-B9C6-3DFE79DB15A3}" name="Отгрузка" totalsRowFunction="custom" dataDxfId="2085" totalsRowDxfId="2084">
      <totalsRowFormula>H669*0.05+I669*0.02</totalsRowFormula>
    </tableColumn>
    <tableColumn id="8" xr3:uid="{EBF22114-7916-4B12-AE3D-E90797C62027}" name="Продажа" totalsRowFunction="sum" dataDxfId="2083" totalsRowDxfId="2082">
      <calculatedColumnFormula>D637</calculatedColumnFormula>
    </tableColumn>
    <tableColumn id="9" xr3:uid="{0B2D5950-32B4-4534-A785-119FDFDF166A}" name="Продажа НК" totalsRowFunction="sum" dataDxfId="2081" totalsRowDxfId="2080"/>
    <tableColumn id="10" xr3:uid="{38ECC58F-50CA-452D-BAEF-9DE9EDD56C2A}" name="отк" totalsRowFunction="sum" dataDxfId="2079" totalsRowDxfId="2078"/>
    <tableColumn id="11" xr3:uid="{60F56AD6-64CB-4759-9E51-9C184B70B790}" name="шланги" totalsRowFunction="sum" dataDxfId="2077" totalsRowDxfId="2076"/>
    <tableColumn id="12" xr3:uid="{80C8BA88-B7E6-4B8D-B6D6-B9BA6099D289}" name="Закупка" totalsRowFunction="sum" dataDxfId="2075" totalsRowDxfId="2074"/>
    <tableColumn id="13" xr3:uid="{64BDA5AD-D315-4A0D-8F3D-E5F5FAE100C6}" name="Маржа" totalsRowFunction="sum" dataDxfId="2073" totalsRowDxfId="2072">
      <calculatedColumnFormula>H637-L637-J637-K637</calculatedColumnFormula>
    </tableColumn>
    <tableColumn id="14" xr3:uid="{7F8C44AC-5314-4B95-90A4-CE4503AE2936}" name="Маржа НК" totalsRowFunction="sum" dataDxfId="2071" totalsRowDxfId="2070"/>
    <tableColumn id="15" xr3:uid="{1E1250EC-D22F-460D-9773-7D7F8D67C79A}" name="% маржи" totalsRowFunction="custom" dataDxfId="2069" totalsRowDxfId="2068">
      <calculatedColumnFormula>M637/H637</calculatedColumnFormula>
      <totalsRowFormula>M669/H669</totalsRowFormula>
    </tableColumn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B6419F7-0A1E-4437-A10F-8DF3D936076A}" name="Декабрь2017" displayName="Декабрь2017" ref="A670:O717" totalsRowCount="1" headerRowDxfId="2067" tableBorderDxfId="2066">
  <autoFilter ref="A670:O716" xr:uid="{DB6419F7-0A1E-4437-A10F-8DF3D936076A}"/>
  <tableColumns count="15">
    <tableColumn id="1" xr3:uid="{E9043BC4-AE17-41B4-ACDA-C1EB839EF09A}" name="Номер" totalsRowLabel="Итог" dataDxfId="2065" totalsRowDxfId="2064"/>
    <tableColumn id="2" xr3:uid="{FB9196F3-A663-4150-85F0-4E523146A13F}" name="Дата" dataDxfId="2063" totalsRowDxfId="2062"/>
    <tableColumn id="3" xr3:uid="{FB994F2E-AF71-4FAB-994F-1A9B65539241}" name="Клиент" dataDxfId="2061" totalsRowDxfId="2060"/>
    <tableColumn id="4" xr3:uid="{ACC99006-758A-4CCF-886D-C5A4B0233C37}" name="Сумма" dataDxfId="2059" totalsRowDxfId="2058"/>
    <tableColumn id="5" xr3:uid="{AEAA0DC9-8DB9-403E-ABA5-9CD0D3533FC5}" name="Оплата" totalsRowLabel="100 100  " dataDxfId="2057" totalsRowDxfId="2056"/>
    <tableColumn id="6" xr3:uid="{4E774985-990A-4150-938A-63C015949027}" name="Заказ" totalsRowFunction="custom" dataDxfId="2055" totalsRowDxfId="2054">
      <totalsRowFormula>M717*0.17+N717*0.06+8000</totalsRowFormula>
    </tableColumn>
    <tableColumn id="7" xr3:uid="{A24A7CD1-7452-49FF-B330-6F4B1EA50D25}" name="Отгрузка" totalsRowFunction="custom" dataDxfId="2053" totalsRowDxfId="2052">
      <totalsRowFormula>H717*0.05+I717*0.02</totalsRowFormula>
    </tableColumn>
    <tableColumn id="8" xr3:uid="{02D741E1-47E1-43D5-883B-F3E6C5C74832}" name="Продажа" totalsRowFunction="sum" dataDxfId="2051" totalsRowDxfId="2050">
      <calculatedColumnFormula>D671</calculatedColumnFormula>
    </tableColumn>
    <tableColumn id="9" xr3:uid="{B06E8148-22CE-4AFD-913F-707E300D2960}" name="Продажа НК" totalsRowFunction="sum" dataDxfId="2049" totalsRowDxfId="2048"/>
    <tableColumn id="10" xr3:uid="{6D51A38F-3553-449F-8057-C1536CCB9E48}" name="отк" totalsRowFunction="sum" dataDxfId="2047" totalsRowDxfId="2046"/>
    <tableColumn id="11" xr3:uid="{A08D97B5-99A1-4DF9-B6EF-08D4CB1F99A6}" name="шланги" totalsRowFunction="sum" dataDxfId="2045" totalsRowDxfId="2044"/>
    <tableColumn id="12" xr3:uid="{351E49CA-B25B-4B9F-AF6F-AE46D224688E}" name="Закупка" totalsRowFunction="sum" dataDxfId="2043" totalsRowDxfId="2042"/>
    <tableColumn id="13" xr3:uid="{46114F3C-8B64-47C5-940D-A1093BF3E722}" name="Маржа" totalsRowFunction="sum" dataDxfId="2041" totalsRowDxfId="2040">
      <calculatedColumnFormula>H671-L671-J671-K671</calculatedColumnFormula>
    </tableColumn>
    <tableColumn id="14" xr3:uid="{D15CA6B8-036D-4678-A216-F6343F572203}" name="Маржа НК" totalsRowFunction="sum" dataDxfId="2039" totalsRowDxfId="2038"/>
    <tableColumn id="15" xr3:uid="{7D6FD0F4-2C45-4814-BD88-AABDBA41EA27}" name="% маржи" totalsRowFunction="custom" dataDxfId="2037" totalsRowDxfId="2036">
      <calculatedColumnFormula>M671/H671</calculatedColumnFormula>
      <totalsRowFormula>M717/H717</totalsRowFormula>
    </tableColumn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8FF9EF4-679E-4F2E-B7E4-9C187980B3E0}" name="Январь2018" displayName="Январь2018" ref="A718:O740" totalsRowCount="1" headerRowDxfId="2035" tableBorderDxfId="2034">
  <autoFilter ref="A718:O739" xr:uid="{38FF9EF4-679E-4F2E-B7E4-9C187980B3E0}"/>
  <tableColumns count="15">
    <tableColumn id="1" xr3:uid="{573E90FC-6687-445A-A085-527912CD4855}" name="Номер" totalsRowLabel="Итог" dataDxfId="2033" totalsRowDxfId="2032"/>
    <tableColumn id="2" xr3:uid="{7918AAB0-5CD8-44B1-8325-41CCC7E54A4E}" name="Дата" dataDxfId="2031" totalsRowDxfId="2030"/>
    <tableColumn id="3" xr3:uid="{F881A6D9-DE8D-46B3-B72C-7366685E2CED}" name="Клиент" dataDxfId="2029" totalsRowDxfId="2028"/>
    <tableColumn id="4" xr3:uid="{C406AACC-58F3-4A7D-80D1-B887D005935C}" name="Сумма" dataDxfId="2027" totalsRowDxfId="2026"/>
    <tableColumn id="5" xr3:uid="{1208C334-182D-4FF9-83F1-AFF13A62D9DB}" name="Оплата" totalsRowLabel="23 800  " dataDxfId="2025" totalsRowDxfId="2024"/>
    <tableColumn id="6" xr3:uid="{C719F002-80C4-41F0-ADBF-D21CB00A7653}" name="Заказ" totalsRowFunction="custom" dataDxfId="2023" totalsRowDxfId="2022">
      <totalsRowFormula>M740*0.12+N740*0.06</totalsRowFormula>
    </tableColumn>
    <tableColumn id="7" xr3:uid="{9981F836-49D4-44AC-8ED2-2928ADEBA41B}" name="Отгрузка" totalsRowFunction="custom" dataDxfId="2021" totalsRowDxfId="2020">
      <totalsRowFormula>H740*0.02+I740*0.02</totalsRowFormula>
    </tableColumn>
    <tableColumn id="8" xr3:uid="{169F923F-DA67-435B-B77C-6EF344DD7C9B}" name="Продажа" totalsRowFunction="sum" dataDxfId="2019" totalsRowDxfId="2018">
      <calculatedColumnFormula>D719</calculatedColumnFormula>
    </tableColumn>
    <tableColumn id="9" xr3:uid="{4D0DD5D9-CBC0-4F1D-A80B-2CBC8AFCAD71}" name="Продажа НК" totalsRowFunction="sum" dataDxfId="2017" totalsRowDxfId="2016"/>
    <tableColumn id="10" xr3:uid="{133045D1-5391-49B4-B6CE-8D1285218FD9}" name="отк" totalsRowFunction="sum" dataDxfId="2015" totalsRowDxfId="2014"/>
    <tableColumn id="11" xr3:uid="{630BC541-C9B4-487F-9EF8-D83E9767E0D5}" name="шланги" totalsRowFunction="sum" dataDxfId="2013" totalsRowDxfId="2012"/>
    <tableColumn id="12" xr3:uid="{F7B18C31-24EC-42DF-8948-6FB36B9B3B7E}" name="Закупка" totalsRowFunction="sum" dataDxfId="2011" totalsRowDxfId="2010"/>
    <tableColumn id="13" xr3:uid="{49C588B3-CA29-447A-8D5E-689B20CFCA82}" name="Маржа" totalsRowFunction="sum" dataDxfId="2009" totalsRowDxfId="2008">
      <calculatedColumnFormula>H719-L719-J719-K719</calculatedColumnFormula>
    </tableColumn>
    <tableColumn id="14" xr3:uid="{4C314ED4-56D3-4081-9102-E23D76F16D6C}" name="Маржа НК" totalsRowFunction="sum" dataDxfId="2007" totalsRowDxfId="2006"/>
    <tableColumn id="15" xr3:uid="{3F8BBEC3-4F71-48AE-8BEB-FB43EC6DB54E}" name="% маржи" totalsRowFunction="custom" dataDxfId="2005" totalsRowDxfId="2004">
      <calculatedColumnFormula>M719/H719</calculatedColumnFormula>
      <totalsRowFormula>M740/H740</totalsRowFormula>
    </tableColumn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9199460-ABAD-434F-A582-16EDCFEB1CF7}" name="Февраль2018" displayName="Февраль2018" ref="A741:O771" totalsRowCount="1" headerRowDxfId="2003" tableBorderDxfId="2002">
  <autoFilter ref="A741:O770" xr:uid="{A9199460-ABAD-434F-A582-16EDCFEB1CF7}"/>
  <tableColumns count="15">
    <tableColumn id="1" xr3:uid="{B32A6E9E-35E8-4F91-A796-D156874CBA96}" name="Номер" totalsRowLabel="Итог" dataDxfId="2001" totalsRowDxfId="2000"/>
    <tableColumn id="2" xr3:uid="{2DA145E0-38A7-4FF7-8C84-78EE0E3118EF}" name="Дата" dataDxfId="1999" totalsRowDxfId="1998"/>
    <tableColumn id="3" xr3:uid="{3D1BBC42-3774-4B49-81C8-C5CEF4190B37}" name="Клиент" dataDxfId="1997" totalsRowDxfId="1996"/>
    <tableColumn id="4" xr3:uid="{68739D3F-4A60-4A92-9445-D87A28FFDEFE}" name="Сумма" dataDxfId="1995" totalsRowDxfId="1994"/>
    <tableColumn id="5" xr3:uid="{787323DB-8555-44E2-92B0-FE40A067D3CA}" name="Оплата" totalsRowLabel="6 300  " dataDxfId="1993" totalsRowDxfId="1992"/>
    <tableColumn id="6" xr3:uid="{0799B82A-A519-4C5C-ACAD-DDD842D5AF58}" name="Заказ" totalsRowFunction="custom" dataDxfId="1991" totalsRowDxfId="1990">
      <totalsRowFormula>M771*0.05+N771*0.06</totalsRowFormula>
    </tableColumn>
    <tableColumn id="7" xr3:uid="{FB346D5F-91BE-43FC-A610-D9EF56881ECD}" name="Отгрузка" totalsRowFunction="custom" dataDxfId="1989" totalsRowDxfId="1988">
      <totalsRowFormula>H771*0.02+I771*0.02</totalsRowFormula>
    </tableColumn>
    <tableColumn id="8" xr3:uid="{6E530BAD-2676-45FA-9A54-ED6384D38746}" name="Продажа" totalsRowFunction="sum" dataDxfId="1987" totalsRowDxfId="1986">
      <calculatedColumnFormula>D742</calculatedColumnFormula>
    </tableColumn>
    <tableColumn id="9" xr3:uid="{4E7354D7-5741-4919-99DE-366E5C49DFB0}" name="Продажа НК" totalsRowFunction="sum" dataDxfId="1985" totalsRowDxfId="1984"/>
    <tableColumn id="10" xr3:uid="{5B95D860-791B-4510-A7C7-B2DF2C70A216}" name="отк" totalsRowFunction="sum" dataDxfId="1983" totalsRowDxfId="1982"/>
    <tableColumn id="11" xr3:uid="{94A64C7B-52A3-4816-9908-574946E88BCC}" name="шланги" totalsRowFunction="sum" dataDxfId="1981" totalsRowDxfId="1980"/>
    <tableColumn id="12" xr3:uid="{5C2D9555-FDBC-4533-911A-7BF6AFE0E427}" name="Закупка" totalsRowFunction="sum" dataDxfId="1979" totalsRowDxfId="1978"/>
    <tableColumn id="13" xr3:uid="{C7E1448F-FE3B-4455-8D8C-6061F7BFD298}" name="Маржа" totalsRowFunction="sum" dataDxfId="1977" totalsRowDxfId="1976">
      <calculatedColumnFormula>H742-L742-J742-K742</calculatedColumnFormula>
    </tableColumn>
    <tableColumn id="14" xr3:uid="{28DBF2A0-2F69-4861-A128-651B1FFE9FC6}" name="Маржа НК" totalsRowFunction="sum" dataDxfId="1975" totalsRowDxfId="1974"/>
    <tableColumn id="15" xr3:uid="{FA1794C6-150D-4A49-B588-2C9C194998A0}" name="% маржи" totalsRowFunction="custom" dataDxfId="1973" totalsRowDxfId="1972">
      <calculatedColumnFormula>M742/H742</calculatedColumnFormula>
      <totalsRowFormula>M771/H771</totalsRowFormula>
    </tableColumn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3225E10-9DAE-4F4B-AEB4-20D97B17034C}" name="Март2018" displayName="Март2018" ref="A772:O793" totalsRowCount="1" headerRowDxfId="1971" tableBorderDxfId="1970">
  <autoFilter ref="A772:O792" xr:uid="{53225E10-9DAE-4F4B-AEB4-20D97B17034C}"/>
  <tableColumns count="15">
    <tableColumn id="1" xr3:uid="{0694E42A-CE4C-4265-B49D-C50F897FDF5B}" name="Номер" totalsRowLabel="Итог" dataDxfId="1969" totalsRowDxfId="1968"/>
    <tableColumn id="2" xr3:uid="{B3ECEB92-E0B0-45CA-960C-A3B94F0E77BF}" name="Дата" dataDxfId="1967" totalsRowDxfId="1966"/>
    <tableColumn id="3" xr3:uid="{072B17F8-DE5B-4C20-AAFA-88C8F12025A1}" name="Клиент" dataDxfId="1965" totalsRowDxfId="1964"/>
    <tableColumn id="4" xr3:uid="{12B15B55-03A4-427E-8AC3-C9245A8583FF}" name="Сумма" dataDxfId="1963" totalsRowDxfId="1962"/>
    <tableColumn id="5" xr3:uid="{EF9BEA04-5598-4411-A6DB-44B5D721550E}" name="Оплата" totalsRowLabel="13 000  " dataDxfId="1961" totalsRowDxfId="1960"/>
    <tableColumn id="6" xr3:uid="{8912B4BA-E67D-4280-BA2B-E8466D2D9898}" name="Заказ" totalsRowFunction="custom" dataDxfId="1959" totalsRowDxfId="1958">
      <totalsRowFormula>M793*0.12+N793*0.06</totalsRowFormula>
    </tableColumn>
    <tableColumn id="7" xr3:uid="{939F325B-F818-412E-9943-847E325ED51A}" name="Отгрузка" totalsRowFunction="custom" dataDxfId="1957" totalsRowDxfId="1956">
      <totalsRowFormula>H793*0.02+I793*0.02</totalsRowFormula>
    </tableColumn>
    <tableColumn id="8" xr3:uid="{DABB108D-3167-43BB-AED6-B8BC96146976}" name="Продажа" totalsRowFunction="sum" dataDxfId="1955" totalsRowDxfId="1954">
      <calculatedColumnFormula>D773</calculatedColumnFormula>
    </tableColumn>
    <tableColumn id="9" xr3:uid="{F4548CEF-524A-4E73-BA38-32A1C7417F1A}" name="Продажа НК" totalsRowFunction="sum" dataDxfId="1953" totalsRowDxfId="1952"/>
    <tableColumn id="10" xr3:uid="{CB9A1627-7C7E-447E-9294-FDADA5BCC492}" name="отк" totalsRowFunction="sum" dataDxfId="1951" totalsRowDxfId="1950"/>
    <tableColumn id="11" xr3:uid="{CA9B8616-4FBB-40B5-ACB7-73DA706797F1}" name="шланги" totalsRowFunction="sum" dataDxfId="1949" totalsRowDxfId="1948"/>
    <tableColumn id="12" xr3:uid="{99CFD186-BACE-4AAC-9BE9-5AD83FF6B9C7}" name="Закупка" totalsRowFunction="sum" dataDxfId="1947" totalsRowDxfId="1946"/>
    <tableColumn id="13" xr3:uid="{FAFE87AD-69A5-488D-B2EA-63E889CBC02C}" name="Маржа" totalsRowFunction="sum" dataDxfId="1945" totalsRowDxfId="1944">
      <calculatedColumnFormula>H773-L773-J773-K773</calculatedColumnFormula>
    </tableColumn>
    <tableColumn id="14" xr3:uid="{5E643776-B180-405A-89CC-12C7393D0554}" name="Маржа НК" totalsRowFunction="sum" dataDxfId="1943" totalsRowDxfId="1942"/>
    <tableColumn id="15" xr3:uid="{C740860C-EA91-4501-81EB-BD42DE17954E}" name="% маржи" totalsRowFunction="custom" dataDxfId="1941" totalsRowDxfId="1940">
      <calculatedColumnFormula>M773/H773</calculatedColumnFormula>
      <totalsRowFormula>M793/H793</totalsRowFormula>
    </tableColumn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0EF162B-6804-49C3-A4FF-E5A227CC5098}" name="Апрель2018" displayName="Апрель2018" ref="A794:O827" totalsRowCount="1" headerRowDxfId="1939" tableBorderDxfId="1938">
  <autoFilter ref="A794:O826" xr:uid="{80EF162B-6804-49C3-A4FF-E5A227CC5098}"/>
  <tableColumns count="15">
    <tableColumn id="1" xr3:uid="{FF96595D-1B36-4AF8-BE9C-9516E297DA53}" name="Номер" totalsRowLabel="Итог" dataDxfId="1937" totalsRowDxfId="1936"/>
    <tableColumn id="2" xr3:uid="{0912B69F-894F-4068-8690-FA298C645660}" name="Дата" dataDxfId="1935" totalsRowDxfId="1934"/>
    <tableColumn id="3" xr3:uid="{1D370B40-1E8C-40D7-B162-81919477B857}" name="Клиент" dataDxfId="1933" totalsRowDxfId="1932"/>
    <tableColumn id="4" xr3:uid="{C2CFE2C3-B12B-4D4C-815E-0C3170C2F609}" name="Сумма" dataDxfId="1931" totalsRowDxfId="1930"/>
    <tableColumn id="5" xr3:uid="{49D2863E-B2EF-4C4B-9948-3006D200A7F7}" name="Оплата" totalsRowLabel="62 300  " dataDxfId="1929" totalsRowDxfId="1928"/>
    <tableColumn id="6" xr3:uid="{78B1FE89-FC31-4CDF-85C2-78932329AB33}" name="Заказ" totalsRowFunction="custom" dataDxfId="1927" totalsRowDxfId="1926">
      <totalsRowFormula>M827*0.17+N827*0.06</totalsRowFormula>
    </tableColumn>
    <tableColumn id="7" xr3:uid="{7ED9290B-A922-4291-9DCD-4C0995980B1F}" name="Отгрузка" totalsRowFunction="custom" dataDxfId="1925" totalsRowDxfId="1924">
      <totalsRowFormula>H827*0.05+I827*0.02</totalsRowFormula>
    </tableColumn>
    <tableColumn id="8" xr3:uid="{3F66C392-BACD-4F5E-AD83-7CA55FA0E852}" name="Продажа" totalsRowFunction="sum" dataDxfId="1923" totalsRowDxfId="1922"/>
    <tableColumn id="9" xr3:uid="{E2394DC4-6EEB-49A2-AE7F-88DFB4EFA91A}" name="Продажа НК" totalsRowFunction="sum" dataDxfId="1921" totalsRowDxfId="1920"/>
    <tableColumn id="10" xr3:uid="{DC91560F-DD11-4F00-A02F-8C41C3946F9E}" name="отк" totalsRowFunction="sum" dataDxfId="1919" totalsRowDxfId="1918"/>
    <tableColumn id="11" xr3:uid="{52AEC5FC-ECA7-4CDD-8529-D6C9FDB94536}" name="шланги" totalsRowFunction="sum" dataDxfId="1917" totalsRowDxfId="1916"/>
    <tableColumn id="12" xr3:uid="{F32F2CB6-A133-4395-A33C-9983FCF4A01B}" name="Закупка" totalsRowFunction="sum" dataDxfId="1915" totalsRowDxfId="1914"/>
    <tableColumn id="13" xr3:uid="{50ED24F1-FD7C-4DAB-8A6D-A7E10C266EA0}" name="Маржа" totalsRowFunction="sum" dataDxfId="1913" totalsRowDxfId="1912">
      <calculatedColumnFormula>H795-L795-J795-K795</calculatedColumnFormula>
    </tableColumn>
    <tableColumn id="14" xr3:uid="{5F43C707-73C7-4E14-920D-EEDBCA42274E}" name="Маржа НК" totalsRowFunction="sum" dataDxfId="1911" totalsRowDxfId="1910"/>
    <tableColumn id="15" xr3:uid="{644996E2-655C-4105-9697-C047B09D75D5}" name="% маржи" totalsRowFunction="custom" dataDxfId="1909" totalsRowDxfId="1908">
      <calculatedColumnFormula>M795/H795</calculatedColumnFormula>
      <totalsRowFormula>M827/H827</totalsRowFormula>
    </tableColumn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F30DAAD-4625-4910-A189-C2913EE2EABC}" name="Май2018" displayName="Май2018" ref="A828:O866" totalsRowCount="1" headerRowDxfId="1907" tableBorderDxfId="1906">
  <autoFilter ref="A828:O865" xr:uid="{AF30DAAD-4625-4910-A189-C2913EE2EABC}"/>
  <tableColumns count="15">
    <tableColumn id="1" xr3:uid="{FC53C841-35C8-445F-8CCF-F131D612CE4E}" name="Номер" totalsRowLabel="Итог" dataDxfId="1905" totalsRowDxfId="1904"/>
    <tableColumn id="2" xr3:uid="{EDAA5F01-F800-49FD-B21D-96474E31390D}" name="Дата" dataDxfId="1903" totalsRowDxfId="1902"/>
    <tableColumn id="3" xr3:uid="{3E6D8144-5292-440C-9AE6-1D45996427E7}" name="Клиент" dataDxfId="1901" totalsRowDxfId="1900"/>
    <tableColumn id="4" xr3:uid="{8F9C385E-9541-40E4-9D60-F15413EB9178}" name="Сумма" dataDxfId="1899" totalsRowDxfId="1898"/>
    <tableColumn id="5" xr3:uid="{950E343C-F327-4E7C-BC40-1FEFA1BBEB90}" name="Оплата" totalsRowLabel="94 500  " dataDxfId="1897" totalsRowDxfId="1896"/>
    <tableColumn id="6" xr3:uid="{5B097FAD-FCF0-4315-A70B-044BD01D1704}" name="Заказ" totalsRowFunction="custom" dataDxfId="1895" totalsRowDxfId="1894">
      <totalsRowFormula>M866*0.17+N866*0.06</totalsRowFormula>
    </tableColumn>
    <tableColumn id="7" xr3:uid="{30BAFC78-1A6D-40CE-BBF3-D5EC6A4A2EA7}" name="Отгрузка" totalsRowFunction="custom" dataDxfId="1893" totalsRowDxfId="1892">
      <totalsRowFormula>H866*0.05+I866*0.02</totalsRowFormula>
    </tableColumn>
    <tableColumn id="8" xr3:uid="{6B9861C6-C446-4CBA-A283-F83AB03EE094}" name="Продажа" totalsRowFunction="sum" dataDxfId="1891" totalsRowDxfId="1890">
      <calculatedColumnFormula>D829</calculatedColumnFormula>
    </tableColumn>
    <tableColumn id="9" xr3:uid="{929209BF-92D0-43B5-BA20-BB85FD093BCF}" name="Продажа НК" totalsRowFunction="sum" dataDxfId="1889" totalsRowDxfId="1888"/>
    <tableColumn id="10" xr3:uid="{941BC90A-CCF8-414B-8540-E9E7B212EAAE}" name="отк" totalsRowFunction="sum" dataDxfId="1887" totalsRowDxfId="1886"/>
    <tableColumn id="11" xr3:uid="{4A713F9D-F2C4-49FB-A9A5-4B1A9244CA9F}" name="шланги" totalsRowFunction="sum" dataDxfId="1885" totalsRowDxfId="1884"/>
    <tableColumn id="12" xr3:uid="{6470C667-5E56-4C52-BB61-9F3AC63A0098}" name="Закупка" totalsRowFunction="sum" dataDxfId="1883" totalsRowDxfId="1882"/>
    <tableColumn id="13" xr3:uid="{A514EC42-9E68-451C-8422-647A5536DAC9}" name="Маржа" totalsRowFunction="sum" dataDxfId="1881" totalsRowDxfId="1880">
      <calculatedColumnFormula>H829-L829-J829-K829</calculatedColumnFormula>
    </tableColumn>
    <tableColumn id="14" xr3:uid="{6DD007D5-0EBC-4E1E-B528-BB4F8EC4FE2C}" name="Маржа НК" totalsRowFunction="sum" dataDxfId="1879" totalsRowDxfId="1878"/>
    <tableColumn id="15" xr3:uid="{4018CBB6-BD06-4252-AA98-88899C46D4B0}" name="% маржи" totalsRowFunction="custom" dataDxfId="1877" totalsRowDxfId="1876">
      <calculatedColumnFormula>M829/H829</calculatedColumnFormula>
      <totalsRowFormula>M866/H866</totalsRowFormula>
    </tableColumn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AB45CAF-C795-4137-8BFE-3E8BD41DEEFC}" name="Июнь2018" displayName="Июнь2018" ref="A867:O908" totalsRowCount="1" headerRowDxfId="1875" tableBorderDxfId="1874">
  <autoFilter ref="A867:O907" xr:uid="{DAB45CAF-C795-4137-8BFE-3E8BD41DEEFC}"/>
  <tableColumns count="15">
    <tableColumn id="1" xr3:uid="{169C0E80-C15D-4423-BE1E-4475C3E32B2A}" name="Номер" totalsRowLabel="Итог" dataDxfId="1873" totalsRowDxfId="1872"/>
    <tableColumn id="2" xr3:uid="{9F8557AD-F155-434A-B397-29FA6E9F84C0}" name="Дата" dataDxfId="1871" totalsRowDxfId="1870"/>
    <tableColumn id="3" xr3:uid="{8F8BA418-7235-4833-9AF3-4ED61CA46A1D}" name="Клиент" dataDxfId="1869" totalsRowDxfId="1868"/>
    <tableColumn id="4" xr3:uid="{660EB99F-5514-4FC5-8C90-46FAF14D2DFD}" name="Сумма" dataDxfId="1867" totalsRowDxfId="1866"/>
    <tableColumn id="5" xr3:uid="{3D334BBA-5499-496E-A7A9-9CCFF1FF59C8}" name="Оплата" totalsRowLabel="59 700  " dataDxfId="1865" totalsRowDxfId="1864"/>
    <tableColumn id="6" xr3:uid="{8BB43E01-8C9B-4CA0-ABFB-A82DB0A402BD}" name="Заказ" totalsRowFunction="custom" dataDxfId="1863" totalsRowDxfId="1862">
      <totalsRowFormula>M908*0.17+N908*0.06</totalsRowFormula>
    </tableColumn>
    <tableColumn id="7" xr3:uid="{70366134-ABA4-42D9-9927-CFF2E2558A71}" name="Отгрузка" totalsRowFunction="custom" dataDxfId="1861" totalsRowDxfId="1860">
      <totalsRowFormula>H908*0.05+I908*0.02</totalsRowFormula>
    </tableColumn>
    <tableColumn id="8" xr3:uid="{1122789B-3350-4EAB-9AFB-A2ACA87F8AF8}" name="Продажа" totalsRowFunction="sum" dataDxfId="1859" totalsRowDxfId="1858">
      <calculatedColumnFormula>D868</calculatedColumnFormula>
    </tableColumn>
    <tableColumn id="9" xr3:uid="{571B76A9-D3B6-4972-9F51-B5DFE92BAC43}" name="Продажа НК" totalsRowFunction="sum" dataDxfId="1857" totalsRowDxfId="1856"/>
    <tableColumn id="10" xr3:uid="{840A8DD1-AA95-4344-A90C-5C43593E229A}" name="отк" totalsRowFunction="sum" dataDxfId="1855" totalsRowDxfId="1854"/>
    <tableColumn id="11" xr3:uid="{A03C4D60-D311-4ED0-968C-BBCEBDEEE7E6}" name="шланги" totalsRowFunction="sum" dataDxfId="1853" totalsRowDxfId="1852"/>
    <tableColumn id="12" xr3:uid="{A371680B-60E9-4D44-BD24-D211BAAF0E52}" name="Закупка" totalsRowFunction="sum" dataDxfId="1851" totalsRowDxfId="1850"/>
    <tableColumn id="13" xr3:uid="{8B1C685F-F82E-486A-9992-08EE6148656B}" name="Маржа" totalsRowFunction="sum" dataDxfId="1849" totalsRowDxfId="1848">
      <calculatedColumnFormula>H868-L868-J868-K868</calculatedColumnFormula>
    </tableColumn>
    <tableColumn id="14" xr3:uid="{20775A0A-A354-4046-A557-8B8978E1EAFD}" name="Маржа НК" totalsRowFunction="sum" dataDxfId="1847" totalsRowDxfId="1846"/>
    <tableColumn id="15" xr3:uid="{ABC3BC05-AF0D-443E-B7AD-D893BAF85E02}" name="% маржи" totalsRowFunction="custom" dataDxfId="1845" totalsRowDxfId="1844">
      <calculatedColumnFormula>M868/H868</calculatedColumnFormula>
      <totalsRowFormula>M908/H908</totalsRowFormula>
    </tableColumn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7586EBB-F630-4027-AC0B-BE267A4BBBA6}" name="Июль2018" displayName="Июль2018" ref="A909:O937" totalsRowCount="1" headerRowDxfId="1843" tableBorderDxfId="1842">
  <autoFilter ref="A909:O936" xr:uid="{57586EBB-F630-4027-AC0B-BE267A4BBBA6}"/>
  <tableColumns count="15">
    <tableColumn id="1" xr3:uid="{121221B3-1998-4030-9483-319CB6BC15EE}" name="Номер" totalsRowLabel="Итог" dataDxfId="1841" totalsRowDxfId="1840"/>
    <tableColumn id="2" xr3:uid="{874647C8-AED5-49FA-B04F-4A2005A1D762}" name="Дата" dataDxfId="1839" totalsRowDxfId="1838"/>
    <tableColumn id="3" xr3:uid="{45B63BC6-F904-43CE-9460-151B35ECF102}" name="Клиент" dataDxfId="1837" totalsRowDxfId="1836"/>
    <tableColumn id="4" xr3:uid="{7A211B6B-5AA1-4D1D-B656-BEE2DD34821B}" name="Сумма" dataDxfId="1835" totalsRowDxfId="1834"/>
    <tableColumn id="5" xr3:uid="{EE845320-3E2A-464F-A497-F4ED940474C0}" name="Оплата" totalsRowLabel="19 600  " dataDxfId="1833" totalsRowDxfId="1832"/>
    <tableColumn id="6" xr3:uid="{3E3CE70B-6DFA-46DA-8B69-F7525181D6E0}" name="Заказ" totalsRowFunction="custom" dataDxfId="1831" totalsRowDxfId="1830">
      <totalsRowFormula>M937*0.12+N937*0.06</totalsRowFormula>
    </tableColumn>
    <tableColumn id="7" xr3:uid="{E9C152B6-0CA8-47A0-9C3B-77F1F3C6B30A}" name="Отгрузка" totalsRowFunction="custom" dataDxfId="1829" totalsRowDxfId="1828">
      <totalsRowFormula>H937*0.05+I937*0.02</totalsRowFormula>
    </tableColumn>
    <tableColumn id="8" xr3:uid="{7529F263-6F12-4585-A076-0052EBEA3492}" name="Продажа" totalsRowFunction="sum" dataDxfId="1827" totalsRowDxfId="1826">
      <calculatedColumnFormula>D910</calculatedColumnFormula>
    </tableColumn>
    <tableColumn id="9" xr3:uid="{550B9000-9821-4A1F-A62C-F5326CE1E87F}" name="Продажа НК" totalsRowFunction="sum" dataDxfId="1825" totalsRowDxfId="1824"/>
    <tableColumn id="10" xr3:uid="{E0EA0AE5-4204-47C4-AE29-57B8E5B3D435}" name="отк" totalsRowFunction="sum" dataDxfId="1823" totalsRowDxfId="1822"/>
    <tableColumn id="11" xr3:uid="{FA75DA8F-2911-4D71-AFFD-82C884A7A008}" name="шланги" totalsRowFunction="sum" dataDxfId="1821" totalsRowDxfId="1820"/>
    <tableColumn id="12" xr3:uid="{34277E68-AA7D-4B60-91EE-0F15D5B0C5CE}" name="Закупка" totalsRowFunction="sum" dataDxfId="1819" totalsRowDxfId="1818"/>
    <tableColumn id="13" xr3:uid="{4D12C832-22E7-494F-896A-52C48E82EBAD}" name="Маржа" totalsRowFunction="sum" dataDxfId="1817" totalsRowDxfId="1816">
      <calculatedColumnFormula>H910-L910-J910-K910</calculatedColumnFormula>
    </tableColumn>
    <tableColumn id="14" xr3:uid="{CCFD2042-2046-4321-BF83-D9A6B4783AD5}" name="Маржа НК" totalsRowFunction="sum" dataDxfId="1815" totalsRowDxfId="1814"/>
    <tableColumn id="15" xr3:uid="{4C8BDAF8-CC65-4FBE-85F6-2C885D336011}" name="% маржи" totalsRowFunction="custom" dataDxfId="1813" totalsRowDxfId="1812">
      <calculatedColumnFormula>M910/H910</calculatedColumnFormula>
      <totalsRowFormula>M937/H937</totalsRowFormula>
    </tableColumn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7E12D47C-7A23-4178-8455-CFF2F4B84F2F}" name="Август2018" displayName="Август2018" ref="A938:O968" totalsRowCount="1" headerRowDxfId="1811" tableBorderDxfId="1810">
  <autoFilter ref="A938:O967" xr:uid="{7E12D47C-7A23-4178-8455-CFF2F4B84F2F}"/>
  <tableColumns count="15">
    <tableColumn id="1" xr3:uid="{E6D87607-D12E-4C15-9942-07E5302246CC}" name="Номер" totalsRowLabel="Итог" dataDxfId="1809" totalsRowDxfId="1808"/>
    <tableColumn id="2" xr3:uid="{E451CA6C-3A3F-4772-A38D-B76CF4FFD863}" name="Дата" dataDxfId="1807" totalsRowDxfId="1806"/>
    <tableColumn id="3" xr3:uid="{3ECFA83D-F032-4CB0-8BAE-EECC0508BA08}" name="Клиент" dataDxfId="1805" totalsRowDxfId="1804"/>
    <tableColumn id="4" xr3:uid="{D7EECD82-226B-4146-A89D-948A956777B1}" name="Сумма" dataDxfId="1803" totalsRowDxfId="1802"/>
    <tableColumn id="5" xr3:uid="{8F0D7A9C-E9AD-4296-8252-3B13BBA70DCC}" name="Оплата" totalsRowLabel="20 900  " dataDxfId="1801" totalsRowDxfId="1800"/>
    <tableColumn id="6" xr3:uid="{6A2A543D-24A7-44B0-9A2B-453F20643EC2}" name="Заказ" totalsRowFunction="custom" dataDxfId="1799" totalsRowDxfId="1798">
      <totalsRowFormula>M968*0.12+N968*0.06</totalsRowFormula>
    </tableColumn>
    <tableColumn id="7" xr3:uid="{4D1737F7-722F-4D5E-8C85-3B9DF288BEB4}" name="Отгрузка" totalsRowFunction="custom" dataDxfId="1797" totalsRowDxfId="1796">
      <totalsRowFormula>H968*0.02+I968*0.02</totalsRowFormula>
    </tableColumn>
    <tableColumn id="8" xr3:uid="{31457BA6-3CDB-401A-9A95-4707C48226ED}" name="Продажа" totalsRowFunction="sum" dataDxfId="1795" totalsRowDxfId="1794">
      <calculatedColumnFormula>D939</calculatedColumnFormula>
    </tableColumn>
    <tableColumn id="9" xr3:uid="{184C3640-556F-4B47-9E6F-D832A17B8177}" name="Продажа НК" totalsRowFunction="sum" dataDxfId="1793" totalsRowDxfId="1792"/>
    <tableColumn id="10" xr3:uid="{3207A14D-D473-40A4-B4E1-B738195F8AB2}" name="отк" totalsRowFunction="sum" dataDxfId="1791" totalsRowDxfId="1790"/>
    <tableColumn id="11" xr3:uid="{6BE2F5A1-A7AC-4372-8B0B-30C9B628B79B}" name="шланги" totalsRowFunction="sum" dataDxfId="1789" totalsRowDxfId="1788"/>
    <tableColumn id="12" xr3:uid="{0FC3404C-EB5D-4005-8F55-63FF3223B3DE}" name="Закупка" totalsRowFunction="sum" dataDxfId="1787" totalsRowDxfId="1786"/>
    <tableColumn id="13" xr3:uid="{7673F4AD-6FCA-4721-8103-EE004BA5326E}" name="Маржа" totalsRowFunction="sum" dataDxfId="1785" totalsRowDxfId="1784">
      <calculatedColumnFormula>H939-L939-J939-K939</calculatedColumnFormula>
    </tableColumn>
    <tableColumn id="14" xr3:uid="{70C10F07-74D1-4561-A74B-9CB727D62ED1}" name="Маржа НК" totalsRowFunction="sum" dataDxfId="1783" totalsRowDxfId="1782"/>
    <tableColumn id="15" xr3:uid="{D07B6E94-CF82-4A85-AB11-E8F0AE7C5FF2}" name="% маржи" totalsRowFunction="custom" dataDxfId="1781" totalsRowDxfId="1780">
      <calculatedColumnFormula>M939/H939</calculatedColumnFormula>
      <totalsRowFormula>M968/H968</totalsRowFormula>
    </tableColumn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D140557-99BC-4E53-BA85-85BFA96EAA22}" name="Сентябрь2018" displayName="Сентябрь2018" ref="A969:O985" totalsRowCount="1" headerRowDxfId="1779" tableBorderDxfId="1778">
  <autoFilter ref="A969:O984" xr:uid="{BD140557-99BC-4E53-BA85-85BFA96EAA22}"/>
  <tableColumns count="15">
    <tableColumn id="1" xr3:uid="{933D93AD-33C2-46C3-BACD-72E9A2CBF8BB}" name="Номер" totalsRowLabel="Итог" dataDxfId="1777" totalsRowDxfId="117"/>
    <tableColumn id="2" xr3:uid="{3F6090D1-25F2-417A-BE40-BDBDE949BD45}" name="Дата" dataDxfId="1776" totalsRowDxfId="116"/>
    <tableColumn id="3" xr3:uid="{F3BEAC1D-F073-4F5B-8F9A-98C302C8DB95}" name="Клиент" dataDxfId="1775" totalsRowDxfId="115"/>
    <tableColumn id="4" xr3:uid="{AD77D5CC-2D7B-4CDF-B922-EDD23CFE546F}" name="Сумма" dataDxfId="1774" totalsRowDxfId="114"/>
    <tableColumn id="5" xr3:uid="{F13A7FA5-60B5-4880-B276-E488A92B937D}" name="Оплата" totalsRowLabel="10164" dataDxfId="102" totalsRowDxfId="113"/>
    <tableColumn id="6" xr3:uid="{901C108B-46C4-4263-9446-FC161F91C2F1}" name="Заказ" totalsRowFunction="custom" dataDxfId="1773" totalsRowDxfId="112">
      <totalsRowFormula>M985*0.07+N985*0.06</totalsRowFormula>
    </tableColumn>
    <tableColumn id="7" xr3:uid="{005FB190-C848-4CFA-931E-A1D0C832192C}" name="Отгрузка" totalsRowFunction="custom" dataDxfId="1772" totalsRowDxfId="111">
      <totalsRowFormula>H985*0.02+I985*0.02</totalsRowFormula>
    </tableColumn>
    <tableColumn id="8" xr3:uid="{33D7DF10-1AC0-4394-9F4D-68A6125AB7E7}" name="Продажа" totalsRowFunction="sum" dataDxfId="1771" totalsRowDxfId="110">
      <calculatedColumnFormula>D970</calculatedColumnFormula>
    </tableColumn>
    <tableColumn id="9" xr3:uid="{D5E1096B-D185-412D-9D71-4DDFCC161C10}" name="Продажа НК" totalsRowFunction="sum" dataDxfId="1770" totalsRowDxfId="109"/>
    <tableColumn id="10" xr3:uid="{9DDF81E2-9BAA-4378-A837-54B4EA04E4B6}" name="отк" totalsRowFunction="sum" dataDxfId="1769" totalsRowDxfId="108"/>
    <tableColumn id="11" xr3:uid="{CD2B68B7-BBA0-446A-AEDF-6C0EBB104FCB}" name="шланги" totalsRowFunction="sum" dataDxfId="1768" totalsRowDxfId="107"/>
    <tableColumn id="12" xr3:uid="{058F31EC-7664-4A63-82B3-B8F41ACBE52B}" name="Закупка" totalsRowFunction="sum" dataDxfId="1767" totalsRowDxfId="106"/>
    <tableColumn id="13" xr3:uid="{DBC94324-0581-4823-88C4-4889877AA754}" name="Маржа" totalsRowFunction="sum" dataDxfId="1766" totalsRowDxfId="105">
      <calculatedColumnFormula>H970-L970-J970-K970</calculatedColumnFormula>
    </tableColumn>
    <tableColumn id="14" xr3:uid="{BBDA1CEB-A1EC-48D7-BC52-81B3AB803940}" name="Маржа НК" totalsRowFunction="sum" dataDxfId="1765" totalsRowDxfId="104"/>
    <tableColumn id="15" xr3:uid="{6EF7B6E3-B020-40C1-9465-1CE87C43C6EF}" name="% маржи" totalsRowFunction="custom" dataDxfId="1764" totalsRowDxfId="103">
      <calculatedColumnFormula>M970/H970</calculatedColumnFormula>
      <totalsRowFormula>M985/H985</totalsRowFormula>
    </tableColumn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5AD1DD0C-87ED-4A17-BBE9-494491E4DDB2}" name="Октябрь2018" displayName="Октябрь2018" ref="A986:O1015" totalsRowCount="1" headerRowDxfId="1763" tableBorderDxfId="1762">
  <autoFilter ref="A986:O1014" xr:uid="{5AD1DD0C-87ED-4A17-BBE9-494491E4DDB2}"/>
  <tableColumns count="15">
    <tableColumn id="1" xr3:uid="{095C32B8-8DB0-4EDB-AC61-FAA6EC567000}" name="Номер" totalsRowLabel="Итог" dataDxfId="1761" totalsRowDxfId="1760"/>
    <tableColumn id="2" xr3:uid="{16E01E30-C043-4871-94E1-B8DDEE22E240}" name="Дата" dataDxfId="1759" totalsRowDxfId="1758"/>
    <tableColumn id="3" xr3:uid="{BBD1B313-F0E3-466F-ACCC-AB4A47893D27}" name="Клиент" dataDxfId="1757" totalsRowDxfId="1756"/>
    <tableColumn id="4" xr3:uid="{B5757849-3FAC-44F1-A369-D28B3B32D4B9}" name="Сумма" dataDxfId="1755" totalsRowDxfId="1754"/>
    <tableColumn id="5" xr3:uid="{D969A583-BAD1-42F6-A653-158BE3182E40}" name="Оплата" totalsRowLabel="62 250  " dataDxfId="1753" totalsRowDxfId="1752"/>
    <tableColumn id="6" xr3:uid="{E434491B-E1F3-41FB-A5AB-FA362587403F}" name="Заказ" totalsRowFunction="custom" dataDxfId="1751" totalsRowDxfId="1750">
      <totalsRowFormula>M1015*0.17+N1015*0.06</totalsRowFormula>
    </tableColumn>
    <tableColumn id="7" xr3:uid="{9B72846E-B4D3-41DA-A2FE-E8E09511E013}" name="Отгрузка" totalsRowFunction="custom" dataDxfId="1749" totalsRowDxfId="1748">
      <totalsRowFormula>H1015*0.05+I1015*0.02</totalsRowFormula>
    </tableColumn>
    <tableColumn id="8" xr3:uid="{A996EBB8-9124-4A3A-A31A-D00530FAA4F1}" name="Продажа" totalsRowFunction="sum" dataDxfId="1747" totalsRowDxfId="1746">
      <calculatedColumnFormula>D987</calculatedColumnFormula>
    </tableColumn>
    <tableColumn id="9" xr3:uid="{E354116D-3681-4C03-B427-A95F29FC5CB0}" name="Продажа НК" totalsRowFunction="sum" dataDxfId="1745" totalsRowDxfId="1744"/>
    <tableColumn id="10" xr3:uid="{C6E84C57-1907-4FD7-B672-85530CC7059D}" name="отк" totalsRowFunction="sum" dataDxfId="1743" totalsRowDxfId="1742"/>
    <tableColumn id="11" xr3:uid="{495C036D-7931-4C0B-BA6A-9918BF91B4E2}" name="шланги" totalsRowFunction="sum" dataDxfId="1741" totalsRowDxfId="1740"/>
    <tableColumn id="12" xr3:uid="{49C124FE-714B-439D-931B-2FA8A8CB7458}" name="Закупка" totalsRowFunction="sum" dataDxfId="1739" totalsRowDxfId="1738"/>
    <tableColumn id="13" xr3:uid="{DD43B7E1-5603-4FEC-AC2E-4694DA9AF3E9}" name="Маржа" totalsRowFunction="sum" dataDxfId="1737" totalsRowDxfId="1736">
      <calculatedColumnFormula>H987-L987-J987-K987</calculatedColumnFormula>
    </tableColumn>
    <tableColumn id="14" xr3:uid="{16177569-8F98-4D15-8F59-1B40E826E37D}" name="Маржа НК" totalsRowFunction="sum" dataDxfId="1735" totalsRowDxfId="1734"/>
    <tableColumn id="15" xr3:uid="{36F270B5-99D1-4A7C-84A7-9980C1D04BE6}" name="% маржи" totalsRowFunction="custom" dataDxfId="1733" totalsRowDxfId="1732">
      <calculatedColumnFormula>M987/H987</calculatedColumnFormula>
      <totalsRowFormula>M1015/H1015</totalsRowFormula>
    </tableColumn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2F06199-07AA-40FD-881E-F0BB6F9ECE1E}" name="Ноябрь2018" displayName="Ноябрь2018" ref="A1016:O1039" totalsRowCount="1" headerRowDxfId="1731" tableBorderDxfId="1730">
  <autoFilter ref="A1016:O1038" xr:uid="{F2F06199-07AA-40FD-881E-F0BB6F9ECE1E}"/>
  <tableColumns count="15">
    <tableColumn id="1" xr3:uid="{4CE30A00-0B63-4691-A56C-D819B8CC42D2}" name="Номер" totalsRowLabel="Итог" dataDxfId="1729" totalsRowDxfId="1728"/>
    <tableColumn id="2" xr3:uid="{F2BF7755-0BB7-4960-8640-1407EC5E0757}" name="Дата" dataDxfId="1727" totalsRowDxfId="1726"/>
    <tableColumn id="3" xr3:uid="{91039EB5-57C3-4BC2-B5B7-4BFBD1A050BD}" name="Клиент" dataDxfId="1725" totalsRowDxfId="1724"/>
    <tableColumn id="4" xr3:uid="{FF0D43CF-FA6A-47F0-A269-9101AD1F43F8}" name="Сумма" dataDxfId="1723" totalsRowDxfId="1722"/>
    <tableColumn id="5" xr3:uid="{93397AF9-39FA-4ACB-AECF-8C289520400A}" name="Оплата" totalsRowLabel="18 200  " dataDxfId="1721" totalsRowDxfId="1720"/>
    <tableColumn id="6" xr3:uid="{34AD5E62-2C8B-4A27-AACC-039B1EAC53FF}" name="Заказ" totalsRowFunction="custom" dataDxfId="1719" totalsRowDxfId="1718">
      <totalsRowFormula>M1039*0.12+N1039*0.06</totalsRowFormula>
    </tableColumn>
    <tableColumn id="7" xr3:uid="{282AEB4B-C36B-4DB5-8FCE-3BF4055B0F3E}" name="Отгрузка" totalsRowFunction="custom" dataDxfId="1717" totalsRowDxfId="1716">
      <totalsRowFormula>H1039*0.05+I1039*0.02</totalsRowFormula>
    </tableColumn>
    <tableColumn id="8" xr3:uid="{27D941FC-F829-441C-975C-76241198BBA1}" name="Продажа" totalsRowFunction="sum" dataDxfId="1715" totalsRowDxfId="1714">
      <calculatedColumnFormula>D1017</calculatedColumnFormula>
    </tableColumn>
    <tableColumn id="9" xr3:uid="{E6C1BA57-38BE-4FB7-B275-5D0E94F2FC85}" name="Продажа НК" totalsRowFunction="sum" dataDxfId="1713" totalsRowDxfId="1712"/>
    <tableColumn id="10" xr3:uid="{53519781-D31B-4D79-B879-38FC03F6E844}" name="отк" totalsRowFunction="sum" dataDxfId="1711" totalsRowDxfId="1710"/>
    <tableColumn id="11" xr3:uid="{28C71479-F981-478C-8103-8A11C25A531F}" name="шланги" totalsRowFunction="sum" dataDxfId="1709" totalsRowDxfId="1708"/>
    <tableColumn id="12" xr3:uid="{98478F9A-3B90-458B-9786-05D132202081}" name="Закупка" totalsRowFunction="sum" dataDxfId="1707" totalsRowDxfId="1706"/>
    <tableColumn id="13" xr3:uid="{4EA1F542-1100-4346-BC02-D78EA2FA9A8F}" name="Маржа" totalsRowFunction="sum" dataDxfId="1705" totalsRowDxfId="1704">
      <calculatedColumnFormula>H1017-L1017-J1017-K1017</calculatedColumnFormula>
    </tableColumn>
    <tableColumn id="14" xr3:uid="{592BA9F1-5B6A-4903-AF1B-BED90F650995}" name="Маржа НК" totalsRowFunction="sum" dataDxfId="1703" totalsRowDxfId="1702"/>
    <tableColumn id="15" xr3:uid="{18C73FF6-465B-4782-A043-7A0B4714A9A5}" name="% маржи" totalsRowFunction="custom" dataDxfId="1701" totalsRowDxfId="1700">
      <calculatedColumnFormula>M1017/H1017</calculatedColumnFormula>
      <totalsRowFormula>M1039/H1039</totalsRowFormula>
    </tableColumn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96E0956F-E72B-4DDD-8741-18A68B52DA05}" name="Декабрь2018" displayName="Декабрь2018" ref="A1040:O1067" totalsRowCount="1" headerRowDxfId="1699" tableBorderDxfId="1698">
  <autoFilter ref="A1040:O1066" xr:uid="{96E0956F-E72B-4DDD-8741-18A68B52DA05}"/>
  <tableColumns count="15">
    <tableColumn id="1" xr3:uid="{2B77AAAE-6AB6-47E2-9852-2F3CCEC797BE}" name="Номер" totalsRowLabel="Итог" dataDxfId="1697" totalsRowDxfId="1696"/>
    <tableColumn id="2" xr3:uid="{1DD877B5-DD1E-4F27-BAC9-216923AF94A0}" name="Дата" dataDxfId="1695" totalsRowDxfId="1694"/>
    <tableColumn id="3" xr3:uid="{06BB0808-9E17-47CB-86F0-B28354A77D73}" name="Клиент" dataDxfId="1693" totalsRowDxfId="1692"/>
    <tableColumn id="4" xr3:uid="{10467094-B39E-47DA-8B39-389FEAD46518}" name="Сумма" dataDxfId="1691" totalsRowDxfId="1690"/>
    <tableColumn id="5" xr3:uid="{1E3E9C53-B57C-4521-A299-7CA83E018918}" name="Оплата" totalsRowLabel="56 300  " dataDxfId="1689" totalsRowDxfId="1688"/>
    <tableColumn id="6" xr3:uid="{2AF3FD7A-8D75-43C6-BE2D-0C409288E4FD}" name="Заказ" totalsRowFunction="custom" dataDxfId="1687" totalsRowDxfId="1686">
      <totalsRowFormula>M1067*0.17+N1067*0.06</totalsRowFormula>
    </tableColumn>
    <tableColumn id="7" xr3:uid="{5B4F3C1B-B187-4895-A00D-A24E3B2EE7D7}" name="Отгрузка" totalsRowFunction="custom" dataDxfId="1685" totalsRowDxfId="1684">
      <totalsRowFormula>H1067*0.05+I1067*0.02</totalsRowFormula>
    </tableColumn>
    <tableColumn id="8" xr3:uid="{D4C6C5B0-D84D-4B4C-93C2-5509D9F9A1DE}" name="Продажа" totalsRowFunction="sum" dataDxfId="1683" totalsRowDxfId="1682"/>
    <tableColumn id="9" xr3:uid="{7E06CD2E-B683-4CE1-934F-CC4A11299EE1}" name="Продажа НК" totalsRowFunction="sum" dataDxfId="1681" totalsRowDxfId="1680"/>
    <tableColumn id="10" xr3:uid="{CB1488BA-F6F7-43EE-9A4A-55631615DE05}" name="отк" totalsRowFunction="sum" dataDxfId="1679" totalsRowDxfId="1678"/>
    <tableColumn id="11" xr3:uid="{EB2F3716-7D37-4BD8-BB97-A3288A13C465}" name="шланги" totalsRowFunction="sum" dataDxfId="1677" totalsRowDxfId="1676"/>
    <tableColumn id="12" xr3:uid="{91FE954E-0BD6-4403-88D1-F379E7CFEC7F}" name="Закупка" totalsRowFunction="sum" dataDxfId="1675" totalsRowDxfId="1674"/>
    <tableColumn id="13" xr3:uid="{45851958-D2E4-4589-A9FF-9480F25582F5}" name="Маржа" totalsRowFunction="sum" dataDxfId="1673" totalsRowDxfId="1672">
      <calculatedColumnFormula>H1041-L1041-J1041-K1041</calculatedColumnFormula>
    </tableColumn>
    <tableColumn id="14" xr3:uid="{BA938084-9BB3-42A2-9F30-BEDAC6B25ED4}" name="Маржа НК" totalsRowFunction="sum" dataDxfId="1671" totalsRowDxfId="1670"/>
    <tableColumn id="15" xr3:uid="{30014615-F3E8-40F7-B769-016432F5CB93}" name="% маржи" totalsRowFunction="custom" dataDxfId="1669" totalsRowDxfId="1668">
      <calculatedColumnFormula>M1041/H1041</calculatedColumnFormula>
      <totalsRowFormula>M1067/H1067</totalsRowFormula>
    </tableColumn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C0B02275-D3A2-452C-8E8E-649EF9A008C6}" name="Январь2019" displayName="Январь2019" ref="A1068:O1087" totalsRowCount="1" headerRowDxfId="1667" tableBorderDxfId="1666">
  <autoFilter ref="A1068:O1086" xr:uid="{C0B02275-D3A2-452C-8E8E-649EF9A008C6}"/>
  <tableColumns count="15">
    <tableColumn id="1" xr3:uid="{3C088DFB-5175-4CC6-AA9C-8360877D1035}" name="Номер" totalsRowLabel="Итог" dataDxfId="1665" totalsRowDxfId="1664"/>
    <tableColumn id="2" xr3:uid="{CD376F6C-BA6D-4079-B820-8EBFC717FCFC}" name="Дата" dataDxfId="1663" totalsRowDxfId="1662"/>
    <tableColumn id="3" xr3:uid="{14F670F7-CE6C-4361-ACC2-2052DF202A7D}" name="Клиент" dataDxfId="1661" totalsRowDxfId="1660"/>
    <tableColumn id="4" xr3:uid="{6880B9AA-382C-4466-AC47-5EABAFAF74AD}" name="Сумма" dataDxfId="1659" totalsRowDxfId="1658"/>
    <tableColumn id="5" xr3:uid="{D68FB9F8-7184-4C17-A56C-9139702979DD}" name="Оплата" totalsRowLabel="28 000  " dataDxfId="1657" totalsRowDxfId="1656"/>
    <tableColumn id="6" xr3:uid="{853C715E-8E07-4E90-A29C-158D95841D9F}" name="Заказ" totalsRowFunction="custom" dataDxfId="1655" totalsRowDxfId="1654">
      <totalsRowFormula>M1087*0.12+N1087*0.06</totalsRowFormula>
    </tableColumn>
    <tableColumn id="7" xr3:uid="{BCD9F926-764C-4A31-A61C-61DC05715D71}" name="Отгрузка" totalsRowFunction="custom" dataDxfId="1653" totalsRowDxfId="1652">
      <totalsRowFormula>H1087*0.05+I1087*0.02</totalsRowFormula>
    </tableColumn>
    <tableColumn id="8" xr3:uid="{852928BE-721C-494B-AE0C-C66841704FBE}" name="Продажа" totalsRowFunction="sum" dataDxfId="1651" totalsRowDxfId="1650">
      <calculatedColumnFormula>D1069</calculatedColumnFormula>
    </tableColumn>
    <tableColumn id="9" xr3:uid="{0E8305DB-2855-406C-978B-9462785C879E}" name="Продажа НК" totalsRowFunction="sum" dataDxfId="1649" totalsRowDxfId="1648"/>
    <tableColumn id="10" xr3:uid="{5AFC5878-9EB8-4205-A6A8-C88A390233AD}" name="отк" totalsRowFunction="sum" dataDxfId="1647" totalsRowDxfId="1646"/>
    <tableColumn id="11" xr3:uid="{DAEE2D32-E827-4BE4-A915-D10A56EF2FE5}" name="шланги" totalsRowFunction="sum" dataDxfId="1645" totalsRowDxfId="1644"/>
    <tableColumn id="12" xr3:uid="{2733888F-242E-462E-90C9-5B3050B7306D}" name="Закупка" totalsRowFunction="sum" dataDxfId="1643" totalsRowDxfId="1642"/>
    <tableColumn id="13" xr3:uid="{F0190138-7325-4713-8C21-FD356A48C28F}" name="Маржа" totalsRowFunction="sum" dataDxfId="1641" totalsRowDxfId="1640">
      <calculatedColumnFormula>H1069-L1069-J1069-K1069</calculatedColumnFormula>
    </tableColumn>
    <tableColumn id="14" xr3:uid="{47CD1CC4-C697-4F0B-A5AB-3052C9DA189D}" name="Маржа НК" totalsRowFunction="sum" dataDxfId="1639" totalsRowDxfId="1638"/>
    <tableColumn id="15" xr3:uid="{DE416F39-114D-4BE4-95BE-A856870FD058}" name="% маржи" totalsRowFunction="custom" dataDxfId="1637" totalsRowDxfId="1636">
      <calculatedColumnFormula>M1069/H1069</calculatedColumnFormula>
      <totalsRowFormula>M1087/H1087</totalsRowFormula>
    </tableColumn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414EBB1A-FC8D-4F50-A44F-97BFBB56ABF7}" name="Февраль2019" displayName="Февраль2019" ref="A1088:O1111" totalsRowCount="1" headerRowDxfId="1635" tableBorderDxfId="1634">
  <autoFilter ref="A1088:O1110" xr:uid="{414EBB1A-FC8D-4F50-A44F-97BFBB56ABF7}"/>
  <tableColumns count="15">
    <tableColumn id="1" xr3:uid="{7F6C5700-6109-4284-8EE8-0807A59C9654}" name="Номер" totalsRowLabel="Итог" dataDxfId="1633" totalsRowDxfId="1632"/>
    <tableColumn id="2" xr3:uid="{9B82D768-A219-432E-BF76-4EB5F487E0A3}" name="Дата" dataDxfId="1631" totalsRowDxfId="1630"/>
    <tableColumn id="3" xr3:uid="{8DE4AFCA-7021-417A-A514-B4B69B1A6F7C}" name="Клиент" dataDxfId="1629" totalsRowDxfId="1628"/>
    <tableColumn id="4" xr3:uid="{52B7970B-9C19-452B-A385-B89D4658E721}" name="Сумма" dataDxfId="1627" totalsRowDxfId="1626"/>
    <tableColumn id="5" xr3:uid="{61AD906B-8356-4079-92A4-2D59A13F1E85}" name="Оплата" totalsRowLabel="82 950  " dataDxfId="1625" totalsRowDxfId="1624"/>
    <tableColumn id="6" xr3:uid="{83D386F5-956A-4506-A8D9-FD2FB82128F6}" name="Заказ" totalsRowFunction="custom" dataDxfId="1623" totalsRowDxfId="1622">
      <totalsRowFormula>M1111*0.17+N1111*0.06</totalsRowFormula>
    </tableColumn>
    <tableColumn id="7" xr3:uid="{736B50D2-7E9F-4C82-8EE8-4198D8ECD038}" name="Отгрузка" totalsRowFunction="custom" dataDxfId="1621" totalsRowDxfId="1620">
      <totalsRowFormula>H1111*0.05+I1111*0.02</totalsRowFormula>
    </tableColumn>
    <tableColumn id="8" xr3:uid="{203E40E0-67AC-4A44-A044-EDC9090EDCAE}" name="Продажа" totalsRowFunction="sum" dataDxfId="1619" totalsRowDxfId="1618">
      <calculatedColumnFormula>D1089</calculatedColumnFormula>
    </tableColumn>
    <tableColumn id="9" xr3:uid="{0951B1BD-FF34-4907-81C8-06244134F700}" name="Продажа НК" totalsRowFunction="sum" dataDxfId="1617" totalsRowDxfId="1616"/>
    <tableColumn id="10" xr3:uid="{8410B80E-2A11-48B3-B8E5-C47ADE5A7123}" name="отк" totalsRowFunction="sum" dataDxfId="1615" totalsRowDxfId="1614"/>
    <tableColumn id="11" xr3:uid="{7F5B1C08-6802-47B1-90F7-31B2D5148489}" name="шланги" totalsRowFunction="sum" dataDxfId="1613" totalsRowDxfId="1612"/>
    <tableColumn id="12" xr3:uid="{211C8C15-0B46-449C-8D95-28C085E432CE}" name="Закупка" totalsRowFunction="sum" dataDxfId="1611" totalsRowDxfId="1610"/>
    <tableColumn id="13" xr3:uid="{87F8ACAA-85AF-4063-8244-98281CA53B37}" name="Маржа" totalsRowFunction="sum" dataDxfId="1609" totalsRowDxfId="1608">
      <calculatedColumnFormula>H1089-L1089-J1089-K1089</calculatedColumnFormula>
    </tableColumn>
    <tableColumn id="14" xr3:uid="{D19E0DFD-A8E5-4DE5-9584-40DF1FDCF787}" name="Маржа НК" totalsRowFunction="sum" dataDxfId="1607" totalsRowDxfId="1606"/>
    <tableColumn id="15" xr3:uid="{0921421E-E00C-4EEA-A4D8-5269FCA258F9}" name="% маржи" totalsRowFunction="custom" dataDxfId="1605" totalsRowDxfId="1604">
      <calculatedColumnFormula>M1089/H1089</calculatedColumnFormula>
      <totalsRowFormula>M1111/H1111</totalsRowFormula>
    </tableColumn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7CF4EDEA-A26B-497A-B376-48C0AC8EEF20}" name="Март2019" displayName="Март2019" ref="A1112:O1146" totalsRowCount="1" headerRowDxfId="1603" tableBorderDxfId="1602">
  <autoFilter ref="A1112:O1145" xr:uid="{7CF4EDEA-A26B-497A-B376-48C0AC8EEF20}"/>
  <tableColumns count="15">
    <tableColumn id="1" xr3:uid="{1B52E83A-2F2C-48D0-BF2C-235119F34C58}" name="Номер" totalsRowLabel="Итог" dataDxfId="1601" totalsRowDxfId="1600"/>
    <tableColumn id="2" xr3:uid="{70259B15-6E25-4914-8508-8B040D5042F1}" name="Дата" dataDxfId="1599" totalsRowDxfId="1598"/>
    <tableColumn id="3" xr3:uid="{119F3DDE-9980-4A5A-866E-4CF767691A9A}" name="Клиент" dataDxfId="1597" totalsRowDxfId="1596"/>
    <tableColumn id="4" xr3:uid="{157BEF73-235E-4EF9-8EF7-CB7F44A4576B}" name="Сумма" dataDxfId="1595" totalsRowDxfId="1594"/>
    <tableColumn id="5" xr3:uid="{60588744-EDF7-456D-B745-B595D4A2F5DC}" name="Оплата" totalsRowLabel="49 200  " dataDxfId="1593" totalsRowDxfId="1592"/>
    <tableColumn id="6" xr3:uid="{BA5E2537-2CA1-4000-8790-0592792FD626}" name="Заказ" totalsRowFunction="custom" dataDxfId="1591" totalsRowDxfId="1590">
      <totalsRowFormula>M1146*0.17+N1146*0.06</totalsRowFormula>
    </tableColumn>
    <tableColumn id="7" xr3:uid="{63A3394E-3FFA-4871-A704-34DF79947D62}" name="Отгрузка" totalsRowFunction="custom" dataDxfId="1589" totalsRowDxfId="1588">
      <totalsRowFormula>H1146*0.05+I1146*0.02</totalsRowFormula>
    </tableColumn>
    <tableColumn id="8" xr3:uid="{8357B11C-B3CB-4AD0-9B20-DC30123B6264}" name="Продажа" totalsRowFunction="sum" dataDxfId="1587" totalsRowDxfId="1586"/>
    <tableColumn id="9" xr3:uid="{BE3EFBBA-DFA8-41B7-A977-E323793A2A5F}" name="Продажа НК" totalsRowFunction="sum" dataDxfId="1585" totalsRowDxfId="1584"/>
    <tableColumn id="10" xr3:uid="{61C32C98-6B4F-44A7-BA6B-69DB41BDA4B8}" name="отк" totalsRowFunction="sum" dataDxfId="1583" totalsRowDxfId="1582"/>
    <tableColumn id="11" xr3:uid="{1A9099F9-217E-4A66-908F-36840CEF48E0}" name="шланги" totalsRowFunction="sum" dataDxfId="1581" totalsRowDxfId="1580"/>
    <tableColumn id="12" xr3:uid="{05471EE7-C8B2-45EB-A995-677D41D09C5E}" name="Закупка" totalsRowFunction="sum" dataDxfId="1579" totalsRowDxfId="1578"/>
    <tableColumn id="13" xr3:uid="{6CADAD61-6704-482E-B7AC-14E5293B1D17}" name="Маржа" totalsRowFunction="sum" dataDxfId="1577" totalsRowDxfId="1576">
      <calculatedColumnFormula>H1113-L1113-J1113-K1113</calculatedColumnFormula>
    </tableColumn>
    <tableColumn id="14" xr3:uid="{B399EB70-B39A-4F93-94BE-EEEDCEB61E8D}" name="Маржа НК" totalsRowFunction="sum" dataDxfId="1575" totalsRowDxfId="1574"/>
    <tableColumn id="15" xr3:uid="{ACA47D93-6477-45BF-B734-B4DAEF7C7D75}" name="% маржи" totalsRowFunction="custom" dataDxfId="1573" totalsRowDxfId="1572">
      <calculatedColumnFormula>M1113/H1113</calculatedColumnFormula>
      <totalsRowFormula>M1146/H1146</totalsRowFormula>
    </tableColumn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51E6176-23C5-49EB-84DE-C6FD88C7863E}" name="Апрель2019" displayName="Апрель2019" ref="A1147:O1189" totalsRowCount="1" headerRowDxfId="1571" tableBorderDxfId="1570">
  <autoFilter ref="A1147:O1188" xr:uid="{751E6176-23C5-49EB-84DE-C6FD88C7863E}"/>
  <tableColumns count="15">
    <tableColumn id="1" xr3:uid="{E9F91839-929C-4255-91C6-57565F8315C6}" name="Номер" totalsRowLabel="Итог" dataDxfId="1569" totalsRowDxfId="1568"/>
    <tableColumn id="2" xr3:uid="{C201444A-2137-4C20-9BE8-A1F6C38FCFAC}" name="Дата" dataDxfId="1567" totalsRowDxfId="1566"/>
    <tableColumn id="3" xr3:uid="{63154960-473E-4CE3-851A-03DF47F7D1FC}" name="Клиент" dataDxfId="1565" totalsRowDxfId="1564"/>
    <tableColumn id="4" xr3:uid="{60CB8F0E-C1D6-4058-BA45-113483B077F4}" name="Сумма" dataDxfId="1563" totalsRowDxfId="1562"/>
    <tableColumn id="5" xr3:uid="{69039D9F-C460-4945-A00A-6BF0E646E822}" name="Оплата" totalsRowLabel="109 050  " dataDxfId="1561" totalsRowDxfId="1560"/>
    <tableColumn id="6" xr3:uid="{36AFB5B3-CFF9-4114-B649-2DF498F31168}" name="Заказ" totalsRowFunction="custom" dataDxfId="1559" totalsRowDxfId="1558">
      <totalsRowFormula>M1189*0.17+N1189*0.06</totalsRowFormula>
    </tableColumn>
    <tableColumn id="7" xr3:uid="{79875C66-EE0B-4AC2-A0B8-CEAA63CAAD81}" name="Отгрузка" totalsRowFunction="custom" dataDxfId="1557" totalsRowDxfId="1556">
      <totalsRowFormula>H1189*0.05+I1189*0.02</totalsRowFormula>
    </tableColumn>
    <tableColumn id="8" xr3:uid="{4BAB3391-DC14-4A21-9A8B-0C842BB32044}" name="Продажа" totalsRowFunction="sum" dataDxfId="1555" totalsRowDxfId="1554">
      <calculatedColumnFormula>D1148</calculatedColumnFormula>
    </tableColumn>
    <tableColumn id="9" xr3:uid="{F78103AB-DBAD-4237-AA2A-6A35C12B3383}" name="Продажа НК" totalsRowFunction="sum" dataDxfId="1553" totalsRowDxfId="1552"/>
    <tableColumn id="10" xr3:uid="{20754788-8D00-4A35-93DA-7A623B571845}" name="отк" totalsRowFunction="sum" dataDxfId="1551" totalsRowDxfId="1550"/>
    <tableColumn id="11" xr3:uid="{2200FFE5-0B4D-4692-88D1-194B0FEDBFF1}" name="шланги" totalsRowFunction="sum" dataDxfId="1549" totalsRowDxfId="1548"/>
    <tableColumn id="12" xr3:uid="{52CB3F2A-37D5-46B2-A789-EDE26C73505D}" name="Закупка" totalsRowFunction="sum" dataDxfId="1547" totalsRowDxfId="1546"/>
    <tableColumn id="13" xr3:uid="{B825ECF0-B05A-47AE-AC7D-524916434749}" name="Маржа" totalsRowFunction="sum" dataDxfId="1545" totalsRowDxfId="1544">
      <calculatedColumnFormula>H1148-L1148-J1148-K1148</calculatedColumnFormula>
    </tableColumn>
    <tableColumn id="14" xr3:uid="{DAA56F49-2A02-461A-88BD-C7312E3E6137}" name="Маржа НК" totalsRowFunction="sum" dataDxfId="1543" totalsRowDxfId="1542"/>
    <tableColumn id="15" xr3:uid="{B58C1254-A8C4-40BF-8DFA-3F0BDF2BB28F}" name="% маржи" totalsRowFunction="custom" dataDxfId="1541" totalsRowDxfId="1540">
      <calculatedColumnFormula>M1148/H1148</calculatedColumnFormula>
      <totalsRowFormula>M1189/H1189</totalsRowFormula>
    </tableColumn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29FD4261-881A-4B16-BFF2-A418ED4C67F2}" name="Май2019" displayName="Май2019" ref="A1190:O1216" totalsRowCount="1" headerRowDxfId="1539" tableBorderDxfId="1538">
  <autoFilter ref="A1190:O1215" xr:uid="{29FD4261-881A-4B16-BFF2-A418ED4C67F2}"/>
  <tableColumns count="15">
    <tableColumn id="1" xr3:uid="{8CDE66E0-698E-41DC-B209-6F533CC36B36}" name="Номер" totalsRowLabel="Итог" dataDxfId="1537" totalsRowDxfId="1536"/>
    <tableColumn id="2" xr3:uid="{BE3AA045-60CC-4A2F-8B8F-B053705FF102}" name="Дата" dataDxfId="1535" totalsRowDxfId="1534"/>
    <tableColumn id="3" xr3:uid="{5041F71C-C9BE-42D5-A839-1E08CADEA028}" name="Клиент" dataDxfId="1533" totalsRowDxfId="1532"/>
    <tableColumn id="4" xr3:uid="{C675CFA7-EB42-4390-82BA-D7990E5BFF48}" name="Сумма" dataDxfId="1531" totalsRowDxfId="1530"/>
    <tableColumn id="5" xr3:uid="{34105740-8AF4-428B-A36F-240200D90C02}" name="Оплата" totalsRowLabel="30 000  " dataDxfId="1529" totalsRowDxfId="1528"/>
    <tableColumn id="6" xr3:uid="{2561503C-DC98-4BF1-8EEE-EF1007FB779E}" name="Заказ" totalsRowFunction="custom" dataDxfId="1527" totalsRowDxfId="1526">
      <totalsRowFormula>M1216*0.12+N1216*0.06</totalsRowFormula>
    </tableColumn>
    <tableColumn id="7" xr3:uid="{E3B049E6-8136-41B2-8AFD-BE723B7F9D01}" name="Отгрузка" totalsRowFunction="custom" dataDxfId="1525" totalsRowDxfId="1524">
      <totalsRowFormula>H1216*0.05+I1216*0.02</totalsRowFormula>
    </tableColumn>
    <tableColumn id="8" xr3:uid="{DC22A5A0-F60C-4954-9817-708752778625}" name="Продажа" totalsRowFunction="sum" dataDxfId="1523" totalsRowDxfId="1522">
      <calculatedColumnFormula>D1191</calculatedColumnFormula>
    </tableColumn>
    <tableColumn id="9" xr3:uid="{5D6DDD55-D6AA-4416-B23F-F7D06BCDAC6B}" name="Продажа НК" totalsRowFunction="sum" dataDxfId="1521" totalsRowDxfId="1520"/>
    <tableColumn id="10" xr3:uid="{AC3345EB-5462-46CC-A9E0-BDECF84B3E13}" name="отк" totalsRowFunction="sum" dataDxfId="1519" totalsRowDxfId="1518"/>
    <tableColumn id="11" xr3:uid="{F172EB23-D61E-457C-BE2C-D772C4B42336}" name="шланги" totalsRowFunction="sum" dataDxfId="1517" totalsRowDxfId="1516"/>
    <tableColumn id="12" xr3:uid="{F9A1A283-11B5-44AF-8E5B-33A2E6F62C66}" name="Закупка" totalsRowFunction="sum" dataDxfId="1515" totalsRowDxfId="1514"/>
    <tableColumn id="13" xr3:uid="{3D8F3520-51F0-40B4-BBD4-CBB05F006FE3}" name="Маржа" totalsRowFunction="sum" dataDxfId="1513" totalsRowDxfId="1512">
      <calculatedColumnFormula>H1191-L1191-J1191-K1191</calculatedColumnFormula>
    </tableColumn>
    <tableColumn id="14" xr3:uid="{4FFF47A0-8F99-4CD0-B8E0-96CE743A3F00}" name="Маржа НК" totalsRowFunction="sum" dataDxfId="1511" totalsRowDxfId="1510"/>
    <tableColumn id="15" xr3:uid="{FAE54861-23CC-40E0-8D7B-13E84E557692}" name="% маржи" totalsRowFunction="custom" dataDxfId="1509" totalsRowDxfId="1508">
      <calculatedColumnFormula>M1191/H1191</calculatedColumnFormula>
      <totalsRowFormula>M1216/H1216</totalsRowFormula>
    </tableColumn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A545D15A-3CE5-4D80-9552-FAE3F11E46B7}" name="Июнь2019" displayName="Июнь2019" ref="A1217:O1252" totalsRowCount="1" headerRowDxfId="1507" tableBorderDxfId="1506">
  <autoFilter ref="A1217:O1251" xr:uid="{A545D15A-3CE5-4D80-9552-FAE3F11E46B7}"/>
  <tableColumns count="15">
    <tableColumn id="1" xr3:uid="{DEFEE46E-2AA5-46FA-BC80-721EDDF16F6E}" name="Номер" totalsRowLabel="Итог" dataDxfId="1505" totalsRowDxfId="1504"/>
    <tableColumn id="2" xr3:uid="{68E6E75B-48AA-4737-B682-EEF7AC757013}" name="Дата" dataDxfId="1503" totalsRowDxfId="1502"/>
    <tableColumn id="3" xr3:uid="{A2575E4F-7A88-472A-82A1-CB557F563993}" name="Клиент" dataDxfId="1501" totalsRowDxfId="1500"/>
    <tableColumn id="4" xr3:uid="{F10AEABA-62CE-4F15-949D-60407656CD1E}" name="Сумма" dataDxfId="1499" totalsRowDxfId="1498"/>
    <tableColumn id="5" xr3:uid="{D0A908AD-887B-4CB3-8034-22EA3B00C55C}" name="Оплата" totalsRowLabel="75 450  " dataDxfId="1497" totalsRowDxfId="1496"/>
    <tableColumn id="6" xr3:uid="{FB4937B8-5D2A-49E1-82B1-DE91BA621D65}" name="Заказ" totalsRowFunction="custom" dataDxfId="1495" totalsRowDxfId="1494">
      <totalsRowFormula>M1252*0.17+N1252*0.06</totalsRowFormula>
    </tableColumn>
    <tableColumn id="7" xr3:uid="{1FC7E968-AFFB-4F8E-9326-9ABC731F0CEE}" name="Отгрузка" totalsRowFunction="custom" dataDxfId="1493" totalsRowDxfId="1492">
      <totalsRowFormula>H1252*0.05+I1252*0.02</totalsRowFormula>
    </tableColumn>
    <tableColumn id="8" xr3:uid="{718DD545-1CFB-4651-91DA-AE98B69D1DC0}" name="Продажа" totalsRowFunction="sum" dataDxfId="1491" totalsRowDxfId="1490">
      <calculatedColumnFormula>D1218</calculatedColumnFormula>
    </tableColumn>
    <tableColumn id="9" xr3:uid="{9558352B-A6A5-46C3-BE10-1C8E86DF4B6A}" name="Продажа НК" totalsRowFunction="sum" dataDxfId="1489" totalsRowDxfId="1488"/>
    <tableColumn id="10" xr3:uid="{9525FF23-617E-411B-B2A3-C00186B25BF9}" name="отк" totalsRowFunction="sum" dataDxfId="1487" totalsRowDxfId="1486"/>
    <tableColumn id="11" xr3:uid="{E7F06007-6933-4699-B2CD-5907AAB2F042}" name="шланги" totalsRowFunction="sum" dataDxfId="1485" totalsRowDxfId="1484"/>
    <tableColumn id="12" xr3:uid="{9C0952CB-4536-404F-AB81-4E491B16A935}" name="Закупка" totalsRowFunction="sum" dataDxfId="1483" totalsRowDxfId="1482"/>
    <tableColumn id="13" xr3:uid="{8EDC6865-B9DB-49CC-9AE3-1EF1215989ED}" name="Маржа" totalsRowFunction="sum" dataDxfId="1481" totalsRowDxfId="1480">
      <calculatedColumnFormula>H1218-L1218-J1218-K1218</calculatedColumnFormula>
    </tableColumn>
    <tableColumn id="14" xr3:uid="{F4A2B34D-C0AF-4883-BB2F-624E77ED41BD}" name="Маржа НК" totalsRowFunction="sum" dataDxfId="1479" totalsRowDxfId="1478"/>
    <tableColumn id="15" xr3:uid="{669AAF76-EF5D-49DB-AD0C-D0F3DA9D2AD4}" name="% маржи" totalsRowFunction="custom" dataDxfId="1477" totalsRowDxfId="1476">
      <calculatedColumnFormula>M1218/H1218</calculatedColumnFormula>
      <totalsRowFormula>M1252/H1252</totalsRowFormula>
    </tableColumn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DCBD8C00-6E24-4808-918A-27D3FCF4C26B}" name="Июль2019" displayName="Июль2019" ref="A1253:O1293" totalsRowCount="1" headerRowDxfId="1475" tableBorderDxfId="1474">
  <autoFilter ref="A1253:O1292" xr:uid="{DCBD8C00-6E24-4808-918A-27D3FCF4C26B}"/>
  <tableColumns count="15">
    <tableColumn id="1" xr3:uid="{4CFAF6B3-25FD-463D-B53D-0E25E2A3D2E8}" name="Номер" totalsRowLabel="Итог" dataDxfId="1473" totalsRowDxfId="1472"/>
    <tableColumn id="2" xr3:uid="{085B474C-F32A-4CFC-A54B-EABE26FB9E27}" name="Дата" dataDxfId="1471" totalsRowDxfId="1470"/>
    <tableColumn id="3" xr3:uid="{CF16FF7C-2DCF-452A-8AB3-72E0CF7C7668}" name="Клиент" dataDxfId="1469" totalsRowDxfId="1468"/>
    <tableColumn id="4" xr3:uid="{BAE93E03-1032-45E0-8AC0-26848B9D196E}" name="Сумма" dataDxfId="1467" totalsRowDxfId="1466"/>
    <tableColumn id="5" xr3:uid="{EC64F758-A400-48AC-A7BD-EF24A013B42A}" name="Оплата" totalsRowLabel="66 650  " dataDxfId="1465" totalsRowDxfId="1464"/>
    <tableColumn id="6" xr3:uid="{093AF773-3205-4E33-BCEB-8FE4DEA5408C}" name="Заказ" totalsRowFunction="custom" dataDxfId="1463" totalsRowDxfId="1462">
      <totalsRowFormula>M1293*0.17+N1293*0.06</totalsRowFormula>
    </tableColumn>
    <tableColumn id="7" xr3:uid="{47B67151-8964-4159-96D5-086CBCF6CFBD}" name="Отгрузка" totalsRowFunction="custom" dataDxfId="1461" totalsRowDxfId="1460">
      <totalsRowFormula>H1293*0.05+I1293*0.02</totalsRowFormula>
    </tableColumn>
    <tableColumn id="8" xr3:uid="{B62B4E9C-152A-4921-AC31-8148BD865789}" name="Продажа" totalsRowFunction="sum" dataDxfId="1459" totalsRowDxfId="1458">
      <calculatedColumnFormula>D1254</calculatedColumnFormula>
    </tableColumn>
    <tableColumn id="9" xr3:uid="{7A3D6C22-8BEA-42DE-BCCC-8A08CA7E8C8D}" name="Продажа НК" totalsRowFunction="sum" dataDxfId="1457" totalsRowDxfId="1456"/>
    <tableColumn id="10" xr3:uid="{81AE085A-35D7-4540-921E-B390C7BAD25C}" name="отк" totalsRowFunction="sum" dataDxfId="1455" totalsRowDxfId="1454"/>
    <tableColumn id="11" xr3:uid="{402EB1E6-C2D4-4FFD-BF49-2DEF405B6B3B}" name="шланги" totalsRowFunction="sum" dataDxfId="1453" totalsRowDxfId="1452"/>
    <tableColumn id="12" xr3:uid="{BD6B27C6-195D-4A32-B6C8-8AF0FCB1D464}" name="Закупка" totalsRowFunction="sum" dataDxfId="1451" totalsRowDxfId="1450"/>
    <tableColumn id="13" xr3:uid="{186273CD-1BD0-48EE-88C4-48F09139619B}" name="Маржа" totalsRowFunction="sum" dataDxfId="1449" totalsRowDxfId="1448">
      <calculatedColumnFormula>H1254-L1254-J1254-K1254</calculatedColumnFormula>
    </tableColumn>
    <tableColumn id="14" xr3:uid="{80D6EC65-EB34-4227-A687-88CBB8AD140E}" name="Маржа НК" totalsRowFunction="sum" dataDxfId="1447" totalsRowDxfId="1446"/>
    <tableColumn id="15" xr3:uid="{E0BDF7E6-AD1E-41A5-8E36-8AD6DB0CF5A4}" name="% маржи" totalsRowFunction="custom" dataDxfId="1445" totalsRowDxfId="1444">
      <calculatedColumnFormula>M1254/H1254</calculatedColumnFormula>
      <totalsRowFormula>M1293/H1293</totalsRowFormula>
    </tableColumn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5BF00108-182C-4DCD-915F-AD086AB17E6F}" name="Август2019" displayName="Август2019" ref="A1294:O1322" totalsRowCount="1" headerRowDxfId="1443" tableBorderDxfId="1442">
  <autoFilter ref="A1294:O1321" xr:uid="{5BF00108-182C-4DCD-915F-AD086AB17E6F}"/>
  <tableColumns count="15">
    <tableColumn id="1" xr3:uid="{32D8165E-1858-4655-B1A8-22BC100BB11D}" name="Номер" totalsRowLabel="Итог" dataDxfId="1441" totalsRowDxfId="1440"/>
    <tableColumn id="2" xr3:uid="{44E09C8A-3946-4CB9-81BB-0061DBCDD731}" name="Дата" dataDxfId="1439" totalsRowDxfId="1438"/>
    <tableColumn id="3" xr3:uid="{120F1A2A-9784-4CBC-A54E-50425BE8D92E}" name="Клиент" dataDxfId="1437" totalsRowDxfId="1436"/>
    <tableColumn id="4" xr3:uid="{8AD29DBB-A2C0-4427-A540-91E6195C8791}" name="Сумма" dataDxfId="1435" totalsRowDxfId="1434"/>
    <tableColumn id="5" xr3:uid="{DCF71031-F5D0-4A55-B8A3-0BFA44C95853}" name="Оплата" totalsRowLabel="90 250  " dataDxfId="1433" totalsRowDxfId="1432"/>
    <tableColumn id="6" xr3:uid="{83308BD3-AD33-4064-B604-CEB53B7CA276}" name="Заказ" totalsRowFunction="custom" dataDxfId="1431" totalsRowDxfId="1430">
      <totalsRowFormula>M1322*0.17+N1322*0.06</totalsRowFormula>
    </tableColumn>
    <tableColumn id="7" xr3:uid="{DBE87C83-958E-424C-943E-564B5EA19805}" name="Отгрузка" totalsRowFunction="custom" dataDxfId="1429" totalsRowDxfId="1428">
      <totalsRowFormula>H1322*0.05+I1322*0.02</totalsRowFormula>
    </tableColumn>
    <tableColumn id="8" xr3:uid="{E670721C-2231-4B7D-97E3-CF66A990629F}" name="Продажа" totalsRowFunction="sum" dataDxfId="1427" totalsRowDxfId="1426">
      <calculatedColumnFormula>D1295</calculatedColumnFormula>
    </tableColumn>
    <tableColumn id="9" xr3:uid="{46CB2ABF-1FC7-46EC-B199-C82211589AA2}" name="Продажа НК" totalsRowFunction="sum" dataDxfId="1425" totalsRowDxfId="1424"/>
    <tableColumn id="10" xr3:uid="{12367F70-E8FF-47CD-AF34-267155A8067A}" name="отк" totalsRowFunction="sum" dataDxfId="1423" totalsRowDxfId="1422"/>
    <tableColumn id="11" xr3:uid="{75BDF5CE-D4E4-46F5-ABFB-C118E92C5249}" name="шланги" totalsRowFunction="sum" dataDxfId="1421" totalsRowDxfId="1420"/>
    <tableColumn id="12" xr3:uid="{F96C4D07-0F7A-4FF6-8252-CF4AA20428C2}" name="Закупка" totalsRowFunction="sum" dataDxfId="1419" totalsRowDxfId="1418"/>
    <tableColumn id="13" xr3:uid="{3B225628-795D-4E3D-B805-AC62AEDBFBFB}" name="Маржа" totalsRowFunction="sum" dataDxfId="1417" totalsRowDxfId="1416">
      <calculatedColumnFormula>H1295-L1295-J1295-K1295</calculatedColumnFormula>
    </tableColumn>
    <tableColumn id="14" xr3:uid="{9E82DA61-0D17-48F7-9F49-A5A3F4DD8DB5}" name="Маржа НК" totalsRowFunction="sum" dataDxfId="1415" totalsRowDxfId="1414"/>
    <tableColumn id="15" xr3:uid="{7C3285C0-6864-494E-B849-989D45D8FD84}" name="% маржи" totalsRowFunction="custom" dataDxfId="1413" totalsRowDxfId="1412">
      <calculatedColumnFormula>M1295/H1295</calculatedColumnFormula>
      <totalsRowFormula>M1322/H1322</totalsRowFormula>
    </tableColumn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D3058C5F-2C14-4D6D-BC1B-AC5ABE026B3D}" name="Сентябрь2019" displayName="Сентябрь2019" ref="A1323:O1356" totalsRowCount="1" headerRowDxfId="1411" tableBorderDxfId="1410">
  <autoFilter ref="A1323:O1355" xr:uid="{D3058C5F-2C14-4D6D-BC1B-AC5ABE026B3D}"/>
  <tableColumns count="15">
    <tableColumn id="1" xr3:uid="{E29E3642-F3CA-4D4F-BB42-14493411964C}" name="Номер" totalsRowLabel="Итог" dataDxfId="1409" totalsRowDxfId="1408"/>
    <tableColumn id="2" xr3:uid="{73AD54FC-7F3E-40E5-848B-B7FA53D54585}" name="Дата" dataDxfId="1407" totalsRowDxfId="1406"/>
    <tableColumn id="3" xr3:uid="{9EBA771D-6A3B-47E2-A7A6-2ABE4D197291}" name="Клиент" dataDxfId="1405" totalsRowDxfId="1404"/>
    <tableColumn id="4" xr3:uid="{BA4C37F8-CAED-479A-84CA-075BB3CFCE37}" name="Сумма" dataDxfId="1403" totalsRowDxfId="1402"/>
    <tableColumn id="5" xr3:uid="{34FF9365-5779-49ED-8369-829E28B2FA08}" name="Оплата" totalsRowLabel="89 050  " dataDxfId="1401" totalsRowDxfId="1400"/>
    <tableColumn id="6" xr3:uid="{ED2959B8-3922-49B8-9CF4-84599C234B1F}" name="Заказ" totalsRowFunction="custom" dataDxfId="1399" totalsRowDxfId="1398">
      <totalsRowFormula>M1356*0.17+N1356*0.06</totalsRowFormula>
    </tableColumn>
    <tableColumn id="7" xr3:uid="{5747AB6B-EB9C-4084-AC38-D9C60524E0AB}" name="Отгрузка" totalsRowFunction="custom" dataDxfId="1397" totalsRowDxfId="1396">
      <totalsRowFormula>H1356*0.05+I1356*0.02</totalsRowFormula>
    </tableColumn>
    <tableColumn id="8" xr3:uid="{0B1F87CA-F67C-4003-A941-C05A527BA07C}" name="Продажа" totalsRowFunction="sum" dataDxfId="1395" totalsRowDxfId="1394">
      <calculatedColumnFormula>D1324</calculatedColumnFormula>
    </tableColumn>
    <tableColumn id="9" xr3:uid="{BDDC9B87-CE4C-40AE-B6CB-D0B1BEB12434}" name="Продажа НК" totalsRowFunction="sum" dataDxfId="1393" totalsRowDxfId="1392"/>
    <tableColumn id="10" xr3:uid="{A274BA0F-6C3D-4454-97FF-25BB58A4EFB8}" name="отк" totalsRowFunction="sum" dataDxfId="1391" totalsRowDxfId="1390"/>
    <tableColumn id="11" xr3:uid="{5D124B63-A8F1-444E-B7EF-5D4DA6BBF02C}" name="шланги" totalsRowFunction="sum" dataDxfId="1389" totalsRowDxfId="1388"/>
    <tableColumn id="12" xr3:uid="{8D9D58A6-3BD4-4A36-B9B6-EC3DA658ED38}" name="Закупка" totalsRowFunction="sum" dataDxfId="1387" totalsRowDxfId="1386"/>
    <tableColumn id="13" xr3:uid="{CACA5F52-F443-4FC5-9573-DA277E772ADC}" name="Маржа" totalsRowFunction="sum" dataDxfId="1385" totalsRowDxfId="1384">
      <calculatedColumnFormula>H1324-L1324-J1324-K1324</calculatedColumnFormula>
    </tableColumn>
    <tableColumn id="14" xr3:uid="{11C4D75A-5551-4924-9AB0-F343BDAE2BEE}" name="Маржа НК" totalsRowFunction="sum" dataDxfId="1383" totalsRowDxfId="1382"/>
    <tableColumn id="15" xr3:uid="{A1E0EEEB-17C3-460E-8510-8FA50DD21114}" name="% маржи" totalsRowFunction="custom" dataDxfId="1381" totalsRowDxfId="1380">
      <calculatedColumnFormula>M1324/H1324</calculatedColumnFormula>
      <totalsRowFormula>M1356/H1356</totalsRowFormula>
    </tableColumn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B43E8370-57EC-496E-9CF2-37A6E5BE7824}" name="Октябрь2019" displayName="Октябрь2019" ref="A1357:O1385" totalsRowCount="1" headerRowDxfId="1379" tableBorderDxfId="1378">
  <autoFilter ref="A1357:O1384" xr:uid="{B43E8370-57EC-496E-9CF2-37A6E5BE7824}"/>
  <tableColumns count="15">
    <tableColumn id="1" xr3:uid="{95E6A2C4-2B1D-4A70-9081-4FFADFB6F6B8}" name="Номер" totalsRowLabel="Итог" dataDxfId="1377" totalsRowDxfId="1376"/>
    <tableColumn id="2" xr3:uid="{8347FBA9-64DB-4783-A802-8B54E00B1756}" name="Дата" dataDxfId="1375" totalsRowDxfId="1374"/>
    <tableColumn id="3" xr3:uid="{42EFD3D7-3301-4CBC-8422-F6B57EDDE803}" name="Клиент" dataDxfId="1373" totalsRowDxfId="1372"/>
    <tableColumn id="4" xr3:uid="{FD92ADD5-820B-4ABA-AD04-82416F96C094}" name="Сумма" dataDxfId="1371" totalsRowDxfId="1370"/>
    <tableColumn id="5" xr3:uid="{5272D795-411F-45D6-BBA7-DFAD9CD46C74}" name="Оплата" totalsRowLabel="48 100  " dataDxfId="1369" totalsRowDxfId="1368"/>
    <tableColumn id="6" xr3:uid="{8EDA52B6-A7D5-4A26-AD4D-DC7C7437C3FB}" name="Заказ" totalsRowFunction="custom" dataDxfId="1367" totalsRowDxfId="1366">
      <totalsRowFormula>M1385*0.17+N1385*0.06</totalsRowFormula>
    </tableColumn>
    <tableColumn id="7" xr3:uid="{9C9FA666-F6E9-402C-B55C-D6F7C9E4A3C5}" name="Отгрузка" totalsRowFunction="custom" dataDxfId="1365" totalsRowDxfId="1364">
      <totalsRowFormula>H1385*0.05+I1385*0.02</totalsRowFormula>
    </tableColumn>
    <tableColumn id="8" xr3:uid="{D245C19A-20C8-47D8-9C94-69B4D7092E9D}" name="Продажа" totalsRowFunction="sum" dataDxfId="1363" totalsRowDxfId="1362">
      <calculatedColumnFormula>D1358</calculatedColumnFormula>
    </tableColumn>
    <tableColumn id="9" xr3:uid="{4CB89501-D478-44FC-A56F-C08B50048EDB}" name="Продажа НК" totalsRowFunction="sum" dataDxfId="1361" totalsRowDxfId="1360"/>
    <tableColumn id="10" xr3:uid="{7E677EFA-6DFF-4120-8EAE-681B57EA47D4}" name="отк" totalsRowFunction="sum" dataDxfId="1359" totalsRowDxfId="1358"/>
    <tableColumn id="11" xr3:uid="{A1A8CE9C-37FE-44E3-9919-EE9471CD95E9}" name="шланги" totalsRowFunction="sum" dataDxfId="1357" totalsRowDxfId="1356"/>
    <tableColumn id="12" xr3:uid="{3F215BEF-0A4E-4AAA-892F-1849383E19CF}" name="Закупка" totalsRowFunction="sum" dataDxfId="1355" totalsRowDxfId="1354"/>
    <tableColumn id="13" xr3:uid="{932B0572-D8E0-4499-A182-25B416A61281}" name="Маржа" totalsRowFunction="sum" dataDxfId="1353" totalsRowDxfId="1352">
      <calculatedColumnFormula>H1358-L1358-J1358-K1358</calculatedColumnFormula>
    </tableColumn>
    <tableColumn id="14" xr3:uid="{C6F0DF38-7B59-4D27-A648-F47F47E4CC27}" name="Маржа НК" totalsRowFunction="sum" dataDxfId="1351" totalsRowDxfId="1350"/>
    <tableColumn id="15" xr3:uid="{41F2AA7A-2BC1-4216-A908-72A20FF11EB5}" name="% маржи" totalsRowFunction="custom" dataDxfId="1349" totalsRowDxfId="1348">
      <calculatedColumnFormula>M1358/H1358</calculatedColumnFormula>
      <totalsRowFormula>M1385/H1385</totalsRowFormula>
    </tableColumn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54A17A4-0225-41B9-A85A-40568682CC90}" name="Ноябрь2019" displayName="Ноябрь2019" ref="A1386:O1408" totalsRowCount="1" headerRowDxfId="1347" tableBorderDxfId="1346">
  <autoFilter ref="A1386:O1407" xr:uid="{C54A17A4-0225-41B9-A85A-40568682CC90}"/>
  <tableColumns count="15">
    <tableColumn id="1" xr3:uid="{0FD9C01E-D125-49F9-BB33-5695E9D754D9}" name="Номер" totalsRowLabel="Итог" dataDxfId="1345" totalsRowDxfId="1344"/>
    <tableColumn id="2" xr3:uid="{1F3867B9-4E76-4C76-A6A6-0709CF15A3A4}" name="Дата" dataDxfId="1343" totalsRowDxfId="1342"/>
    <tableColumn id="3" xr3:uid="{6F098CCD-48AB-4D86-84C9-55306E99A225}" name="Клиент" dataDxfId="1341" totalsRowDxfId="1340"/>
    <tableColumn id="4" xr3:uid="{7227C939-CA91-4F1C-99CA-377F0C754B6F}" name="Сумма" dataDxfId="1339" totalsRowDxfId="1338"/>
    <tableColumn id="5" xr3:uid="{8BEFC970-E7D4-4706-87AF-9EC7F8852500}" name="Оплата" totalsRowLabel="6 100  " dataDxfId="1337" totalsRowDxfId="1336"/>
    <tableColumn id="6" xr3:uid="{FB24B2A9-2AA9-4762-9F3F-A6E2613F0617}" name="Заказ" totalsRowFunction="custom" dataDxfId="1335" totalsRowDxfId="1334">
      <totalsRowFormula>M1408*0.05+N1408*0.06</totalsRowFormula>
    </tableColumn>
    <tableColumn id="7" xr3:uid="{6F3EA775-CB78-4B0A-91C6-E812BE2648B3}" name="Отгрузка" totalsRowFunction="custom" dataDxfId="1333" totalsRowDxfId="1332">
      <totalsRowFormula>H1408*0.02+I1408*0.02</totalsRowFormula>
    </tableColumn>
    <tableColumn id="8" xr3:uid="{695C2023-FBA7-43AE-9AA9-F11EFD6DD57E}" name="Продажа" totalsRowFunction="sum" dataDxfId="1331" totalsRowDxfId="1330">
      <calculatedColumnFormula>D1387</calculatedColumnFormula>
    </tableColumn>
    <tableColumn id="9" xr3:uid="{D0D58AF7-E42B-4FFA-BB19-F208B5DD99BD}" name="Продажа НК" totalsRowFunction="sum" dataDxfId="1329" totalsRowDxfId="1328"/>
    <tableColumn id="10" xr3:uid="{E0BE8026-C2A2-4647-B4FE-06E8BCE06E7D}" name="отк" totalsRowFunction="sum" dataDxfId="1327" totalsRowDxfId="1326"/>
    <tableColumn id="11" xr3:uid="{3FBD50F1-43E5-4836-A9E2-C7027B1AC5EF}" name="шланги" totalsRowFunction="sum" dataDxfId="1325" totalsRowDxfId="1324"/>
    <tableColumn id="12" xr3:uid="{8292C223-2A56-4664-B5C8-01714A285FE2}" name="Закупка" totalsRowFunction="sum" dataDxfId="1323" totalsRowDxfId="1322"/>
    <tableColumn id="13" xr3:uid="{1D127CFD-122C-4A47-B2A4-5542D9F5735A}" name="Маржа" totalsRowFunction="sum" dataDxfId="1321" totalsRowDxfId="1320">
      <calculatedColumnFormula>H1387-L1387-J1387-K1387</calculatedColumnFormula>
    </tableColumn>
    <tableColumn id="14" xr3:uid="{B88920F4-8423-49CD-B4A0-B79FFEB13699}" name="Маржа НК" totalsRowFunction="sum" dataDxfId="1319" totalsRowDxfId="1318"/>
    <tableColumn id="15" xr3:uid="{B0A94255-5D22-4A16-A5EE-8F015120ABF2}" name="% маржи" totalsRowFunction="custom" dataDxfId="1317" totalsRowDxfId="1316">
      <calculatedColumnFormula>M1387/H1387</calculatedColumnFormula>
      <totalsRowFormula>M1408/H1408</totalsRowFormula>
    </tableColumn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CF85851B-00BB-43E4-AE00-D588762182B0}" name="Декабрь2019" displayName="Декабрь2019" ref="A1409:O1442" totalsRowCount="1" headerRowDxfId="1315" tableBorderDxfId="1314">
  <autoFilter ref="A1409:O1441" xr:uid="{CF85851B-00BB-43E4-AE00-D588762182B0}"/>
  <tableColumns count="15">
    <tableColumn id="1" xr3:uid="{569668C0-4309-4759-B21B-4CFBB08E5F52}" name="Номер" totalsRowLabel="Итог" dataDxfId="1313" totalsRowDxfId="1312"/>
    <tableColumn id="2" xr3:uid="{D072ADCF-1B36-4B87-923B-304324F8A0FB}" name="Дата" dataDxfId="1311" totalsRowDxfId="1310"/>
    <tableColumn id="3" xr3:uid="{02188DA4-A111-4516-8F33-39A3016EF770}" name="Клиент" dataDxfId="1309" totalsRowDxfId="1308"/>
    <tableColumn id="4" xr3:uid="{9B4F6456-5C5C-4FA7-8054-59EB15ABE1E2}" name="Сумма" dataDxfId="1307" totalsRowDxfId="1306"/>
    <tableColumn id="5" xr3:uid="{46D329F9-7ABD-426D-A024-5D9900E48533}" name="Оплата" totalsRowLabel="45 400  " dataDxfId="1305" totalsRowDxfId="1304"/>
    <tableColumn id="6" xr3:uid="{335C49CC-114B-4395-BD43-5E4E25A3C5CD}" name="Заказ" totalsRowFunction="custom" dataDxfId="1303" totalsRowDxfId="1302">
      <totalsRowFormula>M1442*0.17+N1442*0.06</totalsRowFormula>
    </tableColumn>
    <tableColumn id="7" xr3:uid="{DC4D8534-451B-4D0F-8C60-FDBBBA40F8A9}" name="Отгрузка" totalsRowFunction="custom" dataDxfId="1301" totalsRowDxfId="1300">
      <totalsRowFormula>H1442*0.05+I1442*0.02</totalsRowFormula>
    </tableColumn>
    <tableColumn id="8" xr3:uid="{3856A1B2-4085-4401-ACD3-1A0E455AEE23}" name="Продажа" totalsRowFunction="sum" dataDxfId="1299" totalsRowDxfId="1298">
      <calculatedColumnFormula>D1410</calculatedColumnFormula>
    </tableColumn>
    <tableColumn id="9" xr3:uid="{79370363-C785-4B0B-AAB6-34917B5FB4D0}" name="Продажа НК" totalsRowFunction="sum" dataDxfId="1297" totalsRowDxfId="1296"/>
    <tableColumn id="10" xr3:uid="{47C58C48-BD0F-4A30-ADD2-5E9830022A7C}" name="отк" totalsRowFunction="sum" dataDxfId="1295" totalsRowDxfId="1294"/>
    <tableColumn id="11" xr3:uid="{FC4D088E-C6E2-4247-80AF-FC668F584866}" name="шланги" totalsRowFunction="sum" dataDxfId="1293" totalsRowDxfId="1292"/>
    <tableColumn id="12" xr3:uid="{91746E1D-2662-419D-A1D5-24C0FE2CC50E}" name="Закупка" totalsRowFunction="sum" dataDxfId="1291" totalsRowDxfId="1290"/>
    <tableColumn id="13" xr3:uid="{D7C00457-E872-4B23-8EED-5D839514C620}" name="Маржа" totalsRowFunction="sum" dataDxfId="1289" totalsRowDxfId="1288">
      <calculatedColumnFormula>H1410-L1410-J1410-K1410</calculatedColumnFormula>
    </tableColumn>
    <tableColumn id="14" xr3:uid="{6AFF02F4-0A3E-4A38-9761-8E53A83FC5A9}" name="Маржа НК" totalsRowFunction="sum" dataDxfId="1287" totalsRowDxfId="1286"/>
    <tableColumn id="15" xr3:uid="{FA95ED78-F2BA-406F-B46D-B1ADAA45AD1F}" name="% маржи" totalsRowFunction="custom" dataDxfId="1285" totalsRowDxfId="1284">
      <calculatedColumnFormula>M1410/H1410</calculatedColumnFormula>
      <totalsRowFormula>M1442/H1442</totalsRowFormula>
    </tableColumn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2A63252-24AC-4830-981A-D8D7ED737970}" name="Январь2020" displayName="Январь2020" ref="A1443:O1463" totalsRowCount="1" headerRowDxfId="1283" tableBorderDxfId="1282">
  <autoFilter ref="A1443:O1462" xr:uid="{02A63252-24AC-4830-981A-D8D7ED737970}"/>
  <tableColumns count="15">
    <tableColumn id="1" xr3:uid="{DADCD919-BAE0-41BD-B830-E3C273F1858F}" name="Номер" totalsRowLabel="Итог" dataDxfId="1281" totalsRowDxfId="1280"/>
    <tableColumn id="2" xr3:uid="{30D2BCAB-BD41-4F0C-93FE-0176F058FA43}" name="Дата" dataDxfId="1279" totalsRowDxfId="1278"/>
    <tableColumn id="3" xr3:uid="{C91B5DB0-8066-49FA-B9DC-C1E634B3BA3C}" name="Клиент" dataDxfId="1277" totalsRowDxfId="1276"/>
    <tableColumn id="4" xr3:uid="{58E79177-3083-4C7C-87CD-68D8BFEFF325}" name="Сумма" dataDxfId="1275" totalsRowDxfId="1274"/>
    <tableColumn id="5" xr3:uid="{F01D59E5-5DC1-4ABF-93E9-A948E905F69B}" name="Оплата" totalsRowLabel="69 700  " dataDxfId="1273" totalsRowDxfId="1272"/>
    <tableColumn id="6" xr3:uid="{4BE4E130-2CD6-4E2A-87CF-F9A288F1623A}" name="Заказ" totalsRowFunction="custom" dataDxfId="1271" totalsRowDxfId="1270">
      <totalsRowFormula>M1463*0.17+N1463*0.06+10000</totalsRowFormula>
    </tableColumn>
    <tableColumn id="7" xr3:uid="{3DB93405-59F5-4F26-B312-DE614F33BA59}" name="Отгрузка" totalsRowFunction="custom" dataDxfId="1269" totalsRowDxfId="1268">
      <totalsRowFormula>H1463*0.05+I1463*0.02+10000</totalsRowFormula>
    </tableColumn>
    <tableColumn id="8" xr3:uid="{E2C4C869-5229-4A5A-8F8A-550DE4B8358D}" name="Продажа" totalsRowFunction="sum" dataDxfId="1267" totalsRowDxfId="1266">
      <calculatedColumnFormula>D1444</calculatedColumnFormula>
    </tableColumn>
    <tableColumn id="9" xr3:uid="{1A9B9629-FEB5-48B3-8307-189142C46793}" name="Продажа НК" totalsRowFunction="sum" dataDxfId="1265" totalsRowDxfId="1264"/>
    <tableColumn id="10" xr3:uid="{D3CA152D-A9B7-42D2-849D-B01B9FF06E7B}" name="отк" totalsRowFunction="sum" dataDxfId="1263" totalsRowDxfId="1262"/>
    <tableColumn id="11" xr3:uid="{D6301BEA-46D7-4493-B661-77989295C0A3}" name="шланги" totalsRowFunction="sum" dataDxfId="1261" totalsRowDxfId="1260"/>
    <tableColumn id="12" xr3:uid="{BAB81407-1A17-4598-9628-23AC742F2022}" name="Закупка" totalsRowFunction="sum" dataDxfId="1259" totalsRowDxfId="1258"/>
    <tableColumn id="13" xr3:uid="{3792A816-6016-4B83-A7D8-C115D95393CA}" name="Маржа" totalsRowFunction="sum" dataDxfId="1257" totalsRowDxfId="1256">
      <calculatedColumnFormula>H1444-L1444-J1444-K1444</calculatedColumnFormula>
    </tableColumn>
    <tableColumn id="14" xr3:uid="{96C90613-3EBA-4E94-81C4-6035143ED5CC}" name="Маржа НК" totalsRowFunction="sum" dataDxfId="1255" totalsRowDxfId="1254"/>
    <tableColumn id="15" xr3:uid="{7B30B11C-8337-43A6-A2BD-D8814C4B00D4}" name="% маржи" totalsRowFunction="custom" dataDxfId="1253" totalsRowDxfId="1252">
      <calculatedColumnFormula>M1444/H1444</calculatedColumnFormula>
      <totalsRowFormula>M1463/H1463</totalsRowFormula>
    </tableColumn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E0D941C7-6BA2-4574-B377-85B83C8E9F1F}" name="Февраль2020" displayName="Февраль2020" ref="A1464:O1490" totalsRowCount="1" headerRowDxfId="1251" tableBorderDxfId="1250">
  <autoFilter ref="A1464:O1489" xr:uid="{E0D941C7-6BA2-4574-B377-85B83C8E9F1F}"/>
  <tableColumns count="15">
    <tableColumn id="1" xr3:uid="{EFCD31D8-DA75-4DBF-9D49-2A8536BAF69E}" name="Номер" totalsRowLabel="Итог" dataDxfId="1249" totalsRowDxfId="1248"/>
    <tableColumn id="2" xr3:uid="{A46F0BA3-F327-4286-8546-22A9079BF683}" name="Дата" dataDxfId="1247" totalsRowDxfId="1246"/>
    <tableColumn id="3" xr3:uid="{A43A4ADA-F45B-4CBD-AF75-1DE0F7C35012}" name="Клиент" dataDxfId="1245" totalsRowDxfId="1244"/>
    <tableColumn id="4" xr3:uid="{DBCB5550-A3ED-4019-87AC-65D0519701A3}" name="Сумма" dataDxfId="1243" totalsRowDxfId="1242"/>
    <tableColumn id="5" xr3:uid="{3E7985E0-1194-4569-8355-D7651FDDCBFD}" name="Оплата" totalsRowLabel="91 400  " dataDxfId="1241" totalsRowDxfId="1240"/>
    <tableColumn id="6" xr3:uid="{021C8867-FEEC-407C-9C88-4DFF56348E74}" name="Заказ" totalsRowFunction="custom" dataDxfId="1239" totalsRowDxfId="1238">
      <totalsRowFormula>M1490*0.17+N1490*0.06+10000</totalsRowFormula>
    </tableColumn>
    <tableColumn id="7" xr3:uid="{5564E17E-5A6A-4EC6-B25A-3F637D13178E}" name="Отгрузка" totalsRowFunction="custom" dataDxfId="1237" totalsRowDxfId="1236">
      <totalsRowFormula>H1490*0.05+I1490*0.02+10000</totalsRowFormula>
    </tableColumn>
    <tableColumn id="8" xr3:uid="{2F9485DE-78C3-488F-88AB-573DB627AC4A}" name="Продажа" totalsRowFunction="sum" dataDxfId="1235" totalsRowDxfId="1234"/>
    <tableColumn id="9" xr3:uid="{B817B710-403E-4FE0-A00F-5936828536D6}" name="Продажа НК" totalsRowFunction="sum" dataDxfId="1233" totalsRowDxfId="1232"/>
    <tableColumn id="10" xr3:uid="{D7A6C957-DF57-471A-8A5D-449724B74D9D}" name="отк" totalsRowFunction="sum" dataDxfId="1231" totalsRowDxfId="1230"/>
    <tableColumn id="11" xr3:uid="{5BAE424D-DABB-4321-88C0-447D55F31A0C}" name="шланги" totalsRowFunction="sum" dataDxfId="1229" totalsRowDxfId="1228"/>
    <tableColumn id="12" xr3:uid="{0AB62485-64EC-4F2B-964D-04A57E2DE114}" name="Закупка" totalsRowFunction="sum" dataDxfId="1227" totalsRowDxfId="1226"/>
    <tableColumn id="13" xr3:uid="{F6BC365D-0120-4EA3-A9FC-D72FF9602E6E}" name="Маржа" totalsRowFunction="sum" dataDxfId="1225" totalsRowDxfId="1224">
      <calculatedColumnFormula>H1465-L1465-J1465-K1465</calculatedColumnFormula>
    </tableColumn>
    <tableColumn id="14" xr3:uid="{E620D408-D539-42D6-8284-EC9EFEF16264}" name="Маржа НК" totalsRowFunction="sum" dataDxfId="1223" totalsRowDxfId="1222"/>
    <tableColumn id="15" xr3:uid="{308C4ECC-8348-4E68-AC12-819C0114E39B}" name="% маржи" totalsRowFunction="custom" dataDxfId="1221" totalsRowDxfId="1220">
      <calculatedColumnFormula>M1465/H1465</calculatedColumnFormula>
      <totalsRowFormula>M1490/H1490</totalsRowFormula>
    </tableColumn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50FE62DB-132B-411C-A3AB-B8651E89B73C}" name="Март2020" displayName="Март2020" ref="A1491:O1532" totalsRowCount="1" headerRowDxfId="1219" tableBorderDxfId="1218">
  <autoFilter ref="A1491:O1531" xr:uid="{50FE62DB-132B-411C-A3AB-B8651E89B73C}"/>
  <tableColumns count="15">
    <tableColumn id="1" xr3:uid="{53151FB7-A7F0-4821-B988-43954EF6CA08}" name="Номер" totalsRowLabel="Итог" dataDxfId="1217" totalsRowDxfId="1216"/>
    <tableColumn id="2" xr3:uid="{B7D5474D-24CC-4A13-9FBC-4EE5F209B2AB}" name="Дата" dataDxfId="1215" totalsRowDxfId="1214"/>
    <tableColumn id="3" xr3:uid="{98217F8B-C42D-4C5C-9A42-4EE98F706BC3}" name="Клиент" dataDxfId="1213" totalsRowDxfId="1212"/>
    <tableColumn id="4" xr3:uid="{88457A7C-0142-40E8-8287-37CC47C107BC}" name="Сумма" dataDxfId="1211" totalsRowDxfId="1210"/>
    <tableColumn id="5" xr3:uid="{E7F11411-4AB3-4ECB-8956-2C1275A75B1F}" name="Оплата" totalsRowLabel="83 750  " dataDxfId="1209" totalsRowDxfId="1208"/>
    <tableColumn id="6" xr3:uid="{AE4A97DF-BE81-427E-982F-0DEF8FD5588C}" name="Заказ" totalsRowFunction="custom" dataDxfId="1207" totalsRowDxfId="1206">
      <totalsRowFormula>M1532*0.17+N1532*0.06+10000</totalsRowFormula>
    </tableColumn>
    <tableColumn id="7" xr3:uid="{FE485036-FCCB-460F-923B-3549D0F4CF5D}" name="Отгрузка" totalsRowFunction="custom" dataDxfId="1205" totalsRowDxfId="1204">
      <totalsRowFormula>H1532*0.05+I1532*0.02+10000</totalsRowFormula>
    </tableColumn>
    <tableColumn id="8" xr3:uid="{FFBB3DF9-790C-4951-8562-525B0F35DD7B}" name="Продажа" totalsRowFunction="sum" dataDxfId="1203" totalsRowDxfId="1202">
      <calculatedColumnFormula>D1492</calculatedColumnFormula>
    </tableColumn>
    <tableColumn id="9" xr3:uid="{7D4CC224-8E6B-450E-9A2F-4FF6B3273D04}" name="Продажа НК" totalsRowFunction="sum" dataDxfId="1201" totalsRowDxfId="1200"/>
    <tableColumn id="10" xr3:uid="{DEB63189-5A7C-4A20-8DB2-B1ABA1F7C257}" name="отк" totalsRowFunction="sum" dataDxfId="1199" totalsRowDxfId="1198"/>
    <tableColumn id="11" xr3:uid="{E72EB48F-D182-4B47-B1ED-B10930F5F700}" name="шланги" totalsRowFunction="sum" dataDxfId="1197" totalsRowDxfId="1196"/>
    <tableColumn id="12" xr3:uid="{2184A4A1-6425-4266-B858-D40677F16610}" name="Закупка" totalsRowFunction="sum" dataDxfId="1195" totalsRowDxfId="1194"/>
    <tableColumn id="13" xr3:uid="{E29F089C-33FE-46DA-A9C0-35970BBE6C07}" name="Маржа" totalsRowFunction="sum" dataDxfId="1193" totalsRowDxfId="1192">
      <calculatedColumnFormula>H1492-L1492-J1492-K1492</calculatedColumnFormula>
    </tableColumn>
    <tableColumn id="14" xr3:uid="{17443C4F-4219-4916-BE6F-BA05E6470E42}" name="Маржа НК" totalsRowFunction="sum" dataDxfId="1191" totalsRowDxfId="1190"/>
    <tableColumn id="15" xr3:uid="{24022B8A-AB2C-4AD7-B696-10874209BF86}" name="% маржи" totalsRowFunction="custom" dataDxfId="1189" totalsRowDxfId="1188">
      <calculatedColumnFormula>M1492/H1492</calculatedColumnFormula>
      <totalsRowFormula>M1532/H1532</totalsRowFormula>
    </tableColumn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3DDA6923-3CB4-4EE1-98DD-A26C01AA8D95}" name="Апрель2020" displayName="Апрель2020" ref="A1533:O1552" totalsRowCount="1" headerRowDxfId="1187" tableBorderDxfId="1186">
  <autoFilter ref="A1533:O1551" xr:uid="{3DDA6923-3CB4-4EE1-98DD-A26C01AA8D95}"/>
  <tableColumns count="15">
    <tableColumn id="1" xr3:uid="{EE9E7E80-DF6A-49EC-B001-0795E4A7A9BC}" name="Номер" totalsRowLabel="Итог" dataDxfId="1185" totalsRowDxfId="1184"/>
    <tableColumn id="2" xr3:uid="{AF6BAB85-317D-4287-AC22-D5BDC3A133DE}" name="Дата" dataDxfId="1183" totalsRowDxfId="1182"/>
    <tableColumn id="3" xr3:uid="{C9DB69B8-7F94-4D57-9247-951D7262BACF}" name="Клиент" dataDxfId="1181" totalsRowDxfId="1180"/>
    <tableColumn id="4" xr3:uid="{0FAE29FE-E70C-48F4-9950-3D34CA4A303F}" name="Сумма" dataDxfId="1179" totalsRowDxfId="1178"/>
    <tableColumn id="5" xr3:uid="{601D8962-7E3E-4B1E-AC00-C78D20C69CA9}" name="Оплата" totalsRowLabel="70 600  " dataDxfId="1177" totalsRowDxfId="1176"/>
    <tableColumn id="6" xr3:uid="{AD506F1A-A404-4474-9D2A-6991CE2CD8BE}" name="Заказ" totalsRowFunction="custom" dataDxfId="1175" totalsRowDxfId="1174">
      <totalsRowFormula>M1552*0.17+N1552*0.06+10000</totalsRowFormula>
    </tableColumn>
    <tableColumn id="7" xr3:uid="{12425FA4-FB40-4F15-A55B-286310D53376}" name="Отгрузка" totalsRowFunction="custom" dataDxfId="1173" totalsRowDxfId="1172">
      <totalsRowFormula>H1552*0.05+I1552*0.02+10000</totalsRowFormula>
    </tableColumn>
    <tableColumn id="8" xr3:uid="{8F7AB795-4682-4D7D-AC25-8D0872431A41}" name="Продажа" totalsRowFunction="sum" dataDxfId="1171" totalsRowDxfId="1170"/>
    <tableColumn id="9" xr3:uid="{4C05594A-0CDB-4E42-8A40-4BF1577656B1}" name="Продажа НК" totalsRowFunction="sum" dataDxfId="1169" totalsRowDxfId="1168"/>
    <tableColumn id="10" xr3:uid="{9C4CED86-D939-4C87-90D0-33AFFBA17341}" name="отк" totalsRowFunction="sum" dataDxfId="1167" totalsRowDxfId="1166"/>
    <tableColumn id="11" xr3:uid="{C49E7FEC-7E40-41F2-B739-053C48EB813A}" name="шланги" totalsRowFunction="sum" dataDxfId="1165" totalsRowDxfId="1164"/>
    <tableColumn id="12" xr3:uid="{D9827CEE-82BF-469D-98A0-3CF4884B8A43}" name="Закупка" totalsRowFunction="sum" dataDxfId="1163" totalsRowDxfId="1162"/>
    <tableColumn id="13" xr3:uid="{46EECCB8-2906-4D1E-846D-5F956BF89A7B}" name="Маржа" totalsRowFunction="sum" dataDxfId="1161" totalsRowDxfId="1160">
      <calculatedColumnFormula>H1534-L1534-J1534-K1534</calculatedColumnFormula>
    </tableColumn>
    <tableColumn id="14" xr3:uid="{11B227ED-A439-4201-BDA9-E6EE5FBCF7EC}" name="Маржа НК" totalsRowFunction="sum" dataDxfId="1159" totalsRowDxfId="1158"/>
    <tableColumn id="15" xr3:uid="{5BE95830-8188-46F2-8B26-C358974F8C2E}" name="% маржи" totalsRowFunction="custom" dataDxfId="1157" totalsRowDxfId="1156">
      <calculatedColumnFormula>M1534/H1534</calculatedColumnFormula>
      <totalsRowFormula>M1552/H1552</totalsRowFormula>
    </tableColumn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9907915C-7E87-4793-BCDA-DE4348B68283}" name="Май2020" displayName="Май2020" ref="A1553:O1571" totalsRowCount="1" headerRowDxfId="1155" tableBorderDxfId="1154">
  <autoFilter ref="A1553:O1570" xr:uid="{9907915C-7E87-4793-BCDA-DE4348B68283}"/>
  <tableColumns count="15">
    <tableColumn id="1" xr3:uid="{09962728-6379-4A18-9EE9-CAB06C3EDE3E}" name="Номер" totalsRowLabel="Итог" dataDxfId="1153" totalsRowDxfId="1152"/>
    <tableColumn id="2" xr3:uid="{418B6280-11DD-4C63-A80D-B54664E104A7}" name="Дата" dataDxfId="1151" totalsRowDxfId="1150"/>
    <tableColumn id="3" xr3:uid="{4C628680-408F-4244-A5B7-FAA3510C749D}" name="Клиент" dataDxfId="1149" totalsRowDxfId="1148"/>
    <tableColumn id="4" xr3:uid="{BFFA515B-A936-450F-B58A-DCAF7A893E8F}" name="Сумма" dataDxfId="1147" totalsRowDxfId="1146"/>
    <tableColumn id="5" xr3:uid="{B410C76B-D983-41E8-906A-8D204987389E}" name="Оплата" totalsRowLabel="29 100  " dataDxfId="1145" totalsRowDxfId="1144"/>
    <tableColumn id="6" xr3:uid="{5427AAAD-3CA2-4B50-B95C-395853013DBD}" name="Заказ" totalsRowFunction="custom" dataDxfId="1143" totalsRowDxfId="1142">
      <totalsRowFormula>M1571*0.12+N1571*0.06+10000</totalsRowFormula>
    </tableColumn>
    <tableColumn id="7" xr3:uid="{7F5B813D-03D2-4A82-ACF4-76E8ED445A31}" name="Отгрузка" totalsRowFunction="custom" dataDxfId="1141" totalsRowDxfId="1140">
      <totalsRowFormula>H1571*0.02+I1571*0.02+10000</totalsRowFormula>
    </tableColumn>
    <tableColumn id="8" xr3:uid="{534D8CD2-1C2D-41BC-9553-1F21508FF709}" name="Продажа" totalsRowFunction="sum" dataDxfId="1139" totalsRowDxfId="1138">
      <calculatedColumnFormula>D1554</calculatedColumnFormula>
    </tableColumn>
    <tableColumn id="9" xr3:uid="{F026CF47-B501-4EB9-B928-CAD67764D8EE}" name="Продажа НК" totalsRowFunction="sum" dataDxfId="1137" totalsRowDxfId="1136"/>
    <tableColumn id="10" xr3:uid="{BAA5C883-7C89-4089-9BB3-D5598CF6EEA8}" name="отк" totalsRowFunction="sum" dataDxfId="1135" totalsRowDxfId="1134"/>
    <tableColumn id="11" xr3:uid="{38455DDC-0EED-4905-A81C-6FEFD95E14E7}" name="шланги" totalsRowFunction="sum" dataDxfId="1133" totalsRowDxfId="1132"/>
    <tableColumn id="12" xr3:uid="{A4CD2262-F341-4A93-94DA-C67816C4463E}" name="Закупка" totalsRowFunction="sum" dataDxfId="1131" totalsRowDxfId="1130"/>
    <tableColumn id="13" xr3:uid="{A092C334-6974-480D-B216-FFF35394B22D}" name="Маржа" totalsRowFunction="sum" dataDxfId="1129" totalsRowDxfId="1128">
      <calculatedColumnFormula>H1554-L1554-J1554-K1554</calculatedColumnFormula>
    </tableColumn>
    <tableColumn id="14" xr3:uid="{45828947-5C7D-4D7C-A194-052BD9BF6C44}" name="Маржа НК" totalsRowFunction="sum" dataDxfId="1127" totalsRowDxfId="1126"/>
    <tableColumn id="15" xr3:uid="{F7BB9692-AB02-4784-8EA5-A217208EE91C}" name="% маржи" totalsRowFunction="custom" dataDxfId="1125" totalsRowDxfId="1124">
      <calculatedColumnFormula>M1554/H1554</calculatedColumnFormula>
      <totalsRowFormula>M1571/H1571</totalsRowFormula>
    </tableColumn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73A7CA6C-183D-4E20-BB45-C18891B143A7}" name="Июнь2020" displayName="Июнь2020" ref="A1572:O1598" totalsRowCount="1" headerRowDxfId="1123" tableBorderDxfId="1122">
  <autoFilter ref="A1572:O1597" xr:uid="{73A7CA6C-183D-4E20-BB45-C18891B143A7}"/>
  <tableColumns count="15">
    <tableColumn id="1" xr3:uid="{FD670759-D2E3-4143-A9B7-73BDF6D5E0B9}" name="Номер" totalsRowLabel="Итог" dataDxfId="1121" totalsRowDxfId="1120"/>
    <tableColumn id="2" xr3:uid="{4CC048E8-3720-423C-8C36-4E731A461A76}" name="Дата" dataDxfId="1119" totalsRowDxfId="1118"/>
    <tableColumn id="3" xr3:uid="{0768873A-600B-4238-8F87-0E9B14136A8D}" name="Клиент" dataDxfId="1117" totalsRowDxfId="1116"/>
    <tableColumn id="4" xr3:uid="{688F4ECE-4B3F-4FB9-A099-5D22717AC76D}" name="Сумма" dataDxfId="1115" totalsRowDxfId="1114"/>
    <tableColumn id="5" xr3:uid="{BBB598EE-D2EE-444B-B0CE-C728F0677F45}" name="Оплата" totalsRowLabel="89 700  " dataDxfId="1113" totalsRowDxfId="1112"/>
    <tableColumn id="6" xr3:uid="{2E7925FE-1DCF-44EA-B005-028831086C13}" name="Заказ" totalsRowFunction="custom" dataDxfId="1111" totalsRowDxfId="1110">
      <totalsRowFormula>M1598*0.17+N1598*0.06+10000</totalsRowFormula>
    </tableColumn>
    <tableColumn id="7" xr3:uid="{2E9D83AD-4B3D-440E-90B6-4FC1E8317B9A}" name="Отгрузка" totalsRowFunction="custom" dataDxfId="1109" totalsRowDxfId="1108">
      <totalsRowFormula>H1598*0.05+I1598*0.02+10000</totalsRowFormula>
    </tableColumn>
    <tableColumn id="8" xr3:uid="{A0EE524A-6B0A-4E57-83C1-F6C6ECE676EA}" name="Продажа" totalsRowFunction="sum" dataDxfId="1107" totalsRowDxfId="1106">
      <calculatedColumnFormula>D1573</calculatedColumnFormula>
    </tableColumn>
    <tableColumn id="9" xr3:uid="{0E3CDB88-5CDA-4470-88E9-CE9162F511F0}" name="Продажа НК" totalsRowFunction="sum" dataDxfId="1105" totalsRowDxfId="1104"/>
    <tableColumn id="10" xr3:uid="{2F188CE9-E301-4FF9-BC21-1E5AE5EE895C}" name="отк" totalsRowFunction="sum" dataDxfId="1103" totalsRowDxfId="1102"/>
    <tableColumn id="11" xr3:uid="{11827E22-8CFA-4872-9A91-23E1AD17C438}" name="шланги" totalsRowFunction="sum" dataDxfId="1101" totalsRowDxfId="1100"/>
    <tableColumn id="12" xr3:uid="{BBDAF8FB-69A2-4180-87C9-05A032970733}" name="Закупка" totalsRowFunction="sum" dataDxfId="1099" totalsRowDxfId="1098"/>
    <tableColumn id="13" xr3:uid="{1F95C98B-4B9E-466C-B93A-D70F1BE05D6C}" name="Маржа" totalsRowFunction="sum" dataDxfId="1097" totalsRowDxfId="1096">
      <calculatedColumnFormula>H1573-L1573-J1573-K1573</calculatedColumnFormula>
    </tableColumn>
    <tableColumn id="14" xr3:uid="{65A26C9C-10AE-4608-A8D8-11EC46F94ECF}" name="Маржа НК" totalsRowFunction="sum" dataDxfId="1095" totalsRowDxfId="1094"/>
    <tableColumn id="15" xr3:uid="{BDFE2139-82ED-43A1-8165-6C2D697E1FCA}" name="% маржи" totalsRowFunction="custom" dataDxfId="1093" totalsRowDxfId="1092">
      <calculatedColumnFormula>M1573/H1573</calculatedColumnFormula>
      <totalsRowFormula>M1598/H1598</totalsRowFormula>
    </tableColumn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D4651A83-6751-4162-8512-FF1700B0D3B9}" name="Июль2020" displayName="Июль2020" ref="A1599:O1631" totalsRowCount="1" headerRowDxfId="1091" tableBorderDxfId="1090">
  <autoFilter ref="A1599:O1630" xr:uid="{D4651A83-6751-4162-8512-FF1700B0D3B9}"/>
  <tableColumns count="15">
    <tableColumn id="1" xr3:uid="{370F6365-B26C-4A3D-BEF5-D81B0AB1A1BD}" name="Номер" totalsRowLabel="Итог" dataDxfId="1089" totalsRowDxfId="1088"/>
    <tableColumn id="2" xr3:uid="{3DC78A3B-FFE8-46D5-9284-324331901CDD}" name="Дата" dataDxfId="1087" totalsRowDxfId="1086"/>
    <tableColumn id="3" xr3:uid="{513DF4CC-28E9-4707-9AFA-D6A7FA5F13AB}" name="Клиент" dataDxfId="1085" totalsRowDxfId="1084"/>
    <tableColumn id="4" xr3:uid="{1FC65DB3-CC5D-4D99-BEB7-E7EC91D11C6A}" name="Сумма" dataDxfId="1083" totalsRowDxfId="1082"/>
    <tableColumn id="5" xr3:uid="{12A08FEC-CC16-4CB8-B068-C24144B8D7BB}" name="Оплата" totalsRowLabel="61 124  " dataDxfId="1081" totalsRowDxfId="1080"/>
    <tableColumn id="6" xr3:uid="{48994AF9-E491-4F3D-A227-14A24F69EE5D}" name="Заказ" totalsRowFunction="custom" dataDxfId="1079" totalsRowDxfId="1078">
      <totalsRowFormula>M1631*0.17+N1631*0.06+10000</totalsRowFormula>
    </tableColumn>
    <tableColumn id="7" xr3:uid="{C2F87B7D-6D95-4BAE-94A7-AA5C11606127}" name="Отгрузка" totalsRowFunction="custom" dataDxfId="1077" totalsRowDxfId="1076">
      <totalsRowFormula>H1631*0.05+I1631*0.02+10000</totalsRowFormula>
    </tableColumn>
    <tableColumn id="8" xr3:uid="{072899B9-54E4-4B7A-8E11-A5071A636539}" name="Продажа" totalsRowFunction="sum" dataDxfId="1075" totalsRowDxfId="1074">
      <calculatedColumnFormula>D1600</calculatedColumnFormula>
    </tableColumn>
    <tableColumn id="9" xr3:uid="{CA5CABE9-6451-4C50-8A6A-E362F2C98A28}" name="Продажа НК" totalsRowFunction="sum" dataDxfId="1073" totalsRowDxfId="1072"/>
    <tableColumn id="10" xr3:uid="{5DBAE3DD-9886-40EB-9CB7-B9990BF6851E}" name="отк" totalsRowFunction="sum" dataDxfId="1071" totalsRowDxfId="1070"/>
    <tableColumn id="11" xr3:uid="{BCEA95CD-3987-4FF1-AE10-1AA00042B50C}" name="шланги" totalsRowFunction="sum" dataDxfId="1069" totalsRowDxfId="1068"/>
    <tableColumn id="12" xr3:uid="{8DB8FEAA-14CE-45E6-9A43-7A6027C17078}" name="Закупка" totalsRowFunction="sum" dataDxfId="1067" totalsRowDxfId="1066"/>
    <tableColumn id="13" xr3:uid="{62A28FA3-FDDB-4306-9BF9-C27E681A2CBC}" name="Маржа" totalsRowFunction="sum" dataDxfId="1065" totalsRowDxfId="1064">
      <calculatedColumnFormula>H1600-L1600-J1600-K1600</calculatedColumnFormula>
    </tableColumn>
    <tableColumn id="14" xr3:uid="{FA5AB793-0471-4A82-88AE-B097D140CFE0}" name="Маржа НК" totalsRowFunction="sum" dataDxfId="1063" totalsRowDxfId="1062"/>
    <tableColumn id="15" xr3:uid="{D26AED42-FCC6-402F-BC26-01DA01713B02}" name="% маржи" totalsRowFunction="custom" dataDxfId="1061" totalsRowDxfId="1060">
      <calculatedColumnFormula>M1600/H1600</calculatedColumnFormula>
      <totalsRowFormula>M1631/H1631</totalsRowFormula>
    </tableColumn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E5E57A90-CA35-4410-BDCC-499A64DB7307}" name="Август2020" displayName="Август2020" ref="A1632:O1659" totalsRowCount="1" headerRowDxfId="1059" tableBorderDxfId="1058">
  <autoFilter ref="A1632:O1658" xr:uid="{E5E57A90-CA35-4410-BDCC-499A64DB7307}"/>
  <tableColumns count="15">
    <tableColumn id="1" xr3:uid="{62CDAF0D-ACB0-415E-A479-F987AE64AB65}" name="Номер" totalsRowLabel="Итог" dataDxfId="1057" totalsRowDxfId="1056"/>
    <tableColumn id="2" xr3:uid="{CB7F8DA3-C30C-4797-82B0-7A1684C2D9A7}" name="Дата" dataDxfId="1055" totalsRowDxfId="1054"/>
    <tableColumn id="3" xr3:uid="{34D50C73-269A-4383-B3BE-9857E9FF9513}" name="Клиент" dataDxfId="1053" totalsRowDxfId="1052"/>
    <tableColumn id="4" xr3:uid="{C8E0AC37-181F-4DC8-B7FC-2C17652CD025}" name="Сумма" dataDxfId="1051" totalsRowDxfId="1050"/>
    <tableColumn id="5" xr3:uid="{CC6A576E-BD6B-4FD5-AECE-F59B3E97CFD5}" name="Оплата" totalsRowLabel="313 060  " dataDxfId="1049" totalsRowDxfId="1048"/>
    <tableColumn id="6" xr3:uid="{595F3BB7-1197-4467-A5BA-0BB2A8D23A0D}" name="Заказ" totalsRowFunction="custom" dataDxfId="1047" totalsRowDxfId="1046">
      <totalsRowFormula>M1659*0.17+N1659*0.06+10000</totalsRowFormula>
    </tableColumn>
    <tableColumn id="7" xr3:uid="{975DA5E9-7A0E-4BBA-B35E-F34EE5A7D389}" name="Отгрузка" totalsRowFunction="custom" dataDxfId="1045" totalsRowDxfId="1044">
      <totalsRowFormula>H1659*0.05+I1659*0.02+10000</totalsRowFormula>
    </tableColumn>
    <tableColumn id="8" xr3:uid="{80FA12F5-1CDB-4DAC-93D6-389925FB978A}" name="Продажа" totalsRowFunction="sum" dataDxfId="1043" totalsRowDxfId="1042">
      <calculatedColumnFormula>D1633</calculatedColumnFormula>
    </tableColumn>
    <tableColumn id="9" xr3:uid="{9C52C390-00A9-4F50-B5E2-AF442F29261B}" name="Продажа НК" totalsRowFunction="sum" dataDxfId="1041" totalsRowDxfId="1040"/>
    <tableColumn id="10" xr3:uid="{1565EA87-4E8A-4CBE-9DBE-1458D81C1D1B}" name="отк" totalsRowFunction="sum" dataDxfId="1039" totalsRowDxfId="1038"/>
    <tableColumn id="11" xr3:uid="{25A6CA8D-2A0B-40BC-93C9-26D1CC2B1CE1}" name="шланги" totalsRowFunction="sum" dataDxfId="1037" totalsRowDxfId="1036"/>
    <tableColumn id="12" xr3:uid="{4B0CB50C-0032-4F44-8931-EF1DD132A25E}" name="Закупка" totalsRowFunction="sum" dataDxfId="1035" totalsRowDxfId="1034"/>
    <tableColumn id="13" xr3:uid="{EC3FDD98-A072-4906-ACE7-6EE3DF208985}" name="Маржа" totalsRowFunction="sum" dataDxfId="1033" totalsRowDxfId="1032">
      <calculatedColumnFormula>H1633-L1633-J1633-K1633</calculatedColumnFormula>
    </tableColumn>
    <tableColumn id="14" xr3:uid="{DCF91500-2A63-4785-9313-5FFE8BE29764}" name="Маржа НК" totalsRowFunction="sum" dataDxfId="1031" totalsRowDxfId="1030"/>
    <tableColumn id="15" xr3:uid="{0B5CFB08-8A55-4F32-AA47-F18D942F451B}" name="% маржи" totalsRowFunction="custom" dataDxfId="1029" totalsRowDxfId="1028">
      <calculatedColumnFormula>M1633/H1633</calculatedColumnFormula>
      <totalsRowFormula>M1659/H1659</totalsRowFormula>
    </tableColumn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AC298F8D-DAD4-4AAE-B169-127E0AC26B91}" name="Сентябрь2020" displayName="Сентябрь2020" ref="A1660:O1680" totalsRowCount="1" headerRowDxfId="1027" tableBorderDxfId="1026">
  <autoFilter ref="A1660:O1679" xr:uid="{AC298F8D-DAD4-4AAE-B169-127E0AC26B91}"/>
  <tableColumns count="15">
    <tableColumn id="1" xr3:uid="{61E20849-A333-4CFC-80D6-5D7CEDA53F63}" name="Номер" totalsRowLabel="Итог" dataDxfId="1025" totalsRowDxfId="1024"/>
    <tableColumn id="2" xr3:uid="{4BF06B21-1377-49EC-9101-34061F3EA9AA}" name="Дата" dataDxfId="1023" totalsRowDxfId="1022"/>
    <tableColumn id="3" xr3:uid="{06E98FB7-EA8A-4CC9-97C8-2B762D8AD137}" name="Клиент" dataDxfId="1021" totalsRowDxfId="1020"/>
    <tableColumn id="4" xr3:uid="{ED9ACA22-BC53-4386-9199-0BA0E70C9B46}" name="Сумма" dataDxfId="1019" totalsRowDxfId="1018"/>
    <tableColumn id="5" xr3:uid="{23276282-873E-4353-A930-889691A49EF2}" name="Оплата" totalsRowLabel="36 515  " dataDxfId="1017" totalsRowDxfId="1016"/>
    <tableColumn id="6" xr3:uid="{0B1CB3F8-DA1C-4BF1-8470-CAAEA0F30DF0}" name="Заказ" totalsRowFunction="custom" dataDxfId="1015" totalsRowDxfId="1014">
      <totalsRowFormula>M1680*0.17+N1680*0.06+10000</totalsRowFormula>
    </tableColumn>
    <tableColumn id="7" xr3:uid="{D419972E-BB2E-4799-B8D0-257FADB28BD8}" name="Отгрузка" totalsRowFunction="custom" dataDxfId="1013" totalsRowDxfId="1012">
      <totalsRowFormula>H1680*0.05+I1680*0.02+10000</totalsRowFormula>
    </tableColumn>
    <tableColumn id="8" xr3:uid="{A9299749-0214-4298-A74E-BCCA50494958}" name="Продажа" totalsRowFunction="sum" dataDxfId="1011" totalsRowDxfId="1010"/>
    <tableColumn id="9" xr3:uid="{1F9C74AF-8475-4D12-9655-66C2DE024E08}" name="Продажа НК" totalsRowFunction="sum" dataDxfId="1009" totalsRowDxfId="1008"/>
    <tableColumn id="10" xr3:uid="{159FB001-A67F-4DB1-8DCD-34DD951C0FB9}" name="отк" totalsRowFunction="sum" dataDxfId="1007" totalsRowDxfId="1006"/>
    <tableColumn id="11" xr3:uid="{617B8544-773F-4C62-9333-92AF307060BE}" name="шланги" totalsRowFunction="sum" dataDxfId="1005" totalsRowDxfId="1004"/>
    <tableColumn id="12" xr3:uid="{28570CA3-52E0-4A9B-BFB5-CBB69CBA53E5}" name="Закупка" totalsRowFunction="sum" dataDxfId="1003" totalsRowDxfId="1002"/>
    <tableColumn id="13" xr3:uid="{EC02511B-0FD4-4917-A7D1-8D562BB44709}" name="Маржа" totalsRowFunction="sum" dataDxfId="1001" totalsRowDxfId="1000">
      <calculatedColumnFormula>H1661-L1661-J1661-K1661</calculatedColumnFormula>
    </tableColumn>
    <tableColumn id="14" xr3:uid="{AFCFEC60-DC04-46A5-AB2D-89BF67797726}" name="Маржа НК" totalsRowFunction="sum" dataDxfId="999" totalsRowDxfId="998"/>
    <tableColumn id="15" xr3:uid="{864B34FF-9E54-41D3-A088-1EBEDE74141D}" name="% маржи" totalsRowFunction="custom" dataDxfId="997" totalsRowDxfId="996">
      <calculatedColumnFormula>M1661/H1661</calculatedColumnFormula>
      <totalsRowFormula>M1680/H1680</totalsRowFormula>
    </tableColumn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973DD113-FA4B-4699-BF5B-A6DBF87C42A9}" name="Октябрь2020" displayName="Октябрь2020" ref="A1681:O1704" totalsRowCount="1" headerRowDxfId="995" tableBorderDxfId="994">
  <autoFilter ref="A1681:O1703" xr:uid="{973DD113-FA4B-4699-BF5B-A6DBF87C42A9}"/>
  <tableColumns count="15">
    <tableColumn id="1" xr3:uid="{A2E0DB4D-2233-43DE-9673-584F17CA6980}" name="Номер" totalsRowLabel="Итог" dataDxfId="993" totalsRowDxfId="992"/>
    <tableColumn id="2" xr3:uid="{73530B47-EA2C-42AE-9088-9CC38DB412C1}" name="Дата" dataDxfId="991" totalsRowDxfId="990"/>
    <tableColumn id="3" xr3:uid="{E62B0E7E-A3AF-45DD-8084-1F78C9C1746F}" name="Клиент" dataDxfId="989" totalsRowDxfId="988"/>
    <tableColumn id="4" xr3:uid="{C29C6EDF-F602-4DA0-88CB-DF2D787584BF}" name="Сумма" dataDxfId="987" totalsRowDxfId="986"/>
    <tableColumn id="5" xr3:uid="{C1E796D1-0B3B-42B8-8AC2-307970783248}" name="Оплата" totalsRowLabel="0  " dataDxfId="985" totalsRowDxfId="984"/>
    <tableColumn id="6" xr3:uid="{E056D0B2-B835-4D75-A337-CB32862B97C4}" name="Заказ" totalsRowFunction="custom" dataDxfId="983" totalsRowDxfId="982">
      <totalsRowFormula>M1704*0.12+N1704*0.06+10000</totalsRowFormula>
    </tableColumn>
    <tableColumn id="7" xr3:uid="{209C38ED-98CA-4115-BFF2-4C4AE4766139}" name="Отгрузка" totalsRowFunction="custom" dataDxfId="981" totalsRowDxfId="980">
      <totalsRowFormula>H1704*0.05+I1704*0.02+10000</totalsRowFormula>
    </tableColumn>
    <tableColumn id="8" xr3:uid="{C600F79C-F40E-4C1D-BBD0-583ABFFAA64E}" name="Продажа" totalsRowFunction="sum" dataDxfId="979" totalsRowDxfId="978">
      <calculatedColumnFormula>D1682</calculatedColumnFormula>
    </tableColumn>
    <tableColumn id="9" xr3:uid="{20F169FD-6568-42D8-B280-A4020FEAA30B}" name="Продажа НК" totalsRowFunction="sum" dataDxfId="977" totalsRowDxfId="976"/>
    <tableColumn id="10" xr3:uid="{7F4B3B8D-8CBE-46B0-AB08-37F2F8D309A1}" name="отк" totalsRowFunction="sum" dataDxfId="975" totalsRowDxfId="974"/>
    <tableColumn id="11" xr3:uid="{B70AFD35-031B-4B79-84F5-1779D5D620EC}" name="шланги" totalsRowFunction="sum" dataDxfId="973" totalsRowDxfId="972"/>
    <tableColumn id="12" xr3:uid="{F967BE5E-33ED-49DB-A1C4-1B85676F7478}" name="Закупка" totalsRowFunction="sum" dataDxfId="971" totalsRowDxfId="970"/>
    <tableColumn id="13" xr3:uid="{3D335D81-28F4-4BDA-B066-874470E8273A}" name="Маржа" totalsRowFunction="sum" dataDxfId="969" totalsRowDxfId="968">
      <calculatedColumnFormula>H1682-L1682-J1682-K1682</calculatedColumnFormula>
    </tableColumn>
    <tableColumn id="14" xr3:uid="{F4F094B8-30A2-49CA-8566-47B016677564}" name="Маржа НК" totalsRowFunction="sum" dataDxfId="967" totalsRowDxfId="966"/>
    <tableColumn id="15" xr3:uid="{ADF77FAE-49C9-42FB-B174-107BC87B0FC4}" name="% маржи" totalsRowFunction="custom" dataDxfId="965" totalsRowDxfId="964">
      <calculatedColumnFormula>M1682/H1682</calculatedColumnFormula>
      <totalsRowFormula>M1704/H1704</totalsRowFormula>
    </tableColumn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37C13030-2151-477A-A665-77460B890CCC}" name="Ноябрь2020" displayName="Ноябрь2020" ref="A1705:O1724" totalsRowCount="1" headerRowDxfId="963" tableBorderDxfId="962">
  <autoFilter ref="A1705:O1723" xr:uid="{37C13030-2151-477A-A665-77460B890CCC}"/>
  <tableColumns count="15">
    <tableColumn id="1" xr3:uid="{5A944474-3BCB-424E-9FF4-CDB2C42CD6DA}" name="Номер" totalsRowLabel="Итог" dataDxfId="961" totalsRowDxfId="960"/>
    <tableColumn id="2" xr3:uid="{03F578C0-1D61-41CC-A34A-6788F4381A0F}" name="Дата" dataDxfId="959" totalsRowDxfId="958"/>
    <tableColumn id="3" xr3:uid="{85B5ADAF-14ED-4BA3-8C9D-5A8FE75D9638}" name="Клиент" dataDxfId="957" totalsRowDxfId="956"/>
    <tableColumn id="4" xr3:uid="{30D5D281-8077-4041-929A-09DAFC5C582B}" name="Сумма" dataDxfId="955" totalsRowDxfId="954"/>
    <tableColumn id="5" xr3:uid="{6DAA077F-F3B6-4998-BE85-5CF941685A7E}" name="Оплата" totalsRowLabel="16 049  " dataDxfId="953" totalsRowDxfId="952"/>
    <tableColumn id="6" xr3:uid="{AD27F6D3-735D-48BE-A5CA-764F9C3046A6}" name="Заказ" totalsRowFunction="custom" dataDxfId="951" totalsRowDxfId="950">
      <totalsRowFormula>M1724*0.05+N1724*0.06+10000</totalsRowFormula>
    </tableColumn>
    <tableColumn id="7" xr3:uid="{0166FD54-CE00-4F92-A33B-3E2FF7178A58}" name="Отгрузка" totalsRowFunction="custom" dataDxfId="949" totalsRowDxfId="948">
      <totalsRowFormula>H1724*0.02+I1724*0.02+10000</totalsRowFormula>
    </tableColumn>
    <tableColumn id="8" xr3:uid="{9B5E061C-005C-4018-89A8-10952C2AA7F3}" name="Продажа" totalsRowFunction="sum" dataDxfId="947" totalsRowDxfId="946">
      <calculatedColumnFormula>D1706</calculatedColumnFormula>
    </tableColumn>
    <tableColumn id="9" xr3:uid="{22076E53-AB4A-4366-886D-4EA81EC69563}" name="Продажа НК" totalsRowFunction="sum" dataDxfId="945" totalsRowDxfId="944"/>
    <tableColumn id="10" xr3:uid="{0B44EE7A-7FA1-4CC8-91B1-6674FC9E0A61}" name="отк" totalsRowFunction="sum" dataDxfId="943" totalsRowDxfId="942"/>
    <tableColumn id="11" xr3:uid="{69DDC075-D898-46FA-8009-D6BCA12F1B4D}" name="шланги" totalsRowFunction="sum" dataDxfId="941" totalsRowDxfId="940"/>
    <tableColumn id="12" xr3:uid="{50BDC835-B03B-4A31-9C2E-EA7382A37D98}" name="Закупка" totalsRowFunction="sum" dataDxfId="939" totalsRowDxfId="938"/>
    <tableColumn id="13" xr3:uid="{ABB7B44E-0F05-4029-AD27-2B821885AD0E}" name="Маржа" totalsRowFunction="sum" dataDxfId="937" totalsRowDxfId="936">
      <calculatedColumnFormula>H1706-L1706-J1706-K1706</calculatedColumnFormula>
    </tableColumn>
    <tableColumn id="14" xr3:uid="{190C5440-7F45-489C-BB5D-B3A098A6412D}" name="Маржа НК" totalsRowFunction="sum" dataDxfId="935" totalsRowDxfId="934"/>
    <tableColumn id="15" xr3:uid="{6FB11BDD-CB85-42EA-A938-1D1FB921F0C9}" name="% маржи" totalsRowFunction="custom" dataDxfId="933" totalsRowDxfId="932">
      <calculatedColumnFormula>M1706/H1706</calculatedColumnFormula>
      <totalsRowFormula>M1724/H1724</totalsRowFormula>
    </tableColumn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CE987FA2-72A3-4DCD-A4B8-299FDD51BDC2}" name="Декабрь2020" displayName="Декабрь2020" ref="A1725:O1744" totalsRowCount="1" headerRowDxfId="931" tableBorderDxfId="930">
  <autoFilter ref="A1725:O1743" xr:uid="{CE987FA2-72A3-4DCD-A4B8-299FDD51BDC2}"/>
  <tableColumns count="15">
    <tableColumn id="1" xr3:uid="{45DE78B1-D23C-45E4-A04B-856B7A791C3C}" name="Номер" totalsRowLabel="Итог" dataDxfId="929" totalsRowDxfId="928"/>
    <tableColumn id="2" xr3:uid="{9D1B1F93-2976-41F4-8CD8-BAD6B32B901B}" name="Дата" dataDxfId="927" totalsRowDxfId="926"/>
    <tableColumn id="3" xr3:uid="{68F9E6D3-2EA5-4145-9F57-75D48309754B}" name="Клиент" dataDxfId="925" totalsRowDxfId="924"/>
    <tableColumn id="4" xr3:uid="{F79DCF67-0B68-41AC-8408-F46392CB8AD8}" name="Сумма" dataDxfId="923" totalsRowDxfId="922"/>
    <tableColumn id="5" xr3:uid="{E54B3836-2AA8-4355-8708-DB223CABCA5E}" name="Оплата" totalsRowLabel="70 980  " dataDxfId="921" totalsRowDxfId="920"/>
    <tableColumn id="6" xr3:uid="{4B0AC7B5-E206-4364-9870-E052D2A4426E}" name="Заказ" totalsRowFunction="custom" dataDxfId="919" totalsRowDxfId="918">
      <totalsRowFormula>M1744*0.17+N1744*0.06+10000</totalsRowFormula>
    </tableColumn>
    <tableColumn id="7" xr3:uid="{8F3735C8-4F37-443F-919B-28D40003BBF3}" name="Отгрузка" totalsRowFunction="custom" dataDxfId="917" totalsRowDxfId="916">
      <totalsRowFormula>H1744*0.05+I1744*0.02+10000</totalsRowFormula>
    </tableColumn>
    <tableColumn id="8" xr3:uid="{7BEE3879-D499-486D-8E1E-9555311283CA}" name="Продажа" totalsRowFunction="sum" dataDxfId="915" totalsRowDxfId="914"/>
    <tableColumn id="9" xr3:uid="{C192A47B-A69A-491C-AE70-9637CA522DFB}" name="Продажа НК" totalsRowFunction="sum" dataDxfId="913" totalsRowDxfId="912"/>
    <tableColumn id="10" xr3:uid="{C6D28E87-F606-453A-8A43-E9DC3BA4411C}" name="отк" totalsRowFunction="sum" dataDxfId="911" totalsRowDxfId="910"/>
    <tableColumn id="11" xr3:uid="{ACA1489E-1A01-47CA-8A24-AB54AB2B8D57}" name="шланги" totalsRowFunction="sum" dataDxfId="909" totalsRowDxfId="908"/>
    <tableColumn id="12" xr3:uid="{EEC5F434-F974-4201-A7E0-217B69B045CE}" name="Закупка" totalsRowFunction="sum" dataDxfId="907" totalsRowDxfId="906"/>
    <tableColumn id="13" xr3:uid="{FB89A709-ABD7-4E4C-A3BC-214C621BFA13}" name="Маржа" totalsRowFunction="sum" dataDxfId="905" totalsRowDxfId="904">
      <calculatedColumnFormula>H1726-L1726-J1726-K1726</calculatedColumnFormula>
    </tableColumn>
    <tableColumn id="14" xr3:uid="{D8129456-96D5-476B-B732-C3A54F6EABEC}" name="Маржа НК" totalsRowFunction="sum" dataDxfId="903" totalsRowDxfId="902"/>
    <tableColumn id="15" xr3:uid="{21D7DEEB-FD37-460C-B2A4-D6CA92A4592E}" name="% маржи" totalsRowFunction="custom" dataDxfId="901" totalsRowDxfId="900">
      <calculatedColumnFormula>M1726/H1726</calculatedColumnFormula>
      <totalsRowFormula>M1744/H1744</totalsRowFormula>
    </tableColumn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62CF47D7-2FB0-4F2F-B89F-5F329954E380}" name="Январь2021" displayName="Январь2021" ref="A1745:O1756" totalsRowCount="1" headerRowDxfId="899" tableBorderDxfId="898">
  <autoFilter ref="A1745:O1755" xr:uid="{62CF47D7-2FB0-4F2F-B89F-5F329954E380}"/>
  <tableColumns count="15">
    <tableColumn id="1" xr3:uid="{0C45C30C-967A-4C5F-8B99-73D4FC86ADEF}" name="Номер" totalsRowLabel="Итог" dataDxfId="897" totalsRowDxfId="896"/>
    <tableColumn id="2" xr3:uid="{31E61CF9-99BA-4A39-B479-05EB005486E4}" name="Дата" dataDxfId="895" totalsRowDxfId="894"/>
    <tableColumn id="3" xr3:uid="{8A8F64AD-2E7D-48D8-A9B0-424B50403D69}" name="Клиент" dataDxfId="893" totalsRowDxfId="892"/>
    <tableColumn id="4" xr3:uid="{B9D4E3A2-DE0A-4E94-A411-16AFB2736020}" name="Сумма" dataDxfId="891" totalsRowDxfId="890"/>
    <tableColumn id="5" xr3:uid="{A8DBCE9C-9A4D-492C-8DAA-1BCFFF9A173C}" name="Оплата" totalsRowLabel="73 801  " dataDxfId="889" totalsRowDxfId="888"/>
    <tableColumn id="6" xr3:uid="{DC969C58-89D4-41C1-B486-0B67D4ADC955}" name="Заказ" totalsRowFunction="custom" dataDxfId="887" totalsRowDxfId="886">
      <totalsRowFormula>M1756*0.17+N1756*0.06+10000</totalsRowFormula>
    </tableColumn>
    <tableColumn id="7" xr3:uid="{7C0DFDAF-6A75-4F2E-8738-C84A5487198B}" name="Отгрузка" totalsRowFunction="custom" dataDxfId="885" totalsRowDxfId="884">
      <totalsRowFormula>H1756*0.05+I1756*0.02+10000</totalsRowFormula>
    </tableColumn>
    <tableColumn id="8" xr3:uid="{05030315-C3FB-437B-8B0E-A231B4D3D270}" name="Продажа" totalsRowFunction="sum" dataDxfId="883" totalsRowDxfId="882">
      <calculatedColumnFormula>D1746</calculatedColumnFormula>
    </tableColumn>
    <tableColumn id="9" xr3:uid="{C3650D47-4A84-4D46-8EAC-611D885D2D83}" name="Продажа НК" totalsRowFunction="sum" dataDxfId="881" totalsRowDxfId="880"/>
    <tableColumn id="10" xr3:uid="{8F8A9871-28CB-4BF9-86E1-84D442A5B6BD}" name="отк" totalsRowFunction="sum" dataDxfId="879" totalsRowDxfId="878"/>
    <tableColumn id="11" xr3:uid="{3D5223CE-FA9B-4B6A-B649-80CCE0409527}" name="шланги" totalsRowFunction="sum" dataDxfId="877" totalsRowDxfId="876"/>
    <tableColumn id="12" xr3:uid="{B99E6D22-A0B9-4290-AFD1-3B084068F77E}" name="Закупка" totalsRowFunction="sum" dataDxfId="875" totalsRowDxfId="874"/>
    <tableColumn id="13" xr3:uid="{98F32F09-1577-4591-B59D-21D3784B292B}" name="Маржа" totalsRowFunction="sum" dataDxfId="873" totalsRowDxfId="872">
      <calculatedColumnFormula>H1746-L1746-J1746-K1746</calculatedColumnFormula>
    </tableColumn>
    <tableColumn id="14" xr3:uid="{38835F92-0B1A-415E-A1B7-B9E3DCB93931}" name="Маржа НК" totalsRowFunction="sum" dataDxfId="871" totalsRowDxfId="870"/>
    <tableColumn id="15" xr3:uid="{ACE886C5-C4C0-4C74-989C-1BAF1D1B26E5}" name="% маржи" totalsRowFunction="custom" dataDxfId="869" totalsRowDxfId="868">
      <calculatedColumnFormula>M1746/H1746</calculatedColumnFormula>
      <totalsRowFormula>M1756/H1756</totalsRowFormula>
    </tableColumn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A4B3C96E-875C-41F1-8D90-B30C87DD7493}" name="Февраль2021" displayName="Февраль2021" ref="A1757:O1783" totalsRowCount="1" headerRowDxfId="867" tableBorderDxfId="866">
  <autoFilter ref="A1757:O1782" xr:uid="{A4B3C96E-875C-41F1-8D90-B30C87DD7493}"/>
  <tableColumns count="15">
    <tableColumn id="1" xr3:uid="{8E332A75-C3FD-473B-9399-334BC83AE82C}" name="Номер" totalsRowLabel="Итог" dataDxfId="865" totalsRowDxfId="864"/>
    <tableColumn id="2" xr3:uid="{44F51DF1-D3BB-4345-B30C-7DC92FEB7B39}" name="Дата" dataDxfId="863" totalsRowDxfId="862"/>
    <tableColumn id="3" xr3:uid="{C0D28A2B-1588-47B6-B147-F96FAE2F8B4F}" name="Клиент" dataDxfId="861" totalsRowDxfId="860"/>
    <tableColumn id="4" xr3:uid="{12D25013-1C86-4C7F-B93A-B965D9BFF091}" name="Сумма" dataDxfId="859" totalsRowDxfId="858"/>
    <tableColumn id="5" xr3:uid="{4BB3A82B-56BC-4528-B7CF-BA42559A718E}" name="Оплата" totalsRowLabel="38 943  " dataDxfId="857" totalsRowDxfId="856"/>
    <tableColumn id="6" xr3:uid="{1C38FB7A-C319-4B17-A5D4-1C6873976D9A}" name="Заказ" totalsRowFunction="custom" dataDxfId="855" totalsRowDxfId="854">
      <totalsRowFormula>M1783*0.12+N1783*0.06+10000</totalsRowFormula>
    </tableColumn>
    <tableColumn id="7" xr3:uid="{E41D2DCD-CF79-4E9D-9D52-514EC53624A7}" name="Отгрузка" totalsRowFunction="custom" dataDxfId="853" totalsRowDxfId="852">
      <totalsRowFormula>H1783*0.05+I1783*0.02+10000</totalsRowFormula>
    </tableColumn>
    <tableColumn id="8" xr3:uid="{B76BA336-E709-4FB3-987E-A3E78EFF8AF5}" name="Продажа" totalsRowFunction="sum" dataDxfId="851" totalsRowDxfId="850">
      <calculatedColumnFormula>D1758</calculatedColumnFormula>
    </tableColumn>
    <tableColumn id="9" xr3:uid="{5DB4D41D-4D7D-40E5-8800-0949684DCA4B}" name="Продажа НК" totalsRowFunction="sum" dataDxfId="849" totalsRowDxfId="848"/>
    <tableColumn id="10" xr3:uid="{71A3B64C-B0B4-4D6F-B09C-2F7383FEA321}" name="отк" totalsRowFunction="sum" dataDxfId="847" totalsRowDxfId="846"/>
    <tableColumn id="11" xr3:uid="{36720E52-5C8C-48A8-B9F1-2405AE77BD82}" name="шланги" totalsRowFunction="sum" dataDxfId="845" totalsRowDxfId="844"/>
    <tableColumn id="12" xr3:uid="{3992B610-D973-45F7-B939-6F57A7116535}" name="Закупка" totalsRowFunction="sum" dataDxfId="843" totalsRowDxfId="842"/>
    <tableColumn id="13" xr3:uid="{58B52224-137E-4035-B3EC-6999362F70D3}" name="Маржа" totalsRowFunction="sum" dataDxfId="841" totalsRowDxfId="840">
      <calculatedColumnFormula>H1758-L1758-J1758-K1758</calculatedColumnFormula>
    </tableColumn>
    <tableColumn id="14" xr3:uid="{A5A6EBEF-1CFB-458A-9B5A-FCEA018827B9}" name="Маржа НК" totalsRowFunction="sum" dataDxfId="839" totalsRowDxfId="838"/>
    <tableColumn id="15" xr3:uid="{C03B53B2-B55A-44F8-89F6-A7171BCA69A4}" name="% маржи" totalsRowFunction="custom" dataDxfId="837" totalsRowDxfId="836">
      <calculatedColumnFormula>M1758/H1758</calculatedColumnFormula>
      <totalsRowFormula>M1783/H1783</totalsRowFormula>
    </tableColumn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7F65C2BE-3DF0-4D8C-91FE-37D6AA075012}" name="Март2021" displayName="Март2021" ref="A1784:O1813" totalsRowCount="1" headerRowDxfId="835" tableBorderDxfId="834">
  <autoFilter ref="A1784:O1812" xr:uid="{7F65C2BE-3DF0-4D8C-91FE-37D6AA075012}"/>
  <tableColumns count="15">
    <tableColumn id="1" xr3:uid="{C593E7D1-58E7-49AE-A08F-1C838E94A742}" name="Номер" totalsRowLabel="Итог" dataDxfId="833" totalsRowDxfId="832"/>
    <tableColumn id="2" xr3:uid="{24CC2BE0-197B-47B3-B0F0-508093DF99C4}" name="Дата" dataDxfId="831" totalsRowDxfId="830"/>
    <tableColumn id="3" xr3:uid="{A303C3BE-13CD-4732-9541-31ABA677716C}" name="Клиент" dataDxfId="829" totalsRowDxfId="828"/>
    <tableColumn id="4" xr3:uid="{B1891A34-5389-4174-8B07-5AE344A139AF}" name="Сумма" dataDxfId="827" totalsRowDxfId="826"/>
    <tableColumn id="5" xr3:uid="{9A89536B-ED42-447E-B689-F1A96F386F5A}" name="Оплата" totalsRowLabel="79 867  " dataDxfId="825" totalsRowDxfId="824"/>
    <tableColumn id="6" xr3:uid="{45B694BE-95BE-4AA0-BA70-0CD0ABCC517C}" name="Заказ" totalsRowFunction="custom" dataDxfId="823" totalsRowDxfId="822">
      <totalsRowFormula>M1813*0.17+N1813*0.06+10000</totalsRowFormula>
    </tableColumn>
    <tableColumn id="7" xr3:uid="{B706E0C3-3650-487D-9F55-910A7751651B}" name="Отгрузка" totalsRowFunction="custom" dataDxfId="821" totalsRowDxfId="820">
      <totalsRowFormula>H1813*0.05+I1813*0.02+10000</totalsRowFormula>
    </tableColumn>
    <tableColumn id="8" xr3:uid="{F365A748-E5F7-42BA-ADF6-EA1CBD9BF24A}" name="Продажа" totalsRowFunction="sum" dataDxfId="819" totalsRowDxfId="818">
      <calculatedColumnFormula>D1785</calculatedColumnFormula>
    </tableColumn>
    <tableColumn id="9" xr3:uid="{9F8FCBC5-A126-4157-AFB9-9D31BF09EC7D}" name="Продажа НК" totalsRowFunction="sum" dataDxfId="817" totalsRowDxfId="816"/>
    <tableColumn id="10" xr3:uid="{4ED47C6E-44E9-4A4A-B0B4-DA44BFA8864B}" name="отк" totalsRowFunction="sum" dataDxfId="815" totalsRowDxfId="814"/>
    <tableColumn id="11" xr3:uid="{62371522-6D69-41E7-96A9-E0A9E9110013}" name="шланги" totalsRowFunction="sum" dataDxfId="813" totalsRowDxfId="812"/>
    <tableColumn id="12" xr3:uid="{02246339-BF60-466E-BA80-CEB8F5DA805E}" name="Закупка" totalsRowFunction="sum" dataDxfId="811" totalsRowDxfId="810"/>
    <tableColumn id="13" xr3:uid="{E45C1607-4D3F-44B8-BE50-38B557E4C55E}" name="Маржа" totalsRowFunction="sum" dataDxfId="809" totalsRowDxfId="808">
      <calculatedColumnFormula>H1785-L1785-J1785-K1785</calculatedColumnFormula>
    </tableColumn>
    <tableColumn id="14" xr3:uid="{EAF900EE-366D-405D-AA3C-EA8EF040D9B7}" name="Маржа НК" totalsRowFunction="sum" dataDxfId="807" totalsRowDxfId="806"/>
    <tableColumn id="15" xr3:uid="{EDAAE13E-E702-4473-B41A-90456BEE540D}" name="% маржи" totalsRowFunction="custom" dataDxfId="805" totalsRowDxfId="804">
      <calculatedColumnFormula>M1785/H1785</calculatedColumnFormula>
      <totalsRowFormula>M1813/H1813</totalsRowFormula>
    </tableColumn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21E18AF-4061-4DB4-B346-B5FBA5814A32}" name="Апрель2021" displayName="Апрель2021" ref="A1814:O1837" totalsRowCount="1" headerRowDxfId="803" tableBorderDxfId="802">
  <autoFilter ref="A1814:O1836" xr:uid="{621E18AF-4061-4DB4-B346-B5FBA5814A32}"/>
  <tableColumns count="15">
    <tableColumn id="1" xr3:uid="{892C5C3F-8B61-49CB-A1F1-A03AF76491BA}" name="Номер" totalsRowLabel="Итог" dataDxfId="801" totalsRowDxfId="800"/>
    <tableColumn id="2" xr3:uid="{09179322-5CF1-4FE3-A502-D756E87E9265}" name="Дата" dataDxfId="799" totalsRowDxfId="798"/>
    <tableColumn id="3" xr3:uid="{880D26CE-92F8-469F-AF00-41E08BD2242E}" name="Клиент" dataDxfId="797" totalsRowDxfId="796"/>
    <tableColumn id="4" xr3:uid="{AD562C2D-40C9-46B5-87CE-F4E8C339E45C}" name="Сумма" dataDxfId="795" totalsRowDxfId="794"/>
    <tableColumn id="5" xr3:uid="{D9E2DF51-4C63-4239-9DD3-0ECE9B7D5009}" name="Оплата" totalsRowLabel="83 771  " dataDxfId="793" totalsRowDxfId="792"/>
    <tableColumn id="6" xr3:uid="{9A95BF91-4C8F-4445-9B91-6968A6BFEFDE}" name="Заказ" totalsRowFunction="custom" dataDxfId="791" totalsRowDxfId="790">
      <totalsRowFormula>M1837*0.17+N1837*0.06+10000</totalsRowFormula>
    </tableColumn>
    <tableColumn id="7" xr3:uid="{29EA9BEC-1B12-4B5E-8DBE-9F762BF34518}" name="Отгрузка" totalsRowFunction="custom" dataDxfId="789" totalsRowDxfId="788">
      <totalsRowFormula>H1837*0.05+I1837*0.02+10000</totalsRowFormula>
    </tableColumn>
    <tableColumn id="8" xr3:uid="{3171B8BA-1741-4477-82CD-C4425FF32417}" name="Продажа" totalsRowFunction="sum" dataDxfId="787" totalsRowDxfId="786">
      <calculatedColumnFormula>D1815</calculatedColumnFormula>
    </tableColumn>
    <tableColumn id="9" xr3:uid="{25098236-CF57-40C0-BC33-C889248D5002}" name="Продажа НК" totalsRowFunction="sum" dataDxfId="785" totalsRowDxfId="784"/>
    <tableColumn id="10" xr3:uid="{41EB9612-156E-4828-9BA2-F24F7460B5C0}" name="отк" totalsRowFunction="sum" dataDxfId="783" totalsRowDxfId="782"/>
    <tableColumn id="11" xr3:uid="{2B5C60EC-856E-420F-AC23-6E3BE4DA8EDF}" name="шланги" totalsRowFunction="sum" dataDxfId="781" totalsRowDxfId="780"/>
    <tableColumn id="12" xr3:uid="{E92285CC-DECF-444C-870D-24A6CE8219A0}" name="Закупка" totalsRowFunction="sum" dataDxfId="779" totalsRowDxfId="778"/>
    <tableColumn id="13" xr3:uid="{CEFC5FB9-1244-424C-95EF-28F07A084493}" name="Маржа" totalsRowFunction="sum" dataDxfId="777" totalsRowDxfId="776">
      <calculatedColumnFormula>H1815-L1815-J1815-K1815</calculatedColumnFormula>
    </tableColumn>
    <tableColumn id="14" xr3:uid="{1904ABD4-36E7-4F65-9BFB-6F8BE65C4EB4}" name="Маржа НК" totalsRowFunction="sum" dataDxfId="775" totalsRowDxfId="774"/>
    <tableColumn id="15" xr3:uid="{FF9680A9-D5E0-43D9-A8E1-69BD4C9B1735}" name="% маржи" totalsRowFunction="custom" dataDxfId="773" totalsRowDxfId="772">
      <calculatedColumnFormula>M1815/H1815</calculatedColumnFormula>
      <totalsRowFormula>M1837/H1837</totalsRowFormula>
    </tableColumn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B509AD9E-8533-4228-9AF6-EC947CE6653A}" name="Май2021" displayName="Май2021" ref="A1838:O1865" totalsRowCount="1" headerRowDxfId="771" tableBorderDxfId="770">
  <autoFilter ref="A1838:O1864" xr:uid="{B509AD9E-8533-4228-9AF6-EC947CE6653A}"/>
  <tableColumns count="15">
    <tableColumn id="1" xr3:uid="{3F9A40C4-F899-4C91-9A8A-1C4229934895}" name="Номер" totalsRowLabel="Итог" dataDxfId="769" totalsRowDxfId="768"/>
    <tableColumn id="2" xr3:uid="{40FCA0CA-FBA9-4206-A2F2-F6B7C9C80396}" name="Дата" dataDxfId="767" totalsRowDxfId="766"/>
    <tableColumn id="3" xr3:uid="{83C1D718-26AE-4AA0-BA29-6D169079C497}" name="Клиент" dataDxfId="765" totalsRowDxfId="764"/>
    <tableColumn id="4" xr3:uid="{0F7749E7-5ABF-4F26-A6A9-9CD1628D094F}" name="Сумма" dataDxfId="763" totalsRowDxfId="762"/>
    <tableColumn id="5" xr3:uid="{AC987EB4-B906-4087-948C-1D7B7C10526E}" name="Оплата" totalsRowLabel="53 194  " dataDxfId="761" totalsRowDxfId="760"/>
    <tableColumn id="6" xr3:uid="{390ABDA7-2743-4002-AA0A-7E61E79BC5FD}" name="Заказ" totalsRowFunction="custom" dataDxfId="759" totalsRowDxfId="758">
      <totalsRowFormula>M1865*0.17+N1865*0.06+10000</totalsRowFormula>
    </tableColumn>
    <tableColumn id="7" xr3:uid="{B3E87AD6-9663-4136-9192-7C3F9BC37B39}" name="Отгрузка" totalsRowFunction="custom" dataDxfId="757" totalsRowDxfId="756">
      <totalsRowFormula>H1865*0.05+I1865*0.02+10000</totalsRowFormula>
    </tableColumn>
    <tableColumn id="8" xr3:uid="{042E108F-053B-41C7-BF23-73AE902AC310}" name="Продажа" totalsRowFunction="sum" dataDxfId="755" totalsRowDxfId="754">
      <calculatedColumnFormula>D1839</calculatedColumnFormula>
    </tableColumn>
    <tableColumn id="9" xr3:uid="{02F81719-5751-4605-B26B-E72178006919}" name="Продажа НК" totalsRowFunction="sum" dataDxfId="753" totalsRowDxfId="752"/>
    <tableColumn id="10" xr3:uid="{C98D6805-0DAC-4256-BB98-10AB2182C067}" name="отк" totalsRowFunction="sum" dataDxfId="751" totalsRowDxfId="750"/>
    <tableColumn id="11" xr3:uid="{DB3C6051-0BF9-4F39-9CE3-619971E6FBDA}" name="шланги" totalsRowFunction="sum" dataDxfId="749" totalsRowDxfId="748"/>
    <tableColumn id="12" xr3:uid="{929BDDAA-E816-4724-B097-8EA3412402B8}" name="Закупка" totalsRowFunction="sum" dataDxfId="747" totalsRowDxfId="746"/>
    <tableColumn id="13" xr3:uid="{591F0F34-7248-4C5F-B312-566D4E9D7427}" name="Маржа" totalsRowFunction="sum" dataDxfId="745" totalsRowDxfId="744">
      <calculatedColumnFormula>H1839-L1839-J1839-K1839</calculatedColumnFormula>
    </tableColumn>
    <tableColumn id="14" xr3:uid="{F0634FA7-52FA-4502-90F8-F35B8FF81B75}" name="Маржа НК" totalsRowFunction="sum" dataDxfId="743" totalsRowDxfId="742"/>
    <tableColumn id="15" xr3:uid="{08D53EFB-4646-4A4D-8C0B-AD19DFE0BEB4}" name="% маржи" totalsRowFunction="custom" dataDxfId="741" totalsRowDxfId="740">
      <calculatedColumnFormula>M1839/H1839</calculatedColumnFormula>
      <totalsRowFormula>M1865/H1865</totalsRowFormula>
    </tableColumn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C81823A9-B824-476A-83CE-C994311186E2}" name="Июнь2021" displayName="Июнь2021" ref="A1866:O1889" totalsRowCount="1" headerRowDxfId="739" dataDxfId="738" tableBorderDxfId="737">
  <autoFilter ref="A1866:O1888" xr:uid="{C81823A9-B824-476A-83CE-C994311186E2}"/>
  <tableColumns count="15">
    <tableColumn id="1" xr3:uid="{525A2A8F-2798-4A13-AB92-1D7A89C89247}" name="Номер" totalsRowLabel="Итог" dataDxfId="736" totalsRowDxfId="735"/>
    <tableColumn id="2" xr3:uid="{6CEA810C-7535-44EA-8DBC-1DEBF80C7BB6}" name="Дата" dataDxfId="734" totalsRowDxfId="733"/>
    <tableColumn id="3" xr3:uid="{0BB61CBE-3AB0-4D48-A972-F79FCC3FB26C}" name="Клиент" dataDxfId="732" totalsRowDxfId="731"/>
    <tableColumn id="4" xr3:uid="{6B8838AD-D382-459F-B965-1D1E9BDBC633}" name="Сумма" dataDxfId="730" totalsRowDxfId="729"/>
    <tableColumn id="5" xr3:uid="{170F570C-4FF2-468E-A659-3EBCB9EF863C}" name="Оплата" totalsRowLabel="15 800  " dataDxfId="728" totalsRowDxfId="727"/>
    <tableColumn id="6" xr3:uid="{CF886FEA-1733-4099-817B-68772D39B411}" name="Заказ" totalsRowFunction="custom" dataDxfId="726" totalsRowDxfId="725">
      <totalsRowFormula>M1889*0.05+N1889*0.06+10000</totalsRowFormula>
    </tableColumn>
    <tableColumn id="7" xr3:uid="{92C1CD8F-3714-4B7A-8282-7080CB73F096}" name="Отгрузка" totalsRowFunction="custom" dataDxfId="724" totalsRowDxfId="723">
      <totalsRowFormula>H1889*0.02+I1889*0.02+10000</totalsRowFormula>
    </tableColumn>
    <tableColumn id="8" xr3:uid="{B91ED2E7-53CC-4B46-879D-CD6905C3E8C5}" name="Продажа" totalsRowFunction="sum" dataDxfId="722" totalsRowDxfId="721"/>
    <tableColumn id="9" xr3:uid="{2DA39274-0523-428A-B007-86DA5CD1A2FF}" name="Продажа НК" totalsRowFunction="sum" dataDxfId="720" totalsRowDxfId="719"/>
    <tableColumn id="10" xr3:uid="{2C679477-0385-4FBB-910B-AC3CDEB2C040}" name="отк" totalsRowFunction="sum" dataDxfId="718" totalsRowDxfId="717"/>
    <tableColumn id="11" xr3:uid="{579A307A-151D-4DF7-86D7-692110A1FCE1}" name="шланги" totalsRowFunction="sum" dataDxfId="716" totalsRowDxfId="715"/>
    <tableColumn id="12" xr3:uid="{898B1ED4-4946-4B0C-A160-3FAA5FBCEA28}" name="Закупка" totalsRowFunction="sum" dataDxfId="714" totalsRowDxfId="713"/>
    <tableColumn id="13" xr3:uid="{78F6D13B-78FA-4247-90D5-8AFCC8AC031D}" name="Маржа" totalsRowFunction="sum" dataDxfId="712" totalsRowDxfId="711">
      <calculatedColumnFormula>H1867-L1867-J1867-K1867</calculatedColumnFormula>
    </tableColumn>
    <tableColumn id="14" xr3:uid="{EC8E643F-75F4-4B89-8E92-5BCADDDA93F1}" name="Маржа НК" totalsRowFunction="sum" dataDxfId="710" totalsRowDxfId="709"/>
    <tableColumn id="15" xr3:uid="{DA1833D0-C8BA-4C61-B522-4CEED1BEBACF}" name="% маржи" totalsRowFunction="custom" dataDxfId="708" totalsRowDxfId="707">
      <calculatedColumnFormula>M1867/H1867</calculatedColumnFormula>
      <totalsRowFormula>M1889/H1889</totalsRowFormula>
    </tableColumn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628E42B0-A07F-4A5B-9D8E-872215683324}" name="Июль2021" displayName="Июль2021" ref="A1890:O1910" totalsRowCount="1" headerRowDxfId="706" tableBorderDxfId="705">
  <autoFilter ref="A1890:O1909" xr:uid="{628E42B0-A07F-4A5B-9D8E-872215683324}"/>
  <tableColumns count="15">
    <tableColumn id="1" xr3:uid="{65653E9C-8CD6-4B1F-A9AC-813E48FBA34F}" name="Номер" totalsRowLabel="Итог" dataDxfId="704" totalsRowDxfId="703"/>
    <tableColumn id="2" xr3:uid="{43ECA075-BEBE-4F2B-9188-86253152E29F}" name="Дата" dataDxfId="702" totalsRowDxfId="701"/>
    <tableColumn id="3" xr3:uid="{70793122-5290-49AA-A84E-148C73D90FAD}" name="Клиент" dataDxfId="700" totalsRowDxfId="699"/>
    <tableColumn id="4" xr3:uid="{56A037C6-0C6B-4ECA-AFCD-9016783F6E12}" name="Сумма" dataDxfId="698" totalsRowDxfId="697"/>
    <tableColumn id="5" xr3:uid="{36F4BA45-35C0-4D1D-A26D-AF91DE0A03EA}" name="Оплата" totalsRowLabel="31 382  " dataDxfId="696" totalsRowDxfId="695"/>
    <tableColumn id="6" xr3:uid="{0E504BE5-A9E6-4D6E-BAA6-B22A3C0F21D3}" name="Заказ" totalsRowFunction="custom" dataDxfId="694" totalsRowDxfId="693">
      <totalsRowFormula>M1910*0.12+N1910*0.06</totalsRowFormula>
    </tableColumn>
    <tableColumn id="7" xr3:uid="{C0859342-E689-4FA7-A769-22D58FBD4E50}" name="Отгрузка" totalsRowFunction="custom" dataDxfId="692" totalsRowDxfId="691">
      <totalsRowFormula>H1910*0.04+I1910*0.02</totalsRowFormula>
    </tableColumn>
    <tableColumn id="8" xr3:uid="{B4F289CE-41B7-4ACA-ADC4-4BEB2F246BC1}" name="Продажа" totalsRowFunction="sum" dataDxfId="690" totalsRowDxfId="689">
      <calculatedColumnFormula>D1891</calculatedColumnFormula>
    </tableColumn>
    <tableColumn id="9" xr3:uid="{373E308C-DDAE-4F75-9A11-00A21924B001}" name="Продажа НК" totalsRowFunction="sum" dataDxfId="688" totalsRowDxfId="687"/>
    <tableColumn id="10" xr3:uid="{4F908F5F-A4FD-4BC4-806D-44480E494FDA}" name="отк" totalsRowFunction="sum" dataDxfId="686" totalsRowDxfId="685"/>
    <tableColumn id="11" xr3:uid="{E6D4070A-95B8-465F-9874-D90E84CA6992}" name="шланги" totalsRowFunction="sum" dataDxfId="684" totalsRowDxfId="683"/>
    <tableColumn id="12" xr3:uid="{477387D6-94E0-46B4-AB17-BEA209B034B7}" name="Закупка" totalsRowFunction="sum" dataDxfId="682" totalsRowDxfId="681"/>
    <tableColumn id="13" xr3:uid="{930AED83-208A-47E4-8F29-792F5A469323}" name="Маржа" totalsRowFunction="sum" dataDxfId="680" totalsRowDxfId="679">
      <calculatedColumnFormula>H1891-L1891-J1891-K1891</calculatedColumnFormula>
    </tableColumn>
    <tableColumn id="14" xr3:uid="{89B868ED-7D34-4E91-9CE2-CC7521991601}" name="Маржа НК" totalsRowFunction="sum" dataDxfId="678" totalsRowDxfId="677"/>
    <tableColumn id="15" xr3:uid="{8F8ABD91-8917-4213-B56F-636EADB235DB}" name="% маржи" totalsRowFunction="custom" dataDxfId="676" totalsRowDxfId="675">
      <calculatedColumnFormula>M1891/H1891</calculatedColumnFormula>
      <totalsRowFormula>M1910/H1910</totalsRowFormula>
    </tableColumn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2BC05F69-E2B8-4E6F-8A2F-9B2263F48194}" name="Август2021" displayName="Август2021" ref="A1911:O1934" totalsRowCount="1" headerRowDxfId="674" dataDxfId="673" tableBorderDxfId="672">
  <autoFilter ref="A1911:O1933" xr:uid="{2BC05F69-E2B8-4E6F-8A2F-9B2263F48194}"/>
  <tableColumns count="15">
    <tableColumn id="1" xr3:uid="{3DE738DC-244F-451C-8B07-6DA5BE06ADE4}" name="Номер" totalsRowLabel="Итог" dataDxfId="671" totalsRowDxfId="670"/>
    <tableColumn id="2" xr3:uid="{47DA1628-3E46-4AE0-A0A0-A03C0D3F3F08}" name="Дата" dataDxfId="669" totalsRowDxfId="668"/>
    <tableColumn id="3" xr3:uid="{270ECD69-5212-40D4-AD07-172E558283A5}" name="Клиент" dataDxfId="667" totalsRowDxfId="666"/>
    <tableColumn id="4" xr3:uid="{197C6B18-BDBD-442B-8770-80392AF8EC40}" name="Сумма" dataDxfId="665" totalsRowDxfId="664"/>
    <tableColumn id="5" xr3:uid="{87D41770-6F35-46BC-A1A4-94B1A1BB4290}" name="Оплата" totalsRowLabel="44 042  " dataDxfId="663" totalsRowDxfId="662"/>
    <tableColumn id="6" xr3:uid="{E818B129-861C-422A-ABBE-6D17220BCFC8}" name="Заказ" totalsRowFunction="custom" dataDxfId="661" totalsRowDxfId="660">
      <totalsRowFormula>M1934*0.17+N1934*0.06</totalsRowFormula>
    </tableColumn>
    <tableColumn id="7" xr3:uid="{ACE8E24E-299C-4FE7-B23F-06AB5BCEDC1A}" name="Отгрузка" totalsRowFunction="custom" dataDxfId="659" totalsRowDxfId="658">
      <totalsRowFormula>H1934*0.04+I1934*0.02</totalsRowFormula>
    </tableColumn>
    <tableColumn id="8" xr3:uid="{B282DC65-9CB7-4F28-A46E-B1ABEFBCA39F}" name="Продажа" totalsRowFunction="sum" dataDxfId="657" totalsRowDxfId="656">
      <calculatedColumnFormula>D1912</calculatedColumnFormula>
    </tableColumn>
    <tableColumn id="9" xr3:uid="{F0C632A1-830D-43D4-8C94-E97E683C5327}" name="Продажа НК" totalsRowFunction="sum" dataDxfId="655" totalsRowDxfId="654"/>
    <tableColumn id="10" xr3:uid="{4353569A-9379-4087-ABAD-0DC1FC771A67}" name="отк" totalsRowFunction="sum" dataDxfId="653" totalsRowDxfId="652"/>
    <tableColumn id="11" xr3:uid="{A59B21D8-028D-4219-BC49-3DAFEC575A68}" name="шланги" totalsRowFunction="sum" dataDxfId="651" totalsRowDxfId="650"/>
    <tableColumn id="12" xr3:uid="{F8EE05A2-29BF-4A2A-B8B0-BC6EA98DBAA6}" name="Закупка" totalsRowFunction="sum" dataDxfId="649" totalsRowDxfId="648"/>
    <tableColumn id="13" xr3:uid="{75C25A61-3EF1-4EF8-9A2E-1331E529AD6E}" name="Маржа" totalsRowFunction="sum" dataDxfId="647" totalsRowDxfId="646">
      <calculatedColumnFormula>H1912-L1912-J1912-K1912</calculatedColumnFormula>
    </tableColumn>
    <tableColumn id="14" xr3:uid="{6FE9E084-40EB-4565-AA19-A1B8B3E138D0}" name="Маржа НК" totalsRowFunction="sum" dataDxfId="645" totalsRowDxfId="644"/>
    <tableColumn id="15" xr3:uid="{97D3B429-78C3-47F5-9DDD-200CF10D5CDC}" name="% маржи" totalsRowFunction="custom" dataDxfId="643" totalsRowDxfId="642">
      <calculatedColumnFormula>M1912/H1912</calculatedColumnFormula>
      <totalsRowFormula>M1934/H1934</totalsRowFormula>
    </tableColumn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6E7DF0F8-E503-46C2-9A01-3488E3A8AFC4}" name="Сентябрь2021" displayName="Сентябрь2021" ref="A1935:O1964" totalsRowCount="1" headerRowDxfId="641" dataDxfId="640" tableBorderDxfId="639">
  <autoFilter ref="A1935:O1963" xr:uid="{6E7DF0F8-E503-46C2-9A01-3488E3A8AFC4}"/>
  <tableColumns count="15">
    <tableColumn id="1" xr3:uid="{F44263B5-A084-43B5-A09C-693E41DAF212}" name="Номер" totalsRowLabel="Итог" dataDxfId="638" totalsRowDxfId="637"/>
    <tableColumn id="2" xr3:uid="{A0C5D5A3-D385-4FCA-A1C9-DAE1FD48432F}" name="Дата" dataDxfId="636" totalsRowDxfId="635"/>
    <tableColumn id="3" xr3:uid="{B12FD3B4-6424-4740-901C-71700A3D2668}" name="Клиент" dataDxfId="634" totalsRowDxfId="633"/>
    <tableColumn id="4" xr3:uid="{8B0AE174-0D5D-4A4A-88CA-F83B5B0ED261}" name="Сумма" dataDxfId="632" totalsRowDxfId="631"/>
    <tableColumn id="5" xr3:uid="{766F7C6B-1B9D-49A7-81D2-18D1E4BECD12}" name="Оплата" totalsRowLabel="67 122  " dataDxfId="630" totalsRowDxfId="629"/>
    <tableColumn id="6" xr3:uid="{07AC84EC-E545-4809-9577-674B42A4F176}" name="Заказ" totalsRowFunction="custom" dataDxfId="628" totalsRowDxfId="627">
      <totalsRowFormula>M1964*0.17+N1964*0.06</totalsRowFormula>
    </tableColumn>
    <tableColumn id="7" xr3:uid="{E3BE0C98-AC0B-405F-AAA7-B48D0184D666}" name="Отгрузка" totalsRowFunction="custom" dataDxfId="626" totalsRowDxfId="625">
      <totalsRowFormula>H1964*0.04+I1964*0.02</totalsRowFormula>
    </tableColumn>
    <tableColumn id="8" xr3:uid="{50F6B600-11EF-409E-B00E-6842CE8827A0}" name="Продажа" totalsRowFunction="sum" dataDxfId="624" totalsRowDxfId="623"/>
    <tableColumn id="9" xr3:uid="{CD200758-3D72-4839-B9CC-7108284CB829}" name="Продажа НК" totalsRowFunction="sum" dataDxfId="622" totalsRowDxfId="621"/>
    <tableColumn id="10" xr3:uid="{3545C47F-8024-4700-A300-C4746CE0DA37}" name="отк" totalsRowFunction="sum" dataDxfId="620" totalsRowDxfId="619"/>
    <tableColumn id="11" xr3:uid="{8A0739C0-5032-4082-8D43-E85E6E30754D}" name="шланги" totalsRowFunction="sum" dataDxfId="618" totalsRowDxfId="617"/>
    <tableColumn id="12" xr3:uid="{EEC6A3C0-1310-444E-86BC-1EB4BAF309C0}" name="Закупка" totalsRowFunction="sum" dataDxfId="616" totalsRowDxfId="615"/>
    <tableColumn id="13" xr3:uid="{5198DC58-BD20-495A-B6AA-CEF8DB002F26}" name="Маржа" totalsRowFunction="sum" dataDxfId="614" totalsRowDxfId="613">
      <calculatedColumnFormula>H1936-L1936-J1936-K1936</calculatedColumnFormula>
    </tableColumn>
    <tableColumn id="14" xr3:uid="{9D8BF6D3-6BBD-4B51-A6B9-C69935E83F98}" name="Маржа НК" totalsRowFunction="sum" dataDxfId="612" totalsRowDxfId="611"/>
    <tableColumn id="15" xr3:uid="{043AAB30-21C2-46FD-8C81-34ABEC7D2014}" name="% маржи" totalsRowFunction="custom" dataDxfId="610" totalsRowDxfId="609">
      <calculatedColumnFormula>M1936/H1936</calculatedColumnFormula>
      <totalsRowFormula>M1964/H1964</totalsRowFormula>
    </tableColumn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A9ABBEBE-6732-44F2-876B-F64A3831CA36}" name="Октябрь2021" displayName="Октябрь2021" ref="A1965:O1986" totalsRowCount="1" headerRowDxfId="608" dataDxfId="607" tableBorderDxfId="606">
  <autoFilter ref="A1965:O1985" xr:uid="{A9ABBEBE-6732-44F2-876B-F64A3831CA36}"/>
  <tableColumns count="15">
    <tableColumn id="1" xr3:uid="{CA7548F8-7371-4280-98ED-FF6C1659E22F}" name="Номер" totalsRowLabel="Итог" dataDxfId="605" totalsRowDxfId="604"/>
    <tableColumn id="2" xr3:uid="{864F49CF-2C53-4315-8F9D-34B0B8C4F8C5}" name="Дата" dataDxfId="603" totalsRowDxfId="602"/>
    <tableColumn id="3" xr3:uid="{2E6E19D5-A3BE-4E09-B185-C8CA3F3AC32E}" name="Клиент" dataDxfId="601" totalsRowDxfId="600"/>
    <tableColumn id="4" xr3:uid="{51D324B8-90CF-4DA9-89A9-2CEC37946DEA}" name="Сумма" dataDxfId="599" totalsRowDxfId="598"/>
    <tableColumn id="5" xr3:uid="{FE198B4B-B5ED-48E8-845F-A7984039A275}" name="Оплата" totalsRowLabel="73 255  " dataDxfId="597" totalsRowDxfId="596"/>
    <tableColumn id="6" xr3:uid="{D255F8E1-B195-4EBC-9159-01D769E11BD6}" name="Заказ" totalsRowFunction="custom" dataDxfId="595" totalsRowDxfId="594">
      <totalsRowFormula>M1986*0.17+N1986*0.06</totalsRowFormula>
    </tableColumn>
    <tableColumn id="7" xr3:uid="{C7ABB0BB-DC1C-48BB-8AF6-42B9FEC59C72}" name="Отгрузка" totalsRowFunction="custom" dataDxfId="593" totalsRowDxfId="592">
      <totalsRowFormula>H1986*0.04+I1986*0.02</totalsRowFormula>
    </tableColumn>
    <tableColumn id="8" xr3:uid="{CBFC2344-4484-405C-9C96-B53A09F864DD}" name="Продажа" totalsRowFunction="sum" dataDxfId="591" totalsRowDxfId="590">
      <calculatedColumnFormula>D1966</calculatedColumnFormula>
    </tableColumn>
    <tableColumn id="9" xr3:uid="{67465A77-CA89-4830-BAD7-6DE8BD772A27}" name="Продажа НК" totalsRowFunction="sum" dataDxfId="589" totalsRowDxfId="588"/>
    <tableColumn id="10" xr3:uid="{1F800077-3392-48EB-B0EC-5F08FA044D9B}" name="отк" totalsRowFunction="sum" dataDxfId="587" totalsRowDxfId="586"/>
    <tableColumn id="11" xr3:uid="{D16964DE-52E1-45C6-9CE7-534AF78CB0E6}" name="шланги" totalsRowFunction="sum" dataDxfId="585" totalsRowDxfId="584"/>
    <tableColumn id="12" xr3:uid="{626AEB0E-33B3-420B-A10A-C25925E83388}" name="Закупка" totalsRowFunction="sum" dataDxfId="583" totalsRowDxfId="582"/>
    <tableColumn id="13" xr3:uid="{94803D38-F446-41AF-8F78-20BC0A36C6C0}" name="Маржа" totalsRowFunction="sum" dataDxfId="581" totalsRowDxfId="580">
      <calculatedColumnFormula>H1966-L1966-J1966-K1966</calculatedColumnFormula>
    </tableColumn>
    <tableColumn id="14" xr3:uid="{3F2C261E-BEDD-4F22-BDCB-A428A559B32B}" name="Маржа НК" totalsRowFunction="sum" dataDxfId="579" totalsRowDxfId="578"/>
    <tableColumn id="15" xr3:uid="{949834F3-38AD-4C83-A94D-39BD227DA466}" name="% маржи" totalsRowFunction="custom" dataDxfId="577" totalsRowDxfId="576">
      <calculatedColumnFormula>M1966/H1966</calculatedColumnFormula>
      <totalsRowFormula>M1986/H1986</totalsRowFormula>
    </tableColumn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52A35AE0-1D22-4DF8-82B9-5390F41337A0}" name="Ноябрь2021" displayName="Ноябрь2021" ref="A1987:O2012" totalsRowCount="1" headerRowDxfId="575" tableBorderDxfId="574">
  <autoFilter ref="A1987:O2011" xr:uid="{52A35AE0-1D22-4DF8-82B9-5390F41337A0}"/>
  <tableColumns count="15">
    <tableColumn id="1" xr3:uid="{01B90E7E-1D62-4769-B254-3F5DD50E4403}" name="Номер" totalsRowLabel="Итог" dataDxfId="573" totalsRowDxfId="572"/>
    <tableColumn id="2" xr3:uid="{3AA2D9EA-697F-4955-88AF-AC6FDE2783E9}" name="Дата" dataDxfId="571" totalsRowDxfId="570"/>
    <tableColumn id="3" xr3:uid="{06865515-B131-4201-A3AD-5EA46751A3BA}" name="Клиент" dataDxfId="569" totalsRowDxfId="568"/>
    <tableColumn id="4" xr3:uid="{260CD012-C012-47BB-B0A1-A688CA331607}" name="Сумма" dataDxfId="567" totalsRowDxfId="566"/>
    <tableColumn id="5" xr3:uid="{CD955CA5-7E6E-4AB9-9673-AE038D919FE6}" name="Оплата" totalsRowLabel="50 763  " dataDxfId="565" totalsRowDxfId="564"/>
    <tableColumn id="6" xr3:uid="{BAF4E75D-77E1-4B52-A96D-369D91A2BED6}" name="Заказ" totalsRowFunction="custom" dataDxfId="563" totalsRowDxfId="562">
      <totalsRowFormula>M2012*0.17+N2012*0.06+5000</totalsRowFormula>
    </tableColumn>
    <tableColumn id="7" xr3:uid="{B502753A-3AC5-49EB-A4C4-7DF6D14DA1DE}" name="Отгрузка" totalsRowFunction="custom" dataDxfId="561" totalsRowDxfId="560">
      <totalsRowFormula>H2012*0.04+I2012*0.02</totalsRowFormula>
    </tableColumn>
    <tableColumn id="8" xr3:uid="{788F62B5-1EA5-48DD-9342-87AF25E98B47}" name="Продажа" totalsRowFunction="sum" dataDxfId="559" totalsRowDxfId="558">
      <calculatedColumnFormula>D1988</calculatedColumnFormula>
    </tableColumn>
    <tableColumn id="9" xr3:uid="{BA69B013-40AB-4E90-90DE-08ED2FC779C8}" name="Продажа НК" totalsRowFunction="sum" dataDxfId="557" totalsRowDxfId="556"/>
    <tableColumn id="10" xr3:uid="{7AACA9BF-F774-4F73-AA21-C88A90649D54}" name="отк" totalsRowFunction="sum" dataDxfId="555" totalsRowDxfId="554"/>
    <tableColumn id="11" xr3:uid="{CF670FC7-0E2E-45A4-AE48-DC0EFD658DC1}" name="шланги" totalsRowFunction="sum" dataDxfId="553" totalsRowDxfId="552"/>
    <tableColumn id="12" xr3:uid="{E68C3725-D542-44A1-8A46-F7310308AAA4}" name="Закупка" totalsRowFunction="sum" dataDxfId="551" totalsRowDxfId="550"/>
    <tableColumn id="13" xr3:uid="{87B5DF10-19B1-4D2B-B554-1338B8875466}" name="Маржа" totalsRowFunction="sum" dataDxfId="549" totalsRowDxfId="548">
      <calculatedColumnFormula>H1988-L1988-J1988-K1988</calculatedColumnFormula>
    </tableColumn>
    <tableColumn id="14" xr3:uid="{1C7EB991-0CC9-46F3-B394-46578AEEF26B}" name="Маржа НК" totalsRowFunction="sum" dataDxfId="547" totalsRowDxfId="546"/>
    <tableColumn id="15" xr3:uid="{5F213FED-BDB5-4923-8ED3-15D2D9AD8B58}" name="% маржи" totalsRowFunction="custom" dataDxfId="545" totalsRowDxfId="544">
      <calculatedColumnFormula>M1988/H1988</calculatedColumnFormula>
      <totalsRowFormula>M2012/H2012</totalsRowFormula>
    </tableColumn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5B3CAA7-C2FB-4400-A11D-DE733AE05E05}" name="Декабрь2021" displayName="Декабрь2021" ref="A2013:O2037" totalsRowCount="1" headerRowDxfId="543" tableBorderDxfId="542">
  <autoFilter ref="A2013:O2036" xr:uid="{05B3CAA7-C2FB-4400-A11D-DE733AE05E05}"/>
  <tableColumns count="15">
    <tableColumn id="1" xr3:uid="{B6835C1A-7D4E-4119-846A-FDA60918B63E}" name="Номер" totalsRowLabel="Итог" dataDxfId="541" totalsRowDxfId="540"/>
    <tableColumn id="2" xr3:uid="{2BB74014-EFB3-433F-A413-4A47648B4329}" name="Дата" dataDxfId="539" totalsRowDxfId="538"/>
    <tableColumn id="3" xr3:uid="{E1C12A51-EB39-493B-9FCB-AF0F7BB82EA0}" name="Клиент" dataDxfId="537" totalsRowDxfId="536"/>
    <tableColumn id="4" xr3:uid="{14264106-FC12-4344-BA76-2D9F9DA10DA6}" name="Сумма" dataDxfId="535" totalsRowDxfId="534"/>
    <tableColumn id="5" xr3:uid="{A3F768D5-6523-47E9-A2D4-B620C7CE1235}" name="Оплата" totalsRowLabel="21 824  " dataDxfId="533" totalsRowDxfId="532"/>
    <tableColumn id="6" xr3:uid="{35ECB2CD-6C3A-4904-9F4D-58C7235745DE}" name="Заказ" totalsRowFunction="custom" dataDxfId="531" totalsRowDxfId="530">
      <totalsRowFormula>M2037*0.12+N2037*0.06</totalsRowFormula>
    </tableColumn>
    <tableColumn id="7" xr3:uid="{3EC9BE5A-F390-4CFF-819A-5BAE95F9B40D}" name="Отгрузка" totalsRowFunction="custom" dataDxfId="529" totalsRowDxfId="528">
      <totalsRowFormula>H2037*0.04+I2037*0.02</totalsRowFormula>
    </tableColumn>
    <tableColumn id="8" xr3:uid="{48C33F8B-EB88-44E8-BB21-A29889629A5D}" name="Продажа" totalsRowFunction="sum" dataDxfId="527" totalsRowDxfId="526">
      <calculatedColumnFormula>D2014</calculatedColumnFormula>
    </tableColumn>
    <tableColumn id="9" xr3:uid="{1A52E9F6-B299-4875-BFCD-22D04C8A4EF7}" name="Продажа НК" totalsRowFunction="sum" dataDxfId="525" totalsRowDxfId="524"/>
    <tableColumn id="10" xr3:uid="{6A7EC9A4-1B4D-40D9-BBC9-0451227B7F03}" name="отк" totalsRowFunction="sum" dataDxfId="523" totalsRowDxfId="522"/>
    <tableColumn id="11" xr3:uid="{184BBE3B-0721-4912-A476-44FABEB872F2}" name="шланги" totalsRowFunction="sum" dataDxfId="521" totalsRowDxfId="520"/>
    <tableColumn id="12" xr3:uid="{BE99F3B1-486C-41B7-8430-1ED7945DA7F1}" name="Закупка" totalsRowFunction="sum" dataDxfId="519" totalsRowDxfId="518"/>
    <tableColumn id="13" xr3:uid="{DFF3348A-B7E9-46FB-9180-47511C287BF7}" name="Маржа" totalsRowFunction="sum" dataDxfId="517" totalsRowDxfId="516">
      <calculatedColumnFormula>H2014-L2014-J2014-K2014</calculatedColumnFormula>
    </tableColumn>
    <tableColumn id="14" xr3:uid="{A18D085B-A4FE-4513-A1A6-1BB002335D19}" name="Маржа НК" totalsRowFunction="sum" dataDxfId="515" totalsRowDxfId="514"/>
    <tableColumn id="15" xr3:uid="{0A667F05-0623-4C07-93B5-49E40064C578}" name="% маржи" totalsRowFunction="custom" dataDxfId="513" totalsRowDxfId="512">
      <calculatedColumnFormula>M2014/H2014</calculatedColumnFormula>
      <totalsRowFormula>M2037/H2037</totalsRowFormula>
    </tableColumn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80C7234D-DBDD-4EA2-9694-A25B5EDD2FB1}" name="Январь2022" displayName="Январь2022" ref="A2038:O2051" totalsRowCount="1" headerRowDxfId="511" tableBorderDxfId="510">
  <autoFilter ref="A2038:O2050" xr:uid="{80C7234D-DBDD-4EA2-9694-A25B5EDD2FB1}"/>
  <tableColumns count="15">
    <tableColumn id="1" xr3:uid="{E325A8E1-4B13-44DF-AAB6-A8378F7D3B19}" name="Номер" totalsRowLabel="Итог" dataDxfId="509" totalsRowDxfId="508"/>
    <tableColumn id="2" xr3:uid="{E1DD3CC0-98DF-4A0D-977C-4F53776A6048}" name="Дата" dataDxfId="507" totalsRowDxfId="506"/>
    <tableColumn id="3" xr3:uid="{B48DC67D-B7F7-4EB2-8258-9B161C10C4DB}" name="Клиент" dataDxfId="505" totalsRowDxfId="504"/>
    <tableColumn id="4" xr3:uid="{0FFD81F1-E7EA-49BE-A00D-709B8327CDAE}" name="Сумма" dataDxfId="503" totalsRowDxfId="502"/>
    <tableColumn id="5" xr3:uid="{D2620FF9-50FC-461E-B64C-C67674E4EA8F}" name="Оплата" totalsRowLabel="49 008  " dataDxfId="501" totalsRowDxfId="500"/>
    <tableColumn id="6" xr3:uid="{A635793C-FBC5-4F7C-B72B-3C491C17EC93}" name="Заказ" totalsRowFunction="custom" dataDxfId="499" totalsRowDxfId="498">
      <totalsRowFormula>M2051*0.17+N2051*0.06</totalsRowFormula>
    </tableColumn>
    <tableColumn id="7" xr3:uid="{6B97BF68-B124-4B77-8613-3529000DEA38}" name="Отгрузка" totalsRowFunction="custom" dataDxfId="497" totalsRowDxfId="496">
      <totalsRowFormula>H2051*0.04+I2051*0.02</totalsRowFormula>
    </tableColumn>
    <tableColumn id="8" xr3:uid="{9A244FDA-66FA-4505-BAF4-4BFE742CD418}" name="Продажа" totalsRowFunction="sum" dataDxfId="495" totalsRowDxfId="494">
      <calculatedColumnFormula>D2039</calculatedColumnFormula>
    </tableColumn>
    <tableColumn id="9" xr3:uid="{822A9899-A7F6-4BF9-9949-5CA77EA0DE03}" name="Продажа НК" totalsRowFunction="sum" dataDxfId="493" totalsRowDxfId="492"/>
    <tableColumn id="10" xr3:uid="{6257A121-3A37-431A-9F06-23A40209D1EB}" name="отк" totalsRowFunction="sum" dataDxfId="491" totalsRowDxfId="490"/>
    <tableColumn id="11" xr3:uid="{D79BCADC-780D-4147-8F4A-681BDA1A2F7B}" name="шланги" totalsRowFunction="sum" dataDxfId="489" totalsRowDxfId="488"/>
    <tableColumn id="12" xr3:uid="{A78A288C-FED1-4DA2-88C6-7260E004B497}" name="Закупка" totalsRowFunction="sum" dataDxfId="487" totalsRowDxfId="486"/>
    <tableColumn id="13" xr3:uid="{A933DE2D-C894-4CE2-9FD0-A428BFDE6795}" name="Маржа" totalsRowFunction="sum" dataDxfId="485" totalsRowDxfId="484">
      <calculatedColumnFormula>H2039-L2039-J2039-K2039</calculatedColumnFormula>
    </tableColumn>
    <tableColumn id="14" xr3:uid="{55D8D7D6-12A5-4BD6-BF76-DBB4FC3F1343}" name="Маржа НК" totalsRowFunction="sum" dataDxfId="483" totalsRowDxfId="482"/>
    <tableColumn id="15" xr3:uid="{F0B18F6A-7684-4CDE-B4F9-2137A28BB027}" name="% маржи" totalsRowFunction="custom" dataDxfId="481" totalsRowDxfId="480">
      <calculatedColumnFormula>M2039/H2039</calculatedColumnFormula>
      <totalsRowFormula>M2051/H2051</totalsRowFormula>
    </tableColumn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111E385C-0BD0-48B6-AC45-E198B345B3FA}" name="Февраль2022" displayName="Февраль2022" ref="A2052:O2067" totalsRowCount="1" headerRowDxfId="479" tableBorderDxfId="478">
  <autoFilter ref="A2052:O2066" xr:uid="{111E385C-0BD0-48B6-AC45-E198B345B3FA}"/>
  <tableColumns count="15">
    <tableColumn id="1" xr3:uid="{3888AB46-5DB0-44A1-9011-3D0365D32B18}" name="Номер" totalsRowLabel="Итог" dataDxfId="477" totalsRowDxfId="476"/>
    <tableColumn id="2" xr3:uid="{9CC424E6-B876-450D-B7AB-5B92E18D4C4F}" name="Дата" dataDxfId="475" totalsRowDxfId="474"/>
    <tableColumn id="3" xr3:uid="{BD3F44AA-1F57-4475-BBF7-AA1457A6BB05}" name="Клиент" dataDxfId="473" totalsRowDxfId="472"/>
    <tableColumn id="4" xr3:uid="{32AD7FB8-4BF5-4AFA-8ADF-CA76C2D2C0AB}" name="Сумма" dataDxfId="471" totalsRowDxfId="470"/>
    <tableColumn id="5" xr3:uid="{F77F9C6B-1011-4048-9E2B-279F4A76D732}" name="Оплата" totalsRowLabel="24 599  " dataDxfId="469" totalsRowDxfId="468"/>
    <tableColumn id="6" xr3:uid="{99DB5A14-818A-47BD-A325-30180209693D}" name="Заказ" totalsRowFunction="custom" dataDxfId="467" totalsRowDxfId="466">
      <totalsRowFormula>M2067*0.12+N2067*0.06</totalsRowFormula>
    </tableColumn>
    <tableColumn id="7" xr3:uid="{2D5F3FAE-2896-4E6D-8143-D5A3AADCAC17}" name="Отгрузка" totalsRowFunction="custom" dataDxfId="465" totalsRowDxfId="464">
      <totalsRowFormula>H2067*0.04+I2067*0.02</totalsRowFormula>
    </tableColumn>
    <tableColumn id="8" xr3:uid="{C4F76B84-34E0-4A7E-83CA-4897AF8335E7}" name="Продажа" totalsRowFunction="sum" dataDxfId="463" totalsRowDxfId="462">
      <calculatedColumnFormula>D2053</calculatedColumnFormula>
    </tableColumn>
    <tableColumn id="9" xr3:uid="{0C6C50C6-6463-4C39-83F5-E21476E1178F}" name="Продажа НК" totalsRowFunction="sum" dataDxfId="461" totalsRowDxfId="460"/>
    <tableColumn id="10" xr3:uid="{1B6DC24B-9228-4CE1-B234-BA9B1A55E3CD}" name="отк" totalsRowFunction="sum" dataDxfId="459" totalsRowDxfId="458"/>
    <tableColumn id="11" xr3:uid="{F67678B2-A74F-4F68-BDCC-D183DDDD7437}" name="шланги" totalsRowFunction="sum" dataDxfId="457" totalsRowDxfId="456"/>
    <tableColumn id="12" xr3:uid="{1CAFCE92-4676-4227-8AC2-595978D99EEF}" name="Закупка" totalsRowFunction="sum" dataDxfId="455" totalsRowDxfId="454"/>
    <tableColumn id="13" xr3:uid="{BDC3EFA1-C835-4903-90A7-DC3FCC9E443B}" name="Маржа" totalsRowFunction="sum" dataDxfId="453" totalsRowDxfId="452">
      <calculatedColumnFormula>H2053-L2053-J2053-K2053</calculatedColumnFormula>
    </tableColumn>
    <tableColumn id="14" xr3:uid="{71E3D131-7717-4BC0-87D8-5095342EE205}" name="Маржа НК" totalsRowFunction="sum" dataDxfId="451" totalsRowDxfId="450"/>
    <tableColumn id="15" xr3:uid="{33616CEE-B511-4A73-97CB-092D3964AAC7}" name="% маржи" totalsRowFunction="custom" dataDxfId="449" totalsRowDxfId="448">
      <calculatedColumnFormula>M2053/H2053</calculatedColumnFormula>
      <totalsRowFormula>M2067/H2067</totalsRowFormula>
    </tableColumn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6FD6F8DC-6546-49BE-9E40-DE4FE12ED0A1}" name="Март2022" displayName="Март2022" ref="A2068:O2096" totalsRowCount="1" headerRowDxfId="447" tableBorderDxfId="446">
  <autoFilter ref="A2068:O2095" xr:uid="{6FD6F8DC-6546-49BE-9E40-DE4FE12ED0A1}"/>
  <tableColumns count="15">
    <tableColumn id="1" xr3:uid="{9924EBA3-C737-4692-9833-DA11BAD5907E}" name="Номер" totalsRowLabel="Итог" dataDxfId="445" totalsRowDxfId="444"/>
    <tableColumn id="2" xr3:uid="{B1632B75-9027-4907-86C0-75355422445A}" name="Дата" dataDxfId="443" totalsRowDxfId="442"/>
    <tableColumn id="3" xr3:uid="{D35D3BBD-1360-478C-91C3-F50BB9F31847}" name="Клиент" dataDxfId="441" totalsRowDxfId="440"/>
    <tableColumn id="4" xr3:uid="{C31791A7-F9EC-4CBE-9462-C7D2F88C106C}" name="Сумма" dataDxfId="439" totalsRowDxfId="438"/>
    <tableColumn id="5" xr3:uid="{8A80B044-BF0B-471B-80AA-24EFBF10B5C5}" name="Оплата" totalsRowLabel="108 203  " dataDxfId="437" totalsRowDxfId="436"/>
    <tableColumn id="6" xr3:uid="{9DB35B9E-99C3-44C5-A78F-36D06EA89CA4}" name="Заказ" totalsRowFunction="custom" dataDxfId="435" totalsRowDxfId="434">
      <totalsRowFormula>M2096*0.17+N2096*0.06</totalsRowFormula>
    </tableColumn>
    <tableColumn id="7" xr3:uid="{9F4B2388-3F8B-4055-BB3D-4E9B95F09A4C}" name="Отгрузка" totalsRowFunction="custom" dataDxfId="433" totalsRowDxfId="432">
      <totalsRowFormula>H2096*0.04+I2096*0.02</totalsRowFormula>
    </tableColumn>
    <tableColumn id="8" xr3:uid="{6A9DB353-C517-4FF4-809B-19768B3ECE39}" name="Продажа" totalsRowFunction="sum" dataDxfId="431" totalsRowDxfId="430">
      <calculatedColumnFormula>D2069</calculatedColumnFormula>
    </tableColumn>
    <tableColumn id="9" xr3:uid="{1EDEBD26-256C-457B-9C3E-9C95DA548201}" name="Продажа НК" totalsRowFunction="sum" dataDxfId="429" totalsRowDxfId="428"/>
    <tableColumn id="10" xr3:uid="{1C61CC94-27E1-47CE-AAD3-77D321858649}" name="отк" totalsRowFunction="sum" dataDxfId="427" totalsRowDxfId="426"/>
    <tableColumn id="11" xr3:uid="{7A33ADBE-97CC-48A0-8806-492FCB66C9A5}" name="шланги" totalsRowFunction="sum" dataDxfId="425" totalsRowDxfId="424"/>
    <tableColumn id="12" xr3:uid="{7CA48C6F-CCE6-4CC3-836E-864344CF5941}" name="Закупка" totalsRowFunction="sum" dataDxfId="423" totalsRowDxfId="422"/>
    <tableColumn id="13" xr3:uid="{1DD44B54-E682-4AE1-9967-07EF2965AA85}" name="Маржа" totalsRowFunction="sum" dataDxfId="421" totalsRowDxfId="420">
      <calculatedColumnFormula>H2069-L2069-J2069-K2069</calculatedColumnFormula>
    </tableColumn>
    <tableColumn id="14" xr3:uid="{306D1581-D25D-467C-A20E-B04A178B0F70}" name="Маржа НК" totalsRowFunction="sum" dataDxfId="419" totalsRowDxfId="418"/>
    <tableColumn id="15" xr3:uid="{1A3918AB-23C8-4B73-B390-B55A0EF2E483}" name="% маржи" totalsRowFunction="custom" dataDxfId="417" totalsRowDxfId="416">
      <calculatedColumnFormula>M2069/H2069</calculatedColumnFormula>
      <totalsRowFormula>M2096/H2096</totalsRowFormula>
    </tableColumn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4FDDBD21-FA08-4B69-994C-8EFEA6ED0BC4}" name="Апрель2022" displayName="Апрель2022" ref="A2097:O2107" totalsRowCount="1" headerRowDxfId="415" tableBorderDxfId="414">
  <autoFilter ref="A2097:O2106" xr:uid="{4FDDBD21-FA08-4B69-994C-8EFEA6ED0BC4}"/>
  <tableColumns count="15">
    <tableColumn id="1" xr3:uid="{B6D75227-4C16-46AF-BAC0-D4B235255D7F}" name="Номер" totalsRowLabel="Итог" dataDxfId="413" totalsRowDxfId="412"/>
    <tableColumn id="2" xr3:uid="{0335470F-14C1-48E5-91A5-0846365FE901}" name="Дата" dataDxfId="411" totalsRowDxfId="410"/>
    <tableColumn id="3" xr3:uid="{901788B1-56DF-4126-A4F7-A11096899804}" name="Клиент" dataDxfId="409" totalsRowDxfId="408"/>
    <tableColumn id="4" xr3:uid="{F1A139F2-18D5-48CD-B1B7-B501037DCD41}" name="Сумма" dataDxfId="407" totalsRowDxfId="406"/>
    <tableColumn id="5" xr3:uid="{F1B6068B-5C3D-41A7-BB66-0AD6DCBA91C3}" name="Оплата" totalsRowLabel="21 519  " dataDxfId="405" totalsRowDxfId="404"/>
    <tableColumn id="6" xr3:uid="{76524084-834D-4116-BC7D-17FD7909D350}" name="Заказ" totalsRowFunction="custom" dataDxfId="403" totalsRowDxfId="402">
      <totalsRowFormula>M2107*0.12+N2107*0.06</totalsRowFormula>
    </tableColumn>
    <tableColumn id="7" xr3:uid="{D64DCF02-44DD-48E9-9DBC-9C53C4CEFBF5}" name="Отгрузка" totalsRowFunction="custom" dataDxfId="401" totalsRowDxfId="400">
      <totalsRowFormula>H2107*0.02+I2107*0.02</totalsRowFormula>
    </tableColumn>
    <tableColumn id="8" xr3:uid="{68EB24CA-D5B1-4EF8-BECF-FCEC907F15DF}" name="Продажа" totalsRowFunction="sum" dataDxfId="399" totalsRowDxfId="398">
      <calculatedColumnFormula>D2098</calculatedColumnFormula>
    </tableColumn>
    <tableColumn id="9" xr3:uid="{AFCFC8F3-24EE-44E1-83DC-0E113F1C70FA}" name="Продажа НК" totalsRowFunction="sum" dataDxfId="397" totalsRowDxfId="396"/>
    <tableColumn id="10" xr3:uid="{42799A0F-CA89-4ECA-B20B-4D3F3F68B7EB}" name="отк" totalsRowFunction="sum" dataDxfId="395" totalsRowDxfId="394"/>
    <tableColumn id="11" xr3:uid="{5AEA1F8A-EA43-4BCF-80F8-B0EA4F7741C7}" name="шланги" totalsRowFunction="sum" dataDxfId="393" totalsRowDxfId="392"/>
    <tableColumn id="12" xr3:uid="{92AB63D0-3F85-40DC-9A1F-8E04EF357E79}" name="Закупка" totalsRowFunction="sum" dataDxfId="391" totalsRowDxfId="390"/>
    <tableColumn id="13" xr3:uid="{1DB796CF-80FE-4BD2-AF2B-4734E4024612}" name="Маржа" totalsRowFunction="sum" dataDxfId="389" totalsRowDxfId="388">
      <calculatedColumnFormula>H2098-L2098-J2098-K2098</calculatedColumnFormula>
    </tableColumn>
    <tableColumn id="14" xr3:uid="{FB666697-17BA-4BAC-995E-B1DA1661C159}" name="Маржа НК" totalsRowFunction="sum" dataDxfId="387" totalsRowDxfId="386"/>
    <tableColumn id="15" xr3:uid="{32C1D6BC-00B2-47BD-81FE-5960B7A4DF06}" name="% маржи" totalsRowFunction="custom" dataDxfId="385" totalsRowDxfId="384">
      <calculatedColumnFormula>M2098/H2098</calculatedColumnFormula>
      <totalsRowFormula>M2107/H2107</totalsRowFormula>
    </tableColumn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350842A5-43AE-461C-9DF2-D19CC396C470}" name="Май2022" displayName="Май2022" ref="A2108:O2131" totalsRowCount="1" headerRowDxfId="383" tableBorderDxfId="382">
  <autoFilter ref="A2108:O2130" xr:uid="{350842A5-43AE-461C-9DF2-D19CC396C470}"/>
  <tableColumns count="15">
    <tableColumn id="1" xr3:uid="{29B51509-8A66-4D1F-B0C8-DDB39E79F989}" name="Номер" totalsRowLabel="Итог" dataDxfId="381" totalsRowDxfId="380"/>
    <tableColumn id="2" xr3:uid="{AE704ACA-12DA-4B45-AEFC-C55936D9A48C}" name="Дата" dataDxfId="379" totalsRowDxfId="378"/>
    <tableColumn id="3" xr3:uid="{2C438CC4-B143-41BC-A01E-AA73A8584034}" name="Клиент" dataDxfId="377" totalsRowDxfId="376"/>
    <tableColumn id="4" xr3:uid="{964BC491-288F-4CDA-B1F6-38B7A53A25B0}" name="Сумма" dataDxfId="375" totalsRowDxfId="374"/>
    <tableColumn id="5" xr3:uid="{BCDCA33D-8DF1-4A6F-AEAD-BF0E392DF952}" name="Оплата" totalsRowLabel="194 220  " dataDxfId="373" totalsRowDxfId="372"/>
    <tableColumn id="6" xr3:uid="{AE9A1C6C-648A-409D-87E6-58F70C6EE989}" name="Заказ" totalsRowFunction="custom" dataDxfId="371" totalsRowDxfId="370">
      <totalsRowFormula>M2131*0.17+N2131*0.06</totalsRowFormula>
    </tableColumn>
    <tableColumn id="7" xr3:uid="{1BC8EF03-D416-4BE8-8990-61858B0C11E2}" name="Отгрузка" totalsRowFunction="custom" dataDxfId="369" totalsRowDxfId="368">
      <totalsRowFormula>H2131*0.05+I2131*0.02</totalsRowFormula>
    </tableColumn>
    <tableColumn id="8" xr3:uid="{2D5E4976-159B-4D55-A065-8480AEA22A09}" name="Продажа" totalsRowFunction="sum" dataDxfId="367" totalsRowDxfId="366"/>
    <tableColumn id="9" xr3:uid="{2327903E-069D-4F53-8A50-317393CC1A24}" name="Продажа НК" totalsRowFunction="sum" dataDxfId="365" totalsRowDxfId="364"/>
    <tableColumn id="10" xr3:uid="{AFE1AB3B-83B5-4751-8C2A-34D21C33F1D2}" name="отк" totalsRowFunction="sum" dataDxfId="363" totalsRowDxfId="362"/>
    <tableColumn id="11" xr3:uid="{D1B7C8F2-FE92-4A17-BDE5-E3285E1D985E}" name="шланги" totalsRowFunction="sum" dataDxfId="361" totalsRowDxfId="360"/>
    <tableColumn id="12" xr3:uid="{66B6FD34-F220-4E8D-B1DE-8177C7AB41F0}" name="Закупка" totalsRowFunction="sum" dataDxfId="359" totalsRowDxfId="358"/>
    <tableColumn id="13" xr3:uid="{B5C4C8F2-6FD2-48FC-8CBA-7F46AF49E24F}" name="Маржа" totalsRowFunction="sum" dataDxfId="357" totalsRowDxfId="356">
      <calculatedColumnFormula>H2109-L2109-J2109-K2109</calculatedColumnFormula>
    </tableColumn>
    <tableColumn id="14" xr3:uid="{C2512E20-9D97-4C18-8B64-CD9C08E3D82D}" name="Маржа НК" totalsRowFunction="sum" dataDxfId="355" totalsRowDxfId="354"/>
    <tableColumn id="15" xr3:uid="{24391995-A9BD-46B0-9C7D-4FAB1ECAB9D1}" name="% маржи" totalsRowFunction="custom" dataDxfId="353" totalsRowDxfId="352">
      <calculatedColumnFormula>M2109/H2109</calculatedColumnFormula>
      <totalsRowFormula>M2131/H2131</totalsRowFormula>
    </tableColumn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C95449F8-70E7-4A1A-94B9-3B07AE274C9D}" name="Июнь2022" displayName="Июнь2022" ref="A2132:O2150" totalsRowCount="1" headerRowDxfId="351" tableBorderDxfId="350">
  <autoFilter ref="A2132:O2149" xr:uid="{C95449F8-70E7-4A1A-94B9-3B07AE274C9D}"/>
  <tableColumns count="15">
    <tableColumn id="1" xr3:uid="{1173952C-B777-4314-90C0-05FA1CC7FD96}" name="Номер" totalsRowLabel="Итог" dataDxfId="349" totalsRowDxfId="348"/>
    <tableColumn id="2" xr3:uid="{5B88D8E9-4680-4C27-9B32-ABEB19A755BA}" name="Дата" dataDxfId="347" totalsRowDxfId="346"/>
    <tableColumn id="3" xr3:uid="{E93FC36C-B4EF-4021-A9F2-7FE0D8DF4087}" name="Клиент" dataDxfId="345" totalsRowDxfId="344"/>
    <tableColumn id="4" xr3:uid="{E73378E6-70D3-4062-A356-8DFF541A3A0A}" name="Сумма" dataDxfId="343" totalsRowDxfId="342"/>
    <tableColumn id="5" xr3:uid="{694E445A-DE1A-4EEA-941A-E00D19CF4A84}" name="Оплата" totalsRowLabel="102 141  " dataDxfId="341" totalsRowDxfId="340"/>
    <tableColumn id="6" xr3:uid="{2AEDEC8D-F546-4476-929F-5296629B81FB}" name="Заказ" totalsRowFunction="custom" dataDxfId="339" totalsRowDxfId="338">
      <totalsRowFormula>M2150*0.17+N2150*0.06</totalsRowFormula>
    </tableColumn>
    <tableColumn id="7" xr3:uid="{84C10A4F-86AD-4238-9D34-58B841D57F0E}" name="Отгрузка" totalsRowFunction="custom" dataDxfId="337" totalsRowDxfId="336">
      <totalsRowFormula>H2150*0.05+I2150*0.02</totalsRowFormula>
    </tableColumn>
    <tableColumn id="8" xr3:uid="{CD23D739-4CA3-48EB-9994-176B9FAA17CC}" name="Продажа" totalsRowFunction="sum" dataDxfId="335" totalsRowDxfId="334"/>
    <tableColumn id="9" xr3:uid="{E899C303-1DCC-418A-B9B3-A83BB3C83697}" name="Продажа НК" totalsRowFunction="sum" dataDxfId="333" totalsRowDxfId="332"/>
    <tableColumn id="10" xr3:uid="{8FA8444C-AA9A-40F1-8E95-5EC8DF89C554}" name="отк" totalsRowFunction="sum" dataDxfId="331" totalsRowDxfId="330"/>
    <tableColumn id="11" xr3:uid="{211C4DA0-7F96-4C20-8DF8-5DEA3C57AA63}" name="шланги" totalsRowFunction="sum" dataDxfId="329" totalsRowDxfId="328"/>
    <tableColumn id="12" xr3:uid="{711ABE05-B5AD-48FE-A5CF-AA4A89BAC9CE}" name="Закупка" totalsRowFunction="sum" dataDxfId="327" totalsRowDxfId="326"/>
    <tableColumn id="13" xr3:uid="{4E7D9163-B4AD-4A7C-AE31-3FEEF13441AB}" name="Маржа" totalsRowFunction="sum" dataDxfId="325" totalsRowDxfId="324">
      <calculatedColumnFormula>H2133-L2133-J2133-K2133</calculatedColumnFormula>
    </tableColumn>
    <tableColumn id="14" xr3:uid="{EE1C43FB-70FB-41C2-9D9C-DBCCF857DCD8}" name="Маржа НК" totalsRowFunction="sum" dataDxfId="323" totalsRowDxfId="322"/>
    <tableColumn id="15" xr3:uid="{DFD0FC42-B906-47BA-AFF9-F45147EF36AC}" name="% маржи" totalsRowFunction="custom" dataDxfId="321" totalsRowDxfId="320">
      <calculatedColumnFormula>M2133/H2133</calculatedColumnFormula>
      <totalsRowFormula>M2150/H2150</totalsRowFormula>
    </tableColumn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9054905F-FE5B-4EFE-8D8D-2A9D25FF5438}" name="Июль2022" displayName="Июль2022" ref="A2151:O2166" totalsRowCount="1" headerRowDxfId="319" tableBorderDxfId="318">
  <autoFilter ref="A2151:O2165" xr:uid="{9054905F-FE5B-4EFE-8D8D-2A9D25FF5438}"/>
  <tableColumns count="15">
    <tableColumn id="1" xr3:uid="{C1B0E5AE-DE55-4FD6-B59E-1DDF6A01D005}" name="Номер" totalsRowLabel="Итог" dataDxfId="317" totalsRowDxfId="316"/>
    <tableColumn id="2" xr3:uid="{A0EA34FD-3B93-4DF4-A5B8-58F9DD4D8ED8}" name="Дата" dataDxfId="315" totalsRowDxfId="314"/>
    <tableColumn id="3" xr3:uid="{8CD92429-0938-4694-9928-536406C9158D}" name="Клиент" dataDxfId="313" totalsRowDxfId="312"/>
    <tableColumn id="4" xr3:uid="{C1C09A96-B2BC-49B6-920C-0C70F7052E2B}" name="Сумма" dataDxfId="311" totalsRowDxfId="310"/>
    <tableColumn id="5" xr3:uid="{E626180C-C16F-401C-BD8E-82461FC0A36F}" name="Оплата" totalsRowLabel="80 084  " dataDxfId="309" totalsRowDxfId="308"/>
    <tableColumn id="6" xr3:uid="{1CDE192B-759D-41F4-B37C-81004F2743C5}" name="Заказ" totalsRowFunction="custom" dataDxfId="307" totalsRowDxfId="306">
      <totalsRowFormula>M2166*0.17+N2166*0.06</totalsRowFormula>
    </tableColumn>
    <tableColumn id="7" xr3:uid="{02FBB184-BE8B-4C04-86CF-F58A3610B264}" name="Отгрузка" totalsRowFunction="custom" dataDxfId="305" totalsRowDxfId="304">
      <totalsRowFormula>H2166*0.05+I2166*0.02</totalsRowFormula>
    </tableColumn>
    <tableColumn id="8" xr3:uid="{ACECCD13-7847-420B-9809-1FC8E9DB0581}" name="Продажа" totalsRowFunction="sum" dataDxfId="303" totalsRowDxfId="302">
      <calculatedColumnFormula>D2152</calculatedColumnFormula>
    </tableColumn>
    <tableColumn id="9" xr3:uid="{F6DD3EDD-A237-4FEA-9010-3181040B4F95}" name="Продажа НК" totalsRowFunction="sum" dataDxfId="301" totalsRowDxfId="300"/>
    <tableColumn id="10" xr3:uid="{CC79B7C6-E4F0-4BA4-B84D-AD81748A83DD}" name="отк" totalsRowFunction="sum" dataDxfId="299" totalsRowDxfId="298"/>
    <tableColumn id="11" xr3:uid="{F6C0E472-DD00-4F33-9C82-1422D055AAAC}" name="шланги" totalsRowFunction="sum" dataDxfId="297" totalsRowDxfId="296"/>
    <tableColumn id="12" xr3:uid="{44A84535-8FC7-4DF2-94B4-8BD723D8B92B}" name="Закупка" totalsRowFunction="sum" dataDxfId="295" totalsRowDxfId="294"/>
    <tableColumn id="13" xr3:uid="{9DE35295-9E0F-4FBE-8CFB-B5598326764B}" name="Маржа" totalsRowFunction="sum" dataDxfId="293" totalsRowDxfId="292">
      <calculatedColumnFormula>H2152-L2152-J2152-K2152</calculatedColumnFormula>
    </tableColumn>
    <tableColumn id="14" xr3:uid="{E32EC1A6-F5EE-4EBF-BEDD-33DC5360779C}" name="Маржа НК" totalsRowFunction="sum" dataDxfId="291" totalsRowDxfId="290"/>
    <tableColumn id="15" xr3:uid="{499155B2-2812-4EBE-88A6-07894CACC8F1}" name="% маржи" totalsRowFunction="custom" dataDxfId="289" totalsRowDxfId="288">
      <calculatedColumnFormula>M2152/H2152</calculatedColumnFormula>
      <totalsRowFormula>M2166/H2166</totalsRowFormula>
    </tableColumn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E7384483-862A-4946-8E9A-0E91553BE6E9}" name="Август2022" displayName="Август2022" ref="A2167:O2197" totalsRowCount="1" headerRowDxfId="287" tableBorderDxfId="286">
  <autoFilter ref="A2167:O2196" xr:uid="{E7384483-862A-4946-8E9A-0E91553BE6E9}"/>
  <tableColumns count="15">
    <tableColumn id="1" xr3:uid="{D4A4EB5A-7366-4626-B7F0-637686362C32}" name="Номер" totalsRowLabel="Итог" dataDxfId="285" totalsRowDxfId="284"/>
    <tableColumn id="2" xr3:uid="{6DCCA0B4-9084-4D56-82B3-2B5564181944}" name="Дата" dataDxfId="283" totalsRowDxfId="282"/>
    <tableColumn id="3" xr3:uid="{D1C73AFA-C1E1-4F77-9D64-AAD4B6DDDC19}" name="Клиент" dataDxfId="281" totalsRowDxfId="280"/>
    <tableColumn id="4" xr3:uid="{19C0F267-53E2-43C5-8B55-678140A3F274}" name="Сумма" dataDxfId="279" totalsRowDxfId="278"/>
    <tableColumn id="5" xr3:uid="{84387C6F-8591-4C18-A119-85AE8541630F}" name="Оплата" totalsRowFunction="custom" dataDxfId="277" totalsRowDxfId="276">
      <totalsRowFormula>75000+19246</totalsRowFormula>
    </tableColumn>
    <tableColumn id="6" xr3:uid="{4D409B43-28F8-4C1D-B4F6-B7E14AF60469}" name="Заказ" totalsRowFunction="custom" dataDxfId="275" totalsRowDxfId="274">
      <totalsRowFormula>M2197*0.17+N2197*0.06</totalsRowFormula>
    </tableColumn>
    <tableColumn id="7" xr3:uid="{52F386AD-C981-48C1-B304-F9A2868B629A}" name="Отгрузка" totalsRowFunction="custom" dataDxfId="273" totalsRowDxfId="272">
      <totalsRowFormula>H2197*0.05+I2197*0.02</totalsRowFormula>
    </tableColumn>
    <tableColumn id="8" xr3:uid="{F142F865-2884-4A75-AE48-754438A0507C}" name="Продажа" totalsRowFunction="sum" dataDxfId="271" totalsRowDxfId="270">
      <calculatedColumnFormula>D2168</calculatedColumnFormula>
    </tableColumn>
    <tableColumn id="9" xr3:uid="{DC942381-A36E-4CE2-A424-BB64A9AE545F}" name="Продажа НК" totalsRowFunction="sum" dataDxfId="269" totalsRowDxfId="268"/>
    <tableColumn id="10" xr3:uid="{63C0F21C-5F53-45A4-AFE6-D4786A40D6D2}" name="отк" totalsRowFunction="sum" dataDxfId="267" totalsRowDxfId="266"/>
    <tableColumn id="11" xr3:uid="{E3B18BA0-B8E1-48A1-856B-E732F7DFE796}" name="шланги" totalsRowFunction="sum" dataDxfId="265" totalsRowDxfId="264"/>
    <tableColumn id="12" xr3:uid="{C2881715-8B2D-4423-9095-CEABE41F9DA7}" name="Закупка" totalsRowFunction="sum" dataDxfId="263" totalsRowDxfId="262"/>
    <tableColumn id="13" xr3:uid="{4495E964-F5B6-4EF4-A95D-9B751AB53C23}" name="Маржа" totalsRowFunction="sum" dataDxfId="261" totalsRowDxfId="260">
      <calculatedColumnFormula>H2168-L2168-J2168-K2168</calculatedColumnFormula>
    </tableColumn>
    <tableColumn id="14" xr3:uid="{075D42F2-09E0-4193-A7C6-4614FF6F302E}" name="Маржа НК" totalsRowFunction="sum" dataDxfId="259" totalsRowDxfId="258"/>
    <tableColumn id="15" xr3:uid="{F9891E7F-3E17-450E-A320-3A6285D3D01D}" name="% маржи" totalsRowFunction="custom" dataDxfId="257" totalsRowDxfId="256">
      <calculatedColumnFormula>M2168/H2168</calculatedColumnFormula>
      <totalsRowFormula>M2197/H2197</totalsRowFormula>
    </tableColumn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17EA0610-9B33-4981-A07F-75C3E01CEA5C}" name="Сентябрь2022" displayName="Сентябрь2022" ref="A2198:O2213" totalsRowCount="1" headerRowDxfId="255" tableBorderDxfId="254">
  <autoFilter ref="A2198:O2212" xr:uid="{17EA0610-9B33-4981-A07F-75C3E01CEA5C}"/>
  <tableColumns count="15">
    <tableColumn id="1" xr3:uid="{B7437474-9BB3-44A7-A04C-51995B34FE24}" name="Номер" totalsRowLabel="Итог" dataDxfId="253" totalsRowDxfId="252"/>
    <tableColumn id="2" xr3:uid="{C00E140A-6530-424F-82FA-58A0249DEE48}" name="Дата" dataDxfId="251" totalsRowDxfId="250"/>
    <tableColumn id="3" xr3:uid="{DF405440-2327-4D74-8602-D0F0CF9893EC}" name="Клиент" dataDxfId="249" totalsRowDxfId="248"/>
    <tableColumn id="4" xr3:uid="{67CCAB52-FCC6-4940-AFCA-E4B1C008859A}" name="Сумма" dataDxfId="247" totalsRowDxfId="246"/>
    <tableColumn id="5" xr3:uid="{708BE6C2-9493-4EF8-A8FB-F0928AC03FE4}" name="Оплата" totalsRowLabel="56 905  " dataDxfId="245" totalsRowDxfId="244"/>
    <tableColumn id="6" xr3:uid="{73C61ECE-AB0E-4C24-9827-3F6879A68627}" name="Заказ" totalsRowFunction="custom" dataDxfId="243" totalsRowDxfId="242">
      <totalsRowFormula>M2213*0.17+N2213*0.06</totalsRowFormula>
    </tableColumn>
    <tableColumn id="7" xr3:uid="{57BEEDD8-171D-492D-B6C1-DD55D87DE878}" name="Отгрузка" totalsRowFunction="custom" dataDxfId="241" totalsRowDxfId="240">
      <totalsRowFormula>H2213*0.05+I2213*0.02</totalsRowFormula>
    </tableColumn>
    <tableColumn id="8" xr3:uid="{44889CEC-0731-4D71-BC19-3214091B638C}" name="Продажа" totalsRowFunction="sum" dataDxfId="239" totalsRowDxfId="238"/>
    <tableColumn id="9" xr3:uid="{61A48F5B-D21B-4387-922F-8824F18AAD6C}" name="Продажа НК" totalsRowFunction="sum" dataDxfId="237" totalsRowDxfId="236"/>
    <tableColumn id="10" xr3:uid="{03A66852-7CBA-41BF-9C8A-EFA23ED8780D}" name="отк" totalsRowFunction="sum" dataDxfId="235" totalsRowDxfId="234"/>
    <tableColumn id="11" xr3:uid="{CEF8FB1A-B75A-4412-9965-FA373E82D00C}" name="шланги" totalsRowFunction="sum" dataDxfId="233" totalsRowDxfId="232"/>
    <tableColumn id="12" xr3:uid="{3D27DB6B-49CE-4D76-85B7-93240E1C2C99}" name="Закупка" totalsRowFunction="sum" dataDxfId="231" totalsRowDxfId="230"/>
    <tableColumn id="13" xr3:uid="{9B116A7F-1A46-43B8-BD52-A0748FF2D22D}" name="Маржа" totalsRowFunction="sum" dataDxfId="229" totalsRowDxfId="228">
      <calculatedColumnFormula>H2199-L2199-J2199-K2199</calculatedColumnFormula>
    </tableColumn>
    <tableColumn id="14" xr3:uid="{DE0529EA-EC4E-4CAE-8C26-2954A4E283B4}" name="Маржа НК" totalsRowFunction="sum" dataDxfId="227" totalsRowDxfId="226"/>
    <tableColumn id="15" xr3:uid="{3CBF9B20-0489-4415-B5A2-E547EA919C74}" name="% маржи" totalsRowFunction="custom" dataDxfId="225" totalsRowDxfId="224">
      <calculatedColumnFormula>M2199/H2199</calculatedColumnFormula>
      <totalsRowFormula>M2213/H2213</totalsRowFormula>
    </tableColumn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24192D8B-503A-407E-A052-E68EA249EE76}" name="Октябрь2022" displayName="Октябрь2022" ref="A2214:O2230" totalsRowCount="1" headerRowDxfId="223" tableBorderDxfId="222">
  <autoFilter ref="A2214:O2229" xr:uid="{24192D8B-503A-407E-A052-E68EA249EE76}"/>
  <tableColumns count="15">
    <tableColumn id="1" xr3:uid="{CED56850-917F-4EE2-8DAF-2586955260D7}" name="Номер" totalsRowLabel="Итог" dataDxfId="221" totalsRowDxfId="220"/>
    <tableColumn id="2" xr3:uid="{E99B81D1-C616-472D-9C74-2867CAD05918}" name="Дата" dataDxfId="219" totalsRowDxfId="218"/>
    <tableColumn id="3" xr3:uid="{BF5BBCC9-5D29-4579-AF57-187F67E507C2}" name="Клиент" dataDxfId="217" totalsRowDxfId="216"/>
    <tableColumn id="4" xr3:uid="{D820BDD4-A1F3-4A34-ACDA-03A314D7CDF8}" name="Сумма" dataDxfId="215" totalsRowDxfId="214"/>
    <tableColumn id="5" xr3:uid="{ED551BC5-28A5-490A-91EC-A80AAEF6182B}" name="Оплата" totalsRowLabel="44 790  " dataDxfId="213" totalsRowDxfId="212"/>
    <tableColumn id="6" xr3:uid="{120BD4EA-2AB4-4537-A414-411A5A67BC6A}" name="Заказ" totalsRowFunction="custom" dataDxfId="211" totalsRowDxfId="210">
      <totalsRowFormula>M2230*0.17+N2230*0.06</totalsRowFormula>
    </tableColumn>
    <tableColumn id="7" xr3:uid="{6C1CEF20-563C-4414-9E42-CCED4A849B88}" name="Отгрузка" totalsRowFunction="custom" dataDxfId="209" totalsRowDxfId="208">
      <totalsRowFormula>H2230*0.05+I2230*0.02</totalsRowFormula>
    </tableColumn>
    <tableColumn id="8" xr3:uid="{A68D8DF9-2DDB-41AB-8032-89C64EE83ECE}" name="Продажа" totalsRowFunction="sum" dataDxfId="207" totalsRowDxfId="206">
      <calculatedColumnFormula>D2215</calculatedColumnFormula>
    </tableColumn>
    <tableColumn id="9" xr3:uid="{DFF34474-F9B6-43F4-8885-5782B8A6ED1A}" name="Продажа НК" totalsRowFunction="sum" dataDxfId="205" totalsRowDxfId="204"/>
    <tableColumn id="10" xr3:uid="{F426CA18-95DF-40A5-9EE9-036EAE9B1E48}" name="отк" totalsRowFunction="sum" dataDxfId="203" totalsRowDxfId="202"/>
    <tableColumn id="11" xr3:uid="{E128DD8A-ABD5-43F0-9BDF-EAA6DC050693}" name="шланги" totalsRowFunction="sum" dataDxfId="201" totalsRowDxfId="200"/>
    <tableColumn id="12" xr3:uid="{1A0C390D-5FC3-4F1B-8E47-1A1F280648F4}" name="Закупка" totalsRowFunction="sum" dataDxfId="199" totalsRowDxfId="198"/>
    <tableColumn id="13" xr3:uid="{DE45F392-3359-4CFC-8AE6-DBAA80EB0AC2}" name="Маржа" totalsRowFunction="sum" dataDxfId="197" totalsRowDxfId="196">
      <calculatedColumnFormula>H2215-L2215-J2215-K2215</calculatedColumnFormula>
    </tableColumn>
    <tableColumn id="14" xr3:uid="{369AD222-3DE9-47B7-A5B6-63F0F49A0E2C}" name="Маржа НК" totalsRowFunction="sum" dataDxfId="195" totalsRowDxfId="194"/>
    <tableColumn id="15" xr3:uid="{82726C13-3DA2-40B9-A273-F093C9EB340A}" name="% маржи" totalsRowFunction="custom" dataDxfId="193" totalsRowDxfId="192">
      <calculatedColumnFormula>M2215/H2215</calculatedColumnFormula>
      <totalsRowFormula>M2230/H2230</totalsRowFormula>
    </tableColumn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E8096100-1CB4-47E3-9CDC-1DACBDE3CC9B}" name="Ноябрь2022" displayName="Ноябрь2022" ref="A2231:O2246" totalsRowCount="1" headerRowDxfId="191" tableBorderDxfId="190">
  <autoFilter ref="A2231:O2245" xr:uid="{E8096100-1CB4-47E3-9CDC-1DACBDE3CC9B}"/>
  <tableColumns count="15">
    <tableColumn id="1" xr3:uid="{5679EFB2-F2E6-4B05-95BF-37EFB27D8B8A}" name="Номер" totalsRowLabel="Итог" dataDxfId="189" totalsRowDxfId="188"/>
    <tableColumn id="2" xr3:uid="{C56E58E6-592A-417C-9D8A-E05A7B528C9D}" name="Дата" dataDxfId="187" totalsRowDxfId="186"/>
    <tableColumn id="3" xr3:uid="{02108DD0-0C61-4B0C-9811-53E518A14A04}" name="Клиент" dataDxfId="185" totalsRowDxfId="184"/>
    <tableColumn id="4" xr3:uid="{CBEE9999-CEB7-4701-A572-58DF17D5F5CA}" name="Сумма" dataDxfId="183" totalsRowDxfId="182"/>
    <tableColumn id="5" xr3:uid="{A9388BA5-77D3-416E-80DE-7A30212EB146}" name="Оплата" totalsRowLabel="6 253  " dataDxfId="181" totalsRowDxfId="180"/>
    <tableColumn id="6" xr3:uid="{83B39C3F-27CE-458B-903B-DC703F5120E7}" name="Заказ" totalsRowFunction="custom" dataDxfId="179" totalsRowDxfId="178">
      <totalsRowFormula>M2246*0.05+N2246*0.06</totalsRowFormula>
    </tableColumn>
    <tableColumn id="7" xr3:uid="{9360A199-B21A-4913-BBF8-E07B831C9FDE}" name="Отгрузка" totalsRowFunction="custom" dataDxfId="177" totalsRowDxfId="176">
      <totalsRowFormula>H2246*0.05+I2246*0.02</totalsRowFormula>
    </tableColumn>
    <tableColumn id="8" xr3:uid="{C6B58FA5-4214-41CE-BD1F-4E945A37165E}" name="Продажа" totalsRowFunction="sum" dataDxfId="175" totalsRowDxfId="174">
      <calculatedColumnFormula>D2232</calculatedColumnFormula>
    </tableColumn>
    <tableColumn id="9" xr3:uid="{4B2BACBB-3FB9-4380-A4FE-C831039DDE02}" name="Продажа НК" totalsRowFunction="sum" dataDxfId="173" totalsRowDxfId="172"/>
    <tableColumn id="10" xr3:uid="{A6B7FA57-6083-4EE7-BFDD-04648C80A424}" name="отк" totalsRowFunction="sum" dataDxfId="171" totalsRowDxfId="170"/>
    <tableColumn id="11" xr3:uid="{541BEA5B-D8B2-4345-9005-23DABBD93A8A}" name="шланги" totalsRowFunction="sum" dataDxfId="169" totalsRowDxfId="168"/>
    <tableColumn id="12" xr3:uid="{8F6968FB-561A-4BF1-9A9F-833E46A69102}" name="Закупка" totalsRowFunction="sum" dataDxfId="167" totalsRowDxfId="166"/>
    <tableColumn id="13" xr3:uid="{3B51C05E-7574-4484-BF00-C1E698B3ECA9}" name="Маржа" totalsRowFunction="sum" dataDxfId="165" totalsRowDxfId="164">
      <calculatedColumnFormula>H2232-L2232-J2232-K2232</calculatedColumnFormula>
    </tableColumn>
    <tableColumn id="14" xr3:uid="{70676CD7-571B-42F5-AC8D-D00A66A42A1A}" name="Маржа НК" totalsRowFunction="sum" dataDxfId="163" totalsRowDxfId="162"/>
    <tableColumn id="15" xr3:uid="{117498D4-EF85-4111-8C16-DCB4C2E7F541}" name="% маржи" totalsRowFunction="custom" dataDxfId="161" totalsRowDxfId="160">
      <calculatedColumnFormula>M2232/H2232</calculatedColumnFormula>
      <totalsRowFormula>M2246/H2246</totalsRowFormula>
    </tableColumn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7256C450-2F20-43BD-9B46-B6AA12770993}" name="Декабрь2022" displayName="Декабрь2022" ref="A2247:O2274" totalsRowCount="1" headerRowDxfId="159" tableBorderDxfId="158">
  <autoFilter ref="A2247:O2273" xr:uid="{7256C450-2F20-43BD-9B46-B6AA12770993}"/>
  <tableColumns count="15">
    <tableColumn id="1" xr3:uid="{2EE2AD07-395B-4580-BD81-F26DD8CBF9D7}" name="Номер" totalsRowLabel="Итог" dataDxfId="157" totalsRowDxfId="156"/>
    <tableColumn id="2" xr3:uid="{26A25EA4-5AFD-4456-9CBF-D1CEDE1580B0}" name="Дата" dataDxfId="155" totalsRowDxfId="154"/>
    <tableColumn id="3" xr3:uid="{ABEFB40F-5546-4589-90AA-1FDCC6C50656}" name="Клиент" dataDxfId="153" totalsRowDxfId="152"/>
    <tableColumn id="4" xr3:uid="{23913506-817A-4687-A9C2-E947B4D142F0}" name="Сумма" dataDxfId="151" totalsRowDxfId="150"/>
    <tableColumn id="5" xr3:uid="{14707A80-877E-461A-9F29-C3E849D6C101}" name="Оплата" totalsRowLabel="70 230  " dataDxfId="149" totalsRowDxfId="148"/>
    <tableColumn id="6" xr3:uid="{1325DDAA-0683-4080-8530-201C2D317DF2}" name="Заказ" totalsRowFunction="custom" dataDxfId="147" totalsRowDxfId="146">
      <totalsRowFormula>M2274*0.17+N2274*0.06</totalsRowFormula>
    </tableColumn>
    <tableColumn id="7" xr3:uid="{2AC24AAB-8D6A-4D3F-9B18-115B3CD6A99B}" name="Отгрузка" totalsRowFunction="custom" dataDxfId="145" totalsRowDxfId="144">
      <totalsRowFormula>H2274*0.05+I2274*0.02</totalsRowFormula>
    </tableColumn>
    <tableColumn id="8" xr3:uid="{4CA0F6C3-72E5-42EA-88B3-2CC346CAF557}" name="Продажа" totalsRowFunction="sum" dataDxfId="143" totalsRowDxfId="142"/>
    <tableColumn id="9" xr3:uid="{DFE708AA-BE32-4958-B07B-A17D16816824}" name="Продажа НК" totalsRowFunction="sum" dataDxfId="141" totalsRowDxfId="140"/>
    <tableColumn id="10" xr3:uid="{540DC076-B335-4FE8-A351-861673E94AFF}" name="отк" totalsRowFunction="sum" dataDxfId="139" totalsRowDxfId="138"/>
    <tableColumn id="11" xr3:uid="{F65B6F85-E49F-476A-8C80-D2B8027E81D9}" name="шланги" totalsRowFunction="sum" dataDxfId="137" totalsRowDxfId="136"/>
    <tableColumn id="12" xr3:uid="{28A1D962-4E6E-4474-929F-546C0BF5F0B9}" name="Закупка" totalsRowFunction="sum" dataDxfId="135" totalsRowDxfId="134"/>
    <tableColumn id="13" xr3:uid="{AD0995A3-4B0C-4A4A-8C54-23E87159D338}" name="Маржа" totalsRowFunction="sum" dataDxfId="133" totalsRowDxfId="132"/>
    <tableColumn id="14" xr3:uid="{63473D9E-4753-4810-8440-5C334BF5118F}" name="Маржа НК" totalsRowFunction="sum" dataDxfId="131" totalsRowDxfId="130"/>
    <tableColumn id="15" xr3:uid="{AA01EFEC-4B1A-49AB-A4FD-D0C41FF5A98D}" name="% маржи" totalsRowFunction="custom" dataDxfId="129" totalsRowDxfId="128">
      <totalsRowFormula>M2274/H2274</totalsRowFormula>
    </tableColumn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83122CC-EE8B-4485-BC0B-0A28EB1B39FD}" name="Таблица97" displayName="Таблица97" ref="A1:O2140" headerRowDxfId="87" dataDxfId="88" headerRowCellStyle="Финансовый" dataCellStyle="Финансовый">
  <autoFilter ref="A1:O2140" xr:uid="{F83122CC-EE8B-4485-BC0B-0A28EB1B39FD}"/>
  <tableColumns count="15">
    <tableColumn id="1" xr3:uid="{8839DC67-D6F8-4934-B3A8-CA2F2CE620D1}" name="Номер" totalsRowLabel="Итог" dataDxfId="99" totalsRowDxfId="76"/>
    <tableColumn id="16" xr3:uid="{88CE7362-0F52-4DBF-8370-336454B1EDBD}" name="ИД" dataDxfId="68" totalsRowDxfId="69">
      <calculatedColumnFormula>TEXT(Таблица97[[#This Row],[Дата]],"ГГ")&amp;RIGHT("000"&amp;Таблица97[[#This Row],[Номер]],4)</calculatedColumnFormula>
    </tableColumn>
    <tableColumn id="2" xr3:uid="{B506AC27-66D7-4C19-9CB7-9B587CEC9754}" name="Дата" dataDxfId="98" totalsRowDxfId="77"/>
    <tableColumn id="3" xr3:uid="{E2EA40F2-E873-4545-855E-70B0C70589D8}" name="Клиент" dataDxfId="97" totalsRowDxfId="78"/>
    <tableColumn id="4" xr3:uid="{E4E1A053-B2C5-4147-875A-8C1974722590}" name="Сумма" dataDxfId="96" totalsRowDxfId="79" dataCellStyle="Финансовый"/>
    <tableColumn id="5" xr3:uid="{0298856F-50B6-4977-97B2-217EFC2FE920}" name="Оплата" dataDxfId="95" totalsRowDxfId="80"/>
    <tableColumn id="6" xr3:uid="{B8FC9225-D936-436C-B3C3-EB657F7C75F9}" name="НК" dataDxfId="94" totalsRowDxfId="81"/>
    <tableColumn id="7" xr3:uid="{4E32FD5A-FE38-4D3D-9CF8-BF2B53C65625}" name="Отгрузка" dataDxfId="93" totalsRowDxfId="82"/>
    <tableColumn id="8" xr3:uid="{7E419AE8-D968-460E-AEEB-DC911591EBFF}" name="Продажа" dataDxfId="92" totalsRowDxfId="83" dataCellStyle="Финансовый">
      <calculatedColumnFormula>E2</calculatedColumnFormula>
    </tableColumn>
    <tableColumn id="13" xr3:uid="{3D414EB9-1E99-470A-AFA8-28DD34A3A660}" name="ПродажаНК" dataDxfId="74" totalsRowDxfId="75" dataCellStyle="Финансовый">
      <calculatedColumnFormula>IF(Таблица97[[#This Row],[НК]]=1,Таблица97[[#This Row],[Продажа]],"")</calculatedColumnFormula>
    </tableColumn>
    <tableColumn id="10" xr3:uid="{A97F1346-8F31-482C-A989-6E9A19E40E34}" name="отк" dataDxfId="91" totalsRowDxfId="84" dataCellStyle="Финансовый"/>
    <tableColumn id="11" xr3:uid="{E7A74D95-7C6C-4DBB-BAAE-401263B10C6B}" name="шланги" dataDxfId="90" totalsRowDxfId="85" dataCellStyle="Финансовый"/>
    <tableColumn id="12" xr3:uid="{AD6CFFF2-7836-406A-8AEE-2C11A1D98954}" name="Закупка" totalsRowFunction="sum" dataDxfId="89" totalsRowDxfId="86" dataCellStyle="Финансовый"/>
    <tableColumn id="14" xr3:uid="{0D20A801-31C6-443C-B354-171BE429E3CD}" name="Маржа" dataDxfId="72" totalsRowDxfId="73" dataCellStyle="Финансовый">
      <calculatedColumnFormula>Таблица97[[#This Row],[Продажа]]-Таблица97[[#This Row],[Закупка]]</calculatedColumnFormula>
    </tableColumn>
    <tableColumn id="15" xr3:uid="{16137A39-BB18-4436-B659-4E969D2DAC0F}" name="МаржаНК" dataDxfId="70" totalsRowDxfId="71" dataCellStyle="Финансовый">
      <calculatedColumnFormula>IF(Таблица97[[#This Row],[НК]]=1,Таблица97[[#This Row],[Маржа]],"")</calculatedColumnFormula>
    </tableColumn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7AB1369F-ACEB-4F45-A553-55C8B4071519}" name="Таблица98" displayName="Таблица98" ref="A1:N97" totalsRowCount="1" headerRowDxfId="127">
  <autoFilter ref="A1:N96" xr:uid="{7AB1369F-ACEB-4F45-A553-55C8B4071519}"/>
  <tableColumns count="14">
    <tableColumn id="1" xr3:uid="{CD50318F-2ED8-4701-BA0F-C0782159FC1E}" name="Месяц" totalsRowLabel="Итог" dataDxfId="126" totalsRowDxfId="25"/>
    <tableColumn id="3" xr3:uid="{3E0BEC0B-3907-4BE9-B149-7D794F10ADAF}" name="Продажа" totalsRowFunction="sum" totalsRowDxfId="24"/>
    <tableColumn id="4" xr3:uid="{6E0E7DFD-2B38-4C37-8B28-8205E17EB97B}" name="Продажа НК" totalsRowFunction="sum" totalsRowDxfId="23"/>
    <tableColumn id="5" xr3:uid="{01203D88-A02E-42AF-A2AF-CA86EEC69E7B}" name="Маржа" totalsRowFunction="sum" totalsRowDxfId="22"/>
    <tableColumn id="6" xr3:uid="{FC992A1C-3FA1-424C-B81D-4AC43EF6D453}" name="Маржа НК" totalsRowFunction="sum" totalsRowDxfId="21"/>
    <tableColumn id="8" xr3:uid="{E7C898EE-CCD6-4DAA-B693-24FB21CB45F4}" name="БонусОлд" totalsRowFunction="average" dataDxfId="125" totalsRowDxfId="20">
      <calculatedColumnFormula>ROUND(Таблица98[[#This Row],[Продажа]]*(0.02 +IF(Таблица98[[#This Row],[Продажа]]&gt;=500000,0.03,0))+Таблица98[[#This Row],[Продажа НК]]*0.02,0)</calculatedColumnFormula>
    </tableColumn>
    <tableColumn id="7" xr3:uid="{5CF2142A-DD44-457B-B911-C7C60369E696}" name="Бонус" totalsRowFunction="average" dataDxfId="124" totalsRowDxfId="19">
      <calculatedColumnFormula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calculatedColumnFormula>
    </tableColumn>
    <tableColumn id="9" xr3:uid="{6B2BA3B5-DAE6-46BD-8E53-3A156821DEE4}" name="БонусФакт" totalsRowFunction="average" dataDxfId="101" totalsRowDxfId="18">
      <calculatedColumnFormula>Февраль2015[[#Totals],[Оплата]]</calculatedColumnFormula>
    </tableColumn>
    <tableColumn id="11" xr3:uid="{E899F825-F343-4787-80B5-B1ECD8599515}" name="Премия" totalsRowFunction="sum"/>
    <tableColumn id="12" xr3:uid="{863299E3-2D47-4811-A4CE-88007688B742}" name="Штраф" totalsRowFunction="sum"/>
    <tableColumn id="14" xr3:uid="{B3473B64-46FE-438A-A7B2-893E472F0678}" name="ИтогоОлд" totalsRowFunction="average" dataDxfId="123" totalsRowDxfId="17">
      <calculatedColumnFormula>Таблица98[[#This Row],[БонусОлд]]-Таблица98[[#This Row],[Премия]]+Таблица98[[#This Row],[Штраф]]+14790</calculatedColumnFormula>
    </tableColumn>
    <tableColumn id="13" xr3:uid="{2DE1A750-4AC1-41D2-A9B9-0EBC96F1D867}" name="Итого" totalsRowFunction="average" dataDxfId="122" totalsRowDxfId="16">
      <calculatedColumnFormula>Таблица98[[#This Row],[Бонус]]-Таблица98[[#This Row],[Штраф]]+Таблица98[[#This Row],[Премия]]+14790</calculatedColumnFormula>
    </tableColumn>
    <tableColumn id="10" xr3:uid="{2087E30F-FC96-47D3-9D70-70D18DE489E4}" name="Итого Факт" totalsRowFunction="average" dataDxfId="121" totalsRowDxfId="15">
      <calculatedColumnFormula>Таблица98[[#This Row],[БонусФакт]]+14790</calculatedColumnFormula>
    </tableColumn>
    <tableColumn id="15" xr3:uid="{84CB36FF-25CD-41BA-AC1A-22A44F16A7DC}" name="Разница" totalsRowFunction="sum" dataDxfId="120" totalsRowDxfId="14">
      <calculatedColumnFormula>Таблица98[[#This Row],[Бонус]]-Таблица98[[#This Row],[БонусОлд]]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37.xml"/><Relationship Id="rId21" Type="http://schemas.openxmlformats.org/officeDocument/2006/relationships/table" Target="../tables/table32.xml"/><Relationship Id="rId42" Type="http://schemas.openxmlformats.org/officeDocument/2006/relationships/table" Target="../tables/table53.xml"/><Relationship Id="rId47" Type="http://schemas.openxmlformats.org/officeDocument/2006/relationships/table" Target="../tables/table58.xml"/><Relationship Id="rId63" Type="http://schemas.openxmlformats.org/officeDocument/2006/relationships/table" Target="../tables/table74.xml"/><Relationship Id="rId68" Type="http://schemas.openxmlformats.org/officeDocument/2006/relationships/table" Target="../tables/table79.xml"/><Relationship Id="rId84" Type="http://schemas.openxmlformats.org/officeDocument/2006/relationships/table" Target="../tables/table95.xml"/><Relationship Id="rId16" Type="http://schemas.openxmlformats.org/officeDocument/2006/relationships/table" Target="../tables/table27.xml"/><Relationship Id="rId11" Type="http://schemas.openxmlformats.org/officeDocument/2006/relationships/table" Target="../tables/table22.xml"/><Relationship Id="rId32" Type="http://schemas.openxmlformats.org/officeDocument/2006/relationships/table" Target="../tables/table43.xml"/><Relationship Id="rId37" Type="http://schemas.openxmlformats.org/officeDocument/2006/relationships/table" Target="../tables/table48.xml"/><Relationship Id="rId53" Type="http://schemas.openxmlformats.org/officeDocument/2006/relationships/table" Target="../tables/table64.xml"/><Relationship Id="rId58" Type="http://schemas.openxmlformats.org/officeDocument/2006/relationships/table" Target="../tables/table69.xml"/><Relationship Id="rId74" Type="http://schemas.openxmlformats.org/officeDocument/2006/relationships/table" Target="../tables/table85.xml"/><Relationship Id="rId79" Type="http://schemas.openxmlformats.org/officeDocument/2006/relationships/table" Target="../tables/table90.xml"/><Relationship Id="rId5" Type="http://schemas.openxmlformats.org/officeDocument/2006/relationships/table" Target="../tables/table16.xml"/><Relationship Id="rId19" Type="http://schemas.openxmlformats.org/officeDocument/2006/relationships/table" Target="../tables/table30.xml"/><Relationship Id="rId14" Type="http://schemas.openxmlformats.org/officeDocument/2006/relationships/table" Target="../tables/table25.xml"/><Relationship Id="rId22" Type="http://schemas.openxmlformats.org/officeDocument/2006/relationships/table" Target="../tables/table33.xml"/><Relationship Id="rId27" Type="http://schemas.openxmlformats.org/officeDocument/2006/relationships/table" Target="../tables/table38.xml"/><Relationship Id="rId30" Type="http://schemas.openxmlformats.org/officeDocument/2006/relationships/table" Target="../tables/table41.xml"/><Relationship Id="rId35" Type="http://schemas.openxmlformats.org/officeDocument/2006/relationships/table" Target="../tables/table46.xml"/><Relationship Id="rId43" Type="http://schemas.openxmlformats.org/officeDocument/2006/relationships/table" Target="../tables/table54.xml"/><Relationship Id="rId48" Type="http://schemas.openxmlformats.org/officeDocument/2006/relationships/table" Target="../tables/table59.xml"/><Relationship Id="rId56" Type="http://schemas.openxmlformats.org/officeDocument/2006/relationships/table" Target="../tables/table67.xml"/><Relationship Id="rId64" Type="http://schemas.openxmlformats.org/officeDocument/2006/relationships/table" Target="../tables/table75.xml"/><Relationship Id="rId69" Type="http://schemas.openxmlformats.org/officeDocument/2006/relationships/table" Target="../tables/table80.xml"/><Relationship Id="rId77" Type="http://schemas.openxmlformats.org/officeDocument/2006/relationships/table" Target="../tables/table88.xml"/><Relationship Id="rId8" Type="http://schemas.openxmlformats.org/officeDocument/2006/relationships/table" Target="../tables/table19.xml"/><Relationship Id="rId51" Type="http://schemas.openxmlformats.org/officeDocument/2006/relationships/table" Target="../tables/table62.xml"/><Relationship Id="rId72" Type="http://schemas.openxmlformats.org/officeDocument/2006/relationships/table" Target="../tables/table83.xml"/><Relationship Id="rId80" Type="http://schemas.openxmlformats.org/officeDocument/2006/relationships/table" Target="../tables/table91.xml"/><Relationship Id="rId85" Type="http://schemas.openxmlformats.org/officeDocument/2006/relationships/table" Target="../tables/table96.xml"/><Relationship Id="rId3" Type="http://schemas.openxmlformats.org/officeDocument/2006/relationships/table" Target="../tables/table14.xml"/><Relationship Id="rId12" Type="http://schemas.openxmlformats.org/officeDocument/2006/relationships/table" Target="../tables/table23.xml"/><Relationship Id="rId17" Type="http://schemas.openxmlformats.org/officeDocument/2006/relationships/table" Target="../tables/table28.xml"/><Relationship Id="rId25" Type="http://schemas.openxmlformats.org/officeDocument/2006/relationships/table" Target="../tables/table36.xml"/><Relationship Id="rId33" Type="http://schemas.openxmlformats.org/officeDocument/2006/relationships/table" Target="../tables/table44.xml"/><Relationship Id="rId38" Type="http://schemas.openxmlformats.org/officeDocument/2006/relationships/table" Target="../tables/table49.xml"/><Relationship Id="rId46" Type="http://schemas.openxmlformats.org/officeDocument/2006/relationships/table" Target="../tables/table57.xml"/><Relationship Id="rId59" Type="http://schemas.openxmlformats.org/officeDocument/2006/relationships/table" Target="../tables/table70.xml"/><Relationship Id="rId67" Type="http://schemas.openxmlformats.org/officeDocument/2006/relationships/table" Target="../tables/table78.xml"/><Relationship Id="rId20" Type="http://schemas.openxmlformats.org/officeDocument/2006/relationships/table" Target="../tables/table31.xml"/><Relationship Id="rId41" Type="http://schemas.openxmlformats.org/officeDocument/2006/relationships/table" Target="../tables/table52.xml"/><Relationship Id="rId54" Type="http://schemas.openxmlformats.org/officeDocument/2006/relationships/table" Target="../tables/table65.xml"/><Relationship Id="rId62" Type="http://schemas.openxmlformats.org/officeDocument/2006/relationships/table" Target="../tables/table73.xml"/><Relationship Id="rId70" Type="http://schemas.openxmlformats.org/officeDocument/2006/relationships/table" Target="../tables/table81.xml"/><Relationship Id="rId75" Type="http://schemas.openxmlformats.org/officeDocument/2006/relationships/table" Target="../tables/table86.xml"/><Relationship Id="rId83" Type="http://schemas.openxmlformats.org/officeDocument/2006/relationships/table" Target="../tables/table94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7.xml"/><Relationship Id="rId15" Type="http://schemas.openxmlformats.org/officeDocument/2006/relationships/table" Target="../tables/table26.xml"/><Relationship Id="rId23" Type="http://schemas.openxmlformats.org/officeDocument/2006/relationships/table" Target="../tables/table34.xml"/><Relationship Id="rId28" Type="http://schemas.openxmlformats.org/officeDocument/2006/relationships/table" Target="../tables/table39.xml"/><Relationship Id="rId36" Type="http://schemas.openxmlformats.org/officeDocument/2006/relationships/table" Target="../tables/table47.xml"/><Relationship Id="rId49" Type="http://schemas.openxmlformats.org/officeDocument/2006/relationships/table" Target="../tables/table60.xml"/><Relationship Id="rId57" Type="http://schemas.openxmlformats.org/officeDocument/2006/relationships/table" Target="../tables/table68.xml"/><Relationship Id="rId10" Type="http://schemas.openxmlformats.org/officeDocument/2006/relationships/table" Target="../tables/table21.xml"/><Relationship Id="rId31" Type="http://schemas.openxmlformats.org/officeDocument/2006/relationships/table" Target="../tables/table42.xml"/><Relationship Id="rId44" Type="http://schemas.openxmlformats.org/officeDocument/2006/relationships/table" Target="../tables/table55.xml"/><Relationship Id="rId52" Type="http://schemas.openxmlformats.org/officeDocument/2006/relationships/table" Target="../tables/table63.xml"/><Relationship Id="rId60" Type="http://schemas.openxmlformats.org/officeDocument/2006/relationships/table" Target="../tables/table71.xml"/><Relationship Id="rId65" Type="http://schemas.openxmlformats.org/officeDocument/2006/relationships/table" Target="../tables/table76.xml"/><Relationship Id="rId73" Type="http://schemas.openxmlformats.org/officeDocument/2006/relationships/table" Target="../tables/table84.xml"/><Relationship Id="rId78" Type="http://schemas.openxmlformats.org/officeDocument/2006/relationships/table" Target="../tables/table89.xml"/><Relationship Id="rId81" Type="http://schemas.openxmlformats.org/officeDocument/2006/relationships/table" Target="../tables/table92.xml"/><Relationship Id="rId86" Type="http://schemas.openxmlformats.org/officeDocument/2006/relationships/comments" Target="../comments2.xml"/><Relationship Id="rId4" Type="http://schemas.openxmlformats.org/officeDocument/2006/relationships/table" Target="../tables/table15.xml"/><Relationship Id="rId9" Type="http://schemas.openxmlformats.org/officeDocument/2006/relationships/table" Target="../tables/table20.xml"/><Relationship Id="rId13" Type="http://schemas.openxmlformats.org/officeDocument/2006/relationships/table" Target="../tables/table24.xml"/><Relationship Id="rId18" Type="http://schemas.openxmlformats.org/officeDocument/2006/relationships/table" Target="../tables/table29.xml"/><Relationship Id="rId39" Type="http://schemas.openxmlformats.org/officeDocument/2006/relationships/table" Target="../tables/table50.xml"/><Relationship Id="rId34" Type="http://schemas.openxmlformats.org/officeDocument/2006/relationships/table" Target="../tables/table45.xml"/><Relationship Id="rId50" Type="http://schemas.openxmlformats.org/officeDocument/2006/relationships/table" Target="../tables/table61.xml"/><Relationship Id="rId55" Type="http://schemas.openxmlformats.org/officeDocument/2006/relationships/table" Target="../tables/table66.xml"/><Relationship Id="rId76" Type="http://schemas.openxmlformats.org/officeDocument/2006/relationships/table" Target="../tables/table87.xml"/><Relationship Id="rId7" Type="http://schemas.openxmlformats.org/officeDocument/2006/relationships/table" Target="../tables/table18.xml"/><Relationship Id="rId71" Type="http://schemas.openxmlformats.org/officeDocument/2006/relationships/table" Target="../tables/table82.xml"/><Relationship Id="rId2" Type="http://schemas.openxmlformats.org/officeDocument/2006/relationships/vmlDrawing" Target="../drawings/vmlDrawing2.vml"/><Relationship Id="rId29" Type="http://schemas.openxmlformats.org/officeDocument/2006/relationships/table" Target="../tables/table40.xml"/><Relationship Id="rId24" Type="http://schemas.openxmlformats.org/officeDocument/2006/relationships/table" Target="../tables/table35.xml"/><Relationship Id="rId40" Type="http://schemas.openxmlformats.org/officeDocument/2006/relationships/table" Target="../tables/table51.xml"/><Relationship Id="rId45" Type="http://schemas.openxmlformats.org/officeDocument/2006/relationships/table" Target="../tables/table56.xml"/><Relationship Id="rId66" Type="http://schemas.openxmlformats.org/officeDocument/2006/relationships/table" Target="../tables/table77.xml"/><Relationship Id="rId61" Type="http://schemas.openxmlformats.org/officeDocument/2006/relationships/table" Target="../tables/table72.xml"/><Relationship Id="rId82" Type="http://schemas.openxmlformats.org/officeDocument/2006/relationships/table" Target="../tables/table9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7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8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8703A-048F-4F04-8C1C-EB64D36EDAB8}">
  <dimension ref="A1:P2541"/>
  <sheetViews>
    <sheetView topLeftCell="B2518" workbookViewId="0">
      <selection activeCell="I2543" sqref="I2543"/>
    </sheetView>
  </sheetViews>
  <sheetFormatPr defaultColWidth="9.140625" defaultRowHeight="20.100000000000001" customHeight="1" x14ac:dyDescent="0.25"/>
  <cols>
    <col min="1" max="1" width="10.5703125" style="2" customWidth="1"/>
    <col min="2" max="2" width="10.140625" style="2" bestFit="1" customWidth="1"/>
    <col min="3" max="3" width="40.5703125" style="2" bestFit="1" customWidth="1"/>
    <col min="4" max="4" width="14.7109375" style="2" bestFit="1" customWidth="1"/>
    <col min="5" max="5" width="11.42578125" style="2" bestFit="1" customWidth="1"/>
    <col min="6" max="6" width="14.7109375" style="2" bestFit="1" customWidth="1"/>
    <col min="7" max="7" width="13.28515625" style="2" customWidth="1"/>
    <col min="8" max="8" width="13.140625" style="2" bestFit="1" customWidth="1"/>
    <col min="9" max="9" width="15.7109375" style="2" customWidth="1"/>
    <col min="10" max="11" width="11.28515625" style="2" bestFit="1" customWidth="1"/>
    <col min="12" max="13" width="13.140625" style="2" bestFit="1" customWidth="1"/>
    <col min="14" max="14" width="13.7109375" style="2" customWidth="1"/>
    <col min="15" max="15" width="12.42578125" style="2" customWidth="1"/>
    <col min="16" max="16384" width="9.140625" style="2"/>
  </cols>
  <sheetData>
    <row r="1" spans="1:15" ht="20.100000000000001" customHeight="1" x14ac:dyDescent="0.25">
      <c r="A1" s="1" t="s">
        <v>1</v>
      </c>
      <c r="B1" s="1" t="s">
        <v>0</v>
      </c>
      <c r="C1" s="1" t="s">
        <v>26</v>
      </c>
      <c r="D1" s="1" t="s">
        <v>2</v>
      </c>
      <c r="E1" s="1" t="s">
        <v>3</v>
      </c>
      <c r="F1" s="1" t="s">
        <v>27</v>
      </c>
      <c r="G1" s="1" t="s">
        <v>4</v>
      </c>
      <c r="H1" s="2" t="s">
        <v>132</v>
      </c>
      <c r="I1" s="2" t="s">
        <v>133</v>
      </c>
      <c r="J1" s="40" t="s">
        <v>187</v>
      </c>
      <c r="K1" s="40" t="s">
        <v>188</v>
      </c>
      <c r="L1" s="40" t="s">
        <v>129</v>
      </c>
      <c r="M1" s="40" t="s">
        <v>130</v>
      </c>
      <c r="N1" s="2" t="s">
        <v>131</v>
      </c>
      <c r="O1" s="2" t="s">
        <v>134</v>
      </c>
    </row>
    <row r="2" spans="1:15" ht="20.100000000000001" customHeight="1" x14ac:dyDescent="0.25">
      <c r="A2" s="89">
        <v>2</v>
      </c>
      <c r="B2" s="4">
        <v>41988</v>
      </c>
      <c r="C2" s="90" t="s">
        <v>5</v>
      </c>
      <c r="D2" s="3">
        <v>1598.66</v>
      </c>
      <c r="E2" s="4">
        <v>41991</v>
      </c>
      <c r="F2" s="4"/>
      <c r="G2" s="32">
        <v>41999</v>
      </c>
      <c r="H2" s="38">
        <f t="shared" ref="H2:H17" si="0">D2</f>
        <v>1598.66</v>
      </c>
      <c r="I2" s="38">
        <f t="shared" ref="I2:I17" si="1">H2</f>
        <v>1598.66</v>
      </c>
      <c r="J2" s="38"/>
      <c r="K2" s="38"/>
    </row>
    <row r="3" spans="1:15" ht="20.100000000000001" customHeight="1" x14ac:dyDescent="0.25">
      <c r="A3" s="89">
        <v>3</v>
      </c>
      <c r="B3" s="4">
        <v>41991</v>
      </c>
      <c r="C3" s="90" t="s">
        <v>6</v>
      </c>
      <c r="D3" s="3">
        <v>1880.8</v>
      </c>
      <c r="E3" s="4">
        <v>41992</v>
      </c>
      <c r="F3" s="4"/>
      <c r="G3" s="32">
        <v>42048</v>
      </c>
      <c r="H3" s="38">
        <f t="shared" si="0"/>
        <v>1880.8</v>
      </c>
      <c r="I3" s="38">
        <f t="shared" si="1"/>
        <v>1880.8</v>
      </c>
      <c r="J3" s="38"/>
      <c r="K3" s="38"/>
    </row>
    <row r="4" spans="1:15" ht="20.100000000000001" customHeight="1" x14ac:dyDescent="0.25">
      <c r="A4" s="89">
        <v>1</v>
      </c>
      <c r="B4" s="4">
        <v>42016</v>
      </c>
      <c r="C4" s="90" t="s">
        <v>7</v>
      </c>
      <c r="D4" s="91">
        <v>989.55</v>
      </c>
      <c r="E4" s="4">
        <v>42023</v>
      </c>
      <c r="F4" s="4"/>
      <c r="G4" s="32">
        <v>42032</v>
      </c>
      <c r="H4" s="38">
        <f t="shared" si="0"/>
        <v>989.55</v>
      </c>
      <c r="I4" s="38">
        <f t="shared" si="1"/>
        <v>989.55</v>
      </c>
      <c r="J4" s="38"/>
      <c r="K4" s="38"/>
    </row>
    <row r="5" spans="1:15" ht="20.100000000000001" customHeight="1" x14ac:dyDescent="0.25">
      <c r="A5" s="89">
        <v>2</v>
      </c>
      <c r="B5" s="4">
        <v>42025</v>
      </c>
      <c r="C5" s="90" t="s">
        <v>8</v>
      </c>
      <c r="D5" s="3">
        <v>8031.19</v>
      </c>
      <c r="E5" s="4">
        <v>42026</v>
      </c>
      <c r="F5" s="4"/>
      <c r="G5" s="32">
        <v>42061</v>
      </c>
      <c r="H5" s="38">
        <f t="shared" si="0"/>
        <v>8031.19</v>
      </c>
      <c r="I5" s="38">
        <f t="shared" si="1"/>
        <v>8031.19</v>
      </c>
      <c r="J5" s="38"/>
      <c r="K5" s="38"/>
    </row>
    <row r="6" spans="1:15" ht="20.100000000000001" customHeight="1" x14ac:dyDescent="0.25">
      <c r="A6" s="89">
        <v>3</v>
      </c>
      <c r="B6" s="4">
        <v>42034</v>
      </c>
      <c r="C6" s="90" t="s">
        <v>9</v>
      </c>
      <c r="D6" s="3">
        <v>10279.549999999999</v>
      </c>
      <c r="E6" s="4">
        <v>42039</v>
      </c>
      <c r="F6" s="4"/>
      <c r="G6" s="32">
        <v>42039</v>
      </c>
      <c r="H6" s="38">
        <f t="shared" si="0"/>
        <v>10279.549999999999</v>
      </c>
      <c r="I6" s="38">
        <f t="shared" si="1"/>
        <v>10279.549999999999</v>
      </c>
      <c r="J6" s="38"/>
      <c r="K6" s="38"/>
    </row>
    <row r="7" spans="1:15" ht="20.100000000000001" customHeight="1" x14ac:dyDescent="0.25">
      <c r="A7" s="89">
        <v>21</v>
      </c>
      <c r="B7" s="4">
        <v>42060</v>
      </c>
      <c r="C7" s="90" t="s">
        <v>19</v>
      </c>
      <c r="D7" s="3">
        <v>5435.67</v>
      </c>
      <c r="E7" s="4">
        <v>42062</v>
      </c>
      <c r="F7" s="92" t="s">
        <v>28</v>
      </c>
      <c r="G7" s="32">
        <v>42136</v>
      </c>
      <c r="H7" s="38">
        <f t="shared" si="0"/>
        <v>5435.67</v>
      </c>
      <c r="I7" s="38">
        <f t="shared" si="1"/>
        <v>5435.67</v>
      </c>
      <c r="J7" s="38"/>
      <c r="K7" s="38"/>
    </row>
    <row r="8" spans="1:15" ht="20.100000000000001" customHeight="1" x14ac:dyDescent="0.25">
      <c r="A8" s="89">
        <v>4</v>
      </c>
      <c r="B8" s="4">
        <v>42037</v>
      </c>
      <c r="C8" s="90" t="s">
        <v>10</v>
      </c>
      <c r="D8" s="3">
        <v>4753.34</v>
      </c>
      <c r="E8" s="4">
        <v>42038</v>
      </c>
      <c r="F8" s="4"/>
      <c r="G8" s="32">
        <v>42039</v>
      </c>
      <c r="H8" s="38">
        <f t="shared" si="0"/>
        <v>4753.34</v>
      </c>
      <c r="I8" s="38">
        <f t="shared" si="1"/>
        <v>4753.34</v>
      </c>
      <c r="J8" s="38"/>
      <c r="K8" s="38"/>
    </row>
    <row r="9" spans="1:15" ht="20.100000000000001" customHeight="1" x14ac:dyDescent="0.25">
      <c r="A9" s="89">
        <v>7</v>
      </c>
      <c r="B9" s="4">
        <v>42039</v>
      </c>
      <c r="C9" s="90" t="s">
        <v>12</v>
      </c>
      <c r="D9" s="3">
        <v>3972.77</v>
      </c>
      <c r="E9" s="4">
        <v>42040</v>
      </c>
      <c r="F9" s="4"/>
      <c r="G9" s="32">
        <v>42041</v>
      </c>
      <c r="H9" s="38">
        <f t="shared" si="0"/>
        <v>3972.77</v>
      </c>
      <c r="I9" s="38">
        <f t="shared" si="1"/>
        <v>3972.77</v>
      </c>
      <c r="J9" s="38"/>
      <c r="K9" s="38"/>
    </row>
    <row r="10" spans="1:15" ht="20.100000000000001" customHeight="1" x14ac:dyDescent="0.25">
      <c r="A10" s="89">
        <v>12</v>
      </c>
      <c r="B10" s="4">
        <v>42044</v>
      </c>
      <c r="C10" s="90" t="s">
        <v>15</v>
      </c>
      <c r="D10" s="3">
        <v>6741.05</v>
      </c>
      <c r="E10" s="4">
        <v>42047</v>
      </c>
      <c r="F10" s="4"/>
      <c r="G10" s="32">
        <v>42069</v>
      </c>
      <c r="H10" s="38">
        <f t="shared" si="0"/>
        <v>6741.05</v>
      </c>
      <c r="I10" s="38">
        <f t="shared" si="1"/>
        <v>6741.05</v>
      </c>
      <c r="J10" s="38"/>
      <c r="K10" s="38"/>
    </row>
    <row r="11" spans="1:15" ht="20.100000000000001" customHeight="1" x14ac:dyDescent="0.25">
      <c r="A11" s="89">
        <v>15</v>
      </c>
      <c r="B11" s="4">
        <v>42047</v>
      </c>
      <c r="C11" s="90" t="s">
        <v>16</v>
      </c>
      <c r="D11" s="3">
        <v>25164.12</v>
      </c>
      <c r="E11" s="4">
        <v>42047</v>
      </c>
      <c r="F11" s="4"/>
      <c r="G11" s="32">
        <v>42069</v>
      </c>
      <c r="H11" s="38">
        <f t="shared" si="0"/>
        <v>25164.12</v>
      </c>
      <c r="I11" s="38">
        <f t="shared" si="1"/>
        <v>25164.12</v>
      </c>
      <c r="J11" s="38"/>
      <c r="K11" s="38"/>
    </row>
    <row r="12" spans="1:15" ht="20.100000000000001" customHeight="1" x14ac:dyDescent="0.25">
      <c r="A12" s="89">
        <v>14</v>
      </c>
      <c r="B12" s="4">
        <v>42047</v>
      </c>
      <c r="C12" s="90" t="s">
        <v>16</v>
      </c>
      <c r="D12" s="3">
        <v>12965.26</v>
      </c>
      <c r="E12" s="4">
        <v>42047</v>
      </c>
      <c r="F12" s="4"/>
      <c r="G12" s="32">
        <v>42069</v>
      </c>
      <c r="H12" s="38">
        <f t="shared" si="0"/>
        <v>12965.26</v>
      </c>
      <c r="I12" s="38">
        <f t="shared" si="1"/>
        <v>12965.26</v>
      </c>
      <c r="J12" s="38"/>
      <c r="K12" s="38"/>
    </row>
    <row r="13" spans="1:15" ht="20.100000000000001" customHeight="1" x14ac:dyDescent="0.25">
      <c r="A13" s="89">
        <v>10</v>
      </c>
      <c r="B13" s="4">
        <v>42041</v>
      </c>
      <c r="C13" s="90" t="s">
        <v>13</v>
      </c>
      <c r="D13" s="3">
        <v>7463.21</v>
      </c>
      <c r="E13" s="4">
        <v>42048</v>
      </c>
      <c r="F13" s="4"/>
      <c r="G13" s="32">
        <v>42052</v>
      </c>
      <c r="H13" s="38">
        <f t="shared" si="0"/>
        <v>7463.21</v>
      </c>
      <c r="I13" s="38">
        <f t="shared" si="1"/>
        <v>7463.21</v>
      </c>
      <c r="J13" s="38"/>
      <c r="K13" s="38"/>
    </row>
    <row r="14" spans="1:15" ht="19.5" customHeight="1" x14ac:dyDescent="0.25">
      <c r="A14" s="89">
        <v>11</v>
      </c>
      <c r="B14" s="4">
        <v>42041</v>
      </c>
      <c r="C14" s="90" t="s">
        <v>14</v>
      </c>
      <c r="D14" s="3">
        <v>24877.35</v>
      </c>
      <c r="E14" s="4">
        <v>42041</v>
      </c>
      <c r="F14" s="4"/>
      <c r="G14" s="32">
        <v>42051</v>
      </c>
      <c r="H14" s="38">
        <f t="shared" si="0"/>
        <v>24877.35</v>
      </c>
      <c r="I14" s="38">
        <f t="shared" si="1"/>
        <v>24877.35</v>
      </c>
      <c r="J14" s="38"/>
      <c r="K14" s="38"/>
    </row>
    <row r="15" spans="1:15" ht="20.100000000000001" customHeight="1" x14ac:dyDescent="0.25">
      <c r="A15" s="89">
        <v>16</v>
      </c>
      <c r="B15" s="4">
        <v>42051</v>
      </c>
      <c r="C15" s="90" t="s">
        <v>17</v>
      </c>
      <c r="D15" s="3">
        <v>29190</v>
      </c>
      <c r="E15" s="4">
        <v>42052</v>
      </c>
      <c r="F15" s="4"/>
      <c r="G15" s="32">
        <v>42052</v>
      </c>
      <c r="H15" s="38">
        <f t="shared" si="0"/>
        <v>29190</v>
      </c>
      <c r="I15" s="38">
        <f t="shared" si="1"/>
        <v>29190</v>
      </c>
      <c r="J15" s="38"/>
      <c r="K15" s="38"/>
    </row>
    <row r="16" spans="1:15" ht="20.100000000000001" customHeight="1" x14ac:dyDescent="0.25">
      <c r="A16" s="89">
        <v>5</v>
      </c>
      <c r="B16" s="4">
        <v>42037</v>
      </c>
      <c r="C16" s="90" t="s">
        <v>11</v>
      </c>
      <c r="D16" s="3">
        <v>7203.9</v>
      </c>
      <c r="E16" s="4">
        <v>42065</v>
      </c>
      <c r="F16" s="92" t="s">
        <v>28</v>
      </c>
      <c r="G16" s="32">
        <v>42124</v>
      </c>
      <c r="H16" s="38">
        <f t="shared" si="0"/>
        <v>7203.9</v>
      </c>
      <c r="I16" s="38">
        <f t="shared" si="1"/>
        <v>7203.9</v>
      </c>
      <c r="J16" s="38"/>
      <c r="K16" s="38"/>
    </row>
    <row r="17" spans="1:12" ht="20.100000000000001" customHeight="1" x14ac:dyDescent="0.25">
      <c r="A17" s="89">
        <v>17</v>
      </c>
      <c r="B17" s="4">
        <v>42054</v>
      </c>
      <c r="C17" s="90" t="s">
        <v>16</v>
      </c>
      <c r="D17" s="3">
        <v>23836</v>
      </c>
      <c r="E17" s="4">
        <v>42059</v>
      </c>
      <c r="F17" s="4"/>
      <c r="G17" s="32">
        <v>42061</v>
      </c>
      <c r="H17" s="38">
        <f t="shared" si="0"/>
        <v>23836</v>
      </c>
      <c r="I17" s="38">
        <f t="shared" si="1"/>
        <v>23836</v>
      </c>
      <c r="J17" s="38"/>
      <c r="K17" s="38"/>
    </row>
    <row r="18" spans="1:12" ht="20.100000000000001" customHeight="1" x14ac:dyDescent="0.25">
      <c r="A18" s="89"/>
      <c r="B18" s="4"/>
      <c r="C18" s="90"/>
      <c r="D18" s="3"/>
      <c r="E18" s="4"/>
      <c r="F18" s="4"/>
      <c r="G18" s="4"/>
      <c r="H18" s="16">
        <f>SUM(H2:H17)</f>
        <v>174382.41999999998</v>
      </c>
      <c r="I18" s="16">
        <f>SUM(I2:I17)</f>
        <v>174382.41999999998</v>
      </c>
      <c r="J18" s="16"/>
      <c r="K18" s="16"/>
      <c r="L18" s="16">
        <f>H18*0.02+I18*0.02</f>
        <v>6975.2967999999992</v>
      </c>
    </row>
    <row r="19" spans="1:12" ht="23.25" x14ac:dyDescent="0.35">
      <c r="A19" s="89"/>
      <c r="B19" s="4"/>
      <c r="C19" s="93" t="s">
        <v>637</v>
      </c>
      <c r="D19" s="3"/>
      <c r="E19" s="4"/>
      <c r="F19" s="4"/>
      <c r="G19" s="4"/>
      <c r="H19" s="38"/>
    </row>
    <row r="20" spans="1:12" ht="20.100000000000001" customHeight="1" x14ac:dyDescent="0.25">
      <c r="A20" s="89">
        <v>20</v>
      </c>
      <c r="B20" s="4">
        <v>42060</v>
      </c>
      <c r="C20" s="90" t="s">
        <v>18</v>
      </c>
      <c r="D20" s="3">
        <v>24695.48</v>
      </c>
      <c r="E20" s="4">
        <v>42066</v>
      </c>
      <c r="F20" s="92" t="s">
        <v>28</v>
      </c>
      <c r="G20" s="32">
        <v>42101</v>
      </c>
      <c r="H20" s="38">
        <v>21390</v>
      </c>
      <c r="I20" s="38">
        <f>H20</f>
        <v>21390</v>
      </c>
      <c r="J20" s="38"/>
      <c r="K20" s="38"/>
    </row>
    <row r="21" spans="1:12" ht="20.100000000000001" customHeight="1" x14ac:dyDescent="0.25">
      <c r="A21" s="89">
        <v>22</v>
      </c>
      <c r="B21" s="4">
        <v>42066</v>
      </c>
      <c r="C21" s="90" t="s">
        <v>20</v>
      </c>
      <c r="D21" s="3">
        <v>15990</v>
      </c>
      <c r="E21" s="4">
        <v>42073</v>
      </c>
      <c r="F21" s="92" t="s">
        <v>28</v>
      </c>
      <c r="G21" s="32">
        <v>42068</v>
      </c>
      <c r="H21" s="38">
        <f t="shared" ref="H21:H28" si="2">D21</f>
        <v>15990</v>
      </c>
      <c r="I21" s="38">
        <f>H21</f>
        <v>15990</v>
      </c>
      <c r="J21" s="38"/>
      <c r="K21" s="38"/>
    </row>
    <row r="22" spans="1:12" ht="20.100000000000001" customHeight="1" x14ac:dyDescent="0.25">
      <c r="A22" s="89">
        <v>23</v>
      </c>
      <c r="B22" s="4">
        <v>42066</v>
      </c>
      <c r="C22" s="90" t="s">
        <v>21</v>
      </c>
      <c r="D22" s="3">
        <v>4927.09</v>
      </c>
      <c r="E22" s="4">
        <v>42076</v>
      </c>
      <c r="F22" s="92" t="s">
        <v>28</v>
      </c>
      <c r="G22" s="32">
        <v>42088</v>
      </c>
      <c r="H22" s="38">
        <f t="shared" si="2"/>
        <v>4927.09</v>
      </c>
      <c r="I22" s="38">
        <f>H22</f>
        <v>4927.09</v>
      </c>
      <c r="J22" s="38"/>
      <c r="K22" s="38"/>
    </row>
    <row r="23" spans="1:12" ht="20.100000000000001" customHeight="1" x14ac:dyDescent="0.25">
      <c r="A23" s="89">
        <v>25</v>
      </c>
      <c r="B23" s="4">
        <v>42067</v>
      </c>
      <c r="C23" s="90" t="s">
        <v>22</v>
      </c>
      <c r="D23" s="3">
        <v>9423</v>
      </c>
      <c r="E23" s="4">
        <v>42075</v>
      </c>
      <c r="F23" s="92" t="s">
        <v>28</v>
      </c>
      <c r="G23" s="32">
        <v>42087</v>
      </c>
      <c r="H23" s="38">
        <f t="shared" si="2"/>
        <v>9423</v>
      </c>
      <c r="I23" s="38">
        <f>H23</f>
        <v>9423</v>
      </c>
      <c r="J23" s="38"/>
      <c r="K23" s="38"/>
    </row>
    <row r="24" spans="1:12" ht="20.100000000000001" customHeight="1" x14ac:dyDescent="0.25">
      <c r="A24" s="89">
        <v>31</v>
      </c>
      <c r="B24" s="4">
        <v>42069</v>
      </c>
      <c r="C24" s="90" t="s">
        <v>25</v>
      </c>
      <c r="D24" s="3">
        <v>7564.5</v>
      </c>
      <c r="E24" s="4">
        <v>42073</v>
      </c>
      <c r="F24" s="92" t="s">
        <v>28</v>
      </c>
      <c r="G24" s="32">
        <v>42111</v>
      </c>
      <c r="H24" s="38">
        <f t="shared" si="2"/>
        <v>7564.5</v>
      </c>
      <c r="I24" s="38">
        <f>H24</f>
        <v>7564.5</v>
      </c>
      <c r="J24" s="38"/>
      <c r="K24" s="38"/>
    </row>
    <row r="25" spans="1:12" ht="20.100000000000001" customHeight="1" x14ac:dyDescent="0.25">
      <c r="A25" s="89">
        <v>34</v>
      </c>
      <c r="B25" s="4">
        <v>42075</v>
      </c>
      <c r="C25" s="90" t="s">
        <v>13</v>
      </c>
      <c r="D25" s="3">
        <v>6965.66</v>
      </c>
      <c r="E25" s="4">
        <v>42081</v>
      </c>
      <c r="F25" s="92" t="s">
        <v>28</v>
      </c>
      <c r="G25" s="32">
        <v>42086</v>
      </c>
      <c r="H25" s="38">
        <f t="shared" si="2"/>
        <v>6965.66</v>
      </c>
    </row>
    <row r="26" spans="1:12" ht="20.100000000000001" customHeight="1" x14ac:dyDescent="0.25">
      <c r="A26" s="89">
        <v>36</v>
      </c>
      <c r="B26" s="4">
        <v>42079</v>
      </c>
      <c r="C26" s="90" t="s">
        <v>29</v>
      </c>
      <c r="D26" s="3">
        <v>48280</v>
      </c>
      <c r="E26" s="4">
        <v>42079</v>
      </c>
      <c r="F26" s="92" t="s">
        <v>28</v>
      </c>
      <c r="G26" s="32">
        <v>42083</v>
      </c>
      <c r="H26" s="38">
        <f t="shared" si="2"/>
        <v>48280</v>
      </c>
      <c r="I26" s="38">
        <f>H26</f>
        <v>48280</v>
      </c>
      <c r="J26" s="38"/>
      <c r="K26" s="38"/>
    </row>
    <row r="27" spans="1:12" ht="20.100000000000001" customHeight="1" x14ac:dyDescent="0.25">
      <c r="A27" s="89">
        <v>44</v>
      </c>
      <c r="B27" s="4">
        <v>42083</v>
      </c>
      <c r="C27" s="90" t="s">
        <v>33</v>
      </c>
      <c r="D27" s="3">
        <v>3634.81</v>
      </c>
      <c r="E27" s="4">
        <v>42093</v>
      </c>
      <c r="F27" s="92" t="s">
        <v>28</v>
      </c>
      <c r="G27" s="32">
        <v>42130</v>
      </c>
      <c r="H27" s="38">
        <f t="shared" si="2"/>
        <v>3634.81</v>
      </c>
      <c r="I27" s="38">
        <f>H27</f>
        <v>3634.81</v>
      </c>
      <c r="J27" s="38"/>
      <c r="K27" s="38"/>
    </row>
    <row r="28" spans="1:12" ht="20.100000000000001" customHeight="1" x14ac:dyDescent="0.25">
      <c r="A28" s="89">
        <v>37</v>
      </c>
      <c r="B28" s="4">
        <v>42080</v>
      </c>
      <c r="C28" s="90" t="s">
        <v>30</v>
      </c>
      <c r="D28" s="3">
        <v>1780.98</v>
      </c>
      <c r="E28" s="4">
        <v>42093</v>
      </c>
      <c r="F28" s="92" t="s">
        <v>28</v>
      </c>
      <c r="G28" s="32">
        <v>42095</v>
      </c>
      <c r="H28" s="38">
        <f t="shared" si="2"/>
        <v>1780.98</v>
      </c>
      <c r="I28" s="45">
        <f>H28</f>
        <v>1780.98</v>
      </c>
      <c r="J28" s="45"/>
      <c r="K28" s="45"/>
    </row>
    <row r="29" spans="1:12" ht="20.100000000000001" customHeight="1" x14ac:dyDescent="0.25">
      <c r="A29" s="89">
        <v>20</v>
      </c>
      <c r="B29" s="4">
        <v>42060</v>
      </c>
      <c r="C29" s="90" t="s">
        <v>18</v>
      </c>
      <c r="D29" s="3">
        <v>24695.48</v>
      </c>
      <c r="E29" s="4">
        <v>42066</v>
      </c>
      <c r="F29" s="92" t="s">
        <v>28</v>
      </c>
      <c r="G29" s="32">
        <v>42101</v>
      </c>
      <c r="H29" s="38">
        <v>3305.48</v>
      </c>
      <c r="I29" s="45">
        <f>H29</f>
        <v>3305.48</v>
      </c>
      <c r="J29" s="45"/>
      <c r="K29" s="45"/>
    </row>
    <row r="30" spans="1:12" ht="20.100000000000001" customHeight="1" x14ac:dyDescent="0.25">
      <c r="A30" s="89">
        <v>33</v>
      </c>
      <c r="B30" s="4">
        <v>42074</v>
      </c>
      <c r="C30" s="26" t="s">
        <v>16</v>
      </c>
      <c r="D30" s="3">
        <v>7343.14</v>
      </c>
      <c r="E30" s="4">
        <v>42075</v>
      </c>
      <c r="F30" s="92" t="s">
        <v>28</v>
      </c>
      <c r="G30" s="32">
        <v>42101</v>
      </c>
      <c r="H30" s="38">
        <f>D30</f>
        <v>7343.14</v>
      </c>
    </row>
    <row r="31" spans="1:12" ht="20.100000000000001" customHeight="1" x14ac:dyDescent="0.25">
      <c r="A31" s="89">
        <v>26</v>
      </c>
      <c r="B31" s="4">
        <v>42067</v>
      </c>
      <c r="C31" s="90" t="s">
        <v>23</v>
      </c>
      <c r="D31" s="3">
        <v>39964.239999999998</v>
      </c>
      <c r="E31" s="4">
        <v>42083</v>
      </c>
      <c r="F31" s="92">
        <v>42054</v>
      </c>
      <c r="G31" s="32">
        <v>42110</v>
      </c>
      <c r="H31" s="38">
        <f>D31</f>
        <v>39964.239999999998</v>
      </c>
      <c r="I31" s="45">
        <f>H31</f>
        <v>39964.239999999998</v>
      </c>
      <c r="J31" s="45"/>
      <c r="K31" s="45"/>
    </row>
    <row r="32" spans="1:12" ht="20.100000000000001" customHeight="1" x14ac:dyDescent="0.25">
      <c r="A32" s="89">
        <v>46</v>
      </c>
      <c r="B32" s="4">
        <v>42086</v>
      </c>
      <c r="C32" s="90" t="s">
        <v>34</v>
      </c>
      <c r="D32" s="3">
        <v>756.26</v>
      </c>
      <c r="E32" s="4">
        <v>42094</v>
      </c>
      <c r="F32" s="92" t="s">
        <v>28</v>
      </c>
      <c r="G32" s="32">
        <v>42116</v>
      </c>
      <c r="H32" s="38">
        <f>D32</f>
        <v>756.26</v>
      </c>
      <c r="I32" s="38">
        <f>H32</f>
        <v>756.26</v>
      </c>
      <c r="J32" s="38"/>
      <c r="K32" s="38"/>
    </row>
    <row r="33" spans="1:12" ht="20.100000000000001" customHeight="1" x14ac:dyDescent="0.25">
      <c r="A33" s="89">
        <v>45</v>
      </c>
      <c r="B33" s="4">
        <v>42086</v>
      </c>
      <c r="C33" s="90" t="s">
        <v>32</v>
      </c>
      <c r="D33" s="3">
        <v>4121</v>
      </c>
      <c r="E33" s="4">
        <v>42088</v>
      </c>
      <c r="F33" s="4">
        <v>42087</v>
      </c>
      <c r="G33" s="32">
        <v>42089</v>
      </c>
      <c r="H33" s="38">
        <v>4121</v>
      </c>
      <c r="I33" s="38">
        <f>H33</f>
        <v>4121</v>
      </c>
      <c r="J33" s="38"/>
      <c r="K33" s="38"/>
    </row>
    <row r="34" spans="1:12" ht="20.100000000000001" customHeight="1" x14ac:dyDescent="0.25">
      <c r="A34" s="89">
        <v>26</v>
      </c>
      <c r="B34" s="4">
        <v>42067</v>
      </c>
      <c r="C34" s="90" t="s">
        <v>24</v>
      </c>
      <c r="D34" s="3">
        <v>5018.7700000000004</v>
      </c>
      <c r="E34" s="4">
        <v>42068</v>
      </c>
      <c r="F34" s="92" t="s">
        <v>28</v>
      </c>
      <c r="G34" s="32">
        <v>42153</v>
      </c>
      <c r="H34" s="38">
        <v>4122</v>
      </c>
      <c r="I34" s="38">
        <f>H34</f>
        <v>4122</v>
      </c>
      <c r="J34" s="38"/>
      <c r="K34" s="38"/>
    </row>
    <row r="35" spans="1:12" ht="20.100000000000001" customHeight="1" x14ac:dyDescent="0.25">
      <c r="A35" s="89">
        <v>48</v>
      </c>
      <c r="B35" s="4">
        <v>42089</v>
      </c>
      <c r="C35" s="90" t="s">
        <v>9</v>
      </c>
      <c r="D35" s="3">
        <v>2621.6</v>
      </c>
      <c r="E35" s="4">
        <v>42093</v>
      </c>
      <c r="F35" s="92" t="s">
        <v>28</v>
      </c>
      <c r="G35" s="32">
        <v>42094</v>
      </c>
      <c r="H35" s="38">
        <f>D35</f>
        <v>2621.6</v>
      </c>
    </row>
    <row r="36" spans="1:12" ht="15.75" x14ac:dyDescent="0.25">
      <c r="A36" s="89"/>
      <c r="B36" s="4"/>
      <c r="D36" s="3"/>
      <c r="E36" s="4"/>
      <c r="F36" s="92"/>
      <c r="G36" s="92"/>
      <c r="H36" s="16">
        <f>SUM(H20:H35)</f>
        <v>182189.76</v>
      </c>
      <c r="I36" s="16">
        <f>SUM(I20:I35)</f>
        <v>165259.35999999999</v>
      </c>
      <c r="J36" s="16"/>
      <c r="K36" s="16"/>
      <c r="L36" s="16">
        <f>H36*0.02+I36*0.02</f>
        <v>6948.9824000000008</v>
      </c>
    </row>
    <row r="37" spans="1:12" ht="23.25" x14ac:dyDescent="0.35">
      <c r="A37" s="89"/>
      <c r="B37" s="4"/>
      <c r="C37" s="94" t="s">
        <v>638</v>
      </c>
      <c r="D37" s="3"/>
      <c r="E37" s="4"/>
      <c r="F37" s="92"/>
      <c r="G37" s="92"/>
      <c r="H37" s="45"/>
      <c r="I37" s="45"/>
      <c r="J37" s="45"/>
      <c r="K37" s="45"/>
    </row>
    <row r="38" spans="1:12" ht="20.100000000000001" customHeight="1" x14ac:dyDescent="0.25">
      <c r="A38" s="89">
        <v>42</v>
      </c>
      <c r="B38" s="4">
        <v>42081</v>
      </c>
      <c r="C38" s="90" t="s">
        <v>31</v>
      </c>
      <c r="D38" s="3">
        <v>14590</v>
      </c>
      <c r="E38" s="4">
        <v>42096</v>
      </c>
      <c r="F38" s="92" t="s">
        <v>28</v>
      </c>
      <c r="G38" s="32">
        <v>42097</v>
      </c>
      <c r="H38" s="45">
        <f t="shared" ref="H38:H52" si="3">D38</f>
        <v>14590</v>
      </c>
      <c r="I38" s="45">
        <f>H38</f>
        <v>14590</v>
      </c>
      <c r="J38" s="45"/>
      <c r="K38" s="45"/>
    </row>
    <row r="39" spans="1:12" ht="20.100000000000001" customHeight="1" x14ac:dyDescent="0.25">
      <c r="A39" s="89">
        <v>59</v>
      </c>
      <c r="B39" s="4">
        <v>42095</v>
      </c>
      <c r="C39" s="90" t="s">
        <v>35</v>
      </c>
      <c r="D39" s="3">
        <v>4516.8599999999997</v>
      </c>
      <c r="E39" s="4">
        <v>42096</v>
      </c>
      <c r="F39" s="92" t="s">
        <v>28</v>
      </c>
      <c r="G39" s="32">
        <v>42101</v>
      </c>
      <c r="H39" s="38">
        <f t="shared" si="3"/>
        <v>4516.8599999999997</v>
      </c>
      <c r="I39" s="45">
        <f>H39</f>
        <v>4516.8599999999997</v>
      </c>
      <c r="J39" s="45"/>
      <c r="K39" s="45"/>
    </row>
    <row r="40" spans="1:12" ht="20.100000000000001" customHeight="1" x14ac:dyDescent="0.25">
      <c r="A40" s="89">
        <v>62</v>
      </c>
      <c r="B40" s="4">
        <v>42096</v>
      </c>
      <c r="C40" s="90" t="s">
        <v>36</v>
      </c>
      <c r="D40" s="3">
        <v>24390</v>
      </c>
      <c r="E40" s="4">
        <v>42096</v>
      </c>
      <c r="F40" s="92" t="s">
        <v>28</v>
      </c>
      <c r="G40" s="32">
        <v>42097</v>
      </c>
      <c r="H40" s="38">
        <f t="shared" si="3"/>
        <v>24390</v>
      </c>
      <c r="I40" s="45">
        <f>H40</f>
        <v>24390</v>
      </c>
      <c r="J40" s="45"/>
      <c r="K40" s="45"/>
    </row>
    <row r="41" spans="1:12" ht="20.100000000000001" customHeight="1" x14ac:dyDescent="0.25">
      <c r="A41" s="89">
        <v>64</v>
      </c>
      <c r="B41" s="4">
        <v>42097</v>
      </c>
      <c r="C41" s="26" t="s">
        <v>16</v>
      </c>
      <c r="D41" s="3">
        <v>4509.96</v>
      </c>
      <c r="E41" s="4">
        <v>42100</v>
      </c>
      <c r="F41" s="92" t="s">
        <v>28</v>
      </c>
      <c r="G41" s="32">
        <v>42122</v>
      </c>
      <c r="H41" s="38">
        <f t="shared" si="3"/>
        <v>4509.96</v>
      </c>
    </row>
    <row r="42" spans="1:12" ht="20.100000000000001" customHeight="1" x14ac:dyDescent="0.25">
      <c r="A42" s="89">
        <v>65</v>
      </c>
      <c r="B42" s="4">
        <v>42100</v>
      </c>
      <c r="C42" s="90" t="s">
        <v>37</v>
      </c>
      <c r="D42" s="3">
        <v>2671.47</v>
      </c>
      <c r="E42" s="4">
        <v>42101</v>
      </c>
      <c r="F42" s="92" t="s">
        <v>28</v>
      </c>
      <c r="G42" s="32">
        <v>42111</v>
      </c>
      <c r="H42" s="38">
        <f t="shared" si="3"/>
        <v>2671.47</v>
      </c>
      <c r="I42" s="45">
        <f>H42</f>
        <v>2671.47</v>
      </c>
      <c r="J42" s="45"/>
      <c r="K42" s="45"/>
    </row>
    <row r="43" spans="1:12" ht="20.100000000000001" customHeight="1" x14ac:dyDescent="0.25">
      <c r="A43" s="89">
        <v>66</v>
      </c>
      <c r="B43" s="4">
        <v>42100</v>
      </c>
      <c r="C43" s="26" t="s">
        <v>5</v>
      </c>
      <c r="D43" s="3">
        <v>1780.98</v>
      </c>
      <c r="E43" s="4">
        <v>42100</v>
      </c>
      <c r="F43" s="92" t="s">
        <v>28</v>
      </c>
      <c r="G43" s="32">
        <v>42115</v>
      </c>
      <c r="H43" s="45">
        <f t="shared" si="3"/>
        <v>1780.98</v>
      </c>
      <c r="I43" s="45"/>
      <c r="J43" s="45"/>
      <c r="K43" s="45"/>
    </row>
    <row r="44" spans="1:12" ht="20.100000000000001" customHeight="1" x14ac:dyDescent="0.25">
      <c r="A44" s="89">
        <v>861</v>
      </c>
      <c r="B44" s="4">
        <v>42090</v>
      </c>
      <c r="C44" s="26" t="s">
        <v>38</v>
      </c>
      <c r="D44" s="3">
        <v>789638.42</v>
      </c>
      <c r="E44" s="4">
        <v>42110</v>
      </c>
      <c r="F44" s="92" t="s">
        <v>28</v>
      </c>
      <c r="G44" s="32">
        <v>42104</v>
      </c>
      <c r="H44" s="38">
        <f t="shared" si="3"/>
        <v>789638.42</v>
      </c>
    </row>
    <row r="45" spans="1:12" ht="20.100000000000001" customHeight="1" x14ac:dyDescent="0.25">
      <c r="A45" s="89">
        <v>81</v>
      </c>
      <c r="B45" s="4">
        <v>42114</v>
      </c>
      <c r="C45" s="26" t="s">
        <v>14</v>
      </c>
      <c r="D45" s="3">
        <v>1889</v>
      </c>
      <c r="E45" s="4">
        <v>42114</v>
      </c>
      <c r="F45" s="92" t="s">
        <v>28</v>
      </c>
      <c r="G45" s="32">
        <v>42115</v>
      </c>
      <c r="H45" s="45">
        <f t="shared" si="3"/>
        <v>1889</v>
      </c>
    </row>
    <row r="46" spans="1:12" ht="20.100000000000001" customHeight="1" x14ac:dyDescent="0.25">
      <c r="A46" s="89">
        <v>75</v>
      </c>
      <c r="B46" s="4">
        <v>42114</v>
      </c>
      <c r="C46" s="90" t="s">
        <v>39</v>
      </c>
      <c r="D46" s="3">
        <v>6627.12</v>
      </c>
      <c r="E46" s="4">
        <v>42115</v>
      </c>
      <c r="F46" s="92" t="s">
        <v>28</v>
      </c>
      <c r="G46" s="32">
        <v>42149</v>
      </c>
      <c r="H46" s="45">
        <f t="shared" si="3"/>
        <v>6627.12</v>
      </c>
      <c r="I46" s="45">
        <f>H46</f>
        <v>6627.12</v>
      </c>
      <c r="J46" s="45"/>
      <c r="K46" s="45"/>
    </row>
    <row r="47" spans="1:12" ht="20.100000000000001" customHeight="1" x14ac:dyDescent="0.25">
      <c r="A47" s="89">
        <v>77</v>
      </c>
      <c r="B47" s="4">
        <v>42111</v>
      </c>
      <c r="C47" s="26" t="s">
        <v>21</v>
      </c>
      <c r="D47" s="3">
        <v>8657.7000000000007</v>
      </c>
      <c r="E47" s="4">
        <v>42115</v>
      </c>
      <c r="F47" s="92" t="s">
        <v>28</v>
      </c>
      <c r="G47" s="32">
        <v>42116</v>
      </c>
      <c r="H47" s="45">
        <f t="shared" si="3"/>
        <v>8657.7000000000007</v>
      </c>
    </row>
    <row r="48" spans="1:12" ht="20.100000000000001" customHeight="1" x14ac:dyDescent="0.25">
      <c r="A48" s="89">
        <v>74</v>
      </c>
      <c r="B48" s="4">
        <v>42107</v>
      </c>
      <c r="C48" s="90" t="s">
        <v>40</v>
      </c>
      <c r="D48" s="3">
        <v>18241.900000000001</v>
      </c>
      <c r="E48" s="4">
        <v>42117</v>
      </c>
      <c r="F48" s="92" t="s">
        <v>28</v>
      </c>
      <c r="G48" s="32">
        <v>42145</v>
      </c>
      <c r="H48" s="45">
        <f t="shared" si="3"/>
        <v>18241.900000000001</v>
      </c>
      <c r="I48" s="45">
        <f>H48</f>
        <v>18241.900000000001</v>
      </c>
      <c r="J48" s="45"/>
      <c r="K48" s="45"/>
    </row>
    <row r="49" spans="1:12" ht="20.100000000000001" customHeight="1" x14ac:dyDescent="0.25">
      <c r="A49" s="89">
        <v>76</v>
      </c>
      <c r="B49" s="4">
        <v>42109</v>
      </c>
      <c r="C49" s="90" t="s">
        <v>41</v>
      </c>
      <c r="D49" s="3">
        <v>18241.900000000001</v>
      </c>
      <c r="E49" s="4">
        <v>42117</v>
      </c>
      <c r="F49" s="92" t="s">
        <v>28</v>
      </c>
      <c r="G49" s="32">
        <v>42159</v>
      </c>
      <c r="H49" s="45">
        <f t="shared" si="3"/>
        <v>18241.900000000001</v>
      </c>
      <c r="I49" s="45">
        <f>H49</f>
        <v>18241.900000000001</v>
      </c>
      <c r="J49" s="45"/>
      <c r="K49" s="45"/>
    </row>
    <row r="50" spans="1:12" ht="20.100000000000001" customHeight="1" x14ac:dyDescent="0.25">
      <c r="A50" s="89">
        <v>90</v>
      </c>
      <c r="B50" s="4">
        <v>42121</v>
      </c>
      <c r="C50" s="90" t="s">
        <v>42</v>
      </c>
      <c r="D50" s="3">
        <v>4605</v>
      </c>
      <c r="E50" s="4">
        <v>42121</v>
      </c>
      <c r="F50" s="92" t="s">
        <v>28</v>
      </c>
      <c r="G50" s="32">
        <v>42145</v>
      </c>
      <c r="H50" s="45">
        <f t="shared" si="3"/>
        <v>4605</v>
      </c>
      <c r="I50" s="45">
        <f>H50</f>
        <v>4605</v>
      </c>
      <c r="J50" s="45"/>
      <c r="K50" s="45"/>
    </row>
    <row r="51" spans="1:12" ht="20.100000000000001" customHeight="1" x14ac:dyDescent="0.25">
      <c r="A51" s="89">
        <v>86</v>
      </c>
      <c r="B51" s="4">
        <v>42117</v>
      </c>
      <c r="C51" s="26" t="s">
        <v>13</v>
      </c>
      <c r="D51" s="3">
        <v>6119.85</v>
      </c>
      <c r="E51" s="4">
        <v>42121</v>
      </c>
      <c r="F51" s="92" t="s">
        <v>28</v>
      </c>
      <c r="G51" s="32">
        <v>42132</v>
      </c>
      <c r="H51" s="45">
        <f t="shared" si="3"/>
        <v>6119.85</v>
      </c>
      <c r="I51" s="45"/>
      <c r="J51" s="45"/>
      <c r="K51" s="45"/>
    </row>
    <row r="52" spans="1:12" ht="20.100000000000001" customHeight="1" x14ac:dyDescent="0.25">
      <c r="A52" s="89">
        <v>72</v>
      </c>
      <c r="B52" s="4">
        <v>42107</v>
      </c>
      <c r="C52" s="26" t="s">
        <v>13</v>
      </c>
      <c r="D52" s="3">
        <v>2039.95</v>
      </c>
      <c r="E52" s="4">
        <v>42124</v>
      </c>
      <c r="F52" s="92" t="s">
        <v>28</v>
      </c>
      <c r="G52" s="32">
        <v>42132</v>
      </c>
      <c r="H52" s="45">
        <f t="shared" si="3"/>
        <v>2039.95</v>
      </c>
      <c r="I52" s="45"/>
      <c r="J52" s="45"/>
      <c r="K52" s="45"/>
    </row>
    <row r="53" spans="1:12" ht="20.100000000000001" customHeight="1" x14ac:dyDescent="0.25">
      <c r="A53" s="89"/>
      <c r="B53" s="4"/>
      <c r="C53" s="90"/>
      <c r="D53" s="3"/>
      <c r="E53" s="4"/>
      <c r="F53" s="4"/>
      <c r="G53" s="4"/>
      <c r="H53" s="16">
        <f>SUM(H38:H52)</f>
        <v>908520.11</v>
      </c>
      <c r="I53" s="16">
        <f>SUM(I38:I52)</f>
        <v>93884.25</v>
      </c>
      <c r="J53" s="16"/>
      <c r="K53" s="16"/>
      <c r="L53" s="16">
        <f>H53*0.05+I53*0.02</f>
        <v>47303.690499999997</v>
      </c>
    </row>
    <row r="54" spans="1:12" ht="23.25" x14ac:dyDescent="0.35">
      <c r="A54" s="89"/>
      <c r="B54" s="4"/>
      <c r="C54" s="94" t="s">
        <v>639</v>
      </c>
      <c r="D54" s="3"/>
      <c r="E54" s="4"/>
      <c r="F54" s="4"/>
      <c r="G54" s="4"/>
    </row>
    <row r="55" spans="1:12" ht="20.100000000000001" customHeight="1" x14ac:dyDescent="0.25">
      <c r="A55" s="89">
        <v>92</v>
      </c>
      <c r="B55" s="4">
        <v>42122</v>
      </c>
      <c r="C55" s="90" t="s">
        <v>43</v>
      </c>
      <c r="D55" s="3">
        <v>12480</v>
      </c>
      <c r="E55" s="4">
        <v>42129</v>
      </c>
      <c r="F55" s="92" t="s">
        <v>28</v>
      </c>
      <c r="G55" s="32">
        <v>42132</v>
      </c>
      <c r="H55" s="45">
        <f t="shared" ref="H55:H75" si="4">D55</f>
        <v>12480</v>
      </c>
      <c r="I55" s="45">
        <f t="shared" ref="I55:I61" si="5">H55</f>
        <v>12480</v>
      </c>
      <c r="J55" s="45"/>
      <c r="K55" s="45"/>
    </row>
    <row r="56" spans="1:12" ht="20.100000000000001" customHeight="1" x14ac:dyDescent="0.25">
      <c r="A56" s="89">
        <v>93</v>
      </c>
      <c r="B56" s="4">
        <v>42122</v>
      </c>
      <c r="C56" s="90" t="s">
        <v>44</v>
      </c>
      <c r="D56" s="3">
        <v>4192.37</v>
      </c>
      <c r="E56" s="4">
        <v>42129</v>
      </c>
      <c r="F56" s="92" t="s">
        <v>28</v>
      </c>
      <c r="G56" s="32">
        <v>42136</v>
      </c>
      <c r="H56" s="45">
        <f t="shared" si="4"/>
        <v>4192.37</v>
      </c>
      <c r="I56" s="45">
        <f t="shared" si="5"/>
        <v>4192.37</v>
      </c>
      <c r="J56" s="45"/>
      <c r="K56" s="45"/>
    </row>
    <row r="57" spans="1:12" ht="20.100000000000001" customHeight="1" x14ac:dyDescent="0.25">
      <c r="A57" s="89">
        <v>97</v>
      </c>
      <c r="B57" s="4">
        <v>42130</v>
      </c>
      <c r="C57" s="90" t="s">
        <v>43</v>
      </c>
      <c r="D57" s="3">
        <v>7799</v>
      </c>
      <c r="E57" s="4">
        <v>42131</v>
      </c>
      <c r="F57" s="92" t="s">
        <v>28</v>
      </c>
      <c r="G57" s="32">
        <v>42132</v>
      </c>
      <c r="H57" s="45">
        <f t="shared" si="4"/>
        <v>7799</v>
      </c>
      <c r="I57" s="45">
        <f t="shared" si="5"/>
        <v>7799</v>
      </c>
      <c r="J57" s="45"/>
      <c r="K57" s="45"/>
    </row>
    <row r="58" spans="1:12" ht="20.100000000000001" customHeight="1" x14ac:dyDescent="0.25">
      <c r="A58" s="89">
        <v>94</v>
      </c>
      <c r="B58" s="4">
        <v>42123</v>
      </c>
      <c r="C58" s="90" t="s">
        <v>45</v>
      </c>
      <c r="D58" s="3">
        <v>27641.439999999999</v>
      </c>
      <c r="E58" s="4">
        <v>42131</v>
      </c>
      <c r="F58" s="92" t="s">
        <v>28</v>
      </c>
      <c r="G58" s="32">
        <v>42160</v>
      </c>
      <c r="H58" s="45">
        <f t="shared" si="4"/>
        <v>27641.439999999999</v>
      </c>
      <c r="I58" s="45">
        <f t="shared" si="5"/>
        <v>27641.439999999999</v>
      </c>
      <c r="J58" s="45"/>
      <c r="K58" s="45"/>
    </row>
    <row r="59" spans="1:12" ht="20.100000000000001" customHeight="1" x14ac:dyDescent="0.25">
      <c r="A59" s="89">
        <v>101</v>
      </c>
      <c r="B59" s="4">
        <v>42136</v>
      </c>
      <c r="C59" s="90" t="s">
        <v>43</v>
      </c>
      <c r="D59" s="3">
        <v>14089</v>
      </c>
      <c r="E59" s="4">
        <v>42136</v>
      </c>
      <c r="F59" s="92" t="s">
        <v>28</v>
      </c>
      <c r="G59" s="32">
        <v>42137</v>
      </c>
      <c r="H59" s="45">
        <f t="shared" si="4"/>
        <v>14089</v>
      </c>
      <c r="I59" s="45">
        <f t="shared" si="5"/>
        <v>14089</v>
      </c>
      <c r="J59" s="45"/>
      <c r="K59" s="45"/>
    </row>
    <row r="60" spans="1:12" ht="20.100000000000001" customHeight="1" x14ac:dyDescent="0.25">
      <c r="A60" s="89">
        <v>100</v>
      </c>
      <c r="B60" s="4">
        <v>42136</v>
      </c>
      <c r="C60" s="90" t="s">
        <v>46</v>
      </c>
      <c r="D60" s="3">
        <v>7799</v>
      </c>
      <c r="E60" s="4">
        <v>42137</v>
      </c>
      <c r="F60" s="92" t="s">
        <v>28</v>
      </c>
      <c r="G60" s="32">
        <v>42144</v>
      </c>
      <c r="H60" s="45">
        <f t="shared" si="4"/>
        <v>7799</v>
      </c>
      <c r="I60" s="45">
        <f t="shared" si="5"/>
        <v>7799</v>
      </c>
      <c r="J60" s="45"/>
      <c r="K60" s="45"/>
    </row>
    <row r="61" spans="1:12" ht="20.100000000000001" customHeight="1" x14ac:dyDescent="0.25">
      <c r="A61" s="89">
        <v>103</v>
      </c>
      <c r="B61" s="4">
        <v>42137</v>
      </c>
      <c r="C61" s="90" t="s">
        <v>47</v>
      </c>
      <c r="D61" s="3">
        <v>5790</v>
      </c>
      <c r="E61" s="4">
        <v>42138</v>
      </c>
      <c r="F61" s="92" t="s">
        <v>28</v>
      </c>
      <c r="G61" s="32">
        <v>42128</v>
      </c>
      <c r="H61" s="45">
        <f t="shared" si="4"/>
        <v>5790</v>
      </c>
      <c r="I61" s="45">
        <f t="shared" si="5"/>
        <v>5790</v>
      </c>
      <c r="J61" s="45"/>
      <c r="K61" s="45"/>
    </row>
    <row r="62" spans="1:12" ht="20.100000000000001" customHeight="1" x14ac:dyDescent="0.25">
      <c r="A62" s="89">
        <v>106</v>
      </c>
      <c r="B62" s="4">
        <v>42138</v>
      </c>
      <c r="C62" s="26" t="s">
        <v>40</v>
      </c>
      <c r="D62" s="3">
        <v>3676</v>
      </c>
      <c r="E62" s="4">
        <v>42139</v>
      </c>
      <c r="F62" s="92" t="s">
        <v>28</v>
      </c>
      <c r="G62" s="32">
        <v>42145</v>
      </c>
      <c r="H62" s="45">
        <f t="shared" si="4"/>
        <v>3676</v>
      </c>
    </row>
    <row r="63" spans="1:12" ht="20.100000000000001" customHeight="1" x14ac:dyDescent="0.25">
      <c r="A63" s="89">
        <v>109</v>
      </c>
      <c r="B63" s="4">
        <v>42142</v>
      </c>
      <c r="C63" s="90" t="s">
        <v>49</v>
      </c>
      <c r="D63" s="3">
        <v>4600</v>
      </c>
      <c r="E63" s="4">
        <v>42144</v>
      </c>
      <c r="F63" s="92" t="s">
        <v>28</v>
      </c>
      <c r="G63" s="32">
        <v>42144</v>
      </c>
      <c r="H63" s="45">
        <f t="shared" si="4"/>
        <v>4600</v>
      </c>
      <c r="I63" s="45">
        <f>H63</f>
        <v>4600</v>
      </c>
      <c r="J63" s="45"/>
      <c r="K63" s="45"/>
    </row>
    <row r="64" spans="1:12" ht="20.100000000000001" customHeight="1" x14ac:dyDescent="0.25">
      <c r="A64" s="89">
        <v>111</v>
      </c>
      <c r="B64" s="4">
        <v>42142</v>
      </c>
      <c r="C64" s="26" t="s">
        <v>13</v>
      </c>
      <c r="D64" s="3">
        <v>3847.7</v>
      </c>
      <c r="E64" s="4">
        <v>42144</v>
      </c>
      <c r="F64" s="92" t="s">
        <v>28</v>
      </c>
      <c r="G64" s="32">
        <v>42151</v>
      </c>
      <c r="H64" s="45">
        <f t="shared" si="4"/>
        <v>3847.7</v>
      </c>
    </row>
    <row r="65" spans="1:12" ht="20.100000000000001" customHeight="1" x14ac:dyDescent="0.25">
      <c r="A65" s="89">
        <v>1025</v>
      </c>
      <c r="B65" s="4">
        <v>42138</v>
      </c>
      <c r="C65" s="26" t="s">
        <v>38</v>
      </c>
      <c r="D65" s="3">
        <v>667229.13</v>
      </c>
      <c r="E65" s="4"/>
      <c r="F65" s="4"/>
      <c r="G65" s="32">
        <v>42144</v>
      </c>
      <c r="H65" s="45">
        <f t="shared" si="4"/>
        <v>667229.13</v>
      </c>
    </row>
    <row r="66" spans="1:12" ht="20.100000000000001" customHeight="1" x14ac:dyDescent="0.25">
      <c r="A66" s="89">
        <v>868</v>
      </c>
      <c r="B66" s="4">
        <v>42090</v>
      </c>
      <c r="C66" s="26" t="s">
        <v>38</v>
      </c>
      <c r="D66" s="3">
        <v>177381.48</v>
      </c>
      <c r="E66" s="4"/>
      <c r="F66" s="4"/>
      <c r="G66" s="32">
        <v>42144</v>
      </c>
      <c r="H66" s="45">
        <f t="shared" si="4"/>
        <v>177381.48</v>
      </c>
    </row>
    <row r="67" spans="1:12" ht="20.100000000000001" customHeight="1" x14ac:dyDescent="0.25">
      <c r="A67" s="89">
        <v>1023</v>
      </c>
      <c r="B67" s="4">
        <v>42090</v>
      </c>
      <c r="C67" s="26" t="s">
        <v>38</v>
      </c>
      <c r="D67" s="3">
        <v>465029.13</v>
      </c>
      <c r="E67" s="4"/>
      <c r="F67" s="4"/>
      <c r="G67" s="32">
        <v>42144</v>
      </c>
      <c r="H67" s="45">
        <f t="shared" si="4"/>
        <v>465029.13</v>
      </c>
    </row>
    <row r="68" spans="1:12" ht="20.100000000000001" customHeight="1" x14ac:dyDescent="0.25">
      <c r="A68" s="89">
        <v>114</v>
      </c>
      <c r="B68" s="4">
        <v>42143</v>
      </c>
      <c r="C68" s="90" t="s">
        <v>50</v>
      </c>
      <c r="D68" s="3">
        <v>3243.37</v>
      </c>
      <c r="E68" s="4">
        <v>42145</v>
      </c>
      <c r="F68" s="92" t="s">
        <v>28</v>
      </c>
      <c r="G68" s="32">
        <v>42180</v>
      </c>
      <c r="H68" s="45">
        <f t="shared" si="4"/>
        <v>3243.37</v>
      </c>
      <c r="I68" s="45">
        <f>H68</f>
        <v>3243.37</v>
      </c>
      <c r="J68" s="45"/>
      <c r="K68" s="45"/>
    </row>
    <row r="69" spans="1:12" ht="20.100000000000001" customHeight="1" x14ac:dyDescent="0.25">
      <c r="A69" s="89">
        <v>115</v>
      </c>
      <c r="B69" s="4">
        <v>42143</v>
      </c>
      <c r="C69" s="26" t="s">
        <v>43</v>
      </c>
      <c r="D69" s="3">
        <v>7799</v>
      </c>
      <c r="E69" s="4">
        <v>42143</v>
      </c>
      <c r="F69" s="92" t="s">
        <v>28</v>
      </c>
      <c r="G69" s="32">
        <v>42146</v>
      </c>
      <c r="H69" s="45">
        <f t="shared" si="4"/>
        <v>7799</v>
      </c>
    </row>
    <row r="70" spans="1:12" ht="20.100000000000001" customHeight="1" x14ac:dyDescent="0.25">
      <c r="A70" s="89">
        <v>104</v>
      </c>
      <c r="B70" s="4">
        <v>42137</v>
      </c>
      <c r="C70" s="90" t="s">
        <v>48</v>
      </c>
      <c r="D70" s="3">
        <v>12468.4</v>
      </c>
      <c r="E70" s="4">
        <v>42138</v>
      </c>
      <c r="F70" s="92" t="s">
        <v>28</v>
      </c>
      <c r="G70" s="32">
        <v>42172</v>
      </c>
      <c r="H70" s="45">
        <f t="shared" si="4"/>
        <v>12468.4</v>
      </c>
      <c r="I70" s="45">
        <f>H70</f>
        <v>12468.4</v>
      </c>
      <c r="J70" s="45"/>
      <c r="K70" s="45"/>
    </row>
    <row r="71" spans="1:12" ht="20.100000000000001" customHeight="1" x14ac:dyDescent="0.25">
      <c r="A71" s="89">
        <v>113</v>
      </c>
      <c r="B71" s="4">
        <v>42143</v>
      </c>
      <c r="C71" s="26" t="s">
        <v>5</v>
      </c>
      <c r="D71" s="3">
        <v>16548.97</v>
      </c>
      <c r="E71" s="4">
        <v>42144</v>
      </c>
      <c r="F71" s="92" t="s">
        <v>28</v>
      </c>
      <c r="G71" s="32">
        <v>42173</v>
      </c>
      <c r="H71" s="45">
        <f t="shared" si="4"/>
        <v>16548.97</v>
      </c>
    </row>
    <row r="72" spans="1:12" ht="20.100000000000001" customHeight="1" x14ac:dyDescent="0.25">
      <c r="A72" s="89">
        <v>116</v>
      </c>
      <c r="B72" s="4">
        <v>42146</v>
      </c>
      <c r="C72" s="90" t="s">
        <v>51</v>
      </c>
      <c r="D72" s="3">
        <v>40024.49</v>
      </c>
      <c r="E72" s="4">
        <v>42150</v>
      </c>
      <c r="F72" s="92" t="s">
        <v>28</v>
      </c>
      <c r="G72" s="32">
        <v>42178</v>
      </c>
      <c r="H72" s="45">
        <f t="shared" si="4"/>
        <v>40024.49</v>
      </c>
      <c r="I72" s="45">
        <f>H72</f>
        <v>40024.49</v>
      </c>
      <c r="J72" s="45"/>
      <c r="K72" s="45"/>
    </row>
    <row r="73" spans="1:12" ht="20.100000000000001" customHeight="1" x14ac:dyDescent="0.25">
      <c r="A73" s="89">
        <v>123</v>
      </c>
      <c r="B73" s="4">
        <v>42152</v>
      </c>
      <c r="C73" s="90" t="s">
        <v>52</v>
      </c>
      <c r="D73" s="3">
        <v>2966</v>
      </c>
      <c r="E73" s="4">
        <v>42152</v>
      </c>
      <c r="F73" s="92" t="s">
        <v>28</v>
      </c>
      <c r="G73" s="32">
        <v>42173</v>
      </c>
      <c r="H73" s="45">
        <f t="shared" si="4"/>
        <v>2966</v>
      </c>
      <c r="I73" s="45">
        <f>H73</f>
        <v>2966</v>
      </c>
      <c r="J73" s="45"/>
      <c r="K73" s="45"/>
    </row>
    <row r="74" spans="1:12" ht="20.100000000000001" customHeight="1" x14ac:dyDescent="0.25">
      <c r="A74" s="89">
        <v>121</v>
      </c>
      <c r="B74" s="4">
        <v>42151</v>
      </c>
      <c r="C74" s="26" t="s">
        <v>21</v>
      </c>
      <c r="D74" s="3">
        <v>8164.9</v>
      </c>
      <c r="E74" s="95">
        <v>42152</v>
      </c>
      <c r="F74" s="92" t="s">
        <v>28</v>
      </c>
      <c r="G74" s="32">
        <v>42187</v>
      </c>
      <c r="H74" s="45">
        <f t="shared" si="4"/>
        <v>8164.9</v>
      </c>
      <c r="I74" s="45"/>
      <c r="J74" s="45"/>
      <c r="K74" s="45"/>
    </row>
    <row r="75" spans="1:12" ht="20.100000000000001" customHeight="1" x14ac:dyDescent="0.25">
      <c r="A75" s="89">
        <v>125</v>
      </c>
      <c r="B75" s="4">
        <v>42153</v>
      </c>
      <c r="C75" s="90" t="s">
        <v>53</v>
      </c>
      <c r="D75" s="3">
        <v>10590</v>
      </c>
      <c r="E75" s="4">
        <v>42153</v>
      </c>
      <c r="F75" s="92" t="s">
        <v>28</v>
      </c>
      <c r="G75" s="32">
        <v>42156</v>
      </c>
      <c r="H75" s="45">
        <f t="shared" si="4"/>
        <v>10590</v>
      </c>
      <c r="I75" s="45">
        <f>H75</f>
        <v>10590</v>
      </c>
      <c r="J75" s="45"/>
      <c r="K75" s="45"/>
    </row>
    <row r="76" spans="1:12" ht="20.100000000000001" customHeight="1" x14ac:dyDescent="0.25">
      <c r="A76" s="89"/>
      <c r="B76" s="4"/>
      <c r="C76" s="90"/>
      <c r="D76" s="3"/>
      <c r="E76" s="4"/>
      <c r="F76" s="4"/>
      <c r="G76" s="4"/>
      <c r="H76" s="16">
        <f>SUM(H57:H75)</f>
        <v>1486687.0099999998</v>
      </c>
      <c r="I76" s="16">
        <f>SUM(I57:I75)</f>
        <v>137010.69999999998</v>
      </c>
      <c r="J76" s="16"/>
      <c r="K76" s="16"/>
      <c r="L76" s="16">
        <f>H76*0.05+I76*0.02</f>
        <v>77074.564499999979</v>
      </c>
    </row>
    <row r="77" spans="1:12" ht="23.25" x14ac:dyDescent="0.35">
      <c r="A77" s="89"/>
      <c r="B77" s="4"/>
      <c r="C77" s="94" t="s">
        <v>640</v>
      </c>
      <c r="D77" s="3"/>
      <c r="E77" s="4"/>
      <c r="F77" s="4"/>
      <c r="G77" s="4"/>
    </row>
    <row r="78" spans="1:12" ht="20.100000000000001" customHeight="1" x14ac:dyDescent="0.25">
      <c r="A78" s="89">
        <v>134</v>
      </c>
      <c r="B78" s="4">
        <v>42158</v>
      </c>
      <c r="C78" s="26" t="s">
        <v>34</v>
      </c>
      <c r="D78" s="3">
        <v>1303.0999999999999</v>
      </c>
      <c r="E78" s="4">
        <v>42158</v>
      </c>
      <c r="F78" s="92" t="s">
        <v>28</v>
      </c>
      <c r="G78" s="32">
        <v>42181</v>
      </c>
      <c r="H78" s="45">
        <f>D78</f>
        <v>1303.0999999999999</v>
      </c>
    </row>
    <row r="79" spans="1:12" ht="20.100000000000001" customHeight="1" x14ac:dyDescent="0.25">
      <c r="A79" s="89">
        <v>137</v>
      </c>
      <c r="B79" s="4">
        <v>42159</v>
      </c>
      <c r="C79" s="90" t="s">
        <v>54</v>
      </c>
      <c r="D79" s="3">
        <v>2584.37</v>
      </c>
      <c r="E79" s="4">
        <v>42159</v>
      </c>
      <c r="F79" s="92" t="s">
        <v>28</v>
      </c>
      <c r="G79" s="32">
        <v>42180</v>
      </c>
      <c r="H79" s="45">
        <f>D79</f>
        <v>2584.37</v>
      </c>
      <c r="I79" s="45">
        <f>H79</f>
        <v>2584.37</v>
      </c>
      <c r="J79" s="45"/>
      <c r="K79" s="45"/>
    </row>
    <row r="80" spans="1:12" ht="20.100000000000001" customHeight="1" x14ac:dyDescent="0.25">
      <c r="A80" s="89">
        <v>131</v>
      </c>
      <c r="B80" s="4">
        <v>42157</v>
      </c>
      <c r="C80" s="90" t="s">
        <v>55</v>
      </c>
      <c r="D80" s="3">
        <v>35290</v>
      </c>
      <c r="E80" s="4">
        <v>42159</v>
      </c>
      <c r="F80" s="92" t="s">
        <v>28</v>
      </c>
      <c r="G80" s="32">
        <v>42160</v>
      </c>
      <c r="H80" s="45">
        <f>D80</f>
        <v>35290</v>
      </c>
      <c r="I80" s="45">
        <f>H80</f>
        <v>35290</v>
      </c>
      <c r="J80" s="45"/>
      <c r="K80" s="45"/>
    </row>
    <row r="81" spans="1:11" ht="20.100000000000001" customHeight="1" x14ac:dyDescent="0.25">
      <c r="A81" s="89">
        <v>89</v>
      </c>
      <c r="B81" s="4">
        <v>42158</v>
      </c>
      <c r="C81" s="90" t="s">
        <v>56</v>
      </c>
      <c r="D81" s="3">
        <v>82371.37</v>
      </c>
      <c r="E81" s="95">
        <v>42185</v>
      </c>
      <c r="F81" s="4">
        <v>42139</v>
      </c>
      <c r="G81" s="32">
        <v>42185</v>
      </c>
      <c r="H81" s="45">
        <v>82371.37</v>
      </c>
      <c r="I81" s="45">
        <v>82371.37</v>
      </c>
      <c r="J81" s="45"/>
      <c r="K81" s="45"/>
    </row>
    <row r="82" spans="1:11" ht="20.100000000000001" customHeight="1" x14ac:dyDescent="0.25">
      <c r="A82" s="89">
        <v>140</v>
      </c>
      <c r="B82" s="4">
        <v>42160</v>
      </c>
      <c r="C82" s="26" t="s">
        <v>14</v>
      </c>
      <c r="D82" s="3">
        <v>18575.099999999999</v>
      </c>
      <c r="E82" s="4">
        <v>42160</v>
      </c>
      <c r="F82" s="92" t="s">
        <v>28</v>
      </c>
      <c r="G82" s="32">
        <v>42163</v>
      </c>
      <c r="H82" s="45">
        <f t="shared" ref="H82:H98" si="6">D82</f>
        <v>18575.099999999999</v>
      </c>
    </row>
    <row r="83" spans="1:11" ht="20.100000000000001" customHeight="1" x14ac:dyDescent="0.25">
      <c r="A83" s="89">
        <v>1024</v>
      </c>
      <c r="B83" s="4">
        <v>42138</v>
      </c>
      <c r="C83" s="26" t="s">
        <v>38</v>
      </c>
      <c r="D83" s="3">
        <v>768329.13</v>
      </c>
      <c r="E83" s="4">
        <v>42170</v>
      </c>
      <c r="F83" s="4"/>
      <c r="G83" s="32">
        <v>42165</v>
      </c>
      <c r="H83" s="45">
        <f t="shared" si="6"/>
        <v>768329.13</v>
      </c>
    </row>
    <row r="84" spans="1:11" ht="20.100000000000001" customHeight="1" x14ac:dyDescent="0.25">
      <c r="A84" s="89">
        <v>873</v>
      </c>
      <c r="B84" s="4">
        <v>42090</v>
      </c>
      <c r="C84" s="26" t="s">
        <v>38</v>
      </c>
      <c r="D84" s="3">
        <v>789638.42</v>
      </c>
      <c r="E84" s="4">
        <v>42170</v>
      </c>
      <c r="F84" s="4"/>
      <c r="G84" s="32">
        <v>42165</v>
      </c>
      <c r="H84" s="45">
        <f t="shared" si="6"/>
        <v>789638.42</v>
      </c>
    </row>
    <row r="85" spans="1:11" ht="20.100000000000001" customHeight="1" x14ac:dyDescent="0.25">
      <c r="A85" s="89">
        <v>144</v>
      </c>
      <c r="B85" s="4">
        <v>42164</v>
      </c>
      <c r="C85" s="26" t="s">
        <v>5</v>
      </c>
      <c r="D85" s="3">
        <v>1917.97</v>
      </c>
      <c r="E85" s="4">
        <v>42165</v>
      </c>
      <c r="F85" s="92" t="s">
        <v>28</v>
      </c>
      <c r="G85" s="32">
        <v>42173</v>
      </c>
      <c r="H85" s="45">
        <f t="shared" si="6"/>
        <v>1917.97</v>
      </c>
    </row>
    <row r="86" spans="1:11" ht="20.100000000000001" customHeight="1" x14ac:dyDescent="0.25">
      <c r="A86" s="89">
        <v>141</v>
      </c>
      <c r="B86" s="4">
        <v>42160</v>
      </c>
      <c r="C86" s="26" t="s">
        <v>13</v>
      </c>
      <c r="D86" s="3">
        <v>9287.5499999999993</v>
      </c>
      <c r="E86" s="4">
        <v>42170</v>
      </c>
      <c r="F86" s="92" t="s">
        <v>28</v>
      </c>
      <c r="G86" s="32">
        <v>42205</v>
      </c>
      <c r="H86" s="45">
        <f t="shared" si="6"/>
        <v>9287.5499999999993</v>
      </c>
    </row>
    <row r="87" spans="1:11" ht="20.100000000000001" customHeight="1" x14ac:dyDescent="0.25">
      <c r="A87" s="89">
        <v>124</v>
      </c>
      <c r="B87" s="4">
        <v>42171</v>
      </c>
      <c r="C87" s="26" t="s">
        <v>48</v>
      </c>
      <c r="D87" s="3">
        <v>24490</v>
      </c>
      <c r="E87" s="95">
        <v>42171</v>
      </c>
      <c r="F87" s="92" t="s">
        <v>28</v>
      </c>
      <c r="G87" s="32">
        <v>42187</v>
      </c>
      <c r="H87" s="45">
        <f t="shared" si="6"/>
        <v>24490</v>
      </c>
    </row>
    <row r="88" spans="1:11" ht="20.100000000000001" customHeight="1" x14ac:dyDescent="0.25">
      <c r="A88" s="89">
        <v>149</v>
      </c>
      <c r="B88" s="4">
        <v>42171</v>
      </c>
      <c r="C88" s="90" t="s">
        <v>57</v>
      </c>
      <c r="D88" s="3">
        <v>5648.11</v>
      </c>
      <c r="E88" s="4">
        <v>42171</v>
      </c>
      <c r="F88" s="92" t="s">
        <v>28</v>
      </c>
      <c r="G88" s="32">
        <v>42177</v>
      </c>
      <c r="H88" s="45">
        <f t="shared" si="6"/>
        <v>5648.11</v>
      </c>
      <c r="I88" s="45">
        <f>H88</f>
        <v>5648.11</v>
      </c>
      <c r="J88" s="45"/>
      <c r="K88" s="45"/>
    </row>
    <row r="89" spans="1:11" ht="20.100000000000001" customHeight="1" x14ac:dyDescent="0.25">
      <c r="A89" s="89">
        <v>147</v>
      </c>
      <c r="B89" s="4">
        <v>42171</v>
      </c>
      <c r="C89" s="90" t="s">
        <v>58</v>
      </c>
      <c r="D89" s="3">
        <v>9105.16</v>
      </c>
      <c r="E89" s="4">
        <v>42172</v>
      </c>
      <c r="F89" s="92" t="s">
        <v>28</v>
      </c>
      <c r="G89" s="32">
        <v>42174</v>
      </c>
      <c r="H89" s="45">
        <f t="shared" si="6"/>
        <v>9105.16</v>
      </c>
      <c r="I89" s="45">
        <f>H89</f>
        <v>9105.16</v>
      </c>
      <c r="J89" s="45"/>
      <c r="K89" s="45"/>
    </row>
    <row r="90" spans="1:11" ht="20.100000000000001" customHeight="1" x14ac:dyDescent="0.25">
      <c r="A90" s="89">
        <v>150</v>
      </c>
      <c r="B90" s="4">
        <v>42171</v>
      </c>
      <c r="C90" s="26" t="s">
        <v>19</v>
      </c>
      <c r="D90" s="3">
        <v>2433.89</v>
      </c>
      <c r="E90" s="4">
        <v>42172</v>
      </c>
      <c r="F90" s="92" t="s">
        <v>28</v>
      </c>
      <c r="G90" s="32">
        <v>42174</v>
      </c>
      <c r="H90" s="45">
        <f t="shared" si="6"/>
        <v>2433.89</v>
      </c>
    </row>
    <row r="91" spans="1:11" ht="20.100000000000001" customHeight="1" x14ac:dyDescent="0.25">
      <c r="A91" s="89">
        <v>151</v>
      </c>
      <c r="B91" s="4">
        <v>42171</v>
      </c>
      <c r="C91" s="90" t="s">
        <v>59</v>
      </c>
      <c r="D91" s="3">
        <v>49390</v>
      </c>
      <c r="E91" s="4">
        <v>42172</v>
      </c>
      <c r="F91" s="92" t="s">
        <v>28</v>
      </c>
      <c r="G91" s="32">
        <v>42173</v>
      </c>
      <c r="H91" s="45">
        <f t="shared" si="6"/>
        <v>49390</v>
      </c>
      <c r="I91" s="45">
        <f>H91</f>
        <v>49390</v>
      </c>
      <c r="J91" s="45"/>
      <c r="K91" s="45"/>
    </row>
    <row r="92" spans="1:11" ht="20.100000000000001" customHeight="1" x14ac:dyDescent="0.25">
      <c r="A92" s="89">
        <v>126</v>
      </c>
      <c r="B92" s="4">
        <v>42156</v>
      </c>
      <c r="C92" s="90" t="s">
        <v>60</v>
      </c>
      <c r="D92" s="3">
        <v>20671</v>
      </c>
      <c r="E92" s="95">
        <v>42174</v>
      </c>
      <c r="F92" s="4">
        <v>42164</v>
      </c>
      <c r="G92" s="32">
        <v>42185</v>
      </c>
      <c r="H92" s="45">
        <f t="shared" si="6"/>
        <v>20671</v>
      </c>
      <c r="I92" s="45">
        <f>H92</f>
        <v>20671</v>
      </c>
      <c r="J92" s="45"/>
      <c r="K92" s="45"/>
    </row>
    <row r="93" spans="1:11" ht="20.100000000000001" customHeight="1" x14ac:dyDescent="0.25">
      <c r="A93" s="89">
        <v>154</v>
      </c>
      <c r="B93" s="4">
        <v>42174</v>
      </c>
      <c r="C93" s="90" t="s">
        <v>61</v>
      </c>
      <c r="D93" s="3">
        <v>20853.09</v>
      </c>
      <c r="E93" s="4">
        <v>42174</v>
      </c>
      <c r="F93" s="92" t="s">
        <v>28</v>
      </c>
      <c r="G93" s="32">
        <v>42177</v>
      </c>
      <c r="H93" s="45">
        <f t="shared" si="6"/>
        <v>20853.09</v>
      </c>
      <c r="I93" s="45">
        <f>H93</f>
        <v>20853.09</v>
      </c>
      <c r="J93" s="45"/>
      <c r="K93" s="45"/>
    </row>
    <row r="94" spans="1:11" ht="20.100000000000001" customHeight="1" x14ac:dyDescent="0.25">
      <c r="A94" s="89">
        <v>153</v>
      </c>
      <c r="B94" s="4">
        <v>42174</v>
      </c>
      <c r="C94" s="90" t="s">
        <v>62</v>
      </c>
      <c r="D94" s="3">
        <v>1505.39</v>
      </c>
      <c r="E94" s="4">
        <v>42174</v>
      </c>
      <c r="F94" s="92" t="s">
        <v>28</v>
      </c>
      <c r="G94" s="32">
        <v>42193</v>
      </c>
      <c r="H94" s="45">
        <f t="shared" si="6"/>
        <v>1505.39</v>
      </c>
      <c r="I94" s="45">
        <f>H94</f>
        <v>1505.39</v>
      </c>
      <c r="J94" s="45"/>
      <c r="K94" s="45"/>
    </row>
    <row r="95" spans="1:11" ht="20.100000000000001" customHeight="1" x14ac:dyDescent="0.25">
      <c r="A95" s="89">
        <v>160</v>
      </c>
      <c r="B95" s="4">
        <v>42177</v>
      </c>
      <c r="C95" s="5" t="s">
        <v>63</v>
      </c>
      <c r="D95" s="3">
        <v>1497.95</v>
      </c>
      <c r="E95" s="4">
        <v>42184</v>
      </c>
      <c r="F95" s="92" t="s">
        <v>28</v>
      </c>
      <c r="G95" s="32">
        <v>42198</v>
      </c>
      <c r="H95" s="45">
        <f t="shared" si="6"/>
        <v>1497.95</v>
      </c>
      <c r="I95" s="45">
        <f>H95</f>
        <v>1497.95</v>
      </c>
      <c r="J95" s="45"/>
      <c r="K95" s="45"/>
    </row>
    <row r="96" spans="1:11" ht="20.100000000000001" customHeight="1" x14ac:dyDescent="0.25">
      <c r="A96" s="89">
        <v>164</v>
      </c>
      <c r="B96" s="4">
        <v>42179</v>
      </c>
      <c r="C96" s="26" t="s">
        <v>34</v>
      </c>
      <c r="D96" s="3">
        <v>7861.45</v>
      </c>
      <c r="E96" s="4">
        <v>42180</v>
      </c>
      <c r="F96" s="92" t="s">
        <v>28</v>
      </c>
      <c r="G96" s="32">
        <v>42213</v>
      </c>
      <c r="H96" s="45">
        <f t="shared" si="6"/>
        <v>7861.45</v>
      </c>
    </row>
    <row r="97" spans="1:12" ht="20.100000000000001" customHeight="1" x14ac:dyDescent="0.25">
      <c r="A97" s="89">
        <v>148</v>
      </c>
      <c r="B97" s="4">
        <v>42171</v>
      </c>
      <c r="C97" s="26" t="s">
        <v>34</v>
      </c>
      <c r="D97" s="3">
        <v>10166.73</v>
      </c>
      <c r="E97" s="4">
        <v>42172</v>
      </c>
      <c r="F97" s="92" t="s">
        <v>28</v>
      </c>
      <c r="G97" s="32">
        <v>42227</v>
      </c>
      <c r="H97" s="45">
        <f t="shared" si="6"/>
        <v>10166.73</v>
      </c>
    </row>
    <row r="98" spans="1:12" ht="20.100000000000001" customHeight="1" x14ac:dyDescent="0.25">
      <c r="A98" s="89">
        <v>166</v>
      </c>
      <c r="B98" s="4">
        <v>42180</v>
      </c>
      <c r="C98" s="26" t="s">
        <v>21</v>
      </c>
      <c r="D98" s="3">
        <v>8868.7999999999993</v>
      </c>
      <c r="E98" s="95">
        <v>42180</v>
      </c>
      <c r="F98" s="92" t="s">
        <v>28</v>
      </c>
      <c r="G98" s="32">
        <v>42187</v>
      </c>
      <c r="H98" s="45">
        <f t="shared" si="6"/>
        <v>8868.7999999999993</v>
      </c>
    </row>
    <row r="99" spans="1:12" ht="20.100000000000001" customHeight="1" x14ac:dyDescent="0.25">
      <c r="A99" s="89"/>
      <c r="B99" s="4"/>
      <c r="C99" s="90"/>
      <c r="D99" s="3"/>
      <c r="E99" s="4"/>
      <c r="F99" s="4"/>
      <c r="G99" s="4"/>
      <c r="H99" s="16">
        <f>SUM(H78:H98)</f>
        <v>1871788.58</v>
      </c>
      <c r="I99" s="16">
        <f>SUM(I78:I98)</f>
        <v>228916.44</v>
      </c>
      <c r="J99" s="16"/>
      <c r="K99" s="16"/>
      <c r="L99" s="16">
        <f>H99*0.05+I99*0.02</f>
        <v>98167.757800000007</v>
      </c>
    </row>
    <row r="100" spans="1:12" ht="23.25" x14ac:dyDescent="0.35">
      <c r="A100" s="89"/>
      <c r="B100" s="4"/>
      <c r="C100" s="94" t="s">
        <v>641</v>
      </c>
      <c r="D100" s="3"/>
      <c r="E100" s="4"/>
      <c r="F100" s="4"/>
      <c r="G100" s="4"/>
    </row>
    <row r="101" spans="1:12" ht="20.100000000000001" customHeight="1" x14ac:dyDescent="0.25">
      <c r="A101" s="89">
        <v>1878</v>
      </c>
      <c r="B101" s="4">
        <v>42184</v>
      </c>
      <c r="C101" s="26" t="s">
        <v>38</v>
      </c>
      <c r="D101" s="3">
        <v>251346.02</v>
      </c>
      <c r="E101" s="4">
        <v>42205</v>
      </c>
      <c r="F101" s="92" t="s">
        <v>28</v>
      </c>
      <c r="G101" s="32">
        <v>42201</v>
      </c>
      <c r="H101" s="45">
        <f t="shared" ref="H101:H114" si="7">D101</f>
        <v>251346.02</v>
      </c>
    </row>
    <row r="102" spans="1:12" ht="20.100000000000001" customHeight="1" x14ac:dyDescent="0.25">
      <c r="A102" s="89">
        <v>156</v>
      </c>
      <c r="B102" s="4">
        <v>42177</v>
      </c>
      <c r="C102" s="5" t="s">
        <v>64</v>
      </c>
      <c r="D102" s="3">
        <v>10237.36</v>
      </c>
      <c r="E102" s="4">
        <v>42188</v>
      </c>
      <c r="F102" s="92" t="s">
        <v>28</v>
      </c>
      <c r="G102" s="32">
        <v>42216</v>
      </c>
      <c r="H102" s="45">
        <f t="shared" si="7"/>
        <v>10237.36</v>
      </c>
      <c r="I102" s="45">
        <f>H102</f>
        <v>10237.36</v>
      </c>
      <c r="J102" s="45"/>
      <c r="K102" s="45"/>
    </row>
    <row r="103" spans="1:12" ht="20.100000000000001" customHeight="1" x14ac:dyDescent="0.25">
      <c r="A103" s="89">
        <v>180</v>
      </c>
      <c r="B103" s="4">
        <v>42199</v>
      </c>
      <c r="C103" s="26" t="s">
        <v>60</v>
      </c>
      <c r="D103" s="3">
        <v>6566.84</v>
      </c>
      <c r="E103" s="4">
        <v>42205</v>
      </c>
      <c r="F103" s="92" t="s">
        <v>28</v>
      </c>
      <c r="G103" s="32">
        <v>42200</v>
      </c>
      <c r="H103" s="45">
        <f t="shared" si="7"/>
        <v>6566.84</v>
      </c>
    </row>
    <row r="104" spans="1:12" ht="20.100000000000001" customHeight="1" x14ac:dyDescent="0.25">
      <c r="A104" s="89">
        <v>181</v>
      </c>
      <c r="B104" s="4">
        <v>42200</v>
      </c>
      <c r="C104" s="26" t="s">
        <v>60</v>
      </c>
      <c r="D104" s="3">
        <v>6956.05</v>
      </c>
      <c r="E104" s="4">
        <v>42205</v>
      </c>
      <c r="F104" s="92" t="s">
        <v>28</v>
      </c>
      <c r="G104" s="32">
        <v>42201</v>
      </c>
      <c r="H104" s="45">
        <f t="shared" si="7"/>
        <v>6956.05</v>
      </c>
    </row>
    <row r="105" spans="1:12" ht="20.100000000000001" customHeight="1" x14ac:dyDescent="0.25">
      <c r="A105" s="89">
        <v>171</v>
      </c>
      <c r="B105" s="4">
        <v>42188</v>
      </c>
      <c r="C105" s="5" t="s">
        <v>65</v>
      </c>
      <c r="D105" s="3">
        <v>36357.58</v>
      </c>
      <c r="E105" s="4">
        <v>42206</v>
      </c>
      <c r="F105" s="92" t="s">
        <v>28</v>
      </c>
      <c r="G105" s="32">
        <v>42206</v>
      </c>
      <c r="H105" s="45">
        <f t="shared" si="7"/>
        <v>36357.58</v>
      </c>
      <c r="I105" s="45">
        <f>H105</f>
        <v>36357.58</v>
      </c>
      <c r="J105" s="45"/>
      <c r="K105" s="45"/>
    </row>
    <row r="106" spans="1:12" ht="20.100000000000001" customHeight="1" x14ac:dyDescent="0.25">
      <c r="A106" s="89">
        <v>185</v>
      </c>
      <c r="B106" s="4">
        <v>42202</v>
      </c>
      <c r="C106" s="5" t="s">
        <v>71</v>
      </c>
      <c r="D106" s="3">
        <v>38394.74</v>
      </c>
      <c r="E106" s="4">
        <v>42206</v>
      </c>
      <c r="F106" s="92" t="s">
        <v>28</v>
      </c>
      <c r="G106" s="32">
        <v>42219</v>
      </c>
      <c r="H106" s="45">
        <f t="shared" si="7"/>
        <v>38394.74</v>
      </c>
      <c r="I106" s="45">
        <f>H106</f>
        <v>38394.74</v>
      </c>
      <c r="J106" s="45"/>
      <c r="K106" s="45"/>
    </row>
    <row r="107" spans="1:12" ht="20.100000000000001" customHeight="1" x14ac:dyDescent="0.25">
      <c r="A107" s="89">
        <v>193</v>
      </c>
      <c r="B107" s="4">
        <v>42206</v>
      </c>
      <c r="C107" s="26" t="s">
        <v>19</v>
      </c>
      <c r="D107" s="3">
        <v>4046.48</v>
      </c>
      <c r="E107" s="4">
        <v>42206</v>
      </c>
      <c r="F107" s="92" t="s">
        <v>28</v>
      </c>
      <c r="G107" s="32">
        <v>42208</v>
      </c>
      <c r="H107" s="45">
        <f t="shared" si="7"/>
        <v>4046.48</v>
      </c>
    </row>
    <row r="108" spans="1:12" ht="20.100000000000001" customHeight="1" x14ac:dyDescent="0.25">
      <c r="A108" s="89">
        <v>176</v>
      </c>
      <c r="B108" s="4">
        <v>42195</v>
      </c>
      <c r="C108" s="5" t="s">
        <v>66</v>
      </c>
      <c r="D108" s="3">
        <v>10293.61</v>
      </c>
      <c r="E108" s="4">
        <v>42215</v>
      </c>
      <c r="F108" s="92" t="s">
        <v>28</v>
      </c>
      <c r="G108" s="32">
        <v>42262</v>
      </c>
      <c r="H108" s="45">
        <f t="shared" si="7"/>
        <v>10293.61</v>
      </c>
      <c r="I108" s="45">
        <f>H108</f>
        <v>10293.61</v>
      </c>
      <c r="J108" s="45"/>
      <c r="K108" s="45"/>
    </row>
    <row r="109" spans="1:12" ht="20.100000000000001" customHeight="1" x14ac:dyDescent="0.25">
      <c r="A109" s="89">
        <v>162</v>
      </c>
      <c r="B109" s="4">
        <v>42178</v>
      </c>
      <c r="C109" s="5" t="s">
        <v>67</v>
      </c>
      <c r="D109" s="3">
        <v>3992.8</v>
      </c>
      <c r="E109" s="4">
        <v>42209</v>
      </c>
      <c r="F109" s="92" t="s">
        <v>28</v>
      </c>
      <c r="G109" s="32">
        <v>42207</v>
      </c>
      <c r="H109" s="45">
        <f t="shared" si="7"/>
        <v>3992.8</v>
      </c>
      <c r="I109" s="45">
        <f>H109</f>
        <v>3992.8</v>
      </c>
      <c r="J109" s="45"/>
      <c r="K109" s="45"/>
    </row>
    <row r="110" spans="1:12" ht="20.100000000000001" customHeight="1" x14ac:dyDescent="0.25">
      <c r="A110" s="89">
        <v>195</v>
      </c>
      <c r="B110" s="4">
        <v>42208</v>
      </c>
      <c r="C110" s="5" t="s">
        <v>68</v>
      </c>
      <c r="D110" s="3">
        <v>18623.830000000002</v>
      </c>
      <c r="E110" s="4">
        <v>42208</v>
      </c>
      <c r="F110" s="92" t="s">
        <v>28</v>
      </c>
      <c r="G110" s="32">
        <v>42208</v>
      </c>
      <c r="H110" s="45">
        <f t="shared" si="7"/>
        <v>18623.830000000002</v>
      </c>
      <c r="I110" s="45">
        <f>H110</f>
        <v>18623.830000000002</v>
      </c>
      <c r="J110" s="45"/>
      <c r="K110" s="45"/>
    </row>
    <row r="111" spans="1:12" ht="20.100000000000001" customHeight="1" x14ac:dyDescent="0.25">
      <c r="A111" s="89">
        <v>184</v>
      </c>
      <c r="B111" s="4">
        <v>42202</v>
      </c>
      <c r="C111" s="26" t="s">
        <v>13</v>
      </c>
      <c r="D111" s="3">
        <v>10282.65</v>
      </c>
      <c r="E111" s="4">
        <v>42214</v>
      </c>
      <c r="F111" s="92" t="s">
        <v>28</v>
      </c>
      <c r="G111" s="32">
        <v>42220</v>
      </c>
      <c r="H111" s="45">
        <f t="shared" si="7"/>
        <v>10282.65</v>
      </c>
    </row>
    <row r="112" spans="1:12" ht="20.100000000000001" customHeight="1" x14ac:dyDescent="0.25">
      <c r="A112" s="89">
        <v>197</v>
      </c>
      <c r="B112" s="4">
        <v>42212</v>
      </c>
      <c r="C112" s="26" t="s">
        <v>16</v>
      </c>
      <c r="D112" s="3">
        <v>2261.38</v>
      </c>
      <c r="E112" s="4">
        <v>42214</v>
      </c>
      <c r="F112" s="92" t="s">
        <v>28</v>
      </c>
      <c r="G112" s="32">
        <v>42226</v>
      </c>
      <c r="H112" s="45">
        <f t="shared" si="7"/>
        <v>2261.38</v>
      </c>
    </row>
    <row r="113" spans="1:12" ht="20.100000000000001" customHeight="1" x14ac:dyDescent="0.25">
      <c r="A113" s="89">
        <v>202</v>
      </c>
      <c r="B113" s="4">
        <v>42214</v>
      </c>
      <c r="C113" s="26" t="s">
        <v>6</v>
      </c>
      <c r="D113" s="3">
        <v>17790.939999999999</v>
      </c>
      <c r="E113" s="4">
        <v>42215</v>
      </c>
      <c r="F113" s="92" t="s">
        <v>28</v>
      </c>
      <c r="G113" s="32">
        <v>42233</v>
      </c>
      <c r="H113" s="45">
        <f t="shared" si="7"/>
        <v>17790.939999999999</v>
      </c>
    </row>
    <row r="114" spans="1:12" ht="20.100000000000001" customHeight="1" x14ac:dyDescent="0.25">
      <c r="A114" s="89">
        <v>200</v>
      </c>
      <c r="B114" s="4">
        <v>42214</v>
      </c>
      <c r="C114" s="5" t="s">
        <v>72</v>
      </c>
      <c r="D114" s="3">
        <v>38190</v>
      </c>
      <c r="E114" s="4">
        <v>42216</v>
      </c>
      <c r="F114" s="92" t="s">
        <v>28</v>
      </c>
      <c r="G114" s="32">
        <v>42219</v>
      </c>
      <c r="H114" s="45">
        <f t="shared" si="7"/>
        <v>38190</v>
      </c>
      <c r="I114" s="45">
        <f>H114</f>
        <v>38190</v>
      </c>
      <c r="J114" s="45"/>
      <c r="K114" s="45"/>
    </row>
    <row r="115" spans="1:12" ht="20.100000000000001" customHeight="1" x14ac:dyDescent="0.25">
      <c r="A115" s="89"/>
      <c r="B115" s="4"/>
      <c r="C115" s="90"/>
      <c r="D115" s="3"/>
      <c r="E115" s="4"/>
      <c r="F115" s="4"/>
      <c r="G115" s="4"/>
      <c r="H115" s="16">
        <f>SUM(H101:H114)</f>
        <v>455340.28</v>
      </c>
      <c r="I115" s="16">
        <f>SUM(I102:I114)</f>
        <v>156089.91999999998</v>
      </c>
      <c r="J115" s="16"/>
      <c r="K115" s="16"/>
      <c r="L115" s="16">
        <f>H115*0.02+I115*0.02</f>
        <v>12228.604000000001</v>
      </c>
    </row>
    <row r="116" spans="1:12" ht="23.25" x14ac:dyDescent="0.35">
      <c r="A116" s="89"/>
      <c r="B116" s="4"/>
      <c r="C116" s="94" t="s">
        <v>642</v>
      </c>
      <c r="D116" s="3"/>
      <c r="E116" s="4"/>
      <c r="F116" s="4"/>
      <c r="G116" s="4"/>
    </row>
    <row r="117" spans="1:12" ht="20.100000000000001" customHeight="1" x14ac:dyDescent="0.25">
      <c r="A117" s="89">
        <v>174</v>
      </c>
      <c r="B117" s="4">
        <v>42192</v>
      </c>
      <c r="C117" s="26" t="s">
        <v>56</v>
      </c>
      <c r="D117" s="3">
        <v>84847.24</v>
      </c>
      <c r="E117" s="4">
        <v>42226</v>
      </c>
      <c r="F117" s="92" t="s">
        <v>28</v>
      </c>
      <c r="G117" s="32">
        <v>42215</v>
      </c>
      <c r="H117" s="45">
        <f t="shared" ref="H117:H132" si="8">D117</f>
        <v>84847.24</v>
      </c>
    </row>
    <row r="118" spans="1:12" ht="20.100000000000001" customHeight="1" x14ac:dyDescent="0.25">
      <c r="A118" s="89">
        <v>199</v>
      </c>
      <c r="B118" s="4">
        <v>42213</v>
      </c>
      <c r="C118" s="5" t="s">
        <v>69</v>
      </c>
      <c r="D118" s="3">
        <v>10770.61</v>
      </c>
      <c r="E118" s="4">
        <v>42222</v>
      </c>
      <c r="F118" s="92" t="s">
        <v>28</v>
      </c>
      <c r="G118" s="32">
        <v>42228</v>
      </c>
      <c r="H118" s="45">
        <f t="shared" si="8"/>
        <v>10770.61</v>
      </c>
      <c r="I118" s="45">
        <f>H118</f>
        <v>10770.61</v>
      </c>
      <c r="J118" s="45"/>
      <c r="K118" s="45"/>
    </row>
    <row r="119" spans="1:12" ht="20.100000000000001" customHeight="1" x14ac:dyDescent="0.25">
      <c r="A119" s="89">
        <v>201</v>
      </c>
      <c r="B119" s="4">
        <v>42214</v>
      </c>
      <c r="C119" s="5" t="s">
        <v>70</v>
      </c>
      <c r="D119" s="3">
        <v>848.65</v>
      </c>
      <c r="E119" s="4">
        <v>42219</v>
      </c>
      <c r="F119" s="92" t="s">
        <v>28</v>
      </c>
      <c r="G119" s="32">
        <v>42228</v>
      </c>
      <c r="H119" s="45">
        <f t="shared" si="8"/>
        <v>848.65</v>
      </c>
      <c r="I119" s="45">
        <f>H119</f>
        <v>848.65</v>
      </c>
      <c r="J119" s="45"/>
      <c r="K119" s="45"/>
    </row>
    <row r="120" spans="1:12" ht="20.100000000000001" customHeight="1" x14ac:dyDescent="0.25">
      <c r="A120" s="89">
        <v>204</v>
      </c>
      <c r="B120" s="4">
        <v>42219</v>
      </c>
      <c r="C120" s="26" t="s">
        <v>60</v>
      </c>
      <c r="D120" s="3">
        <v>17114.07</v>
      </c>
      <c r="E120" s="4">
        <v>42223</v>
      </c>
      <c r="F120" s="92" t="s">
        <v>28</v>
      </c>
      <c r="G120" s="32">
        <v>42241</v>
      </c>
      <c r="H120" s="45">
        <f t="shared" si="8"/>
        <v>17114.07</v>
      </c>
    </row>
    <row r="121" spans="1:12" ht="20.100000000000001" customHeight="1" x14ac:dyDescent="0.25">
      <c r="A121" s="89">
        <v>207</v>
      </c>
      <c r="B121" s="4">
        <v>42220</v>
      </c>
      <c r="C121" s="5" t="s">
        <v>73</v>
      </c>
      <c r="D121" s="3">
        <v>3299.63</v>
      </c>
      <c r="E121" s="4">
        <v>42226</v>
      </c>
      <c r="F121" s="92" t="s">
        <v>28</v>
      </c>
      <c r="G121" s="32">
        <v>42227</v>
      </c>
      <c r="H121" s="45">
        <f t="shared" si="8"/>
        <v>3299.63</v>
      </c>
      <c r="I121" s="45">
        <f>H121</f>
        <v>3299.63</v>
      </c>
      <c r="J121" s="45"/>
      <c r="K121" s="45"/>
    </row>
    <row r="122" spans="1:12" ht="20.100000000000001" customHeight="1" x14ac:dyDescent="0.25">
      <c r="A122" s="89">
        <v>212</v>
      </c>
      <c r="B122" s="4">
        <v>42223</v>
      </c>
      <c r="C122" s="26" t="s">
        <v>45</v>
      </c>
      <c r="D122" s="3">
        <v>27212</v>
      </c>
      <c r="E122" s="4">
        <v>42226</v>
      </c>
      <c r="F122" s="92" t="s">
        <v>28</v>
      </c>
      <c r="G122" s="32">
        <v>42226</v>
      </c>
      <c r="H122" s="45">
        <f t="shared" si="8"/>
        <v>27212</v>
      </c>
    </row>
    <row r="123" spans="1:12" ht="20.100000000000001" customHeight="1" x14ac:dyDescent="0.25">
      <c r="A123" s="89">
        <v>206</v>
      </c>
      <c r="B123" s="4">
        <v>42220</v>
      </c>
      <c r="C123" s="26" t="s">
        <v>13</v>
      </c>
      <c r="D123" s="3">
        <v>10780.2</v>
      </c>
      <c r="E123" s="4">
        <v>42226</v>
      </c>
      <c r="F123" s="92" t="s">
        <v>28</v>
      </c>
      <c r="G123" s="32">
        <v>42236</v>
      </c>
      <c r="H123" s="45">
        <f t="shared" si="8"/>
        <v>10780.2</v>
      </c>
    </row>
    <row r="124" spans="1:12" ht="20.100000000000001" customHeight="1" x14ac:dyDescent="0.25">
      <c r="A124" s="89">
        <v>214</v>
      </c>
      <c r="B124" s="4">
        <v>42227</v>
      </c>
      <c r="C124" s="26" t="s">
        <v>12</v>
      </c>
      <c r="D124" s="3">
        <v>4500</v>
      </c>
      <c r="E124" s="4">
        <v>42227</v>
      </c>
      <c r="F124" s="92"/>
      <c r="G124" s="32">
        <v>42227</v>
      </c>
      <c r="H124" s="45">
        <f t="shared" si="8"/>
        <v>4500</v>
      </c>
    </row>
    <row r="125" spans="1:12" ht="20.100000000000001" customHeight="1" x14ac:dyDescent="0.25">
      <c r="A125" s="89">
        <v>217</v>
      </c>
      <c r="B125" s="4">
        <v>42228</v>
      </c>
      <c r="C125" s="5" t="s">
        <v>74</v>
      </c>
      <c r="D125" s="3">
        <v>21407.62</v>
      </c>
      <c r="E125" s="4">
        <v>42228</v>
      </c>
      <c r="F125" s="92" t="s">
        <v>28</v>
      </c>
      <c r="G125" s="32">
        <v>42229</v>
      </c>
      <c r="H125" s="45">
        <f t="shared" si="8"/>
        <v>21407.62</v>
      </c>
      <c r="I125" s="45">
        <f>H125</f>
        <v>21407.62</v>
      </c>
      <c r="J125" s="45"/>
      <c r="K125" s="45"/>
    </row>
    <row r="126" spans="1:12" ht="20.100000000000001" customHeight="1" x14ac:dyDescent="0.25">
      <c r="A126" s="89">
        <v>218</v>
      </c>
      <c r="B126" s="4">
        <v>42228</v>
      </c>
      <c r="C126" s="5" t="s">
        <v>74</v>
      </c>
      <c r="D126" s="3">
        <v>1001.7</v>
      </c>
      <c r="E126" s="4">
        <v>42228</v>
      </c>
      <c r="F126" s="92" t="s">
        <v>28</v>
      </c>
      <c r="G126" s="32">
        <v>42229</v>
      </c>
      <c r="H126" s="45">
        <f t="shared" si="8"/>
        <v>1001.7</v>
      </c>
      <c r="I126" s="45">
        <f>H126</f>
        <v>1001.7</v>
      </c>
      <c r="J126" s="45"/>
      <c r="K126" s="45"/>
    </row>
    <row r="127" spans="1:12" ht="20.100000000000001" customHeight="1" x14ac:dyDescent="0.25">
      <c r="A127" s="89">
        <v>213</v>
      </c>
      <c r="B127" s="4">
        <v>42227</v>
      </c>
      <c r="C127" s="26" t="s">
        <v>45</v>
      </c>
      <c r="D127" s="3">
        <v>34990</v>
      </c>
      <c r="E127" s="4">
        <v>42230</v>
      </c>
      <c r="F127" s="92" t="s">
        <v>28</v>
      </c>
      <c r="G127" s="32">
        <v>42237</v>
      </c>
      <c r="H127" s="45">
        <f t="shared" si="8"/>
        <v>34990</v>
      </c>
    </row>
    <row r="128" spans="1:12" ht="20.100000000000001" customHeight="1" x14ac:dyDescent="0.25">
      <c r="A128" s="89">
        <v>219</v>
      </c>
      <c r="B128" s="4">
        <v>42229</v>
      </c>
      <c r="C128" s="5" t="s">
        <v>75</v>
      </c>
      <c r="D128" s="3">
        <v>18490</v>
      </c>
      <c r="E128" s="4">
        <v>42233</v>
      </c>
      <c r="F128" s="92" t="s">
        <v>28</v>
      </c>
      <c r="G128" s="32">
        <v>42234</v>
      </c>
      <c r="H128" s="45">
        <f t="shared" si="8"/>
        <v>18490</v>
      </c>
      <c r="I128" s="45">
        <f>H128</f>
        <v>18490</v>
      </c>
      <c r="J128" s="45"/>
      <c r="K128" s="45"/>
    </row>
    <row r="129" spans="1:12" ht="20.100000000000001" customHeight="1" x14ac:dyDescent="0.25">
      <c r="A129" s="89">
        <v>208</v>
      </c>
      <c r="B129" s="4">
        <v>42220</v>
      </c>
      <c r="C129" s="5" t="s">
        <v>76</v>
      </c>
      <c r="D129" s="3">
        <v>14399</v>
      </c>
      <c r="E129" s="4">
        <v>42233</v>
      </c>
      <c r="F129" s="92" t="s">
        <v>28</v>
      </c>
      <c r="G129" s="32">
        <v>42235</v>
      </c>
      <c r="H129" s="45">
        <f t="shared" si="8"/>
        <v>14399</v>
      </c>
      <c r="I129" s="45">
        <f>H129</f>
        <v>14399</v>
      </c>
      <c r="J129" s="45"/>
      <c r="K129" s="45"/>
    </row>
    <row r="130" spans="1:12" ht="20.100000000000001" customHeight="1" x14ac:dyDescent="0.25">
      <c r="A130" s="89">
        <v>224</v>
      </c>
      <c r="B130" s="4">
        <v>42234</v>
      </c>
      <c r="C130" s="5" t="s">
        <v>77</v>
      </c>
      <c r="D130" s="3">
        <v>25920</v>
      </c>
      <c r="E130" s="4">
        <v>42234</v>
      </c>
      <c r="F130" s="92" t="s">
        <v>28</v>
      </c>
      <c r="G130" s="32">
        <v>42235</v>
      </c>
      <c r="H130" s="45">
        <f t="shared" si="8"/>
        <v>25920</v>
      </c>
      <c r="I130" s="45">
        <f>H130</f>
        <v>25920</v>
      </c>
      <c r="J130" s="45"/>
      <c r="K130" s="45"/>
    </row>
    <row r="131" spans="1:12" ht="20.100000000000001" customHeight="1" x14ac:dyDescent="0.25">
      <c r="A131" s="89">
        <v>194</v>
      </c>
      <c r="B131" s="4">
        <v>42242</v>
      </c>
      <c r="C131" s="5" t="s">
        <v>78</v>
      </c>
      <c r="D131" s="3">
        <v>9168.61</v>
      </c>
      <c r="E131" s="4">
        <v>42242</v>
      </c>
      <c r="F131" s="92" t="s">
        <v>28</v>
      </c>
      <c r="G131" s="32">
        <v>42243</v>
      </c>
      <c r="H131" s="45">
        <f t="shared" si="8"/>
        <v>9168.61</v>
      </c>
      <c r="I131" s="45">
        <f>H131</f>
        <v>9168.61</v>
      </c>
      <c r="J131" s="45"/>
      <c r="K131" s="45"/>
    </row>
    <row r="132" spans="1:12" ht="20.100000000000001" customHeight="1" x14ac:dyDescent="0.25">
      <c r="A132" s="89">
        <v>233</v>
      </c>
      <c r="B132" s="4">
        <v>42240</v>
      </c>
      <c r="C132" s="5" t="s">
        <v>79</v>
      </c>
      <c r="D132" s="3">
        <v>15490</v>
      </c>
      <c r="E132" s="4">
        <v>42244</v>
      </c>
      <c r="F132" s="92"/>
      <c r="G132" s="32">
        <v>42244</v>
      </c>
      <c r="H132" s="45">
        <f t="shared" si="8"/>
        <v>15490</v>
      </c>
      <c r="I132" s="45">
        <f>H132</f>
        <v>15490</v>
      </c>
      <c r="J132" s="45"/>
      <c r="K132" s="45"/>
    </row>
    <row r="133" spans="1:12" ht="20.100000000000001" customHeight="1" x14ac:dyDescent="0.25">
      <c r="A133" s="89"/>
      <c r="B133" s="4"/>
      <c r="C133" s="90"/>
      <c r="D133" s="3"/>
      <c r="E133" s="4"/>
      <c r="F133" s="4"/>
      <c r="G133" s="4"/>
      <c r="H133" s="16">
        <f>SUM(H117:H132)</f>
        <v>300239.33</v>
      </c>
      <c r="I133" s="16">
        <f>SUM(I117:I132)</f>
        <v>120795.81999999999</v>
      </c>
      <c r="J133" s="16"/>
      <c r="K133" s="16"/>
      <c r="L133" s="16">
        <f>H133*0.02+I133*0.02</f>
        <v>8420.7030000000013</v>
      </c>
    </row>
    <row r="134" spans="1:12" ht="23.25" x14ac:dyDescent="0.35">
      <c r="A134" s="89"/>
      <c r="B134" s="4"/>
      <c r="C134" s="94" t="s">
        <v>643</v>
      </c>
      <c r="D134" s="3"/>
      <c r="E134" s="4"/>
      <c r="F134" s="4"/>
      <c r="G134" s="4"/>
    </row>
    <row r="135" spans="1:12" ht="20.100000000000001" customHeight="1" x14ac:dyDescent="0.25">
      <c r="A135" s="89">
        <v>211</v>
      </c>
      <c r="B135" s="4">
        <v>42233</v>
      </c>
      <c r="C135" s="26" t="s">
        <v>56</v>
      </c>
      <c r="D135" s="3">
        <v>73707.88</v>
      </c>
      <c r="E135" s="4">
        <v>42270</v>
      </c>
      <c r="F135" s="92" t="s">
        <v>28</v>
      </c>
      <c r="G135" s="32">
        <v>42264</v>
      </c>
      <c r="H135" s="45">
        <f t="shared" ref="H135:H154" si="9">D135</f>
        <v>73707.88</v>
      </c>
    </row>
    <row r="136" spans="1:12" ht="20.100000000000001" customHeight="1" x14ac:dyDescent="0.25">
      <c r="A136" s="89">
        <v>236</v>
      </c>
      <c r="B136" s="4">
        <v>42247</v>
      </c>
      <c r="C136" s="5" t="s">
        <v>80</v>
      </c>
      <c r="D136" s="3">
        <v>19090</v>
      </c>
      <c r="E136" s="92">
        <v>42248</v>
      </c>
      <c r="F136" s="92" t="s">
        <v>28</v>
      </c>
      <c r="G136" s="32">
        <v>42249</v>
      </c>
      <c r="H136" s="45">
        <f t="shared" si="9"/>
        <v>19090</v>
      </c>
      <c r="I136" s="45">
        <f>H136</f>
        <v>19090</v>
      </c>
      <c r="J136" s="45"/>
      <c r="K136" s="45"/>
    </row>
    <row r="137" spans="1:12" ht="20.100000000000001" customHeight="1" x14ac:dyDescent="0.25">
      <c r="A137" s="89">
        <v>235</v>
      </c>
      <c r="B137" s="4">
        <v>42247</v>
      </c>
      <c r="C137" s="5" t="s">
        <v>81</v>
      </c>
      <c r="D137" s="3">
        <v>1240.6500000000001</v>
      </c>
      <c r="E137" s="4">
        <v>42249</v>
      </c>
      <c r="F137" s="92" t="s">
        <v>28</v>
      </c>
      <c r="G137" s="32">
        <v>42250</v>
      </c>
      <c r="H137" s="45">
        <f t="shared" si="9"/>
        <v>1240.6500000000001</v>
      </c>
      <c r="I137" s="45">
        <f>H137</f>
        <v>1240.6500000000001</v>
      </c>
      <c r="J137" s="45"/>
      <c r="K137" s="45"/>
    </row>
    <row r="138" spans="1:12" ht="20.100000000000001" customHeight="1" x14ac:dyDescent="0.25">
      <c r="A138" s="89">
        <v>241</v>
      </c>
      <c r="B138" s="4">
        <v>42250</v>
      </c>
      <c r="C138" s="5" t="s">
        <v>82</v>
      </c>
      <c r="D138" s="3">
        <v>8089.32</v>
      </c>
      <c r="E138" s="4">
        <v>42250</v>
      </c>
      <c r="F138" s="92" t="s">
        <v>28</v>
      </c>
      <c r="G138" s="32">
        <v>42360</v>
      </c>
      <c r="H138" s="45">
        <f t="shared" si="9"/>
        <v>8089.32</v>
      </c>
      <c r="I138" s="45">
        <f>H138</f>
        <v>8089.32</v>
      </c>
      <c r="J138" s="45"/>
      <c r="K138" s="45"/>
    </row>
    <row r="139" spans="1:12" ht="20.100000000000001" customHeight="1" x14ac:dyDescent="0.25">
      <c r="A139" s="89">
        <v>227</v>
      </c>
      <c r="B139" s="4">
        <v>42243</v>
      </c>
      <c r="C139" s="26" t="s">
        <v>50</v>
      </c>
      <c r="D139" s="3">
        <v>15403.24</v>
      </c>
      <c r="E139" s="4">
        <v>42251</v>
      </c>
      <c r="F139" s="92" t="s">
        <v>28</v>
      </c>
      <c r="G139" s="32">
        <v>42278</v>
      </c>
      <c r="H139" s="45">
        <f t="shared" si="9"/>
        <v>15403.24</v>
      </c>
    </row>
    <row r="140" spans="1:12" ht="20.100000000000001" customHeight="1" x14ac:dyDescent="0.25">
      <c r="A140" s="89">
        <v>246</v>
      </c>
      <c r="B140" s="4">
        <v>42254</v>
      </c>
      <c r="C140" s="5" t="s">
        <v>83</v>
      </c>
      <c r="D140" s="3">
        <v>2815.2</v>
      </c>
      <c r="E140" s="4">
        <v>42254</v>
      </c>
      <c r="F140" s="92" t="s">
        <v>28</v>
      </c>
      <c r="G140" s="32">
        <v>42257</v>
      </c>
      <c r="H140" s="45">
        <f t="shared" si="9"/>
        <v>2815.2</v>
      </c>
      <c r="I140" s="45">
        <f>H140</f>
        <v>2815.2</v>
      </c>
      <c r="J140" s="45"/>
      <c r="K140" s="45"/>
    </row>
    <row r="141" spans="1:12" ht="20.100000000000001" customHeight="1" x14ac:dyDescent="0.25">
      <c r="A141" s="89">
        <v>245</v>
      </c>
      <c r="B141" s="4">
        <v>42254</v>
      </c>
      <c r="C141" s="26" t="s">
        <v>42</v>
      </c>
      <c r="D141" s="3">
        <v>12250</v>
      </c>
      <c r="E141" s="4">
        <v>42255</v>
      </c>
      <c r="F141" s="92" t="s">
        <v>28</v>
      </c>
      <c r="G141" s="32">
        <v>42262</v>
      </c>
      <c r="H141" s="45">
        <f t="shared" si="9"/>
        <v>12250</v>
      </c>
    </row>
    <row r="142" spans="1:12" ht="20.100000000000001" customHeight="1" x14ac:dyDescent="0.25">
      <c r="A142" s="89">
        <v>247</v>
      </c>
      <c r="B142" s="4">
        <v>42254</v>
      </c>
      <c r="C142" s="5" t="s">
        <v>84</v>
      </c>
      <c r="D142" s="3">
        <v>99981.4</v>
      </c>
      <c r="E142" s="4">
        <v>42255</v>
      </c>
      <c r="F142" s="92" t="s">
        <v>28</v>
      </c>
      <c r="G142" s="32">
        <v>42256</v>
      </c>
      <c r="H142" s="45">
        <f t="shared" si="9"/>
        <v>99981.4</v>
      </c>
      <c r="I142" s="45">
        <f>H142</f>
        <v>99981.4</v>
      </c>
      <c r="J142" s="45"/>
      <c r="K142" s="45"/>
    </row>
    <row r="143" spans="1:12" ht="20.100000000000001" customHeight="1" x14ac:dyDescent="0.25">
      <c r="A143" s="89">
        <v>248</v>
      </c>
      <c r="B143" s="4">
        <v>42255</v>
      </c>
      <c r="C143" s="26" t="s">
        <v>9</v>
      </c>
      <c r="D143" s="3">
        <v>2252.86</v>
      </c>
      <c r="E143" s="4">
        <v>42262</v>
      </c>
      <c r="F143" s="92" t="s">
        <v>28</v>
      </c>
      <c r="G143" s="32">
        <v>42269</v>
      </c>
      <c r="H143" s="45">
        <f t="shared" si="9"/>
        <v>2252.86</v>
      </c>
    </row>
    <row r="144" spans="1:12" ht="20.100000000000001" customHeight="1" x14ac:dyDescent="0.25">
      <c r="A144" s="89">
        <v>252</v>
      </c>
      <c r="B144" s="4">
        <v>42262</v>
      </c>
      <c r="C144" s="5" t="s">
        <v>85</v>
      </c>
      <c r="D144" s="3">
        <v>27832.23</v>
      </c>
      <c r="E144" s="4">
        <v>42262</v>
      </c>
      <c r="F144" s="92" t="s">
        <v>28</v>
      </c>
      <c r="G144" s="32">
        <v>42307</v>
      </c>
      <c r="H144" s="45">
        <f t="shared" si="9"/>
        <v>27832.23</v>
      </c>
      <c r="I144" s="45">
        <f>H144</f>
        <v>27832.23</v>
      </c>
      <c r="J144" s="45"/>
      <c r="K144" s="45"/>
    </row>
    <row r="145" spans="1:12" ht="20.100000000000001" customHeight="1" x14ac:dyDescent="0.25">
      <c r="A145" s="89">
        <v>253</v>
      </c>
      <c r="B145" s="4">
        <v>42262</v>
      </c>
      <c r="C145" s="26" t="s">
        <v>45</v>
      </c>
      <c r="D145" s="3">
        <v>6470.14</v>
      </c>
      <c r="E145" s="4">
        <v>42264</v>
      </c>
      <c r="F145" s="92" t="s">
        <v>28</v>
      </c>
      <c r="G145" s="32">
        <v>42300</v>
      </c>
      <c r="H145" s="45">
        <f t="shared" si="9"/>
        <v>6470.14</v>
      </c>
    </row>
    <row r="146" spans="1:12" ht="20.100000000000001" customHeight="1" x14ac:dyDescent="0.25">
      <c r="A146" s="89">
        <v>232</v>
      </c>
      <c r="B146" s="4">
        <v>42242</v>
      </c>
      <c r="C146" s="26" t="s">
        <v>66</v>
      </c>
      <c r="D146" s="3">
        <v>15784.8</v>
      </c>
      <c r="E146" s="4">
        <v>42263</v>
      </c>
      <c r="F146" s="92" t="s">
        <v>28</v>
      </c>
      <c r="G146" s="32">
        <v>42305</v>
      </c>
      <c r="H146" s="45">
        <f t="shared" si="9"/>
        <v>15784.8</v>
      </c>
    </row>
    <row r="147" spans="1:12" ht="20.100000000000001" customHeight="1" x14ac:dyDescent="0.25">
      <c r="A147" s="89">
        <v>255</v>
      </c>
      <c r="B147" s="4">
        <v>42263</v>
      </c>
      <c r="C147" s="5" t="s">
        <v>86</v>
      </c>
      <c r="D147" s="3">
        <v>4500</v>
      </c>
      <c r="E147" s="4">
        <v>42264</v>
      </c>
      <c r="F147" s="92" t="s">
        <v>28</v>
      </c>
      <c r="G147" s="32">
        <v>42270</v>
      </c>
      <c r="H147" s="45">
        <f t="shared" si="9"/>
        <v>4500</v>
      </c>
      <c r="I147" s="45">
        <f>H147</f>
        <v>4500</v>
      </c>
      <c r="J147" s="45"/>
      <c r="K147" s="45"/>
    </row>
    <row r="148" spans="1:12" ht="20.100000000000001" customHeight="1" x14ac:dyDescent="0.25">
      <c r="A148" s="89">
        <v>210</v>
      </c>
      <c r="B148" s="4">
        <v>42249</v>
      </c>
      <c r="C148" s="5" t="s">
        <v>87</v>
      </c>
      <c r="D148" s="3">
        <v>46590</v>
      </c>
      <c r="E148" s="4">
        <v>42264</v>
      </c>
      <c r="F148" s="92" t="s">
        <v>28</v>
      </c>
      <c r="G148" s="32">
        <v>42265</v>
      </c>
      <c r="H148" s="45">
        <f t="shared" si="9"/>
        <v>46590</v>
      </c>
      <c r="I148" s="45">
        <f>H148</f>
        <v>46590</v>
      </c>
      <c r="J148" s="45"/>
      <c r="K148" s="45"/>
    </row>
    <row r="149" spans="1:12" ht="20.100000000000001" customHeight="1" x14ac:dyDescent="0.25">
      <c r="A149" s="89">
        <v>258</v>
      </c>
      <c r="B149" s="4">
        <v>42264</v>
      </c>
      <c r="C149" s="5" t="s">
        <v>88</v>
      </c>
      <c r="D149" s="3">
        <v>9593.26</v>
      </c>
      <c r="E149" s="4">
        <v>42265</v>
      </c>
      <c r="F149" s="92" t="s">
        <v>28</v>
      </c>
      <c r="G149" s="32">
        <v>42265</v>
      </c>
      <c r="H149" s="45">
        <f t="shared" si="9"/>
        <v>9593.26</v>
      </c>
      <c r="I149" s="45">
        <f>H149</f>
        <v>9593.26</v>
      </c>
      <c r="J149" s="45"/>
      <c r="K149" s="45"/>
    </row>
    <row r="150" spans="1:12" ht="20.100000000000001" customHeight="1" x14ac:dyDescent="0.25">
      <c r="A150" s="89">
        <v>257</v>
      </c>
      <c r="B150" s="4">
        <v>42263</v>
      </c>
      <c r="C150" s="5" t="s">
        <v>89</v>
      </c>
      <c r="D150" s="3">
        <v>20875.09</v>
      </c>
      <c r="E150" s="4">
        <v>42269</v>
      </c>
      <c r="F150" s="92" t="s">
        <v>28</v>
      </c>
      <c r="G150" s="32">
        <v>42271</v>
      </c>
      <c r="H150" s="45">
        <f t="shared" si="9"/>
        <v>20875.09</v>
      </c>
      <c r="I150" s="45">
        <f>H150</f>
        <v>20875.09</v>
      </c>
      <c r="J150" s="45"/>
      <c r="K150" s="45"/>
    </row>
    <row r="151" spans="1:12" ht="20.100000000000001" customHeight="1" x14ac:dyDescent="0.25">
      <c r="A151" s="89">
        <v>279</v>
      </c>
      <c r="B151" s="4">
        <v>42271</v>
      </c>
      <c r="C151" s="5" t="s">
        <v>90</v>
      </c>
      <c r="D151" s="3">
        <v>10373.6</v>
      </c>
      <c r="E151" s="4">
        <v>42271</v>
      </c>
      <c r="F151" s="92" t="s">
        <v>28</v>
      </c>
      <c r="G151" s="32">
        <v>42300</v>
      </c>
      <c r="H151" s="45">
        <f t="shared" si="9"/>
        <v>10373.6</v>
      </c>
      <c r="I151" s="45">
        <f>H151</f>
        <v>10373.6</v>
      </c>
      <c r="J151" s="45"/>
      <c r="K151" s="45"/>
    </row>
    <row r="152" spans="1:12" ht="20.100000000000001" customHeight="1" x14ac:dyDescent="0.25">
      <c r="A152" s="89">
        <v>265</v>
      </c>
      <c r="B152" s="4">
        <v>42271</v>
      </c>
      <c r="C152" s="26" t="s">
        <v>37</v>
      </c>
      <c r="D152" s="3">
        <v>2027.58</v>
      </c>
      <c r="E152" s="4">
        <v>42271</v>
      </c>
      <c r="F152" s="92" t="s">
        <v>28</v>
      </c>
      <c r="G152" s="32">
        <v>42276</v>
      </c>
      <c r="H152" s="45">
        <f t="shared" si="9"/>
        <v>2027.58</v>
      </c>
    </row>
    <row r="153" spans="1:12" ht="20.100000000000001" customHeight="1" x14ac:dyDescent="0.25">
      <c r="A153" s="89">
        <v>249</v>
      </c>
      <c r="B153" s="4">
        <v>42255</v>
      </c>
      <c r="C153" s="26" t="s">
        <v>13</v>
      </c>
      <c r="D153" s="3">
        <v>12272.85</v>
      </c>
      <c r="E153" s="4">
        <v>42275</v>
      </c>
      <c r="F153" s="92" t="s">
        <v>28</v>
      </c>
      <c r="G153" s="32">
        <v>42284</v>
      </c>
      <c r="H153" s="45">
        <f t="shared" si="9"/>
        <v>12272.85</v>
      </c>
    </row>
    <row r="154" spans="1:12" ht="20.100000000000001" customHeight="1" x14ac:dyDescent="0.25">
      <c r="A154" s="89">
        <v>266</v>
      </c>
      <c r="B154" s="4">
        <v>42271</v>
      </c>
      <c r="C154" s="5" t="s">
        <v>91</v>
      </c>
      <c r="D154" s="3">
        <v>2450</v>
      </c>
      <c r="E154" s="4">
        <v>42276</v>
      </c>
      <c r="F154" s="92" t="s">
        <v>28</v>
      </c>
      <c r="G154" s="32">
        <v>42279</v>
      </c>
      <c r="H154" s="45">
        <f t="shared" si="9"/>
        <v>2450</v>
      </c>
      <c r="I154" s="45">
        <f>H154</f>
        <v>2450</v>
      </c>
      <c r="J154" s="45"/>
      <c r="K154" s="45"/>
    </row>
    <row r="155" spans="1:12" ht="20.100000000000001" customHeight="1" x14ac:dyDescent="0.25">
      <c r="A155" s="89"/>
      <c r="B155" s="4"/>
      <c r="C155" s="5"/>
      <c r="D155" s="3"/>
      <c r="E155" s="4"/>
      <c r="F155" s="92"/>
      <c r="G155" s="4"/>
      <c r="H155" s="16">
        <f>SUM(H135:H154)</f>
        <v>393600.1</v>
      </c>
      <c r="I155" s="16">
        <f>SUM(I135:I154)</f>
        <v>253430.75000000003</v>
      </c>
      <c r="J155" s="16"/>
      <c r="K155" s="16"/>
      <c r="L155" s="16">
        <f>H155*0.02+I155*0.02</f>
        <v>12940.617</v>
      </c>
    </row>
    <row r="156" spans="1:12" ht="23.25" x14ac:dyDescent="0.35">
      <c r="A156" s="89"/>
      <c r="B156" s="4"/>
      <c r="C156" s="94" t="s">
        <v>644</v>
      </c>
      <c r="D156" s="3"/>
      <c r="E156" s="4"/>
      <c r="F156" s="4"/>
      <c r="G156" s="4"/>
    </row>
    <row r="157" spans="1:12" ht="20.100000000000001" customHeight="1" x14ac:dyDescent="0.25">
      <c r="A157" s="89">
        <v>2518</v>
      </c>
      <c r="B157" s="4">
        <v>42233</v>
      </c>
      <c r="C157" s="26" t="s">
        <v>38</v>
      </c>
      <c r="D157" s="3">
        <v>22914.14</v>
      </c>
      <c r="E157" s="4">
        <v>42283</v>
      </c>
      <c r="F157" s="92" t="s">
        <v>28</v>
      </c>
      <c r="G157" s="32">
        <v>42272</v>
      </c>
      <c r="H157" s="45">
        <f t="shared" ref="H157:H181" si="10">D157</f>
        <v>22914.14</v>
      </c>
    </row>
    <row r="158" spans="1:12" ht="20.100000000000001" customHeight="1" x14ac:dyDescent="0.25">
      <c r="A158" s="89">
        <v>2510</v>
      </c>
      <c r="B158" s="4">
        <v>42233</v>
      </c>
      <c r="C158" s="26" t="s">
        <v>38</v>
      </c>
      <c r="D158" s="3">
        <v>5250</v>
      </c>
      <c r="E158" s="4">
        <v>42283</v>
      </c>
      <c r="F158" s="92" t="s">
        <v>28</v>
      </c>
      <c r="G158" s="32">
        <v>42272</v>
      </c>
      <c r="H158" s="45">
        <f t="shared" si="10"/>
        <v>5250</v>
      </c>
    </row>
    <row r="159" spans="1:12" ht="20.100000000000001" customHeight="1" x14ac:dyDescent="0.25">
      <c r="A159" s="89">
        <v>2503</v>
      </c>
      <c r="B159" s="4">
        <v>42233</v>
      </c>
      <c r="C159" s="26" t="s">
        <v>38</v>
      </c>
      <c r="D159" s="3">
        <v>31615.16</v>
      </c>
      <c r="E159" s="4">
        <v>42283</v>
      </c>
      <c r="F159" s="92" t="s">
        <v>28</v>
      </c>
      <c r="G159" s="32">
        <v>42272</v>
      </c>
      <c r="H159" s="45">
        <f t="shared" si="10"/>
        <v>31615.16</v>
      </c>
    </row>
    <row r="160" spans="1:12" ht="20.100000000000001" customHeight="1" x14ac:dyDescent="0.25">
      <c r="A160" s="89">
        <v>2500</v>
      </c>
      <c r="B160" s="4">
        <v>42233</v>
      </c>
      <c r="C160" s="26" t="s">
        <v>38</v>
      </c>
      <c r="D160" s="3">
        <v>259788.78</v>
      </c>
      <c r="E160" s="4">
        <v>42283</v>
      </c>
      <c r="F160" s="92" t="s">
        <v>28</v>
      </c>
      <c r="G160" s="32">
        <v>42272</v>
      </c>
      <c r="H160" s="45">
        <f t="shared" si="10"/>
        <v>259788.78</v>
      </c>
    </row>
    <row r="161" spans="1:11" ht="20.100000000000001" customHeight="1" x14ac:dyDescent="0.25">
      <c r="A161" s="89">
        <v>2499</v>
      </c>
      <c r="B161" s="4">
        <v>42233</v>
      </c>
      <c r="C161" s="26" t="s">
        <v>38</v>
      </c>
      <c r="D161" s="3">
        <v>76459.839999999997</v>
      </c>
      <c r="E161" s="4">
        <v>42283</v>
      </c>
      <c r="F161" s="92" t="s">
        <v>28</v>
      </c>
      <c r="G161" s="32">
        <v>42272</v>
      </c>
      <c r="H161" s="45">
        <f t="shared" si="10"/>
        <v>76459.839999999997</v>
      </c>
    </row>
    <row r="162" spans="1:11" ht="20.100000000000001" customHeight="1" x14ac:dyDescent="0.25">
      <c r="A162" s="89">
        <v>2470</v>
      </c>
      <c r="B162" s="4">
        <v>42233</v>
      </c>
      <c r="C162" s="26" t="s">
        <v>38</v>
      </c>
      <c r="D162" s="3">
        <v>56279.3</v>
      </c>
      <c r="E162" s="4">
        <v>42283</v>
      </c>
      <c r="F162" s="92" t="s">
        <v>28</v>
      </c>
      <c r="G162" s="32">
        <v>42272</v>
      </c>
      <c r="H162" s="45">
        <f t="shared" si="10"/>
        <v>56279.3</v>
      </c>
    </row>
    <row r="163" spans="1:11" ht="20.100000000000001" customHeight="1" x14ac:dyDescent="0.25">
      <c r="A163" s="89">
        <v>2469</v>
      </c>
      <c r="B163" s="4">
        <v>42233</v>
      </c>
      <c r="C163" s="26" t="s">
        <v>38</v>
      </c>
      <c r="D163" s="3">
        <v>56279.3</v>
      </c>
      <c r="E163" s="4">
        <v>42283</v>
      </c>
      <c r="F163" s="92" t="s">
        <v>28</v>
      </c>
      <c r="G163" s="32">
        <v>42272</v>
      </c>
      <c r="H163" s="45">
        <f t="shared" si="10"/>
        <v>56279.3</v>
      </c>
    </row>
    <row r="164" spans="1:11" ht="20.100000000000001" customHeight="1" x14ac:dyDescent="0.25">
      <c r="A164" s="89">
        <v>242</v>
      </c>
      <c r="B164" s="4">
        <v>42251</v>
      </c>
      <c r="C164" s="26" t="s">
        <v>56</v>
      </c>
      <c r="D164" s="3">
        <v>141778.76999999999</v>
      </c>
      <c r="E164" s="4">
        <v>42283</v>
      </c>
      <c r="F164" s="92" t="s">
        <v>28</v>
      </c>
      <c r="G164" s="32">
        <v>42269</v>
      </c>
      <c r="H164" s="45">
        <f t="shared" si="10"/>
        <v>141778.76999999999</v>
      </c>
    </row>
    <row r="165" spans="1:11" ht="20.100000000000001" customHeight="1" x14ac:dyDescent="0.25">
      <c r="A165" s="89">
        <v>274</v>
      </c>
      <c r="B165" s="4">
        <v>42277</v>
      </c>
      <c r="C165" s="26" t="s">
        <v>56</v>
      </c>
      <c r="D165" s="3">
        <v>12900</v>
      </c>
      <c r="E165" s="4">
        <v>42283</v>
      </c>
      <c r="F165" s="92" t="s">
        <v>28</v>
      </c>
      <c r="G165" s="32">
        <v>42278</v>
      </c>
      <c r="H165" s="45">
        <f t="shared" si="10"/>
        <v>12900</v>
      </c>
    </row>
    <row r="166" spans="1:11" ht="20.100000000000001" customHeight="1" x14ac:dyDescent="0.25">
      <c r="A166" s="89">
        <v>273</v>
      </c>
      <c r="B166" s="4">
        <v>42277</v>
      </c>
      <c r="C166" s="5" t="s">
        <v>92</v>
      </c>
      <c r="D166" s="3">
        <v>3000</v>
      </c>
      <c r="E166" s="4">
        <v>42278</v>
      </c>
      <c r="F166" s="92" t="s">
        <v>28</v>
      </c>
      <c r="G166" s="32">
        <v>42279</v>
      </c>
      <c r="H166" s="45">
        <f t="shared" si="10"/>
        <v>3000</v>
      </c>
      <c r="I166" s="45">
        <f>H166</f>
        <v>3000</v>
      </c>
      <c r="J166" s="45"/>
      <c r="K166" s="45"/>
    </row>
    <row r="167" spans="1:11" ht="20.100000000000001" customHeight="1" x14ac:dyDescent="0.25">
      <c r="A167" s="89">
        <v>277</v>
      </c>
      <c r="B167" s="4">
        <v>42278</v>
      </c>
      <c r="C167" s="5" t="s">
        <v>93</v>
      </c>
      <c r="D167" s="3">
        <v>15064</v>
      </c>
      <c r="E167" s="4">
        <v>42282</v>
      </c>
      <c r="F167" s="92" t="s">
        <v>28</v>
      </c>
      <c r="G167" s="32">
        <v>42283</v>
      </c>
      <c r="H167" s="45">
        <f t="shared" si="10"/>
        <v>15064</v>
      </c>
      <c r="I167" s="45">
        <f>H167</f>
        <v>15064</v>
      </c>
      <c r="J167" s="45"/>
      <c r="K167" s="45"/>
    </row>
    <row r="168" spans="1:11" ht="20.100000000000001" customHeight="1" x14ac:dyDescent="0.25">
      <c r="A168" s="89">
        <v>279</v>
      </c>
      <c r="B168" s="4">
        <v>42278</v>
      </c>
      <c r="C168" s="26" t="s">
        <v>34</v>
      </c>
      <c r="D168" s="3">
        <v>2027.58</v>
      </c>
      <c r="E168" s="4">
        <v>42279</v>
      </c>
      <c r="F168" s="92" t="s">
        <v>28</v>
      </c>
      <c r="G168" s="32">
        <v>42284</v>
      </c>
      <c r="H168" s="45">
        <f t="shared" si="10"/>
        <v>2027.58</v>
      </c>
    </row>
    <row r="169" spans="1:11" ht="20.100000000000001" customHeight="1" x14ac:dyDescent="0.25">
      <c r="A169" s="89">
        <v>276</v>
      </c>
      <c r="B169" s="4">
        <v>42278</v>
      </c>
      <c r="C169" s="5" t="s">
        <v>94</v>
      </c>
      <c r="D169" s="3">
        <v>1901.95</v>
      </c>
      <c r="E169" s="4">
        <v>42283</v>
      </c>
      <c r="F169" s="92" t="s">
        <v>28</v>
      </c>
      <c r="G169" s="32">
        <v>42278</v>
      </c>
      <c r="H169" s="45">
        <f t="shared" si="10"/>
        <v>1901.95</v>
      </c>
      <c r="I169" s="45">
        <f>H169</f>
        <v>1901.95</v>
      </c>
      <c r="J169" s="45"/>
      <c r="K169" s="45"/>
    </row>
    <row r="170" spans="1:11" ht="20.100000000000001" customHeight="1" x14ac:dyDescent="0.25">
      <c r="A170" s="89">
        <v>283</v>
      </c>
      <c r="B170" s="4">
        <v>42282</v>
      </c>
      <c r="C170" s="26" t="s">
        <v>95</v>
      </c>
      <c r="D170" s="3">
        <v>5200</v>
      </c>
      <c r="E170" s="4">
        <v>42293</v>
      </c>
      <c r="F170" s="92" t="s">
        <v>28</v>
      </c>
      <c r="G170" s="32">
        <v>42296</v>
      </c>
      <c r="H170" s="45">
        <f t="shared" si="10"/>
        <v>5200</v>
      </c>
    </row>
    <row r="171" spans="1:11" ht="20.100000000000001" customHeight="1" x14ac:dyDescent="0.25">
      <c r="A171" s="89">
        <v>285</v>
      </c>
      <c r="B171" s="4">
        <v>42284</v>
      </c>
      <c r="C171" s="26" t="s">
        <v>55</v>
      </c>
      <c r="D171" s="3">
        <v>7280</v>
      </c>
      <c r="E171" s="4">
        <v>42285</v>
      </c>
      <c r="F171" s="92" t="s">
        <v>28</v>
      </c>
      <c r="G171" s="32">
        <v>42318</v>
      </c>
      <c r="H171" s="45">
        <f t="shared" si="10"/>
        <v>7280</v>
      </c>
    </row>
    <row r="172" spans="1:11" ht="20.100000000000001" customHeight="1" x14ac:dyDescent="0.25">
      <c r="A172" s="89">
        <v>286</v>
      </c>
      <c r="B172" s="4">
        <v>42284</v>
      </c>
      <c r="C172" s="26" t="s">
        <v>55</v>
      </c>
      <c r="D172" s="3">
        <v>7040</v>
      </c>
      <c r="E172" s="4">
        <v>42285</v>
      </c>
      <c r="F172" s="92" t="s">
        <v>28</v>
      </c>
      <c r="G172" s="32">
        <v>42318</v>
      </c>
      <c r="H172" s="45">
        <f t="shared" si="10"/>
        <v>7040</v>
      </c>
    </row>
    <row r="173" spans="1:11" ht="20.100000000000001" customHeight="1" x14ac:dyDescent="0.25">
      <c r="A173" s="89">
        <v>292</v>
      </c>
      <c r="B173" s="4">
        <v>42285</v>
      </c>
      <c r="C173" s="26" t="s">
        <v>75</v>
      </c>
      <c r="D173" s="3">
        <v>9664</v>
      </c>
      <c r="E173" s="4">
        <v>42292</v>
      </c>
      <c r="F173" s="92" t="s">
        <v>28</v>
      </c>
      <c r="G173" s="32">
        <v>42314</v>
      </c>
      <c r="H173" s="45">
        <f t="shared" si="10"/>
        <v>9664</v>
      </c>
    </row>
    <row r="174" spans="1:11" ht="20.100000000000001" customHeight="1" x14ac:dyDescent="0.25">
      <c r="A174" s="89">
        <v>280</v>
      </c>
      <c r="B174" s="4">
        <v>42279</v>
      </c>
      <c r="C174" s="26" t="s">
        <v>96</v>
      </c>
      <c r="D174" s="3">
        <v>13390</v>
      </c>
      <c r="E174" s="4">
        <v>42282</v>
      </c>
      <c r="F174" s="92" t="s">
        <v>28</v>
      </c>
      <c r="G174" s="32">
        <v>42285</v>
      </c>
      <c r="H174" s="45">
        <f t="shared" si="10"/>
        <v>13390</v>
      </c>
      <c r="I174" s="45"/>
      <c r="J174" s="45"/>
      <c r="K174" s="45"/>
    </row>
    <row r="175" spans="1:11" ht="20.100000000000001" customHeight="1" x14ac:dyDescent="0.25">
      <c r="A175" s="89">
        <v>300</v>
      </c>
      <c r="B175" s="4">
        <v>42290</v>
      </c>
      <c r="C175" s="26" t="s">
        <v>60</v>
      </c>
      <c r="D175" s="3">
        <v>22044</v>
      </c>
      <c r="E175" s="4">
        <v>42291</v>
      </c>
      <c r="F175" s="92" t="s">
        <v>28</v>
      </c>
      <c r="G175" s="32">
        <v>42291</v>
      </c>
      <c r="H175" s="45">
        <f t="shared" si="10"/>
        <v>22044</v>
      </c>
      <c r="I175" s="45"/>
      <c r="J175" s="45"/>
      <c r="K175" s="45"/>
    </row>
    <row r="176" spans="1:11" ht="20.100000000000001" customHeight="1" x14ac:dyDescent="0.25">
      <c r="A176" s="89">
        <v>289</v>
      </c>
      <c r="B176" s="4">
        <v>42284</v>
      </c>
      <c r="C176" s="26" t="s">
        <v>46</v>
      </c>
      <c r="D176" s="3">
        <v>3000</v>
      </c>
      <c r="E176" s="4">
        <v>42290</v>
      </c>
      <c r="F176" s="92" t="s">
        <v>28</v>
      </c>
      <c r="G176" s="32">
        <v>42292</v>
      </c>
      <c r="H176" s="45">
        <f t="shared" si="10"/>
        <v>3000</v>
      </c>
      <c r="I176" s="45"/>
      <c r="J176" s="45"/>
      <c r="K176" s="45"/>
    </row>
    <row r="177" spans="1:12" ht="20.100000000000001" customHeight="1" x14ac:dyDescent="0.25">
      <c r="A177" s="89">
        <v>287</v>
      </c>
      <c r="B177" s="4">
        <v>42284</v>
      </c>
      <c r="C177" s="26" t="s">
        <v>13</v>
      </c>
      <c r="D177" s="3">
        <v>12272.85</v>
      </c>
      <c r="E177" s="4">
        <v>42293</v>
      </c>
      <c r="F177" s="92" t="s">
        <v>28</v>
      </c>
      <c r="G177" s="32">
        <v>42298</v>
      </c>
      <c r="H177" s="45">
        <f t="shared" si="10"/>
        <v>12272.85</v>
      </c>
    </row>
    <row r="178" spans="1:12" ht="20.100000000000001" customHeight="1" x14ac:dyDescent="0.25">
      <c r="A178" s="89">
        <v>306</v>
      </c>
      <c r="B178" s="4">
        <v>42297</v>
      </c>
      <c r="C178" s="5" t="s">
        <v>97</v>
      </c>
      <c r="D178" s="3">
        <v>9000</v>
      </c>
      <c r="E178" s="4">
        <v>42304</v>
      </c>
      <c r="F178" s="92" t="s">
        <v>28</v>
      </c>
      <c r="G178" s="32">
        <v>42307</v>
      </c>
      <c r="H178" s="45">
        <f t="shared" si="10"/>
        <v>9000</v>
      </c>
      <c r="I178" s="45">
        <f>H178</f>
        <v>9000</v>
      </c>
      <c r="J178" s="45"/>
      <c r="K178" s="45"/>
    </row>
    <row r="179" spans="1:12" ht="20.100000000000001" customHeight="1" x14ac:dyDescent="0.25">
      <c r="A179" s="89">
        <v>318</v>
      </c>
      <c r="B179" s="4">
        <v>42303</v>
      </c>
      <c r="C179" s="26" t="s">
        <v>65</v>
      </c>
      <c r="D179" s="3">
        <v>15203.55</v>
      </c>
      <c r="E179" s="4">
        <v>42306</v>
      </c>
      <c r="F179" s="92" t="s">
        <v>28</v>
      </c>
      <c r="G179" s="32">
        <v>42306</v>
      </c>
      <c r="H179" s="45">
        <f t="shared" si="10"/>
        <v>15203.55</v>
      </c>
    </row>
    <row r="180" spans="1:12" ht="20.100000000000001" customHeight="1" x14ac:dyDescent="0.25">
      <c r="A180" s="89">
        <v>319</v>
      </c>
      <c r="B180" s="4">
        <v>42304</v>
      </c>
      <c r="C180" s="26" t="s">
        <v>15</v>
      </c>
      <c r="D180" s="3">
        <v>5612.43</v>
      </c>
      <c r="E180" s="4">
        <v>42305</v>
      </c>
      <c r="F180" s="92" t="s">
        <v>28</v>
      </c>
      <c r="G180" s="32">
        <v>42363</v>
      </c>
      <c r="H180" s="45">
        <f t="shared" si="10"/>
        <v>5612.43</v>
      </c>
    </row>
    <row r="181" spans="1:12" ht="20.100000000000001" customHeight="1" x14ac:dyDescent="0.25">
      <c r="A181" s="89">
        <v>316</v>
      </c>
      <c r="B181" s="4">
        <v>42303</v>
      </c>
      <c r="C181" s="5" t="s">
        <v>98</v>
      </c>
      <c r="D181" s="3">
        <v>5965.97</v>
      </c>
      <c r="E181" s="4">
        <v>42306</v>
      </c>
      <c r="F181" s="92" t="s">
        <v>28</v>
      </c>
      <c r="G181" s="32">
        <v>42307</v>
      </c>
      <c r="H181" s="45">
        <f t="shared" si="10"/>
        <v>5965.97</v>
      </c>
      <c r="I181" s="45">
        <f>H181</f>
        <v>5965.97</v>
      </c>
      <c r="J181" s="45"/>
      <c r="K181" s="45"/>
    </row>
    <row r="182" spans="1:12" ht="20.100000000000001" customHeight="1" x14ac:dyDescent="0.25">
      <c r="A182" s="89">
        <v>307</v>
      </c>
      <c r="B182" s="4">
        <v>42297</v>
      </c>
      <c r="C182" s="26" t="s">
        <v>60</v>
      </c>
      <c r="D182" s="3">
        <v>22044</v>
      </c>
      <c r="E182" s="4">
        <v>42304</v>
      </c>
      <c r="F182" s="92" t="s">
        <v>28</v>
      </c>
      <c r="G182" s="32">
        <v>42304</v>
      </c>
      <c r="H182" s="45">
        <v>17114.07</v>
      </c>
    </row>
    <row r="183" spans="1:12" ht="20.100000000000001" customHeight="1" x14ac:dyDescent="0.25">
      <c r="A183" s="89"/>
      <c r="B183" s="4"/>
      <c r="C183" s="5"/>
      <c r="D183" s="3"/>
      <c r="E183" s="4"/>
      <c r="F183" s="92"/>
      <c r="G183" s="4"/>
      <c r="H183" s="16">
        <f>SUM(H157:H182)</f>
        <v>818045.69</v>
      </c>
      <c r="I183" s="16">
        <f>SUM(I157:I182)</f>
        <v>34931.919999999998</v>
      </c>
      <c r="J183" s="16"/>
      <c r="K183" s="16"/>
      <c r="L183" s="16">
        <f>H183*0.05+I183*0.02</f>
        <v>41600.922900000005</v>
      </c>
    </row>
    <row r="184" spans="1:12" ht="23.25" x14ac:dyDescent="0.35">
      <c r="A184" s="89"/>
      <c r="B184" s="4"/>
      <c r="C184" s="94" t="s">
        <v>645</v>
      </c>
      <c r="D184" s="3"/>
      <c r="E184" s="4"/>
      <c r="F184" s="4"/>
      <c r="G184" s="4"/>
    </row>
    <row r="185" spans="1:12" ht="20.100000000000001" customHeight="1" x14ac:dyDescent="0.25">
      <c r="A185" s="89">
        <v>293</v>
      </c>
      <c r="B185" s="4">
        <v>42285</v>
      </c>
      <c r="C185" s="26" t="s">
        <v>56</v>
      </c>
      <c r="D185" s="3">
        <v>14700</v>
      </c>
      <c r="E185" s="4">
        <v>42319</v>
      </c>
      <c r="F185" s="92" t="s">
        <v>28</v>
      </c>
      <c r="G185" s="32">
        <v>42305</v>
      </c>
      <c r="H185" s="45">
        <f>D185</f>
        <v>14700</v>
      </c>
    </row>
    <row r="186" spans="1:12" ht="20.100000000000001" customHeight="1" x14ac:dyDescent="0.25">
      <c r="A186" s="89">
        <v>307</v>
      </c>
      <c r="B186" s="4">
        <v>42297</v>
      </c>
      <c r="C186" s="26" t="s">
        <v>60</v>
      </c>
      <c r="D186" s="3">
        <v>22044</v>
      </c>
      <c r="E186" s="4">
        <v>42310</v>
      </c>
      <c r="F186" s="92" t="s">
        <v>28</v>
      </c>
      <c r="G186" s="32">
        <v>42304</v>
      </c>
      <c r="H186" s="45">
        <f>D182-H182</f>
        <v>4929.93</v>
      </c>
    </row>
    <row r="187" spans="1:12" ht="20.100000000000001" customHeight="1" x14ac:dyDescent="0.25">
      <c r="A187" s="89">
        <v>325</v>
      </c>
      <c r="B187" s="4">
        <v>42311</v>
      </c>
      <c r="C187" s="26" t="s">
        <v>100</v>
      </c>
      <c r="D187" s="3">
        <v>6255</v>
      </c>
      <c r="E187" s="4">
        <v>42311</v>
      </c>
      <c r="F187" s="92" t="s">
        <v>28</v>
      </c>
      <c r="G187" s="32">
        <v>42311</v>
      </c>
      <c r="H187" s="45">
        <f t="shared" ref="H187:H194" si="11">D187</f>
        <v>6255</v>
      </c>
    </row>
    <row r="188" spans="1:12" ht="20.100000000000001" customHeight="1" x14ac:dyDescent="0.25">
      <c r="A188" s="89">
        <v>327</v>
      </c>
      <c r="B188" s="4">
        <v>42314</v>
      </c>
      <c r="C188" s="5" t="s">
        <v>101</v>
      </c>
      <c r="D188" s="3">
        <v>6478.79</v>
      </c>
      <c r="E188" s="4">
        <v>42317</v>
      </c>
      <c r="F188" s="92" t="s">
        <v>28</v>
      </c>
      <c r="G188" s="32">
        <v>42318</v>
      </c>
      <c r="H188" s="45">
        <f t="shared" si="11"/>
        <v>6478.79</v>
      </c>
      <c r="I188" s="45">
        <f>H188</f>
        <v>6478.79</v>
      </c>
      <c r="J188" s="45"/>
      <c r="K188" s="45"/>
    </row>
    <row r="189" spans="1:12" ht="20.100000000000001" customHeight="1" x14ac:dyDescent="0.25">
      <c r="A189" s="89">
        <v>328</v>
      </c>
      <c r="B189" s="4">
        <v>42319</v>
      </c>
      <c r="C189" s="26" t="s">
        <v>60</v>
      </c>
      <c r="D189" s="3">
        <v>22044</v>
      </c>
      <c r="E189" s="4">
        <v>42326</v>
      </c>
      <c r="F189" s="92" t="s">
        <v>28</v>
      </c>
      <c r="G189" s="32">
        <v>42320</v>
      </c>
      <c r="H189" s="45">
        <f t="shared" si="11"/>
        <v>22044</v>
      </c>
    </row>
    <row r="190" spans="1:12" ht="20.100000000000001" customHeight="1" x14ac:dyDescent="0.25">
      <c r="A190" s="89">
        <v>323</v>
      </c>
      <c r="B190" s="4">
        <v>42310</v>
      </c>
      <c r="C190" s="26" t="s">
        <v>97</v>
      </c>
      <c r="D190" s="3">
        <v>1840.3</v>
      </c>
      <c r="E190" s="4">
        <v>42318</v>
      </c>
      <c r="F190" s="92" t="s">
        <v>28</v>
      </c>
      <c r="G190" s="32">
        <v>42325</v>
      </c>
      <c r="H190" s="45">
        <f t="shared" si="11"/>
        <v>1840.3</v>
      </c>
      <c r="I190" s="45"/>
      <c r="J190" s="45"/>
      <c r="K190" s="45"/>
    </row>
    <row r="191" spans="1:12" ht="20.100000000000001" customHeight="1" x14ac:dyDescent="0.25">
      <c r="A191" s="89">
        <v>331</v>
      </c>
      <c r="B191" s="4">
        <v>42324</v>
      </c>
      <c r="C191" s="5" t="s">
        <v>102</v>
      </c>
      <c r="D191" s="3">
        <v>9400.1</v>
      </c>
      <c r="E191" s="4">
        <v>42324</v>
      </c>
      <c r="F191" s="92" t="s">
        <v>28</v>
      </c>
      <c r="G191" s="32">
        <v>42324</v>
      </c>
      <c r="H191" s="45">
        <f t="shared" si="11"/>
        <v>9400.1</v>
      </c>
      <c r="I191" s="45">
        <f>H191</f>
        <v>9400.1</v>
      </c>
      <c r="J191" s="45"/>
      <c r="K191" s="45"/>
    </row>
    <row r="192" spans="1:12" ht="20.100000000000001" customHeight="1" x14ac:dyDescent="0.25">
      <c r="A192" s="89">
        <v>250</v>
      </c>
      <c r="B192" s="4">
        <v>42257</v>
      </c>
      <c r="C192" s="5" t="s">
        <v>103</v>
      </c>
      <c r="D192" s="3">
        <v>63671.43</v>
      </c>
      <c r="E192" s="4">
        <v>42325</v>
      </c>
      <c r="F192" s="92" t="s">
        <v>28</v>
      </c>
      <c r="G192" s="32">
        <v>42326</v>
      </c>
      <c r="H192" s="45">
        <f t="shared" si="11"/>
        <v>63671.43</v>
      </c>
      <c r="I192" s="45">
        <f>H192</f>
        <v>63671.43</v>
      </c>
      <c r="J192" s="45"/>
      <c r="K192" s="45"/>
    </row>
    <row r="193" spans="1:12" ht="20.100000000000001" customHeight="1" x14ac:dyDescent="0.25">
      <c r="A193" s="89">
        <v>336</v>
      </c>
      <c r="B193" s="4">
        <v>42328</v>
      </c>
      <c r="C193" s="5" t="s">
        <v>104</v>
      </c>
      <c r="D193" s="3">
        <v>2228.2399999999998</v>
      </c>
      <c r="E193" s="4">
        <v>42328</v>
      </c>
      <c r="F193" s="92" t="s">
        <v>28</v>
      </c>
      <c r="G193" s="32">
        <v>42340</v>
      </c>
      <c r="H193" s="45">
        <f t="shared" si="11"/>
        <v>2228.2399999999998</v>
      </c>
      <c r="I193" s="45">
        <f>H193</f>
        <v>2228.2399999999998</v>
      </c>
      <c r="J193" s="45"/>
      <c r="K193" s="45"/>
    </row>
    <row r="194" spans="1:12" ht="20.100000000000001" customHeight="1" x14ac:dyDescent="0.25">
      <c r="A194" s="89">
        <v>337</v>
      </c>
      <c r="B194" s="4">
        <v>42328</v>
      </c>
      <c r="C194" s="5" t="s">
        <v>105</v>
      </c>
      <c r="D194" s="3">
        <v>883.26</v>
      </c>
      <c r="E194" s="4">
        <v>42335</v>
      </c>
      <c r="F194" s="92" t="s">
        <v>28</v>
      </c>
      <c r="G194" s="32">
        <v>42339</v>
      </c>
      <c r="H194" s="45">
        <f t="shared" si="11"/>
        <v>883.26</v>
      </c>
      <c r="I194" s="45">
        <f>H194</f>
        <v>883.26</v>
      </c>
      <c r="J194" s="45"/>
      <c r="K194" s="45"/>
    </row>
    <row r="195" spans="1:12" ht="20.100000000000001" customHeight="1" x14ac:dyDescent="0.25">
      <c r="A195" s="89"/>
      <c r="B195" s="4"/>
      <c r="C195" s="5"/>
      <c r="D195" s="3"/>
      <c r="E195" s="4"/>
      <c r="F195" s="92"/>
      <c r="G195" s="4"/>
      <c r="H195" s="16">
        <f>SUM(H185:H194)</f>
        <v>132431.05000000002</v>
      </c>
      <c r="I195" s="16">
        <f>SUM(I185:I194)</f>
        <v>82661.820000000007</v>
      </c>
      <c r="J195" s="16"/>
      <c r="K195" s="16"/>
      <c r="L195" s="16">
        <f>H195*0.02+I195*0.02</f>
        <v>4301.8574000000008</v>
      </c>
    </row>
    <row r="196" spans="1:12" ht="23.25" x14ac:dyDescent="0.35">
      <c r="A196" s="89"/>
      <c r="B196" s="4"/>
      <c r="C196" s="94" t="s">
        <v>646</v>
      </c>
      <c r="D196" s="3"/>
      <c r="E196" s="4"/>
      <c r="F196" s="4"/>
      <c r="G196" s="4"/>
    </row>
    <row r="197" spans="1:12" ht="20.100000000000001" customHeight="1" x14ac:dyDescent="0.25">
      <c r="A197" s="89">
        <v>3099</v>
      </c>
      <c r="B197" s="4">
        <v>42305</v>
      </c>
      <c r="C197" s="26" t="s">
        <v>38</v>
      </c>
      <c r="D197" s="3">
        <v>92935.96</v>
      </c>
      <c r="E197" s="4">
        <v>42354</v>
      </c>
      <c r="F197" s="4">
        <v>42305</v>
      </c>
      <c r="G197" s="32">
        <v>42339</v>
      </c>
      <c r="H197" s="45">
        <f t="shared" ref="H197:H221" si="12">D197</f>
        <v>92935.96</v>
      </c>
    </row>
    <row r="198" spans="1:12" ht="20.100000000000001" customHeight="1" x14ac:dyDescent="0.25">
      <c r="A198" s="89">
        <v>3100</v>
      </c>
      <c r="B198" s="4">
        <v>42305</v>
      </c>
      <c r="C198" s="26" t="s">
        <v>38</v>
      </c>
      <c r="D198" s="3">
        <v>62170.77</v>
      </c>
      <c r="E198" s="4">
        <v>42354</v>
      </c>
      <c r="F198" s="4">
        <v>42305</v>
      </c>
      <c r="G198" s="32">
        <v>42339</v>
      </c>
      <c r="H198" s="45">
        <f t="shared" si="12"/>
        <v>62170.77</v>
      </c>
    </row>
    <row r="199" spans="1:12" ht="20.100000000000001" customHeight="1" x14ac:dyDescent="0.25">
      <c r="A199" s="89">
        <v>3101</v>
      </c>
      <c r="B199" s="4">
        <v>42305</v>
      </c>
      <c r="C199" s="26" t="s">
        <v>38</v>
      </c>
      <c r="D199" s="3">
        <v>213579.7</v>
      </c>
      <c r="E199" s="4">
        <v>42354</v>
      </c>
      <c r="F199" s="4">
        <v>42305</v>
      </c>
      <c r="G199" s="32">
        <v>42339</v>
      </c>
      <c r="H199" s="45">
        <f t="shared" si="12"/>
        <v>213579.7</v>
      </c>
    </row>
    <row r="200" spans="1:12" ht="20.100000000000001" customHeight="1" x14ac:dyDescent="0.25">
      <c r="A200" s="89">
        <v>3102</v>
      </c>
      <c r="B200" s="4">
        <v>42305</v>
      </c>
      <c r="C200" s="26" t="s">
        <v>38</v>
      </c>
      <c r="D200" s="3">
        <v>428240.67</v>
      </c>
      <c r="E200" s="4">
        <v>42354</v>
      </c>
      <c r="F200" s="4">
        <v>42305</v>
      </c>
      <c r="G200" s="32">
        <v>42339</v>
      </c>
      <c r="H200" s="45">
        <f t="shared" si="12"/>
        <v>428240.67</v>
      </c>
    </row>
    <row r="201" spans="1:12" ht="20.100000000000001" customHeight="1" x14ac:dyDescent="0.25">
      <c r="A201" s="89">
        <v>314</v>
      </c>
      <c r="B201" s="4">
        <v>42298</v>
      </c>
      <c r="C201" s="26" t="s">
        <v>99</v>
      </c>
      <c r="D201" s="3">
        <v>104577.54</v>
      </c>
      <c r="E201" s="4">
        <v>42368</v>
      </c>
      <c r="F201" s="92">
        <v>42303</v>
      </c>
      <c r="G201" s="32">
        <v>42355</v>
      </c>
      <c r="H201" s="45">
        <f t="shared" si="12"/>
        <v>104577.54</v>
      </c>
    </row>
    <row r="202" spans="1:12" ht="20.100000000000001" customHeight="1" x14ac:dyDescent="0.25">
      <c r="A202" s="89">
        <v>343</v>
      </c>
      <c r="B202" s="4">
        <v>42334</v>
      </c>
      <c r="C202" s="26" t="s">
        <v>56</v>
      </c>
      <c r="D202" s="3">
        <v>7350</v>
      </c>
      <c r="E202" s="4">
        <v>42352</v>
      </c>
      <c r="F202" s="92" t="s">
        <v>28</v>
      </c>
      <c r="G202" s="32">
        <v>42334</v>
      </c>
      <c r="H202" s="45">
        <f t="shared" si="12"/>
        <v>7350</v>
      </c>
    </row>
    <row r="203" spans="1:12" ht="20.100000000000001" customHeight="1" x14ac:dyDescent="0.25">
      <c r="A203" s="89">
        <v>351</v>
      </c>
      <c r="B203" s="4">
        <v>42345</v>
      </c>
      <c r="C203" s="5" t="s">
        <v>106</v>
      </c>
      <c r="D203" s="3">
        <v>9969</v>
      </c>
      <c r="E203" s="4">
        <v>42345</v>
      </c>
      <c r="F203" s="92" t="s">
        <v>28</v>
      </c>
      <c r="G203" s="32">
        <v>42345</v>
      </c>
      <c r="H203" s="45">
        <f t="shared" si="12"/>
        <v>9969</v>
      </c>
      <c r="I203" s="45">
        <f>H203</f>
        <v>9969</v>
      </c>
      <c r="J203" s="45"/>
      <c r="K203" s="45"/>
    </row>
    <row r="204" spans="1:12" ht="20.100000000000001" customHeight="1" x14ac:dyDescent="0.25">
      <c r="A204" s="89">
        <v>332</v>
      </c>
      <c r="B204" s="4">
        <v>42326</v>
      </c>
      <c r="C204" s="26" t="s">
        <v>34</v>
      </c>
      <c r="D204" s="3">
        <v>1269.52</v>
      </c>
      <c r="E204" s="4">
        <v>42345</v>
      </c>
      <c r="F204" s="92" t="s">
        <v>28</v>
      </c>
      <c r="G204" s="32">
        <v>42361</v>
      </c>
      <c r="H204" s="45">
        <f t="shared" si="12"/>
        <v>1269.52</v>
      </c>
    </row>
    <row r="205" spans="1:12" ht="20.100000000000001" customHeight="1" x14ac:dyDescent="0.25">
      <c r="A205" s="89">
        <v>352</v>
      </c>
      <c r="B205" s="4">
        <v>42345</v>
      </c>
      <c r="C205" s="5" t="s">
        <v>107</v>
      </c>
      <c r="D205" s="3">
        <v>51645.96</v>
      </c>
      <c r="E205" s="4">
        <v>42346</v>
      </c>
      <c r="F205" s="92" t="s">
        <v>28</v>
      </c>
      <c r="G205" s="32">
        <v>42347</v>
      </c>
      <c r="H205" s="45">
        <f t="shared" si="12"/>
        <v>51645.96</v>
      </c>
      <c r="I205" s="45">
        <f t="shared" ref="I205:I210" si="13">H205</f>
        <v>51645.96</v>
      </c>
      <c r="J205" s="45"/>
      <c r="K205" s="45"/>
    </row>
    <row r="206" spans="1:12" ht="20.100000000000001" customHeight="1" x14ac:dyDescent="0.25">
      <c r="A206" s="89">
        <v>303</v>
      </c>
      <c r="B206" s="4">
        <v>42296</v>
      </c>
      <c r="C206" s="5" t="s">
        <v>108</v>
      </c>
      <c r="D206" s="3">
        <v>105645.06</v>
      </c>
      <c r="E206" s="4">
        <v>42353</v>
      </c>
      <c r="F206" s="92" t="s">
        <v>28</v>
      </c>
      <c r="G206" s="32">
        <v>42363</v>
      </c>
      <c r="H206" s="45">
        <f t="shared" si="12"/>
        <v>105645.06</v>
      </c>
      <c r="I206" s="45">
        <f t="shared" si="13"/>
        <v>105645.06</v>
      </c>
      <c r="J206" s="45"/>
      <c r="K206" s="45"/>
    </row>
    <row r="207" spans="1:12" ht="20.100000000000001" customHeight="1" x14ac:dyDescent="0.25">
      <c r="A207" s="89">
        <v>302</v>
      </c>
      <c r="B207" s="4">
        <v>42345</v>
      </c>
      <c r="C207" s="5" t="s">
        <v>109</v>
      </c>
      <c r="D207" s="3">
        <v>39965.39</v>
      </c>
      <c r="E207" s="4">
        <v>42362</v>
      </c>
      <c r="F207" s="92" t="s">
        <v>28</v>
      </c>
      <c r="G207" s="32">
        <v>42347</v>
      </c>
      <c r="H207" s="45">
        <f t="shared" si="12"/>
        <v>39965.39</v>
      </c>
      <c r="I207" s="45">
        <f t="shared" si="13"/>
        <v>39965.39</v>
      </c>
      <c r="J207" s="45"/>
      <c r="K207" s="45"/>
    </row>
    <row r="208" spans="1:12" ht="20.100000000000001" customHeight="1" x14ac:dyDescent="0.25">
      <c r="A208" s="89">
        <v>360</v>
      </c>
      <c r="B208" s="4">
        <v>42345</v>
      </c>
      <c r="C208" s="5" t="s">
        <v>109</v>
      </c>
      <c r="D208" s="3">
        <v>3947.96</v>
      </c>
      <c r="E208" s="4">
        <v>42362</v>
      </c>
      <c r="F208" s="92" t="s">
        <v>28</v>
      </c>
      <c r="G208" s="32">
        <v>42352</v>
      </c>
      <c r="H208" s="45">
        <f t="shared" si="12"/>
        <v>3947.96</v>
      </c>
      <c r="I208" s="45">
        <f t="shared" si="13"/>
        <v>3947.96</v>
      </c>
      <c r="J208" s="45"/>
      <c r="K208" s="45"/>
    </row>
    <row r="209" spans="1:14" ht="20.100000000000001" customHeight="1" x14ac:dyDescent="0.25">
      <c r="A209" s="89">
        <v>357</v>
      </c>
      <c r="B209" s="4">
        <v>42348</v>
      </c>
      <c r="C209" s="5" t="s">
        <v>110</v>
      </c>
      <c r="D209" s="3">
        <v>6769.16</v>
      </c>
      <c r="E209" s="4">
        <v>42352</v>
      </c>
      <c r="F209" s="92" t="s">
        <v>28</v>
      </c>
      <c r="G209" s="32">
        <v>42383</v>
      </c>
      <c r="H209" s="45">
        <f t="shared" si="12"/>
        <v>6769.16</v>
      </c>
      <c r="I209" s="45">
        <f t="shared" si="13"/>
        <v>6769.16</v>
      </c>
      <c r="J209" s="45"/>
      <c r="K209" s="45"/>
    </row>
    <row r="210" spans="1:14" ht="20.100000000000001" customHeight="1" x14ac:dyDescent="0.25">
      <c r="A210" s="89">
        <v>363</v>
      </c>
      <c r="B210" s="4">
        <v>42352</v>
      </c>
      <c r="C210" s="5" t="s">
        <v>111</v>
      </c>
      <c r="D210" s="3">
        <v>35674.480000000003</v>
      </c>
      <c r="E210" s="4">
        <v>42352</v>
      </c>
      <c r="F210" s="92" t="s">
        <v>28</v>
      </c>
      <c r="G210" s="32">
        <v>42352</v>
      </c>
      <c r="H210" s="45">
        <f t="shared" si="12"/>
        <v>35674.480000000003</v>
      </c>
      <c r="I210" s="45">
        <f t="shared" si="13"/>
        <v>35674.480000000003</v>
      </c>
      <c r="J210" s="45"/>
      <c r="K210" s="45"/>
    </row>
    <row r="211" spans="1:14" ht="20.100000000000001" customHeight="1" x14ac:dyDescent="0.25">
      <c r="A211" s="89">
        <v>364</v>
      </c>
      <c r="B211" s="4">
        <v>42324</v>
      </c>
      <c r="C211" s="26" t="s">
        <v>102</v>
      </c>
      <c r="D211" s="3">
        <v>4710.12</v>
      </c>
      <c r="E211" s="4">
        <v>42352</v>
      </c>
      <c r="F211" s="92" t="s">
        <v>28</v>
      </c>
      <c r="G211" s="32">
        <v>42352</v>
      </c>
      <c r="H211" s="45">
        <f t="shared" si="12"/>
        <v>4710.12</v>
      </c>
    </row>
    <row r="212" spans="1:14" ht="20.100000000000001" customHeight="1" x14ac:dyDescent="0.25">
      <c r="A212" s="89">
        <v>366</v>
      </c>
      <c r="B212" s="4">
        <v>42353</v>
      </c>
      <c r="C212" s="26" t="s">
        <v>101</v>
      </c>
      <c r="D212" s="3">
        <v>2568.2800000000002</v>
      </c>
      <c r="E212" s="4">
        <v>42354</v>
      </c>
      <c r="F212" s="92" t="s">
        <v>28</v>
      </c>
      <c r="G212" s="32">
        <v>42389</v>
      </c>
      <c r="H212" s="45">
        <f t="shared" si="12"/>
        <v>2568.2800000000002</v>
      </c>
    </row>
    <row r="213" spans="1:14" ht="20.100000000000001" customHeight="1" x14ac:dyDescent="0.25">
      <c r="A213" s="89">
        <v>369</v>
      </c>
      <c r="B213" s="4">
        <v>42354</v>
      </c>
      <c r="C213" s="5" t="s">
        <v>112</v>
      </c>
      <c r="D213" s="3">
        <v>27290</v>
      </c>
      <c r="E213" s="4">
        <v>42354</v>
      </c>
      <c r="F213" s="92" t="s">
        <v>28</v>
      </c>
      <c r="G213" s="32">
        <v>42356</v>
      </c>
      <c r="H213" s="45">
        <f t="shared" si="12"/>
        <v>27290</v>
      </c>
      <c r="I213" s="45">
        <f>H213</f>
        <v>27290</v>
      </c>
      <c r="J213" s="45"/>
      <c r="K213" s="45"/>
      <c r="N213" s="45"/>
    </row>
    <row r="214" spans="1:14" ht="20.100000000000001" customHeight="1" x14ac:dyDescent="0.25">
      <c r="A214" s="89">
        <v>361</v>
      </c>
      <c r="B214" s="4">
        <v>42352</v>
      </c>
      <c r="C214" s="26" t="s">
        <v>91</v>
      </c>
      <c r="D214" s="3">
        <v>47290</v>
      </c>
      <c r="E214" s="4">
        <v>42354</v>
      </c>
      <c r="F214" s="92" t="s">
        <v>28</v>
      </c>
      <c r="G214" s="32">
        <v>42368</v>
      </c>
      <c r="H214" s="45">
        <f t="shared" si="12"/>
        <v>47290</v>
      </c>
      <c r="N214" s="45"/>
    </row>
    <row r="215" spans="1:14" ht="20.100000000000001" customHeight="1" x14ac:dyDescent="0.25">
      <c r="A215" s="89">
        <v>373</v>
      </c>
      <c r="B215" s="4">
        <v>42359</v>
      </c>
      <c r="C215" s="26" t="s">
        <v>91</v>
      </c>
      <c r="D215" s="3">
        <v>12043</v>
      </c>
      <c r="E215" s="4">
        <v>42360</v>
      </c>
      <c r="F215" s="92" t="s">
        <v>28</v>
      </c>
      <c r="G215" s="32">
        <v>42361</v>
      </c>
      <c r="H215" s="45">
        <f t="shared" si="12"/>
        <v>12043</v>
      </c>
    </row>
    <row r="216" spans="1:14" ht="20.100000000000001" customHeight="1" x14ac:dyDescent="0.25">
      <c r="A216" s="89">
        <v>372</v>
      </c>
      <c r="B216" s="4">
        <v>42356</v>
      </c>
      <c r="C216" s="5" t="s">
        <v>113</v>
      </c>
      <c r="D216" s="3">
        <v>9850</v>
      </c>
      <c r="E216" s="4">
        <v>42360</v>
      </c>
      <c r="F216" s="92" t="s">
        <v>28</v>
      </c>
      <c r="G216" s="32">
        <v>42363</v>
      </c>
      <c r="H216" s="45">
        <f t="shared" si="12"/>
        <v>9850</v>
      </c>
      <c r="I216" s="45">
        <f>H216</f>
        <v>9850</v>
      </c>
      <c r="J216" s="45"/>
      <c r="K216" s="45"/>
    </row>
    <row r="217" spans="1:14" ht="20.100000000000001" customHeight="1" x14ac:dyDescent="0.25">
      <c r="A217" s="89">
        <v>368</v>
      </c>
      <c r="B217" s="4">
        <v>42353</v>
      </c>
      <c r="C217" s="5" t="s">
        <v>114</v>
      </c>
      <c r="D217" s="3">
        <v>1952.31</v>
      </c>
      <c r="E217" s="4">
        <v>42361</v>
      </c>
      <c r="F217" s="92" t="s">
        <v>28</v>
      </c>
      <c r="G217" s="32">
        <v>42359</v>
      </c>
      <c r="H217" s="45">
        <f t="shared" si="12"/>
        <v>1952.31</v>
      </c>
      <c r="I217" s="45">
        <f>H217</f>
        <v>1952.31</v>
      </c>
      <c r="J217" s="45"/>
      <c r="K217" s="45"/>
    </row>
    <row r="218" spans="1:14" ht="20.100000000000001" customHeight="1" x14ac:dyDescent="0.25">
      <c r="A218" s="89">
        <v>333</v>
      </c>
      <c r="B218" s="4">
        <v>42346</v>
      </c>
      <c r="C218" s="26" t="s">
        <v>56</v>
      </c>
      <c r="D218" s="3">
        <v>97207.75</v>
      </c>
      <c r="E218" s="4">
        <v>42368</v>
      </c>
      <c r="F218" s="92" t="s">
        <v>28</v>
      </c>
      <c r="G218" s="32">
        <v>42366</v>
      </c>
      <c r="H218" s="45">
        <f t="shared" si="12"/>
        <v>97207.75</v>
      </c>
    </row>
    <row r="219" spans="1:14" ht="20.100000000000001" customHeight="1" x14ac:dyDescent="0.25">
      <c r="A219" s="89">
        <v>388</v>
      </c>
      <c r="B219" s="4">
        <v>42366</v>
      </c>
      <c r="C219" s="26" t="s">
        <v>30</v>
      </c>
      <c r="D219" s="3">
        <v>2112</v>
      </c>
      <c r="E219" s="4">
        <v>42369</v>
      </c>
      <c r="F219" s="92" t="s">
        <v>28</v>
      </c>
      <c r="G219" s="32">
        <v>42384</v>
      </c>
      <c r="H219" s="45">
        <f t="shared" si="12"/>
        <v>2112</v>
      </c>
    </row>
    <row r="220" spans="1:14" ht="20.100000000000001" customHeight="1" x14ac:dyDescent="0.25">
      <c r="A220" s="89">
        <v>377</v>
      </c>
      <c r="B220" s="4">
        <v>42359</v>
      </c>
      <c r="C220" s="5" t="s">
        <v>115</v>
      </c>
      <c r="D220" s="3">
        <v>3799</v>
      </c>
      <c r="E220" s="4">
        <v>42362</v>
      </c>
      <c r="F220" s="92" t="s">
        <v>28</v>
      </c>
      <c r="G220" s="32">
        <v>42362</v>
      </c>
      <c r="H220" s="45">
        <f t="shared" si="12"/>
        <v>3799</v>
      </c>
      <c r="I220" s="45">
        <f>H220</f>
        <v>3799</v>
      </c>
      <c r="J220" s="45"/>
      <c r="K220" s="45"/>
    </row>
    <row r="221" spans="1:14" ht="20.100000000000001" customHeight="1" x14ac:dyDescent="0.25">
      <c r="A221" s="89">
        <v>378</v>
      </c>
      <c r="B221" s="4">
        <v>42359</v>
      </c>
      <c r="C221" s="5" t="s">
        <v>115</v>
      </c>
      <c r="D221" s="3">
        <v>16135</v>
      </c>
      <c r="E221" s="4">
        <v>42362</v>
      </c>
      <c r="F221" s="92" t="s">
        <v>28</v>
      </c>
      <c r="G221" s="32">
        <v>42362</v>
      </c>
      <c r="H221" s="45">
        <f t="shared" si="12"/>
        <v>16135</v>
      </c>
      <c r="I221" s="45">
        <f>H221</f>
        <v>16135</v>
      </c>
      <c r="J221" s="45"/>
      <c r="K221" s="45"/>
    </row>
    <row r="222" spans="1:14" ht="20.100000000000001" customHeight="1" x14ac:dyDescent="0.25">
      <c r="A222" s="89"/>
      <c r="B222" s="4"/>
      <c r="C222" s="5"/>
      <c r="D222" s="3"/>
      <c r="E222" s="4"/>
      <c r="F222" s="92"/>
      <c r="G222" s="4"/>
      <c r="H222" s="16">
        <f>SUM(H197:H221)</f>
        <v>1388698.6300000001</v>
      </c>
      <c r="I222" s="16">
        <f>SUM(I197:I221)</f>
        <v>312643.32</v>
      </c>
      <c r="J222" s="16"/>
      <c r="K222" s="16"/>
      <c r="L222" s="16">
        <f>H222*0.05+I222*0.02</f>
        <v>75687.797900000005</v>
      </c>
    </row>
    <row r="223" spans="1:14" ht="23.25" x14ac:dyDescent="0.35">
      <c r="A223" s="89"/>
      <c r="B223" s="4"/>
      <c r="C223" s="94" t="s">
        <v>647</v>
      </c>
      <c r="D223" s="3"/>
      <c r="E223" s="4"/>
      <c r="F223" s="4"/>
      <c r="G223" s="4"/>
      <c r="I223" s="96">
        <f>L223/12</f>
        <v>32637.566183333332</v>
      </c>
      <c r="J223" s="96"/>
      <c r="K223" s="96"/>
      <c r="L223" s="96">
        <f>SUM(L1:L222)</f>
        <v>391650.7942</v>
      </c>
    </row>
    <row r="224" spans="1:14" ht="20.100000000000001" customHeight="1" x14ac:dyDescent="0.25">
      <c r="A224" s="89">
        <v>389</v>
      </c>
      <c r="B224" s="4">
        <v>42368</v>
      </c>
      <c r="C224" s="26" t="s">
        <v>91</v>
      </c>
      <c r="D224" s="3">
        <v>2488</v>
      </c>
      <c r="E224" s="4">
        <v>42380</v>
      </c>
      <c r="F224" s="92" t="s">
        <v>28</v>
      </c>
      <c r="G224" s="32">
        <v>42381</v>
      </c>
      <c r="H224" s="45">
        <f t="shared" ref="H224:H237" si="14">D224</f>
        <v>2488</v>
      </c>
    </row>
    <row r="225" spans="1:11" ht="20.100000000000001" customHeight="1" x14ac:dyDescent="0.25">
      <c r="A225" s="89">
        <v>5</v>
      </c>
      <c r="B225" s="4">
        <v>42383</v>
      </c>
      <c r="C225" s="26" t="s">
        <v>34</v>
      </c>
      <c r="D225" s="3">
        <v>1898.44</v>
      </c>
      <c r="E225" s="4">
        <v>42384</v>
      </c>
      <c r="F225" s="92" t="s">
        <v>28</v>
      </c>
      <c r="G225" s="32">
        <v>42390</v>
      </c>
      <c r="H225" s="45">
        <f t="shared" si="14"/>
        <v>1898.44</v>
      </c>
    </row>
    <row r="226" spans="1:11" ht="20.100000000000001" customHeight="1" x14ac:dyDescent="0.25">
      <c r="A226" s="89">
        <v>6</v>
      </c>
      <c r="B226" s="4">
        <v>42384</v>
      </c>
      <c r="C226" s="26" t="s">
        <v>50</v>
      </c>
      <c r="D226" s="3">
        <v>5379.86</v>
      </c>
      <c r="E226" s="4">
        <v>42387</v>
      </c>
      <c r="F226" s="92" t="s">
        <v>28</v>
      </c>
      <c r="G226" s="32">
        <v>42388</v>
      </c>
      <c r="H226" s="45">
        <f t="shared" si="14"/>
        <v>5379.86</v>
      </c>
    </row>
    <row r="227" spans="1:11" ht="20.100000000000001" customHeight="1" x14ac:dyDescent="0.25">
      <c r="A227" s="89">
        <v>7</v>
      </c>
      <c r="B227" s="4">
        <v>42384</v>
      </c>
      <c r="C227" s="26" t="s">
        <v>5</v>
      </c>
      <c r="D227" s="3">
        <v>3892.65</v>
      </c>
      <c r="E227" s="4">
        <v>42387</v>
      </c>
      <c r="F227" s="92" t="s">
        <v>28</v>
      </c>
      <c r="G227" s="32">
        <v>42395</v>
      </c>
      <c r="H227" s="45">
        <f t="shared" si="14"/>
        <v>3892.65</v>
      </c>
    </row>
    <row r="228" spans="1:11" ht="20.100000000000001" customHeight="1" x14ac:dyDescent="0.25">
      <c r="A228" s="89">
        <v>11</v>
      </c>
      <c r="B228" s="4">
        <v>42388</v>
      </c>
      <c r="C228" s="5" t="s">
        <v>116</v>
      </c>
      <c r="D228" s="3">
        <v>4590</v>
      </c>
      <c r="E228" s="4">
        <v>42388</v>
      </c>
      <c r="F228" s="92" t="s">
        <v>28</v>
      </c>
      <c r="G228" s="32">
        <v>42389</v>
      </c>
      <c r="H228" s="45">
        <f t="shared" si="14"/>
        <v>4590</v>
      </c>
      <c r="I228" s="45">
        <f>H228</f>
        <v>4590</v>
      </c>
      <c r="J228" s="45"/>
      <c r="K228" s="45"/>
    </row>
    <row r="229" spans="1:11" ht="20.100000000000001" customHeight="1" x14ac:dyDescent="0.25">
      <c r="A229" s="89">
        <v>9</v>
      </c>
      <c r="B229" s="4">
        <v>42387</v>
      </c>
      <c r="C229" s="5" t="s">
        <v>117</v>
      </c>
      <c r="D229" s="3">
        <v>5541.45</v>
      </c>
      <c r="E229" s="4">
        <v>42389</v>
      </c>
      <c r="F229" s="92" t="s">
        <v>28</v>
      </c>
      <c r="G229" s="32">
        <v>42391</v>
      </c>
      <c r="H229" s="45">
        <f t="shared" si="14"/>
        <v>5541.45</v>
      </c>
      <c r="I229" s="45">
        <f>H229</f>
        <v>5541.45</v>
      </c>
      <c r="J229" s="45"/>
      <c r="K229" s="45"/>
    </row>
    <row r="230" spans="1:11" ht="20.100000000000001" customHeight="1" x14ac:dyDescent="0.25">
      <c r="A230" s="89">
        <v>381</v>
      </c>
      <c r="B230" s="4">
        <v>42361</v>
      </c>
      <c r="C230" s="26" t="s">
        <v>103</v>
      </c>
      <c r="D230" s="3">
        <v>37813.65</v>
      </c>
      <c r="E230" s="4">
        <v>42391</v>
      </c>
      <c r="F230" s="92" t="s">
        <v>28</v>
      </c>
      <c r="G230" s="32">
        <v>42394</v>
      </c>
      <c r="H230" s="45">
        <f t="shared" si="14"/>
        <v>37813.65</v>
      </c>
    </row>
    <row r="231" spans="1:11" ht="20.100000000000001" customHeight="1" x14ac:dyDescent="0.25">
      <c r="A231" s="89">
        <v>374</v>
      </c>
      <c r="B231" s="4">
        <v>42359</v>
      </c>
      <c r="C231" s="26" t="s">
        <v>108</v>
      </c>
      <c r="D231" s="3">
        <v>13509.53</v>
      </c>
      <c r="E231" s="4">
        <v>42391</v>
      </c>
      <c r="F231" s="92" t="s">
        <v>28</v>
      </c>
      <c r="G231" s="32">
        <v>42394</v>
      </c>
      <c r="H231" s="45">
        <f t="shared" si="14"/>
        <v>13509.53</v>
      </c>
    </row>
    <row r="232" spans="1:11" ht="20.100000000000001" customHeight="1" x14ac:dyDescent="0.25">
      <c r="A232" s="89">
        <v>10</v>
      </c>
      <c r="B232" s="4">
        <v>42387</v>
      </c>
      <c r="C232" s="26" t="s">
        <v>108</v>
      </c>
      <c r="D232" s="3">
        <v>7000</v>
      </c>
      <c r="E232" s="4">
        <v>42391</v>
      </c>
      <c r="F232" s="92" t="s">
        <v>28</v>
      </c>
      <c r="G232" s="32">
        <v>42394</v>
      </c>
      <c r="H232" s="45">
        <f t="shared" si="14"/>
        <v>7000</v>
      </c>
    </row>
    <row r="233" spans="1:11" ht="20.100000000000001" customHeight="1" x14ac:dyDescent="0.25">
      <c r="A233" s="89">
        <v>17</v>
      </c>
      <c r="B233" s="4">
        <v>42390</v>
      </c>
      <c r="C233" s="26" t="s">
        <v>16</v>
      </c>
      <c r="D233" s="3">
        <v>9436.42</v>
      </c>
      <c r="E233" s="4">
        <v>42391</v>
      </c>
      <c r="F233" s="92" t="s">
        <v>28</v>
      </c>
      <c r="G233" s="32">
        <v>42394</v>
      </c>
      <c r="H233" s="45">
        <f t="shared" si="14"/>
        <v>9436.42</v>
      </c>
    </row>
    <row r="234" spans="1:11" ht="20.100000000000001" customHeight="1" x14ac:dyDescent="0.25">
      <c r="A234" s="89">
        <v>19</v>
      </c>
      <c r="B234" s="4">
        <v>42391</v>
      </c>
      <c r="C234" s="5" t="s">
        <v>118</v>
      </c>
      <c r="D234" s="3">
        <v>11960</v>
      </c>
      <c r="E234" s="4">
        <v>42394</v>
      </c>
      <c r="F234" s="92" t="s">
        <v>28</v>
      </c>
      <c r="G234" s="32">
        <v>42394</v>
      </c>
      <c r="H234" s="45">
        <f t="shared" si="14"/>
        <v>11960</v>
      </c>
      <c r="I234" s="45">
        <f>H234</f>
        <v>11960</v>
      </c>
      <c r="J234" s="45"/>
      <c r="K234" s="45"/>
    </row>
    <row r="235" spans="1:11" ht="20.100000000000001" customHeight="1" x14ac:dyDescent="0.25">
      <c r="A235" s="89">
        <v>27</v>
      </c>
      <c r="B235" s="4">
        <v>42395</v>
      </c>
      <c r="C235" s="26" t="s">
        <v>65</v>
      </c>
      <c r="D235" s="3">
        <v>4900</v>
      </c>
      <c r="E235" s="4">
        <v>42396</v>
      </c>
      <c r="F235" s="92" t="s">
        <v>28</v>
      </c>
      <c r="G235" s="32">
        <v>42396</v>
      </c>
      <c r="H235" s="45">
        <f t="shared" si="14"/>
        <v>4900</v>
      </c>
    </row>
    <row r="236" spans="1:11" ht="20.100000000000001" customHeight="1" x14ac:dyDescent="0.25">
      <c r="A236" s="89">
        <v>30</v>
      </c>
      <c r="B236" s="4">
        <v>42396</v>
      </c>
      <c r="C236" s="26" t="s">
        <v>91</v>
      </c>
      <c r="D236" s="3">
        <v>5439.84</v>
      </c>
      <c r="E236" s="4">
        <v>42397</v>
      </c>
      <c r="F236" s="92" t="s">
        <v>28</v>
      </c>
      <c r="G236" s="32">
        <v>42405</v>
      </c>
      <c r="H236" s="45">
        <f t="shared" si="14"/>
        <v>5439.84</v>
      </c>
    </row>
    <row r="237" spans="1:11" ht="20.100000000000001" customHeight="1" x14ac:dyDescent="0.25">
      <c r="A237" s="89">
        <v>31</v>
      </c>
      <c r="B237" s="4">
        <v>42397</v>
      </c>
      <c r="C237" s="26" t="s">
        <v>42</v>
      </c>
      <c r="D237" s="3">
        <v>12250</v>
      </c>
      <c r="E237" s="4">
        <v>42398</v>
      </c>
      <c r="F237" s="92" t="s">
        <v>28</v>
      </c>
      <c r="G237" s="32">
        <v>42401</v>
      </c>
      <c r="H237" s="45">
        <f t="shared" si="14"/>
        <v>12250</v>
      </c>
    </row>
    <row r="238" spans="1:11" ht="20.100000000000001" customHeight="1" x14ac:dyDescent="0.25">
      <c r="A238" s="89"/>
      <c r="B238" s="4"/>
      <c r="C238" s="5"/>
      <c r="D238" s="3"/>
      <c r="E238" s="21">
        <f>H238*0.02+I238*0.02</f>
        <v>2963.8258000000001</v>
      </c>
      <c r="F238" s="92"/>
      <c r="G238" s="4"/>
      <c r="H238" s="16">
        <f>SUM(H224:H237)</f>
        <v>126099.84</v>
      </c>
      <c r="I238" s="16">
        <f>SUM(I224:I237)</f>
        <v>22091.45</v>
      </c>
      <c r="J238" s="16"/>
      <c r="K238" s="16"/>
    </row>
    <row r="239" spans="1:11" ht="20.100000000000001" customHeight="1" x14ac:dyDescent="0.35">
      <c r="A239" s="89"/>
      <c r="B239" s="4"/>
      <c r="C239" s="94" t="s">
        <v>648</v>
      </c>
      <c r="D239" s="3"/>
      <c r="E239" s="4"/>
      <c r="F239" s="92"/>
      <c r="G239" s="4"/>
      <c r="H239" s="45"/>
    </row>
    <row r="240" spans="1:11" ht="20.100000000000001" customHeight="1" x14ac:dyDescent="0.25">
      <c r="A240" s="89">
        <v>1</v>
      </c>
      <c r="B240" s="4">
        <v>42380</v>
      </c>
      <c r="C240" s="26" t="s">
        <v>99</v>
      </c>
      <c r="D240" s="3">
        <v>110643.69</v>
      </c>
      <c r="E240" s="4">
        <v>42405</v>
      </c>
      <c r="F240" s="92" t="s">
        <v>28</v>
      </c>
      <c r="G240" s="32">
        <v>42389</v>
      </c>
      <c r="H240" s="45">
        <f t="shared" ref="H240:H256" si="15">D240</f>
        <v>110643.69</v>
      </c>
    </row>
    <row r="241" spans="1:11" ht="20.100000000000001" customHeight="1" x14ac:dyDescent="0.25">
      <c r="A241" s="89">
        <v>36</v>
      </c>
      <c r="B241" s="4">
        <v>42402</v>
      </c>
      <c r="C241" s="26" t="s">
        <v>91</v>
      </c>
      <c r="D241" s="3">
        <v>2602</v>
      </c>
      <c r="E241" s="4">
        <v>42403</v>
      </c>
      <c r="F241" s="92" t="s">
        <v>28</v>
      </c>
      <c r="G241" s="32">
        <v>42404</v>
      </c>
      <c r="H241" s="45">
        <f t="shared" si="15"/>
        <v>2602</v>
      </c>
    </row>
    <row r="242" spans="1:11" ht="20.100000000000001" customHeight="1" x14ac:dyDescent="0.25">
      <c r="A242" s="89">
        <v>15</v>
      </c>
      <c r="B242" s="4">
        <v>42389</v>
      </c>
      <c r="C242" s="26" t="s">
        <v>66</v>
      </c>
      <c r="D242" s="3">
        <v>22546.15</v>
      </c>
      <c r="E242" s="4">
        <v>42405</v>
      </c>
      <c r="F242" s="92" t="s">
        <v>28</v>
      </c>
      <c r="G242" s="32">
        <v>42418</v>
      </c>
      <c r="H242" s="45">
        <f t="shared" si="15"/>
        <v>22546.15</v>
      </c>
    </row>
    <row r="243" spans="1:11" ht="20.100000000000001" customHeight="1" x14ac:dyDescent="0.25">
      <c r="A243" s="89">
        <v>42</v>
      </c>
      <c r="B243" s="4">
        <v>42405</v>
      </c>
      <c r="C243" s="26" t="s">
        <v>42</v>
      </c>
      <c r="D243" s="3">
        <v>230580</v>
      </c>
      <c r="E243" s="4">
        <v>42409</v>
      </c>
      <c r="F243" s="92" t="s">
        <v>28</v>
      </c>
      <c r="G243" s="32">
        <v>42410</v>
      </c>
      <c r="H243" s="45">
        <f t="shared" si="15"/>
        <v>230580</v>
      </c>
    </row>
    <row r="244" spans="1:11" ht="20.100000000000001" customHeight="1" x14ac:dyDescent="0.25">
      <c r="A244" s="89">
        <v>37</v>
      </c>
      <c r="B244" s="4">
        <v>42403</v>
      </c>
      <c r="C244" s="26" t="s">
        <v>65</v>
      </c>
      <c r="D244" s="3">
        <v>47737.52</v>
      </c>
      <c r="E244" s="4">
        <v>42410</v>
      </c>
      <c r="F244" s="92" t="s">
        <v>28</v>
      </c>
      <c r="G244" s="32">
        <v>42410</v>
      </c>
      <c r="H244" s="45">
        <f t="shared" si="15"/>
        <v>47737.52</v>
      </c>
    </row>
    <row r="245" spans="1:11" ht="20.100000000000001" customHeight="1" x14ac:dyDescent="0.25">
      <c r="A245" s="89">
        <v>46</v>
      </c>
      <c r="B245" s="4">
        <v>42409</v>
      </c>
      <c r="C245" s="5" t="s">
        <v>119</v>
      </c>
      <c r="D245" s="3">
        <v>91916</v>
      </c>
      <c r="E245" s="4">
        <v>42411</v>
      </c>
      <c r="F245" s="92" t="s">
        <v>28</v>
      </c>
      <c r="G245" s="32">
        <v>42411</v>
      </c>
      <c r="H245" s="45">
        <f t="shared" si="15"/>
        <v>91916</v>
      </c>
      <c r="I245" s="45">
        <f>H245</f>
        <v>91916</v>
      </c>
      <c r="J245" s="45"/>
      <c r="K245" s="45"/>
    </row>
    <row r="246" spans="1:11" ht="20.100000000000001" customHeight="1" x14ac:dyDescent="0.25">
      <c r="A246" s="89">
        <v>12</v>
      </c>
      <c r="B246" s="4">
        <v>42388</v>
      </c>
      <c r="C246" s="5" t="s">
        <v>120</v>
      </c>
      <c r="D246" s="3">
        <v>93165.63</v>
      </c>
      <c r="E246" s="4">
        <v>42415</v>
      </c>
      <c r="F246" s="92" t="s">
        <v>28</v>
      </c>
      <c r="G246" s="32">
        <v>42419</v>
      </c>
      <c r="H246" s="45">
        <f t="shared" si="15"/>
        <v>93165.63</v>
      </c>
      <c r="I246" s="45">
        <f>H246</f>
        <v>93165.63</v>
      </c>
      <c r="J246" s="45"/>
      <c r="K246" s="45"/>
    </row>
    <row r="247" spans="1:11" ht="20.100000000000001" customHeight="1" x14ac:dyDescent="0.25">
      <c r="A247" s="89">
        <v>52</v>
      </c>
      <c r="B247" s="4">
        <v>42412</v>
      </c>
      <c r="C247" s="5" t="s">
        <v>121</v>
      </c>
      <c r="D247" s="3">
        <v>7176.69</v>
      </c>
      <c r="E247" s="4">
        <v>42416</v>
      </c>
      <c r="F247" s="92" t="s">
        <v>28</v>
      </c>
      <c r="G247" s="32">
        <v>42417</v>
      </c>
      <c r="H247" s="45">
        <f t="shared" si="15"/>
        <v>7176.69</v>
      </c>
      <c r="I247" s="45">
        <f>H247</f>
        <v>7176.69</v>
      </c>
      <c r="J247" s="45"/>
      <c r="K247" s="45"/>
    </row>
    <row r="248" spans="1:11" ht="20.100000000000001" customHeight="1" x14ac:dyDescent="0.25">
      <c r="A248" s="89">
        <v>59</v>
      </c>
      <c r="B248" s="4">
        <v>42416</v>
      </c>
      <c r="C248" s="26" t="s">
        <v>102</v>
      </c>
      <c r="D248" s="3">
        <v>5991.38</v>
      </c>
      <c r="E248" s="4">
        <v>42416</v>
      </c>
      <c r="F248" s="92" t="s">
        <v>28</v>
      </c>
      <c r="G248" s="32">
        <v>42416</v>
      </c>
      <c r="H248" s="45">
        <f t="shared" si="15"/>
        <v>5991.38</v>
      </c>
    </row>
    <row r="249" spans="1:11" ht="20.100000000000001" customHeight="1" x14ac:dyDescent="0.25">
      <c r="A249" s="89">
        <v>47</v>
      </c>
      <c r="B249" s="4">
        <v>42411</v>
      </c>
      <c r="C249" s="26" t="s">
        <v>122</v>
      </c>
      <c r="D249" s="3">
        <v>9432.16</v>
      </c>
      <c r="E249" s="4">
        <v>42416</v>
      </c>
      <c r="F249" s="92" t="s">
        <v>28</v>
      </c>
      <c r="G249" s="32">
        <v>42418</v>
      </c>
      <c r="H249" s="45">
        <f t="shared" si="15"/>
        <v>9432.16</v>
      </c>
    </row>
    <row r="250" spans="1:11" ht="20.100000000000001" customHeight="1" x14ac:dyDescent="0.25">
      <c r="A250" s="89">
        <v>55</v>
      </c>
      <c r="B250" s="4">
        <v>42412</v>
      </c>
      <c r="C250" s="26" t="s">
        <v>16</v>
      </c>
      <c r="D250" s="3">
        <v>5379.86</v>
      </c>
      <c r="E250" s="4">
        <v>42417</v>
      </c>
      <c r="F250" s="92" t="s">
        <v>28</v>
      </c>
      <c r="G250" s="32">
        <v>42418</v>
      </c>
      <c r="H250" s="45">
        <f t="shared" si="15"/>
        <v>5379.86</v>
      </c>
    </row>
    <row r="251" spans="1:11" ht="20.100000000000001" customHeight="1" x14ac:dyDescent="0.25">
      <c r="A251" s="89">
        <v>69</v>
      </c>
      <c r="B251" s="4">
        <v>42419</v>
      </c>
      <c r="C251" s="26" t="s">
        <v>56</v>
      </c>
      <c r="D251" s="3">
        <v>12250</v>
      </c>
      <c r="E251" s="4">
        <v>42426</v>
      </c>
      <c r="F251" s="92" t="s">
        <v>28</v>
      </c>
      <c r="G251" s="32">
        <v>42419</v>
      </c>
      <c r="H251" s="45">
        <f t="shared" si="15"/>
        <v>12250</v>
      </c>
    </row>
    <row r="252" spans="1:11" ht="20.100000000000001" customHeight="1" x14ac:dyDescent="0.25">
      <c r="A252" s="89">
        <v>68</v>
      </c>
      <c r="B252" s="4">
        <v>42419</v>
      </c>
      <c r="C252" s="5" t="s">
        <v>123</v>
      </c>
      <c r="D252" s="3">
        <v>17890.689999999999</v>
      </c>
      <c r="E252" s="4">
        <v>42419</v>
      </c>
      <c r="F252" s="92" t="s">
        <v>28</v>
      </c>
      <c r="G252" s="32">
        <v>42430</v>
      </c>
      <c r="H252" s="45">
        <f t="shared" si="15"/>
        <v>17890.689999999999</v>
      </c>
      <c r="I252" s="45">
        <f>H252</f>
        <v>17890.689999999999</v>
      </c>
      <c r="J252" s="45"/>
      <c r="K252" s="45"/>
    </row>
    <row r="253" spans="1:11" ht="20.100000000000001" customHeight="1" x14ac:dyDescent="0.25">
      <c r="A253" s="89">
        <v>65</v>
      </c>
      <c r="B253" s="4">
        <v>42417</v>
      </c>
      <c r="C253" s="26" t="s">
        <v>16</v>
      </c>
      <c r="D253" s="3">
        <v>21519.439999999999</v>
      </c>
      <c r="E253" s="4">
        <v>42419</v>
      </c>
      <c r="F253" s="92" t="s">
        <v>28</v>
      </c>
      <c r="G253" s="32">
        <v>42424</v>
      </c>
      <c r="H253" s="45">
        <f t="shared" si="15"/>
        <v>21519.439999999999</v>
      </c>
    </row>
    <row r="254" spans="1:11" ht="20.100000000000001" customHeight="1" x14ac:dyDescent="0.25">
      <c r="A254" s="89">
        <v>64</v>
      </c>
      <c r="B254" s="4">
        <v>42417</v>
      </c>
      <c r="C254" s="26" t="s">
        <v>65</v>
      </c>
      <c r="D254" s="3">
        <v>2922.15</v>
      </c>
      <c r="E254" s="4">
        <v>42424</v>
      </c>
      <c r="F254" s="92" t="s">
        <v>28</v>
      </c>
      <c r="G254" s="32">
        <v>42424</v>
      </c>
      <c r="H254" s="45">
        <f t="shared" si="15"/>
        <v>2922.15</v>
      </c>
    </row>
    <row r="255" spans="1:11" ht="20.100000000000001" customHeight="1" x14ac:dyDescent="0.25">
      <c r="A255" s="89">
        <v>57</v>
      </c>
      <c r="B255" s="4">
        <v>42415</v>
      </c>
      <c r="C255" s="26" t="s">
        <v>65</v>
      </c>
      <c r="D255" s="3">
        <v>49238.18</v>
      </c>
      <c r="E255" s="4">
        <v>42424</v>
      </c>
      <c r="F255" s="92" t="s">
        <v>28</v>
      </c>
      <c r="G255" s="32">
        <v>42424</v>
      </c>
      <c r="H255" s="45">
        <f t="shared" si="15"/>
        <v>49238.18</v>
      </c>
    </row>
    <row r="256" spans="1:11" ht="20.100000000000001" customHeight="1" x14ac:dyDescent="0.25">
      <c r="A256" s="89">
        <v>74</v>
      </c>
      <c r="B256" s="4">
        <v>42426</v>
      </c>
      <c r="C256" s="5" t="s">
        <v>124</v>
      </c>
      <c r="D256" s="3">
        <v>40937.79</v>
      </c>
      <c r="E256" s="4">
        <v>42426</v>
      </c>
      <c r="F256" s="92" t="s">
        <v>28</v>
      </c>
      <c r="G256" s="32">
        <v>42508</v>
      </c>
      <c r="H256" s="45">
        <f t="shared" si="15"/>
        <v>40937.79</v>
      </c>
      <c r="I256" s="45">
        <f>H256</f>
        <v>40937.79</v>
      </c>
      <c r="J256" s="45"/>
      <c r="K256" s="45"/>
    </row>
    <row r="257" spans="1:15" ht="20.100000000000001" customHeight="1" x14ac:dyDescent="0.25">
      <c r="A257" s="89"/>
      <c r="B257" s="4"/>
      <c r="C257" s="5"/>
      <c r="D257" s="3"/>
      <c r="E257" s="21">
        <f>H257*0.05+I257*0.02</f>
        <v>43618.202499999999</v>
      </c>
      <c r="F257" s="92"/>
      <c r="G257" s="4"/>
      <c r="H257" s="16">
        <f>SUM(H240:H256)</f>
        <v>771929.33</v>
      </c>
      <c r="I257" s="16">
        <f>SUM(I240:I256)</f>
        <v>251086.80000000002</v>
      </c>
      <c r="J257" s="16"/>
      <c r="K257" s="16"/>
    </row>
    <row r="258" spans="1:15" ht="20.100000000000001" customHeight="1" x14ac:dyDescent="0.35">
      <c r="A258" s="89"/>
      <c r="B258" s="4"/>
      <c r="C258" s="94" t="s">
        <v>637</v>
      </c>
      <c r="D258" s="3"/>
      <c r="E258" s="4"/>
      <c r="F258" s="92"/>
      <c r="G258" s="4"/>
      <c r="H258" s="45"/>
    </row>
    <row r="259" spans="1:15" ht="20.100000000000001" customHeight="1" x14ac:dyDescent="0.25">
      <c r="A259" s="89">
        <v>43</v>
      </c>
      <c r="B259" s="4">
        <v>42405</v>
      </c>
      <c r="C259" s="26" t="s">
        <v>99</v>
      </c>
      <c r="D259" s="3">
        <v>85747.9</v>
      </c>
      <c r="E259" s="4">
        <v>42452</v>
      </c>
      <c r="F259" s="92" t="s">
        <v>28</v>
      </c>
      <c r="G259" s="32">
        <v>42408</v>
      </c>
      <c r="H259" s="45">
        <f t="shared" ref="H259:H283" si="16">D259</f>
        <v>85747.9</v>
      </c>
      <c r="J259" s="2">
        <v>21000</v>
      </c>
      <c r="K259" s="2">
        <v>2100</v>
      </c>
      <c r="L259" s="45">
        <v>17895.490000000002</v>
      </c>
      <c r="M259" s="29">
        <f t="shared" ref="M259:M283" si="17">H259-L259-J259-K259</f>
        <v>44752.409999999989</v>
      </c>
      <c r="O259" s="44">
        <f t="shared" ref="O259:O284" si="18">M259/H259</f>
        <v>0.52190677555951803</v>
      </c>
    </row>
    <row r="260" spans="1:15" ht="20.100000000000001" customHeight="1" x14ac:dyDescent="0.25">
      <c r="A260" s="89">
        <v>44</v>
      </c>
      <c r="B260" s="4">
        <v>42415</v>
      </c>
      <c r="C260" s="26" t="s">
        <v>99</v>
      </c>
      <c r="D260" s="3">
        <v>177592.3</v>
      </c>
      <c r="E260" s="4">
        <v>42452</v>
      </c>
      <c r="F260" s="92" t="s">
        <v>28</v>
      </c>
      <c r="G260" s="32">
        <v>42432</v>
      </c>
      <c r="H260" s="45">
        <f t="shared" si="16"/>
        <v>177592.3</v>
      </c>
      <c r="J260" s="2">
        <v>9000</v>
      </c>
      <c r="K260" s="2">
        <v>900</v>
      </c>
      <c r="L260" s="45">
        <f>17163.69+86610</f>
        <v>103773.69</v>
      </c>
      <c r="M260" s="29">
        <f t="shared" si="17"/>
        <v>63918.609999999986</v>
      </c>
      <c r="O260" s="44">
        <f t="shared" si="18"/>
        <v>0.35991768787272865</v>
      </c>
    </row>
    <row r="261" spans="1:15" ht="20.100000000000001" customHeight="1" x14ac:dyDescent="0.25">
      <c r="A261" s="89">
        <v>79</v>
      </c>
      <c r="B261" s="4">
        <v>42430</v>
      </c>
      <c r="C261" s="26" t="s">
        <v>16</v>
      </c>
      <c r="D261" s="3">
        <v>3065.36</v>
      </c>
      <c r="E261" s="4">
        <v>42430</v>
      </c>
      <c r="F261" s="92" t="s">
        <v>28</v>
      </c>
      <c r="G261" s="32">
        <v>42431</v>
      </c>
      <c r="H261" s="45">
        <f t="shared" si="16"/>
        <v>3065.36</v>
      </c>
      <c r="L261" s="45">
        <v>1390</v>
      </c>
      <c r="M261" s="29">
        <f t="shared" si="17"/>
        <v>1675.3600000000001</v>
      </c>
      <c r="O261" s="44">
        <f t="shared" si="18"/>
        <v>0.54654591956572807</v>
      </c>
    </row>
    <row r="262" spans="1:15" ht="20.100000000000001" customHeight="1" x14ac:dyDescent="0.25">
      <c r="A262" s="89">
        <v>76</v>
      </c>
      <c r="B262" s="4">
        <v>42429</v>
      </c>
      <c r="C262" s="26" t="s">
        <v>122</v>
      </c>
      <c r="D262" s="3">
        <v>32080</v>
      </c>
      <c r="E262" s="4">
        <v>42431</v>
      </c>
      <c r="F262" s="92" t="s">
        <v>28</v>
      </c>
      <c r="G262" s="32">
        <v>42457</v>
      </c>
      <c r="H262" s="45">
        <f t="shared" si="16"/>
        <v>32080</v>
      </c>
      <c r="L262" s="45">
        <f>21308+1278</f>
        <v>22586</v>
      </c>
      <c r="M262" s="29">
        <f t="shared" si="17"/>
        <v>9494</v>
      </c>
      <c r="O262" s="44">
        <f t="shared" si="18"/>
        <v>0.29594763092269327</v>
      </c>
    </row>
    <row r="263" spans="1:15" ht="20.100000000000001" customHeight="1" x14ac:dyDescent="0.25">
      <c r="A263" s="89">
        <v>50</v>
      </c>
      <c r="B263" s="4">
        <v>42411</v>
      </c>
      <c r="C263" s="26" t="s">
        <v>13</v>
      </c>
      <c r="D263" s="3">
        <v>11831.82</v>
      </c>
      <c r="E263" s="4">
        <v>42450</v>
      </c>
      <c r="F263" s="92" t="s">
        <v>28</v>
      </c>
      <c r="G263" s="32">
        <v>42432</v>
      </c>
      <c r="H263" s="45">
        <f t="shared" si="16"/>
        <v>11831.82</v>
      </c>
      <c r="L263" s="45">
        <v>7100</v>
      </c>
      <c r="M263" s="29">
        <f t="shared" si="17"/>
        <v>4731.82</v>
      </c>
      <c r="O263" s="44">
        <f t="shared" si="18"/>
        <v>0.39992325779127808</v>
      </c>
    </row>
    <row r="264" spans="1:15" ht="20.100000000000001" customHeight="1" x14ac:dyDescent="0.25">
      <c r="A264" s="89">
        <v>94</v>
      </c>
      <c r="B264" s="4">
        <v>42438</v>
      </c>
      <c r="C264" s="26" t="s">
        <v>40</v>
      </c>
      <c r="D264" s="3">
        <v>5198.91</v>
      </c>
      <c r="E264" s="4">
        <v>42444</v>
      </c>
      <c r="F264" s="92" t="s">
        <v>28</v>
      </c>
      <c r="G264" s="32">
        <v>42438</v>
      </c>
      <c r="H264" s="45">
        <f t="shared" si="16"/>
        <v>5198.91</v>
      </c>
      <c r="L264" s="45">
        <v>3330</v>
      </c>
      <c r="M264" s="29">
        <f t="shared" si="17"/>
        <v>1868.9099999999999</v>
      </c>
      <c r="O264" s="44">
        <f t="shared" si="18"/>
        <v>0.35948112200442012</v>
      </c>
    </row>
    <row r="265" spans="1:15" ht="20.100000000000001" customHeight="1" x14ac:dyDescent="0.25">
      <c r="A265" s="89">
        <v>33</v>
      </c>
      <c r="B265" s="4">
        <v>42401</v>
      </c>
      <c r="C265" s="26" t="s">
        <v>72</v>
      </c>
      <c r="D265" s="3">
        <v>5439.84</v>
      </c>
      <c r="E265" s="4">
        <v>42438</v>
      </c>
      <c r="F265" s="92" t="s">
        <v>28</v>
      </c>
      <c r="G265" s="32">
        <v>42443</v>
      </c>
      <c r="H265" s="45">
        <f t="shared" si="16"/>
        <v>5439.84</v>
      </c>
      <c r="L265" s="45">
        <v>3486</v>
      </c>
      <c r="M265" s="29">
        <f t="shared" si="17"/>
        <v>1953.8400000000001</v>
      </c>
      <c r="O265" s="44">
        <f t="shared" si="18"/>
        <v>0.35917232859789994</v>
      </c>
    </row>
    <row r="266" spans="1:15" ht="20.100000000000001" customHeight="1" x14ac:dyDescent="0.25">
      <c r="A266" s="89">
        <v>93</v>
      </c>
      <c r="B266" s="4">
        <v>42438</v>
      </c>
      <c r="C266" s="5" t="s">
        <v>125</v>
      </c>
      <c r="D266" s="3">
        <v>27187.55</v>
      </c>
      <c r="E266" s="4">
        <v>42439</v>
      </c>
      <c r="F266" s="92" t="s">
        <v>28</v>
      </c>
      <c r="G266" s="32">
        <v>42457</v>
      </c>
      <c r="H266" s="45">
        <f t="shared" si="16"/>
        <v>27187.55</v>
      </c>
      <c r="I266" s="45">
        <f>H266</f>
        <v>27187.55</v>
      </c>
      <c r="J266" s="45"/>
      <c r="K266" s="45"/>
      <c r="L266" s="45">
        <v>18569</v>
      </c>
      <c r="M266" s="29">
        <f t="shared" si="17"/>
        <v>8618.5499999999993</v>
      </c>
      <c r="N266" s="38">
        <f>M266</f>
        <v>8618.5499999999993</v>
      </c>
      <c r="O266" s="44">
        <f t="shared" si="18"/>
        <v>0.31700355493599092</v>
      </c>
    </row>
    <row r="267" spans="1:15" ht="20.100000000000001" customHeight="1" x14ac:dyDescent="0.25">
      <c r="A267" s="89">
        <v>95</v>
      </c>
      <c r="B267" s="4">
        <v>42439</v>
      </c>
      <c r="C267" s="26" t="s">
        <v>101</v>
      </c>
      <c r="D267" s="3">
        <v>6482.92</v>
      </c>
      <c r="E267" s="4">
        <v>42440</v>
      </c>
      <c r="F267" s="92" t="s">
        <v>28</v>
      </c>
      <c r="G267" s="32">
        <v>42458</v>
      </c>
      <c r="H267" s="45">
        <f t="shared" si="16"/>
        <v>6482.92</v>
      </c>
      <c r="L267" s="45">
        <v>4792</v>
      </c>
      <c r="M267" s="29">
        <f t="shared" si="17"/>
        <v>1690.92</v>
      </c>
      <c r="O267" s="44">
        <f t="shared" si="18"/>
        <v>0.26082691133007968</v>
      </c>
    </row>
    <row r="268" spans="1:15" ht="20.100000000000001" customHeight="1" x14ac:dyDescent="0.25">
      <c r="A268" s="89">
        <v>87</v>
      </c>
      <c r="B268" s="4">
        <v>42432</v>
      </c>
      <c r="C268" s="26" t="s">
        <v>97</v>
      </c>
      <c r="D268" s="3">
        <v>4404.5200000000004</v>
      </c>
      <c r="E268" s="4">
        <v>42440</v>
      </c>
      <c r="F268" s="92" t="s">
        <v>28</v>
      </c>
      <c r="G268" s="32">
        <v>42444</v>
      </c>
      <c r="H268" s="45">
        <f t="shared" si="16"/>
        <v>4404.5200000000004</v>
      </c>
      <c r="I268" s="45"/>
      <c r="J268" s="45"/>
      <c r="K268" s="45"/>
      <c r="L268" s="45">
        <v>2893</v>
      </c>
      <c r="M268" s="29">
        <f t="shared" si="17"/>
        <v>1511.5200000000004</v>
      </c>
      <c r="O268" s="44">
        <f t="shared" si="18"/>
        <v>0.34317473867754039</v>
      </c>
    </row>
    <row r="269" spans="1:15" ht="20.100000000000001" customHeight="1" x14ac:dyDescent="0.25">
      <c r="A269" s="89">
        <v>89</v>
      </c>
      <c r="B269" s="4">
        <v>42433</v>
      </c>
      <c r="C269" s="26" t="s">
        <v>97</v>
      </c>
      <c r="D269" s="3">
        <v>2719.92</v>
      </c>
      <c r="E269" s="4">
        <v>42440</v>
      </c>
      <c r="F269" s="92" t="s">
        <v>28</v>
      </c>
      <c r="G269" s="32">
        <v>42444</v>
      </c>
      <c r="H269" s="45">
        <f t="shared" si="16"/>
        <v>2719.92</v>
      </c>
      <c r="I269" s="45"/>
      <c r="J269" s="45"/>
      <c r="K269" s="45"/>
      <c r="L269" s="45">
        <v>1743</v>
      </c>
      <c r="M269" s="29">
        <f t="shared" si="17"/>
        <v>976.92000000000007</v>
      </c>
      <c r="O269" s="44">
        <f t="shared" si="18"/>
        <v>0.35917232859789994</v>
      </c>
    </row>
    <row r="270" spans="1:15" ht="20.100000000000001" customHeight="1" x14ac:dyDescent="0.25">
      <c r="A270" s="89">
        <v>97</v>
      </c>
      <c r="B270" s="4">
        <v>42440</v>
      </c>
      <c r="C270" s="5" t="s">
        <v>126</v>
      </c>
      <c r="D270" s="3">
        <v>18399</v>
      </c>
      <c r="E270" s="4">
        <v>42443</v>
      </c>
      <c r="F270" s="92" t="s">
        <v>28</v>
      </c>
      <c r="G270" s="32">
        <v>42444</v>
      </c>
      <c r="H270" s="45">
        <f t="shared" si="16"/>
        <v>18399</v>
      </c>
      <c r="I270" s="45">
        <f>H270</f>
        <v>18399</v>
      </c>
      <c r="J270" s="45"/>
      <c r="K270" s="45"/>
      <c r="L270" s="45">
        <v>14876</v>
      </c>
      <c r="M270" s="29">
        <f t="shared" si="17"/>
        <v>3523</v>
      </c>
      <c r="N270" s="38">
        <f>M270</f>
        <v>3523</v>
      </c>
      <c r="O270" s="44">
        <f t="shared" si="18"/>
        <v>0.19147779770639708</v>
      </c>
    </row>
    <row r="271" spans="1:15" ht="20.100000000000001" customHeight="1" x14ac:dyDescent="0.25">
      <c r="A271" s="89">
        <v>100</v>
      </c>
      <c r="B271" s="4">
        <v>42444</v>
      </c>
      <c r="C271" s="26" t="s">
        <v>19</v>
      </c>
      <c r="D271" s="3">
        <v>17625.8</v>
      </c>
      <c r="E271" s="4">
        <v>42445</v>
      </c>
      <c r="F271" s="92" t="s">
        <v>28</v>
      </c>
      <c r="G271" s="32">
        <v>42446</v>
      </c>
      <c r="H271" s="45">
        <f t="shared" si="16"/>
        <v>17625.8</v>
      </c>
      <c r="L271" s="45">
        <v>11082</v>
      </c>
      <c r="M271" s="29">
        <f t="shared" si="17"/>
        <v>6543.7999999999993</v>
      </c>
      <c r="O271" s="44">
        <f t="shared" si="18"/>
        <v>0.37126258098923165</v>
      </c>
    </row>
    <row r="272" spans="1:15" ht="20.100000000000001" customHeight="1" x14ac:dyDescent="0.25">
      <c r="A272" s="89">
        <v>98</v>
      </c>
      <c r="B272" s="4">
        <v>42443</v>
      </c>
      <c r="C272" s="26" t="s">
        <v>16</v>
      </c>
      <c r="D272" s="3">
        <v>6000</v>
      </c>
      <c r="E272" s="4">
        <v>42445</v>
      </c>
      <c r="F272" s="92" t="s">
        <v>28</v>
      </c>
      <c r="G272" s="32">
        <v>42446</v>
      </c>
      <c r="H272" s="45">
        <f t="shared" si="16"/>
        <v>6000</v>
      </c>
      <c r="K272" s="2">
        <v>300</v>
      </c>
      <c r="L272" s="45">
        <v>2711.56</v>
      </c>
      <c r="M272" s="29">
        <f t="shared" si="17"/>
        <v>2988.44</v>
      </c>
      <c r="O272" s="44">
        <f t="shared" si="18"/>
        <v>0.49807333333333337</v>
      </c>
    </row>
    <row r="273" spans="1:15" ht="20.100000000000001" customHeight="1" x14ac:dyDescent="0.25">
      <c r="A273" s="89">
        <v>102</v>
      </c>
      <c r="B273" s="4">
        <v>42446</v>
      </c>
      <c r="C273" s="5" t="s">
        <v>127</v>
      </c>
      <c r="D273" s="3">
        <v>13108.33</v>
      </c>
      <c r="E273" s="4">
        <v>42446</v>
      </c>
      <c r="F273" s="92" t="s">
        <v>28</v>
      </c>
      <c r="G273" s="32">
        <v>42460</v>
      </c>
      <c r="H273" s="45">
        <f t="shared" si="16"/>
        <v>13108.33</v>
      </c>
      <c r="I273" s="45">
        <f>H273</f>
        <v>13108.33</v>
      </c>
      <c r="J273" s="45"/>
      <c r="K273" s="45"/>
      <c r="L273" s="45">
        <v>5909</v>
      </c>
      <c r="M273" s="29">
        <f t="shared" si="17"/>
        <v>7199.33</v>
      </c>
      <c r="N273" s="38">
        <f>M273</f>
        <v>7199.33</v>
      </c>
      <c r="O273" s="44">
        <f t="shared" si="18"/>
        <v>0.54921794004270563</v>
      </c>
    </row>
    <row r="274" spans="1:15" ht="20.100000000000001" customHeight="1" x14ac:dyDescent="0.25">
      <c r="A274" s="89">
        <v>51</v>
      </c>
      <c r="B274" s="4">
        <v>42419</v>
      </c>
      <c r="C274" s="26" t="s">
        <v>49</v>
      </c>
      <c r="D274" s="3">
        <v>15665.44</v>
      </c>
      <c r="E274" s="4">
        <v>42447</v>
      </c>
      <c r="F274" s="92" t="s">
        <v>28</v>
      </c>
      <c r="G274" s="32">
        <v>42459</v>
      </c>
      <c r="H274" s="45">
        <f t="shared" si="16"/>
        <v>15665.44</v>
      </c>
      <c r="L274" s="45">
        <v>10916</v>
      </c>
      <c r="M274" s="29">
        <f t="shared" si="17"/>
        <v>4749.4400000000005</v>
      </c>
      <c r="O274" s="44">
        <f t="shared" si="18"/>
        <v>0.30317948298930641</v>
      </c>
    </row>
    <row r="275" spans="1:15" ht="20.100000000000001" customHeight="1" x14ac:dyDescent="0.25">
      <c r="A275" s="89">
        <v>106</v>
      </c>
      <c r="B275" s="4">
        <v>42450</v>
      </c>
      <c r="C275" s="5" t="s">
        <v>128</v>
      </c>
      <c r="D275" s="3">
        <v>43290</v>
      </c>
      <c r="E275" s="4">
        <v>42450</v>
      </c>
      <c r="F275" s="92" t="s">
        <v>28</v>
      </c>
      <c r="G275" s="32">
        <v>42454</v>
      </c>
      <c r="H275" s="45">
        <f t="shared" si="16"/>
        <v>43290</v>
      </c>
      <c r="I275" s="45">
        <f>H275</f>
        <v>43290</v>
      </c>
      <c r="J275" s="45"/>
      <c r="K275" s="45"/>
      <c r="L275" s="45">
        <v>28814</v>
      </c>
      <c r="M275" s="29">
        <f t="shared" si="17"/>
        <v>14476</v>
      </c>
      <c r="N275" s="38">
        <f>M275</f>
        <v>14476</v>
      </c>
      <c r="O275" s="44">
        <f t="shared" si="18"/>
        <v>0.3343959343959344</v>
      </c>
    </row>
    <row r="276" spans="1:15" ht="20.100000000000001" customHeight="1" x14ac:dyDescent="0.25">
      <c r="A276" s="89">
        <v>108</v>
      </c>
      <c r="B276" s="4">
        <v>42450</v>
      </c>
      <c r="C276" s="26" t="s">
        <v>19</v>
      </c>
      <c r="D276" s="3">
        <v>5117.42</v>
      </c>
      <c r="E276" s="4">
        <v>42451</v>
      </c>
      <c r="F276" s="92" t="s">
        <v>28</v>
      </c>
      <c r="G276" s="32">
        <v>42452</v>
      </c>
      <c r="H276" s="45">
        <f t="shared" si="16"/>
        <v>5117.42</v>
      </c>
      <c r="L276" s="45">
        <v>3990</v>
      </c>
      <c r="M276" s="29">
        <f t="shared" si="17"/>
        <v>1127.42</v>
      </c>
      <c r="O276" s="44">
        <f t="shared" si="18"/>
        <v>0.22031023445408038</v>
      </c>
    </row>
    <row r="277" spans="1:15" ht="20.100000000000001" customHeight="1" x14ac:dyDescent="0.25">
      <c r="A277" s="89">
        <v>104</v>
      </c>
      <c r="B277" s="4">
        <v>42447</v>
      </c>
      <c r="C277" s="26" t="s">
        <v>65</v>
      </c>
      <c r="D277" s="3">
        <v>8000</v>
      </c>
      <c r="E277" s="4">
        <v>42451</v>
      </c>
      <c r="F277" s="92" t="s">
        <v>28</v>
      </c>
      <c r="G277" s="32">
        <v>42451</v>
      </c>
      <c r="H277" s="45">
        <f t="shared" si="16"/>
        <v>8000</v>
      </c>
      <c r="L277" s="45">
        <v>3778.2</v>
      </c>
      <c r="M277" s="29">
        <f t="shared" si="17"/>
        <v>4221.8</v>
      </c>
      <c r="O277" s="44">
        <f t="shared" si="18"/>
        <v>0.527725</v>
      </c>
    </row>
    <row r="278" spans="1:15" ht="20.100000000000001" customHeight="1" x14ac:dyDescent="0.25">
      <c r="A278" s="89">
        <v>85</v>
      </c>
      <c r="B278" s="4">
        <v>42432</v>
      </c>
      <c r="C278" s="26" t="s">
        <v>108</v>
      </c>
      <c r="D278" s="3">
        <v>110090</v>
      </c>
      <c r="E278" s="4">
        <v>42453</v>
      </c>
      <c r="F278" s="92" t="s">
        <v>28</v>
      </c>
      <c r="G278" s="32">
        <v>42458</v>
      </c>
      <c r="H278" s="45">
        <f t="shared" si="16"/>
        <v>110090</v>
      </c>
      <c r="L278" s="45">
        <v>83228</v>
      </c>
      <c r="M278" s="29">
        <f t="shared" si="17"/>
        <v>26862</v>
      </c>
      <c r="O278" s="44">
        <f t="shared" si="18"/>
        <v>0.2440003633390862</v>
      </c>
    </row>
    <row r="279" spans="1:15" ht="20.100000000000001" customHeight="1" x14ac:dyDescent="0.25">
      <c r="A279" s="89">
        <v>112</v>
      </c>
      <c r="B279" s="4">
        <v>42453</v>
      </c>
      <c r="C279" s="26" t="s">
        <v>43</v>
      </c>
      <c r="D279" s="3">
        <v>1433.98</v>
      </c>
      <c r="E279" s="4">
        <v>42457</v>
      </c>
      <c r="F279" s="92" t="s">
        <v>28</v>
      </c>
      <c r="G279" s="32">
        <v>42457</v>
      </c>
      <c r="H279" s="45">
        <f t="shared" si="16"/>
        <v>1433.98</v>
      </c>
      <c r="L279" s="45">
        <v>1140</v>
      </c>
      <c r="M279" s="29">
        <f t="shared" si="17"/>
        <v>293.98</v>
      </c>
      <c r="O279" s="44">
        <f t="shared" si="18"/>
        <v>0.20500983277312099</v>
      </c>
    </row>
    <row r="280" spans="1:15" ht="20.100000000000001" customHeight="1" x14ac:dyDescent="0.25">
      <c r="A280" s="89">
        <v>88</v>
      </c>
      <c r="B280" s="4">
        <v>42452</v>
      </c>
      <c r="C280" s="26" t="s">
        <v>56</v>
      </c>
      <c r="D280" s="3">
        <v>79323.59</v>
      </c>
      <c r="E280" s="4">
        <v>42460</v>
      </c>
      <c r="F280" s="92" t="s">
        <v>28</v>
      </c>
      <c r="G280" s="32">
        <v>42452</v>
      </c>
      <c r="H280" s="45">
        <f t="shared" si="16"/>
        <v>79323.59</v>
      </c>
      <c r="L280" s="45">
        <v>50516.85</v>
      </c>
      <c r="M280" s="29">
        <f t="shared" si="17"/>
        <v>28806.739999999998</v>
      </c>
      <c r="O280" s="44">
        <f t="shared" si="18"/>
        <v>0.36315476896595322</v>
      </c>
    </row>
    <row r="281" spans="1:15" ht="20.100000000000001" customHeight="1" x14ac:dyDescent="0.25">
      <c r="A281" s="89">
        <v>128</v>
      </c>
      <c r="B281" s="4">
        <v>42460</v>
      </c>
      <c r="C281" s="26" t="s">
        <v>106</v>
      </c>
      <c r="D281" s="3">
        <v>4509.96</v>
      </c>
      <c r="E281" s="4">
        <v>42460</v>
      </c>
      <c r="F281" s="92" t="s">
        <v>28</v>
      </c>
      <c r="G281" s="32">
        <v>42460</v>
      </c>
      <c r="H281" s="45">
        <f t="shared" si="16"/>
        <v>4509.96</v>
      </c>
      <c r="L281" s="45">
        <v>2631.81</v>
      </c>
      <c r="M281" s="29">
        <f t="shared" si="17"/>
        <v>1878.15</v>
      </c>
      <c r="O281" s="44">
        <f t="shared" si="18"/>
        <v>0.41644493521006842</v>
      </c>
    </row>
    <row r="282" spans="1:15" ht="20.100000000000001" customHeight="1" x14ac:dyDescent="0.25">
      <c r="A282" s="89">
        <v>22</v>
      </c>
      <c r="B282" s="4">
        <v>42394</v>
      </c>
      <c r="C282" s="26" t="s">
        <v>38</v>
      </c>
      <c r="D282" s="3">
        <v>121192.7</v>
      </c>
      <c r="E282" s="4">
        <v>42460</v>
      </c>
      <c r="F282" s="92" t="s">
        <v>28</v>
      </c>
      <c r="G282" s="32">
        <v>42429</v>
      </c>
      <c r="H282" s="45">
        <f t="shared" si="16"/>
        <v>121192.7</v>
      </c>
      <c r="J282" s="45">
        <f>D282*0.02</f>
        <v>2423.8539999999998</v>
      </c>
      <c r="L282" s="45">
        <v>78960.92</v>
      </c>
      <c r="M282" s="29">
        <f t="shared" si="17"/>
        <v>39807.925999999999</v>
      </c>
      <c r="O282" s="44">
        <f t="shared" si="18"/>
        <v>0.32846801828823025</v>
      </c>
    </row>
    <row r="283" spans="1:15" ht="20.100000000000001" customHeight="1" x14ac:dyDescent="0.25">
      <c r="A283" s="89">
        <v>23</v>
      </c>
      <c r="B283" s="4">
        <v>42394</v>
      </c>
      <c r="C283" s="26" t="s">
        <v>38</v>
      </c>
      <c r="D283" s="3">
        <v>97890.96</v>
      </c>
      <c r="E283" s="4">
        <v>42460</v>
      </c>
      <c r="F283" s="92" t="s">
        <v>28</v>
      </c>
      <c r="G283" s="32">
        <v>42429</v>
      </c>
      <c r="H283" s="45">
        <f t="shared" si="16"/>
        <v>97890.96</v>
      </c>
      <c r="J283" s="45">
        <f>D283*0.02</f>
        <v>1957.8192000000001</v>
      </c>
      <c r="L283" s="45">
        <v>61344.92</v>
      </c>
      <c r="M283" s="29">
        <f t="shared" si="17"/>
        <v>34588.22080000001</v>
      </c>
      <c r="O283" s="44">
        <f t="shared" si="18"/>
        <v>0.35333416691388059</v>
      </c>
    </row>
    <row r="284" spans="1:15" ht="20.100000000000001" customHeight="1" x14ac:dyDescent="0.25">
      <c r="A284" s="89"/>
      <c r="B284" s="4"/>
      <c r="C284" s="5"/>
      <c r="D284" s="3"/>
      <c r="E284" s="97">
        <v>55900</v>
      </c>
      <c r="F284" s="98">
        <f>M284*0.17+N284*0.06</f>
        <v>56133.060955999994</v>
      </c>
      <c r="G284" s="21">
        <f>H284*0.05+I284*0.02</f>
        <v>47209.608599999992</v>
      </c>
      <c r="H284" s="16">
        <f t="shared" ref="H284:N284" si="19">SUM(H259:H283)</f>
        <v>903398.21999999974</v>
      </c>
      <c r="I284" s="16">
        <f t="shared" si="19"/>
        <v>101984.88</v>
      </c>
      <c r="J284" s="16">
        <f t="shared" si="19"/>
        <v>34381.673199999997</v>
      </c>
      <c r="K284" s="16">
        <f t="shared" si="19"/>
        <v>3300</v>
      </c>
      <c r="L284" s="16">
        <f t="shared" si="19"/>
        <v>547457.43999999994</v>
      </c>
      <c r="M284" s="16">
        <f t="shared" si="19"/>
        <v>318259.10679999995</v>
      </c>
      <c r="N284" s="16">
        <f t="shared" si="19"/>
        <v>33816.879999999997</v>
      </c>
      <c r="O284" s="44">
        <f t="shared" si="18"/>
        <v>0.35229104923407978</v>
      </c>
    </row>
    <row r="285" spans="1:15" ht="20.100000000000001" customHeight="1" x14ac:dyDescent="0.35">
      <c r="C285" s="94" t="s">
        <v>638</v>
      </c>
    </row>
    <row r="286" spans="1:15" ht="20.100000000000001" customHeight="1" x14ac:dyDescent="0.25">
      <c r="A286" s="89">
        <v>107</v>
      </c>
      <c r="B286" s="4">
        <v>42450</v>
      </c>
      <c r="C286" s="26" t="s">
        <v>60</v>
      </c>
      <c r="D286" s="3">
        <v>14835.91</v>
      </c>
      <c r="E286" s="4">
        <v>42475</v>
      </c>
      <c r="F286" s="92" t="s">
        <v>28</v>
      </c>
      <c r="G286" s="32">
        <v>42460</v>
      </c>
      <c r="H286" s="45">
        <f t="shared" ref="H286:H319" si="20">D286</f>
        <v>14835.91</v>
      </c>
      <c r="L286" s="45">
        <v>10365</v>
      </c>
      <c r="M286" s="29">
        <f t="shared" ref="M286:M319" si="21">H286-L286-J286-K286</f>
        <v>4470.91</v>
      </c>
      <c r="O286" s="44">
        <f t="shared" ref="O286:O320" si="22">M286/H286</f>
        <v>0.30135731478554401</v>
      </c>
    </row>
    <row r="287" spans="1:15" ht="20.100000000000001" customHeight="1" x14ac:dyDescent="0.25">
      <c r="A287" s="89">
        <v>127</v>
      </c>
      <c r="B287" s="4">
        <v>42459</v>
      </c>
      <c r="C287" s="26" t="s">
        <v>56</v>
      </c>
      <c r="D287" s="3">
        <v>85251.28</v>
      </c>
      <c r="E287" s="4">
        <v>42480</v>
      </c>
      <c r="F287" s="92" t="s">
        <v>28</v>
      </c>
      <c r="G287" s="32">
        <v>42460</v>
      </c>
      <c r="H287" s="45">
        <f t="shared" si="20"/>
        <v>85251.28</v>
      </c>
      <c r="K287" s="2">
        <v>2400</v>
      </c>
      <c r="L287" s="45">
        <v>43754.37</v>
      </c>
      <c r="M287" s="29">
        <f t="shared" si="21"/>
        <v>39096.909999999996</v>
      </c>
      <c r="O287" s="44">
        <f t="shared" si="22"/>
        <v>0.4586078942157818</v>
      </c>
    </row>
    <row r="288" spans="1:15" ht="20.100000000000001" customHeight="1" x14ac:dyDescent="0.25">
      <c r="A288" s="89">
        <v>24</v>
      </c>
      <c r="B288" s="4">
        <v>42394</v>
      </c>
      <c r="C288" s="26" t="s">
        <v>38</v>
      </c>
      <c r="D288" s="3">
        <v>13724.5</v>
      </c>
      <c r="E288" s="4">
        <v>42486</v>
      </c>
      <c r="F288" s="92" t="s">
        <v>28</v>
      </c>
      <c r="G288" s="32">
        <v>42429</v>
      </c>
      <c r="H288" s="45">
        <f t="shared" si="20"/>
        <v>13724.5</v>
      </c>
      <c r="J288" s="45">
        <f>D288*0.02</f>
        <v>274.49</v>
      </c>
      <c r="L288" s="45">
        <v>9710</v>
      </c>
      <c r="M288" s="29">
        <f t="shared" si="21"/>
        <v>3740.01</v>
      </c>
      <c r="O288" s="44">
        <f t="shared" si="22"/>
        <v>0.27250610222594629</v>
      </c>
    </row>
    <row r="289" spans="1:15" ht="20.100000000000001" customHeight="1" x14ac:dyDescent="0.25">
      <c r="A289" s="89">
        <v>25</v>
      </c>
      <c r="B289" s="4">
        <v>42394</v>
      </c>
      <c r="C289" s="26" t="s">
        <v>38</v>
      </c>
      <c r="D289" s="3">
        <v>142294.54</v>
      </c>
      <c r="E289" s="4">
        <v>42486</v>
      </c>
      <c r="F289" s="92" t="s">
        <v>28</v>
      </c>
      <c r="G289" s="32">
        <v>42429</v>
      </c>
      <c r="H289" s="45">
        <f t="shared" si="20"/>
        <v>142294.54</v>
      </c>
      <c r="J289" s="45">
        <f>D289*0.02</f>
        <v>2845.8908000000001</v>
      </c>
      <c r="K289" s="2">
        <v>1200</v>
      </c>
      <c r="L289" s="45">
        <v>82212.84</v>
      </c>
      <c r="M289" s="29">
        <f t="shared" si="21"/>
        <v>56035.809200000011</v>
      </c>
      <c r="O289" s="44">
        <f t="shared" si="22"/>
        <v>0.39380154150679292</v>
      </c>
    </row>
    <row r="290" spans="1:15" ht="20.100000000000001" customHeight="1" x14ac:dyDescent="0.25">
      <c r="A290" s="89">
        <v>26</v>
      </c>
      <c r="B290" s="4">
        <v>42394</v>
      </c>
      <c r="C290" s="26" t="s">
        <v>38</v>
      </c>
      <c r="D290" s="3">
        <v>142294.54999999999</v>
      </c>
      <c r="E290" s="4">
        <v>42486</v>
      </c>
      <c r="F290" s="92" t="s">
        <v>28</v>
      </c>
      <c r="G290" s="32">
        <v>42429</v>
      </c>
      <c r="H290" s="45">
        <f t="shared" si="20"/>
        <v>142294.54999999999</v>
      </c>
      <c r="J290" s="45">
        <f>D290*0.02</f>
        <v>2845.8909999999996</v>
      </c>
      <c r="K290" s="2">
        <v>1200</v>
      </c>
      <c r="L290" s="45">
        <v>82212.84</v>
      </c>
      <c r="M290" s="29">
        <f t="shared" si="21"/>
        <v>56035.818999999989</v>
      </c>
      <c r="O290" s="44">
        <f t="shared" si="22"/>
        <v>0.39380158270292148</v>
      </c>
    </row>
    <row r="291" spans="1:15" ht="20.100000000000001" customHeight="1" x14ac:dyDescent="0.25">
      <c r="A291" s="89">
        <v>129</v>
      </c>
      <c r="B291" s="4">
        <v>42460</v>
      </c>
      <c r="C291" s="5" t="s">
        <v>135</v>
      </c>
      <c r="D291" s="3">
        <v>47199</v>
      </c>
      <c r="E291" s="4">
        <v>42461</v>
      </c>
      <c r="F291" s="92" t="s">
        <v>28</v>
      </c>
      <c r="G291" s="32">
        <v>42461</v>
      </c>
      <c r="H291" s="45">
        <f t="shared" si="20"/>
        <v>47199</v>
      </c>
      <c r="I291" s="45">
        <f>H291</f>
        <v>47199</v>
      </c>
      <c r="J291" s="45"/>
      <c r="K291" s="45"/>
      <c r="L291" s="45">
        <v>33644</v>
      </c>
      <c r="M291" s="29">
        <f t="shared" si="21"/>
        <v>13555</v>
      </c>
      <c r="N291" s="38">
        <f>M291</f>
        <v>13555</v>
      </c>
      <c r="O291" s="44">
        <f t="shared" si="22"/>
        <v>0.28718828788745526</v>
      </c>
    </row>
    <row r="292" spans="1:15" ht="20.100000000000001" customHeight="1" x14ac:dyDescent="0.25">
      <c r="A292" s="89">
        <v>130</v>
      </c>
      <c r="B292" s="4">
        <v>42460</v>
      </c>
      <c r="C292" s="5" t="s">
        <v>135</v>
      </c>
      <c r="D292" s="3">
        <v>9224.4500000000007</v>
      </c>
      <c r="E292" s="4">
        <v>42461</v>
      </c>
      <c r="F292" s="92" t="s">
        <v>28</v>
      </c>
      <c r="G292" s="32">
        <v>42461</v>
      </c>
      <c r="H292" s="45">
        <f t="shared" si="20"/>
        <v>9224.4500000000007</v>
      </c>
      <c r="I292" s="45">
        <f>H292</f>
        <v>9224.4500000000007</v>
      </c>
      <c r="J292" s="45"/>
      <c r="K292" s="45"/>
      <c r="L292" s="45">
        <v>5270.52</v>
      </c>
      <c r="M292" s="29">
        <f t="shared" si="21"/>
        <v>3953.9300000000003</v>
      </c>
      <c r="N292" s="38">
        <f>M292</f>
        <v>3953.9300000000003</v>
      </c>
      <c r="O292" s="44">
        <f t="shared" si="22"/>
        <v>0.42863585362812961</v>
      </c>
    </row>
    <row r="293" spans="1:15" ht="20.100000000000001" customHeight="1" x14ac:dyDescent="0.25">
      <c r="A293" s="89">
        <v>131</v>
      </c>
      <c r="B293" s="4">
        <v>42464</v>
      </c>
      <c r="C293" s="26" t="s">
        <v>69</v>
      </c>
      <c r="D293" s="3">
        <v>64589</v>
      </c>
      <c r="E293" s="4">
        <v>42495</v>
      </c>
      <c r="F293" s="92" t="s">
        <v>28</v>
      </c>
      <c r="G293" s="32">
        <v>42495</v>
      </c>
      <c r="H293" s="45">
        <f t="shared" si="20"/>
        <v>64589</v>
      </c>
      <c r="L293" s="45">
        <v>34400</v>
      </c>
      <c r="M293" s="29">
        <f t="shared" si="21"/>
        <v>30189</v>
      </c>
      <c r="O293" s="44">
        <f t="shared" si="22"/>
        <v>0.46740156992676773</v>
      </c>
    </row>
    <row r="294" spans="1:15" ht="20.100000000000001" customHeight="1" x14ac:dyDescent="0.25">
      <c r="A294" s="89">
        <v>142</v>
      </c>
      <c r="B294" s="4">
        <v>42468</v>
      </c>
      <c r="C294" s="26" t="s">
        <v>91</v>
      </c>
      <c r="D294" s="3">
        <v>5174.4799999999996</v>
      </c>
      <c r="E294" s="4">
        <v>42468</v>
      </c>
      <c r="F294" s="92" t="s">
        <v>28</v>
      </c>
      <c r="G294" s="32">
        <v>42472</v>
      </c>
      <c r="H294" s="45">
        <f t="shared" si="20"/>
        <v>5174.4799999999996</v>
      </c>
      <c r="L294" s="45">
        <v>3486</v>
      </c>
      <c r="M294" s="29">
        <f t="shared" si="21"/>
        <v>1688.4799999999996</v>
      </c>
      <c r="O294" s="44">
        <f t="shared" si="22"/>
        <v>0.32630911705137516</v>
      </c>
    </row>
    <row r="295" spans="1:15" ht="20.100000000000001" customHeight="1" x14ac:dyDescent="0.25">
      <c r="A295" s="89">
        <v>137</v>
      </c>
      <c r="B295" s="4">
        <v>42466</v>
      </c>
      <c r="C295" s="5" t="s">
        <v>136</v>
      </c>
      <c r="D295" s="3">
        <v>22668</v>
      </c>
      <c r="E295" s="4">
        <v>42468</v>
      </c>
      <c r="F295" s="92" t="s">
        <v>28</v>
      </c>
      <c r="G295" s="32">
        <v>42471</v>
      </c>
      <c r="H295" s="45">
        <f t="shared" si="20"/>
        <v>22668</v>
      </c>
      <c r="I295" s="45">
        <f>H295</f>
        <v>22668</v>
      </c>
      <c r="J295" s="45"/>
      <c r="K295" s="45"/>
      <c r="L295" s="45">
        <v>17875</v>
      </c>
      <c r="M295" s="29">
        <f t="shared" si="21"/>
        <v>4793</v>
      </c>
      <c r="N295" s="38">
        <f>M295</f>
        <v>4793</v>
      </c>
      <c r="O295" s="44">
        <f t="shared" si="22"/>
        <v>0.21144344450326452</v>
      </c>
    </row>
    <row r="296" spans="1:15" ht="20.100000000000001" customHeight="1" x14ac:dyDescent="0.25">
      <c r="A296" s="89">
        <v>117</v>
      </c>
      <c r="B296" s="4">
        <v>42457</v>
      </c>
      <c r="C296" s="26" t="s">
        <v>50</v>
      </c>
      <c r="D296" s="3">
        <v>10741.99</v>
      </c>
      <c r="E296" s="4">
        <v>42466</v>
      </c>
      <c r="F296" s="92" t="s">
        <v>28</v>
      </c>
      <c r="G296" s="32">
        <v>42474</v>
      </c>
      <c r="H296" s="45">
        <f t="shared" si="20"/>
        <v>10741.99</v>
      </c>
      <c r="L296" s="45">
        <v>7876</v>
      </c>
      <c r="M296" s="29">
        <f t="shared" si="21"/>
        <v>2865.99</v>
      </c>
      <c r="O296" s="44">
        <f t="shared" si="22"/>
        <v>0.26680251983105552</v>
      </c>
    </row>
    <row r="297" spans="1:15" ht="20.100000000000001" customHeight="1" x14ac:dyDescent="0.25">
      <c r="A297" s="89">
        <v>138</v>
      </c>
      <c r="B297" s="4">
        <v>42466</v>
      </c>
      <c r="C297" s="5" t="s">
        <v>137</v>
      </c>
      <c r="D297" s="3">
        <v>32890</v>
      </c>
      <c r="E297" s="4">
        <v>42468</v>
      </c>
      <c r="F297" s="92" t="s">
        <v>28</v>
      </c>
      <c r="G297" s="32">
        <v>42471</v>
      </c>
      <c r="H297" s="45">
        <f t="shared" si="20"/>
        <v>32890</v>
      </c>
      <c r="I297" s="45">
        <f>H297</f>
        <v>32890</v>
      </c>
      <c r="J297" s="45"/>
      <c r="K297" s="45"/>
      <c r="L297" s="45">
        <v>25556</v>
      </c>
      <c r="M297" s="29">
        <f t="shared" si="21"/>
        <v>7334</v>
      </c>
      <c r="N297" s="38">
        <f>M297</f>
        <v>7334</v>
      </c>
      <c r="O297" s="44">
        <f t="shared" si="22"/>
        <v>0.22298570994223169</v>
      </c>
    </row>
    <row r="298" spans="1:15" ht="20.100000000000001" customHeight="1" x14ac:dyDescent="0.25">
      <c r="A298" s="89">
        <v>145</v>
      </c>
      <c r="B298" s="4">
        <v>42468</v>
      </c>
      <c r="C298" s="5" t="s">
        <v>138</v>
      </c>
      <c r="D298" s="3">
        <v>30699</v>
      </c>
      <c r="E298" s="4">
        <v>42471</v>
      </c>
      <c r="F298" s="92" t="s">
        <v>28</v>
      </c>
      <c r="G298" s="32">
        <v>42496</v>
      </c>
      <c r="H298" s="45">
        <f t="shared" si="20"/>
        <v>30699</v>
      </c>
      <c r="I298" s="45">
        <f>H298</f>
        <v>30699</v>
      </c>
      <c r="J298" s="45"/>
      <c r="K298" s="45"/>
      <c r="L298" s="45">
        <v>21551</v>
      </c>
      <c r="M298" s="29">
        <f t="shared" si="21"/>
        <v>9148</v>
      </c>
      <c r="N298" s="38">
        <f>M298</f>
        <v>9148</v>
      </c>
      <c r="O298" s="44">
        <f t="shared" si="22"/>
        <v>0.29799016254601129</v>
      </c>
    </row>
    <row r="299" spans="1:15" ht="20.100000000000001" customHeight="1" x14ac:dyDescent="0.25">
      <c r="A299" s="89">
        <v>111</v>
      </c>
      <c r="B299" s="4">
        <v>42465</v>
      </c>
      <c r="C299" s="26" t="s">
        <v>139</v>
      </c>
      <c r="D299" s="3">
        <v>9890</v>
      </c>
      <c r="E299" s="4">
        <v>42471</v>
      </c>
      <c r="F299" s="92" t="s">
        <v>28</v>
      </c>
      <c r="G299" s="32">
        <v>42474</v>
      </c>
      <c r="H299" s="45">
        <f t="shared" si="20"/>
        <v>9890</v>
      </c>
      <c r="L299" s="45">
        <v>7269</v>
      </c>
      <c r="M299" s="29">
        <f t="shared" si="21"/>
        <v>2621</v>
      </c>
      <c r="O299" s="44">
        <f t="shared" si="22"/>
        <v>0.26501516683518705</v>
      </c>
    </row>
    <row r="300" spans="1:15" ht="20.100000000000001" customHeight="1" x14ac:dyDescent="0.25">
      <c r="A300" s="89">
        <v>105</v>
      </c>
      <c r="B300" s="4">
        <v>42461</v>
      </c>
      <c r="C300" s="26" t="s">
        <v>102</v>
      </c>
      <c r="D300" s="3">
        <v>95305.56</v>
      </c>
      <c r="E300" s="4">
        <v>42473</v>
      </c>
      <c r="F300" s="92" t="s">
        <v>28</v>
      </c>
      <c r="G300" s="32">
        <v>42503</v>
      </c>
      <c r="H300" s="45">
        <f t="shared" si="20"/>
        <v>95305.56</v>
      </c>
      <c r="L300" s="45">
        <f>64451+6008</f>
        <v>70459</v>
      </c>
      <c r="M300" s="29">
        <f t="shared" si="21"/>
        <v>24846.559999999998</v>
      </c>
      <c r="O300" s="44">
        <f t="shared" si="22"/>
        <v>0.26070420235713426</v>
      </c>
    </row>
    <row r="301" spans="1:15" ht="20.100000000000001" customHeight="1" x14ac:dyDescent="0.25">
      <c r="A301" s="89">
        <v>153</v>
      </c>
      <c r="B301" s="4">
        <v>42472</v>
      </c>
      <c r="C301" s="5" t="s">
        <v>140</v>
      </c>
      <c r="D301" s="3">
        <v>18078.89</v>
      </c>
      <c r="E301" s="4">
        <v>42474</v>
      </c>
      <c r="F301" s="92" t="s">
        <v>28</v>
      </c>
      <c r="G301" s="32">
        <v>42481</v>
      </c>
      <c r="H301" s="45">
        <f t="shared" si="20"/>
        <v>18078.89</v>
      </c>
      <c r="I301" s="45">
        <f>H301</f>
        <v>18078.89</v>
      </c>
      <c r="J301" s="45"/>
      <c r="K301" s="45"/>
      <c r="L301" s="45">
        <v>16045</v>
      </c>
      <c r="M301" s="29">
        <f t="shared" si="21"/>
        <v>2033.8899999999994</v>
      </c>
      <c r="N301" s="38">
        <f>M301</f>
        <v>2033.8899999999994</v>
      </c>
      <c r="O301" s="44">
        <f t="shared" si="22"/>
        <v>0.11250082278281462</v>
      </c>
    </row>
    <row r="302" spans="1:15" ht="20.100000000000001" customHeight="1" x14ac:dyDescent="0.25">
      <c r="A302" s="89">
        <v>154</v>
      </c>
      <c r="B302" s="4">
        <v>42472</v>
      </c>
      <c r="C302" s="5" t="s">
        <v>140</v>
      </c>
      <c r="D302" s="3">
        <v>8952.5400000000009</v>
      </c>
      <c r="E302" s="4">
        <v>42474</v>
      </c>
      <c r="F302" s="92" t="s">
        <v>28</v>
      </c>
      <c r="G302" s="32">
        <v>42481</v>
      </c>
      <c r="H302" s="45">
        <f t="shared" si="20"/>
        <v>8952.5400000000009</v>
      </c>
      <c r="I302" s="45">
        <f>H302</f>
        <v>8952.5400000000009</v>
      </c>
      <c r="J302" s="45"/>
      <c r="K302" s="45"/>
      <c r="L302" s="45">
        <v>6941</v>
      </c>
      <c r="M302" s="29">
        <f t="shared" si="21"/>
        <v>2011.5400000000009</v>
      </c>
      <c r="N302" s="38">
        <f>M302</f>
        <v>2011.5400000000009</v>
      </c>
      <c r="O302" s="44">
        <f t="shared" si="22"/>
        <v>0.22468930605169044</v>
      </c>
    </row>
    <row r="303" spans="1:15" ht="20.100000000000001" customHeight="1" x14ac:dyDescent="0.25">
      <c r="A303" s="89">
        <v>143</v>
      </c>
      <c r="B303" s="4">
        <v>42468</v>
      </c>
      <c r="C303" s="26" t="s">
        <v>56</v>
      </c>
      <c r="D303" s="3">
        <v>28771.63</v>
      </c>
      <c r="E303" s="4">
        <v>42486</v>
      </c>
      <c r="F303" s="92" t="s">
        <v>28</v>
      </c>
      <c r="G303" s="32">
        <v>42478</v>
      </c>
      <c r="H303" s="45">
        <f t="shared" si="20"/>
        <v>28771.63</v>
      </c>
      <c r="L303" s="45">
        <v>18068.16</v>
      </c>
      <c r="M303" s="29">
        <f t="shared" si="21"/>
        <v>10703.470000000001</v>
      </c>
      <c r="O303" s="44">
        <f t="shared" si="22"/>
        <v>0.37201472422660797</v>
      </c>
    </row>
    <row r="304" spans="1:15" ht="20.100000000000001" customHeight="1" x14ac:dyDescent="0.25">
      <c r="A304" s="89">
        <v>134</v>
      </c>
      <c r="B304" s="4">
        <v>42465</v>
      </c>
      <c r="C304" s="26" t="s">
        <v>53</v>
      </c>
      <c r="D304" s="3">
        <v>64470.33</v>
      </c>
      <c r="E304" s="4">
        <v>42475</v>
      </c>
      <c r="F304" s="92" t="s">
        <v>28</v>
      </c>
      <c r="G304" s="32">
        <v>42516</v>
      </c>
      <c r="H304" s="45">
        <f t="shared" si="20"/>
        <v>64470.33</v>
      </c>
      <c r="L304" s="45">
        <v>47668</v>
      </c>
      <c r="M304" s="29">
        <f t="shared" si="21"/>
        <v>16802.330000000002</v>
      </c>
      <c r="O304" s="44">
        <f t="shared" si="22"/>
        <v>0.26062112602805043</v>
      </c>
    </row>
    <row r="305" spans="1:15" ht="20.100000000000001" customHeight="1" x14ac:dyDescent="0.25">
      <c r="A305" s="89">
        <v>144</v>
      </c>
      <c r="B305" s="4">
        <v>42474</v>
      </c>
      <c r="C305" s="26" t="s">
        <v>60</v>
      </c>
      <c r="D305" s="3">
        <v>2127.96</v>
      </c>
      <c r="E305" s="4">
        <v>42482</v>
      </c>
      <c r="F305" s="92" t="s">
        <v>28</v>
      </c>
      <c r="G305" s="32">
        <v>42479</v>
      </c>
      <c r="H305" s="45">
        <f t="shared" si="20"/>
        <v>2127.96</v>
      </c>
      <c r="L305" s="45">
        <v>1608</v>
      </c>
      <c r="M305" s="29">
        <f t="shared" si="21"/>
        <v>519.96</v>
      </c>
      <c r="O305" s="44">
        <f t="shared" si="22"/>
        <v>0.24434669824620764</v>
      </c>
    </row>
    <row r="306" spans="1:15" ht="20.100000000000001" customHeight="1" x14ac:dyDescent="0.25">
      <c r="A306" s="89">
        <v>158</v>
      </c>
      <c r="B306" s="4">
        <v>42478</v>
      </c>
      <c r="C306" s="5" t="s">
        <v>141</v>
      </c>
      <c r="D306" s="3">
        <v>4130.76</v>
      </c>
      <c r="E306" s="4">
        <v>42478</v>
      </c>
      <c r="F306" s="92" t="s">
        <v>28</v>
      </c>
      <c r="G306" s="32">
        <v>42482</v>
      </c>
      <c r="H306" s="45">
        <f t="shared" si="20"/>
        <v>4130.76</v>
      </c>
      <c r="I306" s="45">
        <f>H306</f>
        <v>4130.76</v>
      </c>
      <c r="J306" s="45"/>
      <c r="K306" s="45"/>
      <c r="L306" s="45">
        <v>3114</v>
      </c>
      <c r="M306" s="29">
        <f t="shared" si="21"/>
        <v>1016.7600000000002</v>
      </c>
      <c r="N306" s="38">
        <f>M306</f>
        <v>1016.7600000000002</v>
      </c>
      <c r="O306" s="44">
        <f t="shared" si="22"/>
        <v>0.24614356680126664</v>
      </c>
    </row>
    <row r="307" spans="1:15" ht="20.100000000000001" customHeight="1" x14ac:dyDescent="0.25">
      <c r="A307" s="89">
        <v>164</v>
      </c>
      <c r="B307" s="4">
        <v>42480</v>
      </c>
      <c r="C307" s="26" t="s">
        <v>40</v>
      </c>
      <c r="D307" s="3">
        <v>31590</v>
      </c>
      <c r="E307" s="4">
        <v>42481</v>
      </c>
      <c r="F307" s="92" t="s">
        <v>28</v>
      </c>
      <c r="G307" s="32">
        <v>42480</v>
      </c>
      <c r="H307" s="45">
        <f t="shared" si="20"/>
        <v>31590</v>
      </c>
      <c r="L307" s="45">
        <v>25556</v>
      </c>
      <c r="M307" s="29">
        <f t="shared" si="21"/>
        <v>6034</v>
      </c>
      <c r="O307" s="44">
        <f t="shared" si="22"/>
        <v>0.19100981323203545</v>
      </c>
    </row>
    <row r="308" spans="1:15" ht="20.100000000000001" customHeight="1" x14ac:dyDescent="0.25">
      <c r="A308" s="89">
        <v>161</v>
      </c>
      <c r="B308" s="4">
        <v>42479</v>
      </c>
      <c r="C308" s="26" t="s">
        <v>34</v>
      </c>
      <c r="D308" s="3">
        <v>1950.13</v>
      </c>
      <c r="E308" s="4">
        <v>42480</v>
      </c>
      <c r="F308" s="92" t="s">
        <v>28</v>
      </c>
      <c r="G308" s="32">
        <v>42485</v>
      </c>
      <c r="H308" s="45">
        <f t="shared" si="20"/>
        <v>1950.13</v>
      </c>
      <c r="L308" s="45">
        <v>1866</v>
      </c>
      <c r="M308" s="29">
        <f t="shared" si="21"/>
        <v>84.130000000000109</v>
      </c>
      <c r="O308" s="44">
        <f t="shared" si="22"/>
        <v>4.3140713696010066E-2</v>
      </c>
    </row>
    <row r="309" spans="1:15" ht="20.100000000000001" customHeight="1" x14ac:dyDescent="0.25">
      <c r="A309" s="89">
        <v>20</v>
      </c>
      <c r="B309" s="4">
        <v>42451</v>
      </c>
      <c r="C309" s="26" t="s">
        <v>13</v>
      </c>
      <c r="D309" s="3">
        <v>5174.4799999999996</v>
      </c>
      <c r="E309" s="4">
        <v>42480</v>
      </c>
      <c r="F309" s="92" t="s">
        <v>28</v>
      </c>
      <c r="G309" s="32">
        <v>42453</v>
      </c>
      <c r="H309" s="45">
        <f t="shared" si="20"/>
        <v>5174.4799999999996</v>
      </c>
      <c r="L309" s="45">
        <v>3486</v>
      </c>
      <c r="M309" s="29">
        <f t="shared" si="21"/>
        <v>1688.4799999999996</v>
      </c>
      <c r="O309" s="44">
        <f t="shared" si="22"/>
        <v>0.32630911705137516</v>
      </c>
    </row>
    <row r="310" spans="1:15" ht="20.100000000000001" customHeight="1" x14ac:dyDescent="0.25">
      <c r="A310" s="89">
        <v>156</v>
      </c>
      <c r="B310" s="4">
        <v>42474</v>
      </c>
      <c r="C310" s="26" t="s">
        <v>89</v>
      </c>
      <c r="D310" s="3">
        <v>9701.02</v>
      </c>
      <c r="E310" s="4">
        <v>42480</v>
      </c>
      <c r="F310" s="92" t="s">
        <v>28</v>
      </c>
      <c r="G310" s="32">
        <v>42481</v>
      </c>
      <c r="H310" s="45">
        <f t="shared" si="20"/>
        <v>9701.02</v>
      </c>
      <c r="L310" s="45">
        <v>7334</v>
      </c>
      <c r="M310" s="29">
        <f t="shared" si="21"/>
        <v>2367.0200000000004</v>
      </c>
      <c r="O310" s="44">
        <f t="shared" si="22"/>
        <v>0.24399702299345846</v>
      </c>
    </row>
    <row r="311" spans="1:15" ht="20.100000000000001" customHeight="1" x14ac:dyDescent="0.25">
      <c r="A311" s="89">
        <v>152</v>
      </c>
      <c r="B311" s="4">
        <v>42471</v>
      </c>
      <c r="C311" s="26" t="s">
        <v>33</v>
      </c>
      <c r="D311" s="3">
        <v>1568.36</v>
      </c>
      <c r="E311" s="4">
        <v>42481</v>
      </c>
      <c r="F311" s="92" t="s">
        <v>28</v>
      </c>
      <c r="G311" s="32">
        <v>42495</v>
      </c>
      <c r="H311" s="45">
        <f t="shared" si="20"/>
        <v>1568.36</v>
      </c>
      <c r="L311" s="45">
        <v>941</v>
      </c>
      <c r="M311" s="29">
        <f t="shared" si="21"/>
        <v>627.3599999999999</v>
      </c>
      <c r="O311" s="44">
        <f t="shared" si="22"/>
        <v>0.40001020173939655</v>
      </c>
    </row>
    <row r="312" spans="1:15" ht="20.100000000000001" customHeight="1" x14ac:dyDescent="0.25">
      <c r="A312" s="89">
        <v>170</v>
      </c>
      <c r="B312" s="4">
        <v>42485</v>
      </c>
      <c r="C312" s="5" t="s">
        <v>143</v>
      </c>
      <c r="D312" s="3">
        <v>9490</v>
      </c>
      <c r="E312" s="4">
        <v>42485</v>
      </c>
      <c r="F312" s="92" t="s">
        <v>28</v>
      </c>
      <c r="G312" s="32">
        <v>42485</v>
      </c>
      <c r="H312" s="45">
        <f t="shared" si="20"/>
        <v>9490</v>
      </c>
      <c r="I312" s="45">
        <f>H312</f>
        <v>9490</v>
      </c>
      <c r="J312" s="45"/>
      <c r="K312" s="45"/>
      <c r="L312" s="45">
        <v>8036</v>
      </c>
      <c r="M312" s="29">
        <f t="shared" si="21"/>
        <v>1454</v>
      </c>
      <c r="N312" s="38">
        <f>M312</f>
        <v>1454</v>
      </c>
      <c r="O312" s="44">
        <f t="shared" si="22"/>
        <v>0.15321390937829293</v>
      </c>
    </row>
    <row r="313" spans="1:15" ht="20.100000000000001" customHeight="1" x14ac:dyDescent="0.25">
      <c r="A313" s="89">
        <v>169</v>
      </c>
      <c r="B313" s="4">
        <v>42482</v>
      </c>
      <c r="C313" s="26" t="s">
        <v>144</v>
      </c>
      <c r="D313" s="3">
        <v>10900.87</v>
      </c>
      <c r="E313" s="4">
        <v>42485</v>
      </c>
      <c r="F313" s="92" t="s">
        <v>28</v>
      </c>
      <c r="G313" s="32">
        <v>42523</v>
      </c>
      <c r="H313" s="45">
        <f t="shared" si="20"/>
        <v>10900.87</v>
      </c>
      <c r="L313" s="45">
        <f>4886+2174</f>
        <v>7060</v>
      </c>
      <c r="M313" s="29">
        <f t="shared" si="21"/>
        <v>3840.8700000000008</v>
      </c>
      <c r="O313" s="44">
        <f t="shared" si="22"/>
        <v>0.35234527152419948</v>
      </c>
    </row>
    <row r="314" spans="1:15" ht="20.100000000000001" customHeight="1" x14ac:dyDescent="0.25">
      <c r="A314" s="89">
        <v>175</v>
      </c>
      <c r="B314" s="4">
        <v>42487</v>
      </c>
      <c r="C314" s="26" t="s">
        <v>34</v>
      </c>
      <c r="D314" s="3">
        <v>7290</v>
      </c>
      <c r="E314" s="4">
        <v>42487</v>
      </c>
      <c r="F314" s="92" t="s">
        <v>28</v>
      </c>
      <c r="G314" s="32">
        <v>42489</v>
      </c>
      <c r="H314" s="45">
        <f t="shared" si="20"/>
        <v>7290</v>
      </c>
      <c r="L314" s="45">
        <v>5897</v>
      </c>
      <c r="M314" s="29">
        <f t="shared" si="21"/>
        <v>1393</v>
      </c>
      <c r="O314" s="44">
        <f t="shared" si="22"/>
        <v>0.19108367626886144</v>
      </c>
    </row>
    <row r="315" spans="1:15" ht="19.5" customHeight="1" x14ac:dyDescent="0.25">
      <c r="A315" s="89">
        <v>159</v>
      </c>
      <c r="B315" s="4">
        <v>42478</v>
      </c>
      <c r="C315" s="5" t="s">
        <v>145</v>
      </c>
      <c r="D315" s="3">
        <v>32890</v>
      </c>
      <c r="E315" s="4">
        <v>42487</v>
      </c>
      <c r="F315" s="92" t="s">
        <v>28</v>
      </c>
      <c r="G315" s="32">
        <v>42488</v>
      </c>
      <c r="H315" s="45">
        <f t="shared" si="20"/>
        <v>32890</v>
      </c>
      <c r="I315" s="45">
        <f>H315</f>
        <v>32890</v>
      </c>
      <c r="J315" s="45"/>
      <c r="K315" s="45"/>
      <c r="L315" s="45">
        <v>25556</v>
      </c>
      <c r="M315" s="29">
        <f t="shared" si="21"/>
        <v>7334</v>
      </c>
      <c r="N315" s="38">
        <f>M315</f>
        <v>7334</v>
      </c>
      <c r="O315" s="44">
        <f t="shared" si="22"/>
        <v>0.22298570994223169</v>
      </c>
    </row>
    <row r="316" spans="1:15" ht="20.100000000000001" customHeight="1" x14ac:dyDescent="0.25">
      <c r="A316" s="89">
        <v>176</v>
      </c>
      <c r="B316" s="4">
        <v>42488</v>
      </c>
      <c r="C316" s="26" t="s">
        <v>42</v>
      </c>
      <c r="D316" s="3">
        <v>28257.17</v>
      </c>
      <c r="E316" s="4">
        <v>42489</v>
      </c>
      <c r="F316" s="92" t="s">
        <v>28</v>
      </c>
      <c r="G316" s="32">
        <v>42510</v>
      </c>
      <c r="H316" s="45">
        <f t="shared" si="20"/>
        <v>28257.17</v>
      </c>
      <c r="L316" s="45">
        <v>22180</v>
      </c>
      <c r="M316" s="29">
        <f t="shared" si="21"/>
        <v>6077.1699999999983</v>
      </c>
      <c r="O316" s="44">
        <f t="shared" si="22"/>
        <v>0.21506647693311109</v>
      </c>
    </row>
    <row r="317" spans="1:15" ht="20.100000000000001" customHeight="1" x14ac:dyDescent="0.25">
      <c r="A317" s="89">
        <v>177</v>
      </c>
      <c r="B317" s="4">
        <v>42488</v>
      </c>
      <c r="C317" s="26" t="s">
        <v>118</v>
      </c>
      <c r="D317" s="3">
        <v>9490</v>
      </c>
      <c r="E317" s="4">
        <v>42488</v>
      </c>
      <c r="F317" s="92" t="s">
        <v>28</v>
      </c>
      <c r="G317" s="32">
        <v>42489</v>
      </c>
      <c r="H317" s="45">
        <f t="shared" si="20"/>
        <v>9490</v>
      </c>
      <c r="L317" s="45">
        <v>8036</v>
      </c>
      <c r="M317" s="29">
        <f t="shared" si="21"/>
        <v>1454</v>
      </c>
      <c r="O317" s="44">
        <f t="shared" si="22"/>
        <v>0.15321390937829293</v>
      </c>
    </row>
    <row r="318" spans="1:15" ht="20.100000000000001" customHeight="1" x14ac:dyDescent="0.25">
      <c r="A318" s="89">
        <v>179</v>
      </c>
      <c r="B318" s="4">
        <v>42489</v>
      </c>
      <c r="C318" s="5" t="s">
        <v>145</v>
      </c>
      <c r="D318" s="3">
        <v>7637.56</v>
      </c>
      <c r="E318" s="4">
        <v>42489</v>
      </c>
      <c r="F318" s="92" t="s">
        <v>28</v>
      </c>
      <c r="G318" s="32">
        <v>42508</v>
      </c>
      <c r="H318" s="45">
        <f t="shared" si="20"/>
        <v>7637.56</v>
      </c>
      <c r="I318" s="45">
        <f>H318</f>
        <v>7637.56</v>
      </c>
      <c r="J318" s="45"/>
      <c r="K318" s="45"/>
      <c r="L318" s="45">
        <v>5775</v>
      </c>
      <c r="M318" s="29">
        <f t="shared" si="21"/>
        <v>1862.5600000000004</v>
      </c>
      <c r="N318" s="38">
        <f>M318</f>
        <v>1862.5600000000004</v>
      </c>
      <c r="O318" s="44">
        <f t="shared" si="22"/>
        <v>0.24386846060783815</v>
      </c>
    </row>
    <row r="319" spans="1:15" ht="20.100000000000001" customHeight="1" x14ac:dyDescent="0.25">
      <c r="A319" s="89">
        <v>173</v>
      </c>
      <c r="B319" s="4">
        <v>42486</v>
      </c>
      <c r="C319" s="5" t="s">
        <v>146</v>
      </c>
      <c r="D319" s="3">
        <v>5040.08</v>
      </c>
      <c r="E319" s="4">
        <v>42489</v>
      </c>
      <c r="F319" s="92" t="s">
        <v>28</v>
      </c>
      <c r="G319" s="32">
        <v>42496</v>
      </c>
      <c r="H319" s="45">
        <f t="shared" si="20"/>
        <v>5040.08</v>
      </c>
      <c r="I319" s="45">
        <f>H319</f>
        <v>5040.08</v>
      </c>
      <c r="J319" s="45"/>
      <c r="K319" s="45"/>
      <c r="L319" s="45">
        <v>3962</v>
      </c>
      <c r="M319" s="29">
        <f t="shared" si="21"/>
        <v>1078.08</v>
      </c>
      <c r="N319" s="38">
        <f>M319</f>
        <v>1078.08</v>
      </c>
      <c r="O319" s="44">
        <f t="shared" si="22"/>
        <v>0.21390136664497389</v>
      </c>
    </row>
    <row r="320" spans="1:15" ht="20.100000000000001" customHeight="1" x14ac:dyDescent="0.25">
      <c r="A320" s="89"/>
      <c r="B320" s="4"/>
      <c r="C320" s="5"/>
      <c r="D320" s="3"/>
      <c r="E320" s="97">
        <v>65000</v>
      </c>
      <c r="F320" s="98">
        <f>M320*0.17+N320*0.06</f>
        <v>59223.182094000003</v>
      </c>
      <c r="G320" s="21">
        <f>H320*0.05+I320*0.02</f>
        <v>55292.707600000009</v>
      </c>
      <c r="H320" s="16">
        <f t="shared" ref="H320:N320" si="23">SUM(H286:H319)</f>
        <v>1014294.04</v>
      </c>
      <c r="I320" s="16">
        <f t="shared" si="23"/>
        <v>228900.28000000003</v>
      </c>
      <c r="J320" s="16">
        <f t="shared" si="23"/>
        <v>5966.2717999999995</v>
      </c>
      <c r="K320" s="16">
        <f t="shared" si="23"/>
        <v>4800</v>
      </c>
      <c r="L320" s="16">
        <f t="shared" si="23"/>
        <v>674770.73</v>
      </c>
      <c r="M320" s="16">
        <f t="shared" si="23"/>
        <v>328757.03820000001</v>
      </c>
      <c r="N320" s="16">
        <f t="shared" si="23"/>
        <v>55574.76</v>
      </c>
      <c r="O320" s="44">
        <f t="shared" si="22"/>
        <v>0.32412399682443171</v>
      </c>
    </row>
    <row r="321" spans="1:15" ht="23.25" x14ac:dyDescent="0.35">
      <c r="C321" s="94" t="s">
        <v>639</v>
      </c>
    </row>
    <row r="322" spans="1:15" ht="20.100000000000001" customHeight="1" x14ac:dyDescent="0.25">
      <c r="A322" s="89">
        <v>110</v>
      </c>
      <c r="B322" s="4">
        <v>42452</v>
      </c>
      <c r="C322" s="26" t="s">
        <v>99</v>
      </c>
      <c r="D322" s="3">
        <v>267240.5</v>
      </c>
      <c r="E322" s="4">
        <v>42507</v>
      </c>
      <c r="F322" s="92" t="s">
        <v>28</v>
      </c>
      <c r="G322" s="32">
        <v>42472</v>
      </c>
      <c r="H322" s="45">
        <f t="shared" ref="H322:H345" si="24">D322</f>
        <v>267240.5</v>
      </c>
      <c r="J322" s="2">
        <v>60000</v>
      </c>
      <c r="K322" s="2">
        <v>6000</v>
      </c>
      <c r="L322" s="45">
        <v>63317.94</v>
      </c>
      <c r="M322" s="29">
        <f t="shared" ref="M322:M345" si="25">H322-L322-J322-K322</f>
        <v>137922.56</v>
      </c>
      <c r="O322" s="44">
        <f t="shared" ref="O322:O346" si="26">M322/H322</f>
        <v>0.51609901942258007</v>
      </c>
    </row>
    <row r="323" spans="1:15" ht="20.100000000000001" customHeight="1" x14ac:dyDescent="0.25">
      <c r="A323" s="89">
        <v>125</v>
      </c>
      <c r="B323" s="4">
        <v>42458</v>
      </c>
      <c r="C323" s="26" t="s">
        <v>99</v>
      </c>
      <c r="D323" s="3">
        <v>153394.79999999999</v>
      </c>
      <c r="E323" s="4">
        <v>42507</v>
      </c>
      <c r="F323" s="92" t="s">
        <v>28</v>
      </c>
      <c r="G323" s="32">
        <v>42496</v>
      </c>
      <c r="H323" s="45">
        <f t="shared" si="24"/>
        <v>153394.79999999999</v>
      </c>
      <c r="L323" s="45">
        <v>112650</v>
      </c>
      <c r="M323" s="29">
        <f t="shared" si="25"/>
        <v>40744.799999999988</v>
      </c>
      <c r="O323" s="44">
        <f t="shared" si="26"/>
        <v>0.26562047735646838</v>
      </c>
    </row>
    <row r="324" spans="1:15" ht="20.100000000000001" customHeight="1" x14ac:dyDescent="0.25">
      <c r="A324" s="89">
        <v>171</v>
      </c>
      <c r="B324" s="4">
        <v>42485</v>
      </c>
      <c r="C324" s="26" t="s">
        <v>56</v>
      </c>
      <c r="D324" s="3">
        <v>44761.39</v>
      </c>
      <c r="E324" s="4">
        <v>42507</v>
      </c>
      <c r="F324" s="92" t="s">
        <v>28</v>
      </c>
      <c r="G324" s="32">
        <v>42495</v>
      </c>
      <c r="H324" s="45">
        <f t="shared" si="24"/>
        <v>44761.39</v>
      </c>
      <c r="L324" s="45">
        <v>32798</v>
      </c>
      <c r="M324" s="29">
        <f t="shared" si="25"/>
        <v>11963.39</v>
      </c>
      <c r="O324" s="44">
        <f t="shared" si="26"/>
        <v>0.26727029701267097</v>
      </c>
    </row>
    <row r="325" spans="1:15" ht="20.100000000000001" customHeight="1" x14ac:dyDescent="0.25">
      <c r="A325" s="89">
        <v>162</v>
      </c>
      <c r="B325" s="4">
        <v>42489</v>
      </c>
      <c r="C325" s="26" t="s">
        <v>114</v>
      </c>
      <c r="D325" s="3">
        <v>4154.7</v>
      </c>
      <c r="E325" s="4">
        <v>42501</v>
      </c>
      <c r="F325" s="92" t="s">
        <v>28</v>
      </c>
      <c r="G325" s="32">
        <v>42495</v>
      </c>
      <c r="H325" s="45">
        <f t="shared" si="24"/>
        <v>4154.7</v>
      </c>
      <c r="L325" s="45">
        <v>3020</v>
      </c>
      <c r="M325" s="29">
        <f t="shared" si="25"/>
        <v>1134.6999999999998</v>
      </c>
      <c r="O325" s="44">
        <f t="shared" si="26"/>
        <v>0.27311237875177508</v>
      </c>
    </row>
    <row r="326" spans="1:15" ht="20.100000000000001" customHeight="1" x14ac:dyDescent="0.25">
      <c r="A326" s="89">
        <v>184</v>
      </c>
      <c r="B326" s="4">
        <v>42494</v>
      </c>
      <c r="C326" s="5" t="s">
        <v>147</v>
      </c>
      <c r="D326" s="3">
        <v>2181.5300000000002</v>
      </c>
      <c r="E326" s="4">
        <v>42495</v>
      </c>
      <c r="F326" s="92" t="s">
        <v>28</v>
      </c>
      <c r="G326" s="32">
        <v>42508</v>
      </c>
      <c r="H326" s="45">
        <f t="shared" si="24"/>
        <v>2181.5300000000002</v>
      </c>
      <c r="I326" s="45">
        <f>H326</f>
        <v>2181.5300000000002</v>
      </c>
      <c r="J326" s="45"/>
      <c r="K326" s="45"/>
      <c r="L326" s="45">
        <v>1803</v>
      </c>
      <c r="M326" s="29">
        <f t="shared" si="25"/>
        <v>378.5300000000002</v>
      </c>
      <c r="N326" s="38">
        <f>M326</f>
        <v>378.5300000000002</v>
      </c>
      <c r="O326" s="44">
        <f t="shared" si="26"/>
        <v>0.17351583521656827</v>
      </c>
    </row>
    <row r="327" spans="1:15" ht="20.100000000000001" customHeight="1" x14ac:dyDescent="0.25">
      <c r="A327" s="89">
        <v>193</v>
      </c>
      <c r="B327" s="4">
        <v>42501</v>
      </c>
      <c r="C327" s="5" t="s">
        <v>147</v>
      </c>
      <c r="D327" s="3">
        <v>5411</v>
      </c>
      <c r="E327" s="4">
        <v>42502</v>
      </c>
      <c r="F327" s="92" t="s">
        <v>28</v>
      </c>
      <c r="G327" s="32">
        <v>42508</v>
      </c>
      <c r="H327" s="45">
        <f t="shared" si="24"/>
        <v>5411</v>
      </c>
      <c r="I327" s="45">
        <f>H327</f>
        <v>5411</v>
      </c>
      <c r="J327" s="45"/>
      <c r="K327" s="45"/>
      <c r="L327" s="45">
        <v>3377</v>
      </c>
      <c r="M327" s="29">
        <f t="shared" si="25"/>
        <v>2034</v>
      </c>
      <c r="N327" s="38">
        <f>M327</f>
        <v>2034</v>
      </c>
      <c r="O327" s="44">
        <f t="shared" si="26"/>
        <v>0.37590094252448714</v>
      </c>
    </row>
    <row r="328" spans="1:15" ht="20.100000000000001" customHeight="1" x14ac:dyDescent="0.25">
      <c r="A328" s="89">
        <v>180</v>
      </c>
      <c r="B328" s="4">
        <v>42489</v>
      </c>
      <c r="C328" s="5" t="s">
        <v>148</v>
      </c>
      <c r="D328" s="3">
        <v>3200.16</v>
      </c>
      <c r="E328" s="4">
        <v>42494</v>
      </c>
      <c r="F328" s="92" t="s">
        <v>28</v>
      </c>
      <c r="G328" s="32">
        <v>42508</v>
      </c>
      <c r="H328" s="45">
        <f t="shared" si="24"/>
        <v>3200.16</v>
      </c>
      <c r="I328" s="45">
        <f>H328</f>
        <v>3200.16</v>
      </c>
      <c r="J328" s="45"/>
      <c r="K328" s="45"/>
      <c r="L328" s="45">
        <v>1920</v>
      </c>
      <c r="M328" s="29">
        <f t="shared" si="25"/>
        <v>1280.1599999999999</v>
      </c>
      <c r="N328" s="38">
        <f>M328</f>
        <v>1280.1599999999999</v>
      </c>
      <c r="O328" s="44">
        <f t="shared" si="26"/>
        <v>0.40002999850007498</v>
      </c>
    </row>
    <row r="329" spans="1:15" ht="20.100000000000001" customHeight="1" x14ac:dyDescent="0.25">
      <c r="A329" s="89">
        <v>166</v>
      </c>
      <c r="B329" s="4">
        <v>42481</v>
      </c>
      <c r="C329" s="26" t="s">
        <v>142</v>
      </c>
      <c r="D329" s="3">
        <v>15540.7</v>
      </c>
      <c r="E329" s="4">
        <v>42507</v>
      </c>
      <c r="F329" s="92" t="s">
        <v>28</v>
      </c>
      <c r="G329" s="32">
        <v>42495</v>
      </c>
      <c r="H329" s="45">
        <f t="shared" si="24"/>
        <v>15540.7</v>
      </c>
      <c r="L329" s="45">
        <f>412*2+154*20+166*10+351*15</f>
        <v>10829</v>
      </c>
      <c r="M329" s="29">
        <f t="shared" si="25"/>
        <v>4711.7000000000007</v>
      </c>
      <c r="O329" s="44">
        <f t="shared" si="26"/>
        <v>0.30318454123688127</v>
      </c>
    </row>
    <row r="330" spans="1:15" ht="20.100000000000001" customHeight="1" x14ac:dyDescent="0.25">
      <c r="A330" s="89">
        <v>188</v>
      </c>
      <c r="B330" s="4">
        <v>42496</v>
      </c>
      <c r="C330" s="5" t="s">
        <v>149</v>
      </c>
      <c r="D330" s="3">
        <v>38590</v>
      </c>
      <c r="E330" s="4">
        <v>42501</v>
      </c>
      <c r="F330" s="92" t="s">
        <v>28</v>
      </c>
      <c r="G330" s="32">
        <v>42508</v>
      </c>
      <c r="H330" s="45">
        <f t="shared" si="24"/>
        <v>38590</v>
      </c>
      <c r="I330" s="45">
        <f>H330</f>
        <v>38590</v>
      </c>
      <c r="J330" s="45"/>
      <c r="K330" s="45"/>
      <c r="L330" s="45">
        <v>31571</v>
      </c>
      <c r="M330" s="29">
        <f t="shared" si="25"/>
        <v>7019</v>
      </c>
      <c r="N330" s="38">
        <f>M330</f>
        <v>7019</v>
      </c>
      <c r="O330" s="44">
        <f t="shared" si="26"/>
        <v>0.18188649909302929</v>
      </c>
    </row>
    <row r="331" spans="1:15" ht="20.100000000000001" customHeight="1" x14ac:dyDescent="0.25">
      <c r="A331" s="89">
        <v>194</v>
      </c>
      <c r="B331" s="4">
        <v>42502</v>
      </c>
      <c r="C331" s="26" t="s">
        <v>86</v>
      </c>
      <c r="D331" s="3">
        <v>10721</v>
      </c>
      <c r="E331" s="4">
        <v>42507</v>
      </c>
      <c r="F331" s="92" t="s">
        <v>28</v>
      </c>
      <c r="G331" s="32">
        <v>42527</v>
      </c>
      <c r="H331" s="45">
        <f t="shared" si="24"/>
        <v>10721</v>
      </c>
      <c r="L331" s="45">
        <v>7593</v>
      </c>
      <c r="M331" s="29">
        <f t="shared" si="25"/>
        <v>3128</v>
      </c>
      <c r="N331" s="38"/>
      <c r="O331" s="44">
        <f t="shared" si="26"/>
        <v>0.29176382800111927</v>
      </c>
    </row>
    <row r="332" spans="1:15" ht="20.100000000000001" customHeight="1" x14ac:dyDescent="0.25">
      <c r="A332" s="89">
        <v>199</v>
      </c>
      <c r="B332" s="4">
        <v>42506</v>
      </c>
      <c r="C332" s="26" t="s">
        <v>77</v>
      </c>
      <c r="D332" s="3">
        <v>1537.25</v>
      </c>
      <c r="E332" s="4">
        <v>42507</v>
      </c>
      <c r="F332" s="92" t="s">
        <v>28</v>
      </c>
      <c r="G332" s="32">
        <v>42510</v>
      </c>
      <c r="H332" s="45">
        <f t="shared" si="24"/>
        <v>1537.25</v>
      </c>
      <c r="L332" s="45">
        <v>1163</v>
      </c>
      <c r="M332" s="29">
        <f t="shared" si="25"/>
        <v>374.25</v>
      </c>
      <c r="O332" s="44">
        <f t="shared" si="26"/>
        <v>0.24345422019840623</v>
      </c>
    </row>
    <row r="333" spans="1:15" ht="20.100000000000001" customHeight="1" x14ac:dyDescent="0.25">
      <c r="A333" s="89">
        <v>206</v>
      </c>
      <c r="B333" s="4">
        <v>42506</v>
      </c>
      <c r="C333" s="26" t="s">
        <v>66</v>
      </c>
      <c r="D333" s="3">
        <v>20587.62</v>
      </c>
      <c r="E333" s="4">
        <v>42514</v>
      </c>
      <c r="F333" s="92" t="s">
        <v>28</v>
      </c>
      <c r="G333" s="32">
        <v>42508</v>
      </c>
      <c r="H333" s="45">
        <f t="shared" si="24"/>
        <v>20587.62</v>
      </c>
      <c r="L333" s="45">
        <v>15222</v>
      </c>
      <c r="M333" s="29">
        <f t="shared" si="25"/>
        <v>5365.619999999999</v>
      </c>
      <c r="O333" s="44">
        <f t="shared" si="26"/>
        <v>0.26062361749439711</v>
      </c>
    </row>
    <row r="334" spans="1:15" ht="20.100000000000001" customHeight="1" x14ac:dyDescent="0.25">
      <c r="A334" s="89">
        <v>140</v>
      </c>
      <c r="B334" s="4">
        <v>42467</v>
      </c>
      <c r="C334" s="26" t="s">
        <v>65</v>
      </c>
      <c r="D334" s="3">
        <v>34980</v>
      </c>
      <c r="E334" s="4">
        <v>42509</v>
      </c>
      <c r="F334" s="92" t="s">
        <v>28</v>
      </c>
      <c r="G334" s="32">
        <v>42514</v>
      </c>
      <c r="H334" s="45">
        <f t="shared" si="24"/>
        <v>34980</v>
      </c>
      <c r="L334" s="45">
        <v>27312</v>
      </c>
      <c r="M334" s="29">
        <f t="shared" si="25"/>
        <v>7668</v>
      </c>
      <c r="O334" s="44">
        <f t="shared" si="26"/>
        <v>0.21921097770154374</v>
      </c>
    </row>
    <row r="335" spans="1:15" ht="20.100000000000001" customHeight="1" x14ac:dyDescent="0.25">
      <c r="A335" s="89">
        <v>207</v>
      </c>
      <c r="B335" s="4">
        <v>42506</v>
      </c>
      <c r="C335" s="26" t="s">
        <v>66</v>
      </c>
      <c r="D335" s="3">
        <v>12656.39</v>
      </c>
      <c r="E335" s="4">
        <v>42510</v>
      </c>
      <c r="F335" s="92" t="s">
        <v>28</v>
      </c>
      <c r="G335" s="32">
        <v>42551</v>
      </c>
      <c r="H335" s="45">
        <f t="shared" si="24"/>
        <v>12656.39</v>
      </c>
      <c r="L335" s="45">
        <v>10397</v>
      </c>
      <c r="M335" s="29">
        <f t="shared" si="25"/>
        <v>2259.3899999999994</v>
      </c>
      <c r="O335" s="44">
        <f t="shared" si="26"/>
        <v>0.17851772898907189</v>
      </c>
    </row>
    <row r="336" spans="1:15" ht="20.100000000000001" customHeight="1" x14ac:dyDescent="0.25">
      <c r="A336" s="89">
        <v>214</v>
      </c>
      <c r="B336" s="4">
        <v>42509</v>
      </c>
      <c r="C336" s="5" t="s">
        <v>150</v>
      </c>
      <c r="D336" s="3">
        <v>3069.18</v>
      </c>
      <c r="E336" s="4">
        <v>42510</v>
      </c>
      <c r="F336" s="92" t="s">
        <v>28</v>
      </c>
      <c r="G336" s="32">
        <v>42513</v>
      </c>
      <c r="H336" s="45">
        <f t="shared" si="24"/>
        <v>3069.18</v>
      </c>
      <c r="I336" s="45">
        <f>H336</f>
        <v>3069.18</v>
      </c>
      <c r="J336" s="45"/>
      <c r="K336" s="45"/>
      <c r="L336" s="45">
        <v>1758</v>
      </c>
      <c r="M336" s="29">
        <f t="shared" si="25"/>
        <v>1311.1799999999998</v>
      </c>
      <c r="N336" s="38">
        <f>M336</f>
        <v>1311.1799999999998</v>
      </c>
      <c r="O336" s="44">
        <f t="shared" si="26"/>
        <v>0.42720857036732934</v>
      </c>
    </row>
    <row r="337" spans="1:15" ht="20.100000000000001" customHeight="1" x14ac:dyDescent="0.25">
      <c r="A337" s="89">
        <v>215</v>
      </c>
      <c r="B337" s="4">
        <v>42509</v>
      </c>
      <c r="C337" s="26" t="s">
        <v>77</v>
      </c>
      <c r="D337" s="3">
        <v>3074.5</v>
      </c>
      <c r="E337" s="4">
        <v>42514</v>
      </c>
      <c r="F337" s="92" t="s">
        <v>28</v>
      </c>
      <c r="G337" s="32">
        <v>42517</v>
      </c>
      <c r="H337" s="45">
        <f t="shared" si="24"/>
        <v>3074.5</v>
      </c>
      <c r="L337" s="45">
        <v>2326</v>
      </c>
      <c r="M337" s="29">
        <f t="shared" si="25"/>
        <v>748.5</v>
      </c>
      <c r="O337" s="44">
        <f t="shared" si="26"/>
        <v>0.24345422019840623</v>
      </c>
    </row>
    <row r="338" spans="1:15" ht="20.100000000000001" customHeight="1" x14ac:dyDescent="0.25">
      <c r="A338" s="89">
        <v>141</v>
      </c>
      <c r="B338" s="4">
        <v>42515</v>
      </c>
      <c r="C338" s="26" t="s">
        <v>65</v>
      </c>
      <c r="D338" s="3">
        <v>74912</v>
      </c>
      <c r="E338" s="4">
        <v>42520</v>
      </c>
      <c r="F338" s="92" t="s">
        <v>28</v>
      </c>
      <c r="G338" s="32">
        <v>42520</v>
      </c>
      <c r="H338" s="45">
        <f t="shared" si="24"/>
        <v>74912</v>
      </c>
      <c r="L338" s="45">
        <v>55273</v>
      </c>
      <c r="M338" s="29">
        <f t="shared" si="25"/>
        <v>19639</v>
      </c>
      <c r="O338" s="44">
        <f t="shared" si="26"/>
        <v>0.26216093549765057</v>
      </c>
    </row>
    <row r="339" spans="1:15" ht="20.100000000000001" customHeight="1" x14ac:dyDescent="0.25">
      <c r="A339" s="89">
        <v>201</v>
      </c>
      <c r="B339" s="4">
        <v>42506</v>
      </c>
      <c r="C339" s="26" t="s">
        <v>137</v>
      </c>
      <c r="D339" s="3">
        <v>689.42</v>
      </c>
      <c r="E339" s="4">
        <v>42515</v>
      </c>
      <c r="F339" s="92" t="s">
        <v>28</v>
      </c>
      <c r="G339" s="32">
        <v>42517</v>
      </c>
      <c r="H339" s="45">
        <f t="shared" si="24"/>
        <v>689.42</v>
      </c>
      <c r="L339" s="45">
        <v>542</v>
      </c>
      <c r="M339" s="29">
        <f t="shared" si="25"/>
        <v>147.41999999999996</v>
      </c>
      <c r="O339" s="44">
        <f t="shared" si="26"/>
        <v>0.21383191668358906</v>
      </c>
    </row>
    <row r="340" spans="1:15" ht="20.100000000000001" customHeight="1" x14ac:dyDescent="0.25">
      <c r="A340" s="89">
        <v>221</v>
      </c>
      <c r="B340" s="4">
        <v>42516</v>
      </c>
      <c r="C340" s="5" t="s">
        <v>151</v>
      </c>
      <c r="D340" s="3">
        <v>3807.27</v>
      </c>
      <c r="E340" s="4">
        <v>42520</v>
      </c>
      <c r="F340" s="92" t="s">
        <v>28</v>
      </c>
      <c r="G340" s="32">
        <v>42520</v>
      </c>
      <c r="H340" s="45">
        <f t="shared" si="24"/>
        <v>3807.27</v>
      </c>
      <c r="I340" s="45">
        <f>H340</f>
        <v>3807.27</v>
      </c>
      <c r="J340" s="45"/>
      <c r="K340" s="45"/>
      <c r="L340" s="45">
        <v>2879</v>
      </c>
      <c r="M340" s="29">
        <f t="shared" si="25"/>
        <v>928.27</v>
      </c>
      <c r="N340" s="38">
        <f>M340</f>
        <v>928.27</v>
      </c>
      <c r="O340" s="44">
        <f t="shared" si="26"/>
        <v>0.24381512212162521</v>
      </c>
    </row>
    <row r="341" spans="1:15" ht="20.100000000000001" customHeight="1" x14ac:dyDescent="0.25">
      <c r="A341" s="89">
        <v>223</v>
      </c>
      <c r="B341" s="4">
        <v>42516</v>
      </c>
      <c r="C341" s="5" t="s">
        <v>153</v>
      </c>
      <c r="D341" s="3">
        <v>41690</v>
      </c>
      <c r="E341" s="4">
        <v>42520</v>
      </c>
      <c r="F341" s="92" t="s">
        <v>28</v>
      </c>
      <c r="G341" s="32">
        <v>42521</v>
      </c>
      <c r="H341" s="45">
        <f t="shared" si="24"/>
        <v>41690</v>
      </c>
      <c r="I341" s="45">
        <f>H341</f>
        <v>41690</v>
      </c>
      <c r="J341" s="45"/>
      <c r="K341" s="45"/>
      <c r="L341" s="45">
        <v>32727</v>
      </c>
      <c r="M341" s="29">
        <f t="shared" si="25"/>
        <v>8963</v>
      </c>
      <c r="N341" s="38">
        <f>M341</f>
        <v>8963</v>
      </c>
      <c r="O341" s="44">
        <f t="shared" si="26"/>
        <v>0.21499160470136724</v>
      </c>
    </row>
    <row r="342" spans="1:15" ht="20.100000000000001" customHeight="1" x14ac:dyDescent="0.25">
      <c r="A342" s="89">
        <v>217</v>
      </c>
      <c r="B342" s="4">
        <v>42510</v>
      </c>
      <c r="C342" s="5" t="s">
        <v>147</v>
      </c>
      <c r="D342" s="3">
        <v>7425.15</v>
      </c>
      <c r="E342" s="4">
        <v>42520</v>
      </c>
      <c r="F342" s="92" t="s">
        <v>28</v>
      </c>
      <c r="G342" s="32">
        <v>42522</v>
      </c>
      <c r="H342" s="45">
        <f t="shared" si="24"/>
        <v>7425.15</v>
      </c>
      <c r="I342" s="45">
        <f>H342</f>
        <v>7425.15</v>
      </c>
      <c r="J342" s="45"/>
      <c r="K342" s="45"/>
      <c r="L342" s="45">
        <v>4960</v>
      </c>
      <c r="M342" s="29">
        <f t="shared" si="25"/>
        <v>2465.1499999999996</v>
      </c>
      <c r="N342" s="38">
        <f>M342</f>
        <v>2465.1499999999996</v>
      </c>
      <c r="O342" s="44">
        <f t="shared" si="26"/>
        <v>0.33200002693548275</v>
      </c>
    </row>
    <row r="343" spans="1:15" ht="20.100000000000001" customHeight="1" x14ac:dyDescent="0.25">
      <c r="A343" s="89">
        <v>234</v>
      </c>
      <c r="B343" s="4">
        <v>42521</v>
      </c>
      <c r="C343" s="5" t="s">
        <v>154</v>
      </c>
      <c r="D343" s="3">
        <v>24877</v>
      </c>
      <c r="E343" s="4">
        <v>42521</v>
      </c>
      <c r="F343" s="92" t="s">
        <v>28</v>
      </c>
      <c r="G343" s="32">
        <v>42521</v>
      </c>
      <c r="H343" s="45">
        <f t="shared" si="24"/>
        <v>24877</v>
      </c>
      <c r="I343" s="45">
        <f>H343</f>
        <v>24877</v>
      </c>
      <c r="J343" s="45"/>
      <c r="K343" s="45"/>
      <c r="L343" s="45">
        <v>18533</v>
      </c>
      <c r="M343" s="29">
        <f t="shared" si="25"/>
        <v>6344</v>
      </c>
      <c r="N343" s="38">
        <f>M343</f>
        <v>6344</v>
      </c>
      <c r="O343" s="44">
        <f t="shared" si="26"/>
        <v>0.25501467218716084</v>
      </c>
    </row>
    <row r="344" spans="1:15" ht="20.100000000000001" customHeight="1" x14ac:dyDescent="0.25">
      <c r="A344" s="89">
        <v>232</v>
      </c>
      <c r="B344" s="4">
        <v>42520</v>
      </c>
      <c r="C344" s="26" t="s">
        <v>49</v>
      </c>
      <c r="D344" s="3">
        <v>9021.69</v>
      </c>
      <c r="E344" s="4">
        <v>42521</v>
      </c>
      <c r="F344" s="92" t="s">
        <v>28</v>
      </c>
      <c r="G344" s="32">
        <v>42577</v>
      </c>
      <c r="H344" s="45">
        <f t="shared" si="24"/>
        <v>9021.69</v>
      </c>
      <c r="I344" s="45"/>
      <c r="J344" s="45"/>
      <c r="K344" s="45"/>
      <c r="L344" s="38">
        <v>3522.47</v>
      </c>
      <c r="M344" s="29">
        <f t="shared" si="25"/>
        <v>5499.2200000000012</v>
      </c>
      <c r="N344" s="38"/>
      <c r="O344" s="44">
        <f t="shared" si="26"/>
        <v>0.60955541589214446</v>
      </c>
    </row>
    <row r="345" spans="1:15" ht="20.100000000000001" customHeight="1" x14ac:dyDescent="0.25">
      <c r="A345" s="89">
        <v>203</v>
      </c>
      <c r="B345" s="4">
        <v>42506</v>
      </c>
      <c r="C345" s="26" t="s">
        <v>140</v>
      </c>
      <c r="D345" s="3">
        <v>1073.51</v>
      </c>
      <c r="E345" s="4">
        <v>42508</v>
      </c>
      <c r="F345" s="92" t="s">
        <v>28</v>
      </c>
      <c r="G345" s="32">
        <v>42555</v>
      </c>
      <c r="H345" s="45">
        <f t="shared" si="24"/>
        <v>1073.51</v>
      </c>
      <c r="L345" s="45">
        <v>768</v>
      </c>
      <c r="M345" s="29">
        <f t="shared" si="25"/>
        <v>305.51</v>
      </c>
      <c r="O345" s="44">
        <f t="shared" si="26"/>
        <v>0.28458980354165309</v>
      </c>
    </row>
    <row r="346" spans="1:15" ht="19.5" customHeight="1" x14ac:dyDescent="0.25">
      <c r="A346" s="89"/>
      <c r="B346" s="4"/>
      <c r="C346" s="5"/>
      <c r="D346" s="3"/>
      <c r="E346" s="97">
        <v>49100</v>
      </c>
      <c r="F346" s="98">
        <f>M346*0.17+N346*0.06</f>
        <v>48140.406900000002</v>
      </c>
      <c r="G346" s="21">
        <f>H346*0.05+I346*0.02</f>
        <v>41834.863800000014</v>
      </c>
      <c r="H346" s="16">
        <f t="shared" ref="H346:N346" si="27">SUM(H322:H345)</f>
        <v>784596.76000000013</v>
      </c>
      <c r="I346" s="16">
        <f t="shared" si="27"/>
        <v>130251.29</v>
      </c>
      <c r="J346" s="16">
        <f t="shared" si="27"/>
        <v>60000</v>
      </c>
      <c r="K346" s="16">
        <f t="shared" si="27"/>
        <v>6000</v>
      </c>
      <c r="L346" s="16">
        <f t="shared" si="27"/>
        <v>446261.41</v>
      </c>
      <c r="M346" s="16">
        <f t="shared" si="27"/>
        <v>272335.34999999998</v>
      </c>
      <c r="N346" s="16">
        <f t="shared" si="27"/>
        <v>30723.29</v>
      </c>
      <c r="O346" s="44">
        <f t="shared" si="26"/>
        <v>0.34710231278548731</v>
      </c>
    </row>
    <row r="347" spans="1:15" ht="23.25" x14ac:dyDescent="0.35">
      <c r="C347" s="94" t="s">
        <v>640</v>
      </c>
    </row>
    <row r="348" spans="1:15" ht="20.100000000000001" customHeight="1" x14ac:dyDescent="0.25">
      <c r="A348" s="89">
        <v>224</v>
      </c>
      <c r="B348" s="4">
        <v>42517</v>
      </c>
      <c r="C348" s="5" t="s">
        <v>152</v>
      </c>
      <c r="D348" s="3">
        <v>4755.1099999999997</v>
      </c>
      <c r="E348" s="4">
        <v>42528</v>
      </c>
      <c r="F348" s="92" t="s">
        <v>28</v>
      </c>
      <c r="G348" s="32">
        <v>42517</v>
      </c>
      <c r="H348" s="45">
        <f t="shared" ref="H348:H378" si="28">D348</f>
        <v>4755.1099999999997</v>
      </c>
      <c r="I348" s="45">
        <f>H348</f>
        <v>4755.1099999999997</v>
      </c>
      <c r="J348" s="45"/>
      <c r="K348" s="45"/>
      <c r="L348" s="45">
        <v>3739</v>
      </c>
      <c r="M348" s="29">
        <f t="shared" ref="M348:M369" si="29">H348-L348-J348-K348</f>
        <v>1016.1099999999997</v>
      </c>
      <c r="N348" s="38">
        <f>M348</f>
        <v>1016.1099999999997</v>
      </c>
      <c r="O348" s="44">
        <f t="shared" ref="O348:O379" si="30">M348/H348</f>
        <v>0.21368801142350013</v>
      </c>
    </row>
    <row r="349" spans="1:15" ht="20.100000000000001" customHeight="1" x14ac:dyDescent="0.25">
      <c r="A349" s="89">
        <v>209</v>
      </c>
      <c r="B349" s="4">
        <v>42507</v>
      </c>
      <c r="C349" s="26" t="s">
        <v>13</v>
      </c>
      <c r="D349" s="3">
        <v>2587.2399999999998</v>
      </c>
      <c r="E349" s="4">
        <v>42522</v>
      </c>
      <c r="F349" s="92" t="s">
        <v>28</v>
      </c>
      <c r="G349" s="32">
        <v>42513</v>
      </c>
      <c r="H349" s="45">
        <f t="shared" si="28"/>
        <v>2587.2399999999998</v>
      </c>
      <c r="L349" s="45">
        <v>1956</v>
      </c>
      <c r="M349" s="29">
        <f t="shared" si="29"/>
        <v>631.23999999999978</v>
      </c>
      <c r="N349" s="38"/>
      <c r="O349" s="44">
        <f t="shared" si="30"/>
        <v>0.24398200398880654</v>
      </c>
    </row>
    <row r="350" spans="1:15" ht="20.100000000000001" customHeight="1" x14ac:dyDescent="0.25">
      <c r="A350" s="89">
        <v>191</v>
      </c>
      <c r="B350" s="4">
        <v>42503</v>
      </c>
      <c r="C350" s="26" t="s">
        <v>56</v>
      </c>
      <c r="D350" s="3">
        <v>34021.25</v>
      </c>
      <c r="E350" s="4">
        <v>42528</v>
      </c>
      <c r="F350" s="92" t="s">
        <v>28</v>
      </c>
      <c r="G350" s="32">
        <v>42520</v>
      </c>
      <c r="H350" s="45">
        <f t="shared" si="28"/>
        <v>34021.25</v>
      </c>
      <c r="L350" s="45">
        <v>25870.14</v>
      </c>
      <c r="M350" s="29">
        <f t="shared" si="29"/>
        <v>8151.1100000000006</v>
      </c>
      <c r="O350" s="44">
        <f t="shared" si="30"/>
        <v>0.23958878642025205</v>
      </c>
    </row>
    <row r="351" spans="1:15" ht="20.100000000000001" customHeight="1" x14ac:dyDescent="0.25">
      <c r="A351" s="89">
        <v>236</v>
      </c>
      <c r="B351" s="4">
        <v>42522</v>
      </c>
      <c r="C351" s="5" t="s">
        <v>155</v>
      </c>
      <c r="D351" s="3">
        <v>4256.8500000000004</v>
      </c>
      <c r="E351" s="4">
        <v>42522</v>
      </c>
      <c r="F351" s="92" t="s">
        <v>28</v>
      </c>
      <c r="G351" s="32">
        <v>42522</v>
      </c>
      <c r="H351" s="45">
        <f t="shared" si="28"/>
        <v>4256.8500000000004</v>
      </c>
      <c r="I351" s="45">
        <f>H351</f>
        <v>4256.8500000000004</v>
      </c>
      <c r="J351" s="45"/>
      <c r="K351" s="45"/>
      <c r="L351" s="45">
        <v>2792</v>
      </c>
      <c r="M351" s="29">
        <f t="shared" si="29"/>
        <v>1464.8500000000004</v>
      </c>
      <c r="N351" s="38">
        <f>M351</f>
        <v>1464.8500000000004</v>
      </c>
      <c r="O351" s="44">
        <f t="shared" si="30"/>
        <v>0.34411595428544589</v>
      </c>
    </row>
    <row r="352" spans="1:15" ht="20.100000000000001" customHeight="1" x14ac:dyDescent="0.25">
      <c r="A352" s="89">
        <v>239</v>
      </c>
      <c r="B352" s="4">
        <v>42524</v>
      </c>
      <c r="C352" s="26" t="s">
        <v>122</v>
      </c>
      <c r="D352" s="3">
        <v>10014</v>
      </c>
      <c r="E352" s="4">
        <v>42524</v>
      </c>
      <c r="F352" s="92" t="s">
        <v>28</v>
      </c>
      <c r="G352" s="32">
        <v>42524</v>
      </c>
      <c r="H352" s="45">
        <f t="shared" si="28"/>
        <v>10014</v>
      </c>
      <c r="L352" s="45">
        <v>7445</v>
      </c>
      <c r="M352" s="29">
        <f t="shared" si="29"/>
        <v>2569</v>
      </c>
      <c r="O352" s="44">
        <f t="shared" si="30"/>
        <v>0.25654084282005191</v>
      </c>
    </row>
    <row r="353" spans="1:15" ht="20.100000000000001" customHeight="1" x14ac:dyDescent="0.25">
      <c r="A353" s="89">
        <v>208</v>
      </c>
      <c r="B353" s="4">
        <v>42507</v>
      </c>
      <c r="C353" s="5" t="s">
        <v>156</v>
      </c>
      <c r="D353" s="3">
        <v>4611.75</v>
      </c>
      <c r="E353" s="4">
        <v>42524</v>
      </c>
      <c r="F353" s="92" t="s">
        <v>28</v>
      </c>
      <c r="G353" s="32">
        <v>42527</v>
      </c>
      <c r="H353" s="45">
        <f t="shared" si="28"/>
        <v>4611.75</v>
      </c>
      <c r="I353" s="45">
        <f>H353</f>
        <v>4611.75</v>
      </c>
      <c r="J353" s="45"/>
      <c r="K353" s="45"/>
      <c r="L353" s="45">
        <v>3489</v>
      </c>
      <c r="M353" s="29">
        <f t="shared" si="29"/>
        <v>1122.75</v>
      </c>
      <c r="N353" s="38">
        <f>M353</f>
        <v>1122.75</v>
      </c>
      <c r="O353" s="44">
        <f t="shared" si="30"/>
        <v>0.24345422019840623</v>
      </c>
    </row>
    <row r="354" spans="1:15" ht="20.100000000000001" customHeight="1" x14ac:dyDescent="0.25">
      <c r="A354" s="89">
        <v>235</v>
      </c>
      <c r="B354" s="4">
        <v>42521</v>
      </c>
      <c r="C354" s="26" t="s">
        <v>157</v>
      </c>
      <c r="D354" s="3">
        <v>1084</v>
      </c>
      <c r="E354" s="4">
        <v>42530</v>
      </c>
      <c r="F354" s="92" t="s">
        <v>28</v>
      </c>
      <c r="G354" s="32">
        <v>42531</v>
      </c>
      <c r="H354" s="45">
        <f t="shared" si="28"/>
        <v>1084</v>
      </c>
      <c r="L354" s="45">
        <v>853</v>
      </c>
      <c r="M354" s="29">
        <f t="shared" si="29"/>
        <v>231</v>
      </c>
      <c r="O354" s="44">
        <f t="shared" si="30"/>
        <v>0.21309963099630996</v>
      </c>
    </row>
    <row r="355" spans="1:15" ht="20.100000000000001" customHeight="1" x14ac:dyDescent="0.25">
      <c r="A355" s="89">
        <v>238</v>
      </c>
      <c r="B355" s="4">
        <v>42523</v>
      </c>
      <c r="C355" s="26" t="s">
        <v>157</v>
      </c>
      <c r="D355" s="3">
        <v>6028</v>
      </c>
      <c r="E355" s="4">
        <v>42528</v>
      </c>
      <c r="F355" s="92" t="s">
        <v>28</v>
      </c>
      <c r="G355" s="32">
        <v>42528</v>
      </c>
      <c r="H355" s="45">
        <f t="shared" si="28"/>
        <v>6028</v>
      </c>
      <c r="L355" s="45">
        <v>4189</v>
      </c>
      <c r="M355" s="29">
        <f t="shared" si="29"/>
        <v>1839</v>
      </c>
      <c r="O355" s="44">
        <f t="shared" si="30"/>
        <v>0.30507631055076312</v>
      </c>
    </row>
    <row r="356" spans="1:15" ht="20.100000000000001" customHeight="1" x14ac:dyDescent="0.25">
      <c r="A356" s="89">
        <v>213</v>
      </c>
      <c r="B356" s="4">
        <v>42515</v>
      </c>
      <c r="C356" s="5" t="s">
        <v>158</v>
      </c>
      <c r="D356" s="3">
        <v>17490</v>
      </c>
      <c r="E356" s="4">
        <v>42528</v>
      </c>
      <c r="F356" s="92" t="s">
        <v>28</v>
      </c>
      <c r="G356" s="32">
        <v>42529</v>
      </c>
      <c r="H356" s="45">
        <f t="shared" si="28"/>
        <v>17490</v>
      </c>
      <c r="I356" s="45">
        <f>H356</f>
        <v>17490</v>
      </c>
      <c r="J356" s="45"/>
      <c r="K356" s="45"/>
      <c r="L356" s="45">
        <v>13656</v>
      </c>
      <c r="M356" s="29">
        <f t="shared" si="29"/>
        <v>3834</v>
      </c>
      <c r="N356" s="38">
        <f>M356</f>
        <v>3834</v>
      </c>
      <c r="O356" s="44">
        <f t="shared" si="30"/>
        <v>0.21921097770154374</v>
      </c>
    </row>
    <row r="357" spans="1:15" ht="20.100000000000001" customHeight="1" x14ac:dyDescent="0.25">
      <c r="A357" s="89">
        <v>251</v>
      </c>
      <c r="B357" s="4">
        <v>42529</v>
      </c>
      <c r="C357" s="5" t="s">
        <v>160</v>
      </c>
      <c r="D357" s="3">
        <v>16890</v>
      </c>
      <c r="E357" s="4">
        <v>42529</v>
      </c>
      <c r="F357" s="92" t="s">
        <v>28</v>
      </c>
      <c r="G357" s="32">
        <v>42529</v>
      </c>
      <c r="H357" s="45">
        <f t="shared" si="28"/>
        <v>16890</v>
      </c>
      <c r="I357" s="45">
        <f>H357</f>
        <v>16890</v>
      </c>
      <c r="J357" s="45"/>
      <c r="K357" s="45"/>
      <c r="L357" s="45">
        <v>13656</v>
      </c>
      <c r="M357" s="29">
        <f t="shared" si="29"/>
        <v>3234</v>
      </c>
      <c r="N357" s="38">
        <f>M357</f>
        <v>3234</v>
      </c>
      <c r="O357" s="44">
        <f t="shared" si="30"/>
        <v>0.19147424511545294</v>
      </c>
    </row>
    <row r="358" spans="1:15" ht="20.100000000000001" customHeight="1" x14ac:dyDescent="0.25">
      <c r="A358" s="89">
        <v>187</v>
      </c>
      <c r="B358" s="4">
        <v>42496</v>
      </c>
      <c r="C358" s="26" t="s">
        <v>140</v>
      </c>
      <c r="D358" s="3">
        <v>1978.86</v>
      </c>
      <c r="E358" s="4">
        <v>42529</v>
      </c>
      <c r="F358" s="92" t="s">
        <v>28</v>
      </c>
      <c r="G358" s="32">
        <v>42555</v>
      </c>
      <c r="H358" s="45">
        <f t="shared" si="28"/>
        <v>1978.86</v>
      </c>
      <c r="L358" s="45">
        <v>1187</v>
      </c>
      <c r="M358" s="29">
        <f t="shared" si="29"/>
        <v>791.8599999999999</v>
      </c>
      <c r="O358" s="44">
        <f t="shared" si="30"/>
        <v>0.40015968790111478</v>
      </c>
    </row>
    <row r="359" spans="1:15" ht="20.100000000000001" customHeight="1" x14ac:dyDescent="0.25">
      <c r="A359" s="89">
        <v>198</v>
      </c>
      <c r="B359" s="4">
        <v>42503</v>
      </c>
      <c r="C359" s="26" t="s">
        <v>83</v>
      </c>
      <c r="D359" s="3">
        <v>4138.28</v>
      </c>
      <c r="E359" s="4">
        <v>42531</v>
      </c>
      <c r="F359" s="92" t="s">
        <v>28</v>
      </c>
      <c r="G359" s="32">
        <v>42535</v>
      </c>
      <c r="H359" s="45">
        <f t="shared" si="28"/>
        <v>4138.28</v>
      </c>
      <c r="L359" s="45">
        <v>3285</v>
      </c>
      <c r="M359" s="29">
        <f t="shared" si="29"/>
        <v>853.27999999999975</v>
      </c>
      <c r="O359" s="44">
        <f t="shared" si="30"/>
        <v>0.20619194447934885</v>
      </c>
    </row>
    <row r="360" spans="1:15" ht="20.100000000000001" customHeight="1" x14ac:dyDescent="0.25">
      <c r="A360" s="89">
        <v>205</v>
      </c>
      <c r="B360" s="4">
        <v>42506</v>
      </c>
      <c r="C360" s="5" t="s">
        <v>161</v>
      </c>
      <c r="D360" s="3">
        <v>21563.51</v>
      </c>
      <c r="E360" s="4">
        <v>42531</v>
      </c>
      <c r="F360" s="92" t="s">
        <v>28</v>
      </c>
      <c r="G360" s="32">
        <v>42535</v>
      </c>
      <c r="H360" s="45">
        <f t="shared" si="28"/>
        <v>21563.51</v>
      </c>
      <c r="I360" s="45">
        <f>H360</f>
        <v>21563.51</v>
      </c>
      <c r="J360" s="45"/>
      <c r="K360" s="45"/>
      <c r="L360" s="45">
        <v>16585</v>
      </c>
      <c r="M360" s="29">
        <f t="shared" si="29"/>
        <v>4978.5099999999984</v>
      </c>
      <c r="N360" s="38">
        <f>M360</f>
        <v>4978.5099999999984</v>
      </c>
      <c r="O360" s="44">
        <f t="shared" si="30"/>
        <v>0.23087660589579334</v>
      </c>
    </row>
    <row r="361" spans="1:15" ht="20.100000000000001" customHeight="1" x14ac:dyDescent="0.25">
      <c r="A361" s="89">
        <v>242</v>
      </c>
      <c r="B361" s="4">
        <v>42527</v>
      </c>
      <c r="C361" s="26" t="s">
        <v>137</v>
      </c>
      <c r="D361" s="3">
        <v>3555</v>
      </c>
      <c r="E361" s="4">
        <v>42530</v>
      </c>
      <c r="F361" s="92" t="s">
        <v>28</v>
      </c>
      <c r="G361" s="32">
        <v>42536</v>
      </c>
      <c r="H361" s="45">
        <f t="shared" si="28"/>
        <v>3555</v>
      </c>
      <c r="L361" s="45">
        <v>1748.08</v>
      </c>
      <c r="M361" s="29">
        <f t="shared" si="29"/>
        <v>1806.92</v>
      </c>
      <c r="O361" s="44">
        <f t="shared" si="30"/>
        <v>0.5082756680731364</v>
      </c>
    </row>
    <row r="362" spans="1:15" ht="20.100000000000001" customHeight="1" x14ac:dyDescent="0.25">
      <c r="A362" s="89">
        <v>246</v>
      </c>
      <c r="B362" s="4">
        <v>42528</v>
      </c>
      <c r="C362" s="26" t="s">
        <v>56</v>
      </c>
      <c r="D362" s="3">
        <v>10041.94</v>
      </c>
      <c r="E362" s="4">
        <v>42548</v>
      </c>
      <c r="F362" s="92" t="s">
        <v>28</v>
      </c>
      <c r="G362" s="32">
        <v>42536</v>
      </c>
      <c r="H362" s="45">
        <f t="shared" si="28"/>
        <v>10041.94</v>
      </c>
      <c r="L362" s="45">
        <v>5053.88</v>
      </c>
      <c r="M362" s="29">
        <f t="shared" si="29"/>
        <v>4988.0600000000004</v>
      </c>
      <c r="O362" s="44">
        <f t="shared" si="30"/>
        <v>0.49672274480827411</v>
      </c>
    </row>
    <row r="363" spans="1:15" ht="20.100000000000001" customHeight="1" x14ac:dyDescent="0.25">
      <c r="A363" s="89">
        <v>243</v>
      </c>
      <c r="B363" s="4">
        <v>42527</v>
      </c>
      <c r="C363" s="26" t="s">
        <v>65</v>
      </c>
      <c r="D363" s="3">
        <v>57078.96</v>
      </c>
      <c r="E363" s="4">
        <v>42535</v>
      </c>
      <c r="F363" s="92" t="s">
        <v>28</v>
      </c>
      <c r="G363" s="32">
        <v>42535</v>
      </c>
      <c r="H363" s="45">
        <f t="shared" si="28"/>
        <v>57078.96</v>
      </c>
      <c r="L363" s="45">
        <v>43152</v>
      </c>
      <c r="M363" s="29">
        <f t="shared" si="29"/>
        <v>13926.96</v>
      </c>
      <c r="O363" s="44">
        <f t="shared" si="30"/>
        <v>0.24399463480063405</v>
      </c>
    </row>
    <row r="364" spans="1:15" ht="20.100000000000001" customHeight="1" x14ac:dyDescent="0.25">
      <c r="A364" s="89">
        <v>247</v>
      </c>
      <c r="B364" s="4">
        <v>42528</v>
      </c>
      <c r="C364" s="5" t="s">
        <v>162</v>
      </c>
      <c r="D364" s="3">
        <v>5200</v>
      </c>
      <c r="E364" s="4">
        <v>42504</v>
      </c>
      <c r="F364" s="92" t="s">
        <v>28</v>
      </c>
      <c r="G364" s="32">
        <v>42505</v>
      </c>
      <c r="H364" s="45">
        <f t="shared" si="28"/>
        <v>5200</v>
      </c>
      <c r="I364" s="45">
        <f>H364</f>
        <v>5200</v>
      </c>
      <c r="J364" s="45"/>
      <c r="K364" s="45"/>
      <c r="L364" s="45">
        <v>2147.88</v>
      </c>
      <c r="M364" s="29">
        <f t="shared" si="29"/>
        <v>3052.12</v>
      </c>
      <c r="N364" s="38">
        <f>M364</f>
        <v>3052.12</v>
      </c>
      <c r="O364" s="44">
        <f t="shared" si="30"/>
        <v>0.58694615384615378</v>
      </c>
    </row>
    <row r="365" spans="1:15" ht="20.100000000000001" customHeight="1" x14ac:dyDescent="0.25">
      <c r="A365" s="89">
        <v>259</v>
      </c>
      <c r="B365" s="4">
        <v>42505</v>
      </c>
      <c r="C365" s="5" t="s">
        <v>162</v>
      </c>
      <c r="D365" s="3">
        <v>2450</v>
      </c>
      <c r="E365" s="4">
        <v>42505</v>
      </c>
      <c r="F365" s="92" t="s">
        <v>28</v>
      </c>
      <c r="G365" s="32">
        <v>42505</v>
      </c>
      <c r="H365" s="45">
        <f t="shared" si="28"/>
        <v>2450</v>
      </c>
      <c r="I365" s="45">
        <f>H365</f>
        <v>2450</v>
      </c>
      <c r="J365" s="45"/>
      <c r="K365" s="45"/>
      <c r="L365" s="45">
        <v>2174</v>
      </c>
      <c r="M365" s="29">
        <f t="shared" si="29"/>
        <v>276</v>
      </c>
      <c r="N365" s="38">
        <f>M365</f>
        <v>276</v>
      </c>
      <c r="O365" s="44">
        <f t="shared" si="30"/>
        <v>0.1126530612244898</v>
      </c>
    </row>
    <row r="366" spans="1:15" ht="20.100000000000001" customHeight="1" x14ac:dyDescent="0.25">
      <c r="A366" s="89">
        <v>185</v>
      </c>
      <c r="B366" s="4">
        <v>42530</v>
      </c>
      <c r="C366" s="26" t="s">
        <v>45</v>
      </c>
      <c r="D366" s="3">
        <v>4848.03</v>
      </c>
      <c r="E366" s="4">
        <v>42505</v>
      </c>
      <c r="F366" s="92" t="s">
        <v>28</v>
      </c>
      <c r="G366" s="32">
        <v>42537</v>
      </c>
      <c r="H366" s="45">
        <f t="shared" si="28"/>
        <v>4848.03</v>
      </c>
      <c r="L366" s="45">
        <v>3533</v>
      </c>
      <c r="M366" s="29">
        <f t="shared" si="29"/>
        <v>1315.0299999999997</v>
      </c>
      <c r="N366" s="38"/>
      <c r="O366" s="44">
        <f t="shared" si="30"/>
        <v>0.27125038417666553</v>
      </c>
    </row>
    <row r="367" spans="1:15" ht="20.100000000000001" customHeight="1" x14ac:dyDescent="0.25">
      <c r="A367" s="89">
        <v>258</v>
      </c>
      <c r="B367" s="4">
        <v>42535</v>
      </c>
      <c r="C367" s="5" t="s">
        <v>163</v>
      </c>
      <c r="D367" s="3">
        <v>14580</v>
      </c>
      <c r="E367" s="4">
        <v>42537</v>
      </c>
      <c r="F367" s="92" t="s">
        <v>28</v>
      </c>
      <c r="G367" s="32">
        <v>42542</v>
      </c>
      <c r="H367" s="45">
        <f t="shared" si="28"/>
        <v>14580</v>
      </c>
      <c r="I367" s="45">
        <f>H367</f>
        <v>14580</v>
      </c>
      <c r="J367" s="45"/>
      <c r="K367" s="45"/>
      <c r="L367" s="45">
        <v>11328</v>
      </c>
      <c r="M367" s="29">
        <f t="shared" si="29"/>
        <v>3252</v>
      </c>
      <c r="N367" s="38">
        <f>M367</f>
        <v>3252</v>
      </c>
      <c r="O367" s="44">
        <f t="shared" si="30"/>
        <v>0.22304526748971193</v>
      </c>
    </row>
    <row r="368" spans="1:15" ht="20.100000000000001" customHeight="1" x14ac:dyDescent="0.25">
      <c r="A368" s="89">
        <v>204</v>
      </c>
      <c r="B368" s="4">
        <v>42506</v>
      </c>
      <c r="C368" s="26" t="s">
        <v>102</v>
      </c>
      <c r="D368" s="3">
        <v>40639.22</v>
      </c>
      <c r="E368" s="4">
        <v>42538</v>
      </c>
      <c r="F368" s="92" t="s">
        <v>28</v>
      </c>
      <c r="G368" s="32">
        <v>42542</v>
      </c>
      <c r="H368" s="45">
        <f t="shared" si="28"/>
        <v>40639.22</v>
      </c>
      <c r="L368" s="45">
        <f>5664+21453+5409</f>
        <v>32526</v>
      </c>
      <c r="M368" s="29">
        <f t="shared" si="29"/>
        <v>8113.2200000000012</v>
      </c>
      <c r="O368" s="44">
        <f t="shared" si="30"/>
        <v>0.19964015057375611</v>
      </c>
    </row>
    <row r="369" spans="1:15" ht="20.100000000000001" customHeight="1" x14ac:dyDescent="0.25">
      <c r="A369" s="89">
        <v>200</v>
      </c>
      <c r="B369" s="4">
        <v>42506</v>
      </c>
      <c r="C369" s="26" t="s">
        <v>99</v>
      </c>
      <c r="D369" s="3">
        <v>583257.27</v>
      </c>
      <c r="E369" s="4">
        <v>42542</v>
      </c>
      <c r="F369" s="92" t="s">
        <v>28</v>
      </c>
      <c r="G369" s="32">
        <v>42517</v>
      </c>
      <c r="H369" s="45">
        <f t="shared" si="28"/>
        <v>583257.27</v>
      </c>
      <c r="J369" s="2">
        <v>108000</v>
      </c>
      <c r="K369" s="45">
        <v>10800</v>
      </c>
      <c r="L369" s="45">
        <v>187299.46</v>
      </c>
      <c r="M369" s="29">
        <f t="shared" si="29"/>
        <v>277157.81000000006</v>
      </c>
      <c r="O369" s="44">
        <f t="shared" si="30"/>
        <v>0.47518963629891842</v>
      </c>
    </row>
    <row r="370" spans="1:15" ht="20.100000000000001" customHeight="1" x14ac:dyDescent="0.25">
      <c r="A370" s="89">
        <v>265</v>
      </c>
      <c r="B370" s="4">
        <v>42541</v>
      </c>
      <c r="C370" s="5" t="s">
        <v>164</v>
      </c>
      <c r="D370" s="3">
        <v>52890</v>
      </c>
      <c r="E370" s="4">
        <v>42543</v>
      </c>
      <c r="F370" s="92" t="s">
        <v>28</v>
      </c>
      <c r="G370" s="32">
        <v>42545</v>
      </c>
      <c r="H370" s="45">
        <f t="shared" si="28"/>
        <v>52890</v>
      </c>
      <c r="I370" s="45">
        <f>H370</f>
        <v>52890</v>
      </c>
      <c r="K370" s="45"/>
      <c r="L370" s="45">
        <v>36103.31</v>
      </c>
      <c r="M370" s="29">
        <f>H370-L370-K369-K370</f>
        <v>5986.6900000000023</v>
      </c>
      <c r="N370" s="38">
        <f>M370</f>
        <v>5986.6900000000023</v>
      </c>
      <c r="O370" s="44">
        <f t="shared" si="30"/>
        <v>0.11319134051805639</v>
      </c>
    </row>
    <row r="371" spans="1:15" ht="20.100000000000001" customHeight="1" x14ac:dyDescent="0.25">
      <c r="A371" s="89">
        <v>249</v>
      </c>
      <c r="B371" s="4">
        <v>42528</v>
      </c>
      <c r="C371" s="5" t="s">
        <v>159</v>
      </c>
      <c r="D371" s="3">
        <v>3807.27</v>
      </c>
      <c r="E371" s="4">
        <v>42544</v>
      </c>
      <c r="F371" s="92" t="s">
        <v>28</v>
      </c>
      <c r="G371" s="32">
        <v>42544</v>
      </c>
      <c r="H371" s="45">
        <f t="shared" si="28"/>
        <v>3807.27</v>
      </c>
      <c r="I371" s="45">
        <f>H371</f>
        <v>3807.27</v>
      </c>
      <c r="J371" s="45"/>
      <c r="K371" s="45"/>
      <c r="L371" s="45">
        <v>2380</v>
      </c>
      <c r="M371" s="29">
        <f t="shared" ref="M371:M378" si="31">H371-L371-J371-K371</f>
        <v>1427.27</v>
      </c>
      <c r="N371" s="38">
        <f>M371</f>
        <v>1427.27</v>
      </c>
      <c r="O371" s="44">
        <f t="shared" si="30"/>
        <v>0.37488016347671693</v>
      </c>
    </row>
    <row r="372" spans="1:15" ht="20.100000000000001" customHeight="1" x14ac:dyDescent="0.25">
      <c r="A372" s="89">
        <v>253</v>
      </c>
      <c r="B372" s="4">
        <v>42530</v>
      </c>
      <c r="C372" s="26" t="s">
        <v>13</v>
      </c>
      <c r="D372" s="3">
        <v>7761.72</v>
      </c>
      <c r="E372" s="4">
        <v>42544</v>
      </c>
      <c r="F372" s="92" t="s">
        <v>28</v>
      </c>
      <c r="G372" s="32">
        <v>42531</v>
      </c>
      <c r="H372" s="45">
        <f t="shared" si="28"/>
        <v>7761.72</v>
      </c>
      <c r="L372" s="45">
        <v>5868</v>
      </c>
      <c r="M372" s="29">
        <f t="shared" si="31"/>
        <v>1893.7200000000003</v>
      </c>
      <c r="O372" s="44">
        <f t="shared" si="30"/>
        <v>0.24398200398880662</v>
      </c>
    </row>
    <row r="373" spans="1:15" ht="20.100000000000001" customHeight="1" x14ac:dyDescent="0.25">
      <c r="A373" s="89">
        <v>266</v>
      </c>
      <c r="B373" s="4">
        <v>42542</v>
      </c>
      <c r="C373" s="26" t="s">
        <v>42</v>
      </c>
      <c r="D373" s="3">
        <v>12250</v>
      </c>
      <c r="E373" s="4">
        <v>42543</v>
      </c>
      <c r="F373" s="92" t="s">
        <v>28</v>
      </c>
      <c r="G373" s="32">
        <v>42563</v>
      </c>
      <c r="H373" s="45">
        <f t="shared" si="28"/>
        <v>12250</v>
      </c>
      <c r="L373" s="45">
        <v>10870</v>
      </c>
      <c r="M373" s="29">
        <f t="shared" si="31"/>
        <v>1380</v>
      </c>
      <c r="O373" s="44">
        <f t="shared" si="30"/>
        <v>0.1126530612244898</v>
      </c>
    </row>
    <row r="374" spans="1:15" ht="20.100000000000001" customHeight="1" x14ac:dyDescent="0.25">
      <c r="A374" s="89">
        <v>272</v>
      </c>
      <c r="B374" s="4">
        <v>42545</v>
      </c>
      <c r="C374" s="5" t="s">
        <v>165</v>
      </c>
      <c r="D374" s="3">
        <v>10058.42</v>
      </c>
      <c r="E374" s="4">
        <v>42548</v>
      </c>
      <c r="F374" s="92" t="s">
        <v>28</v>
      </c>
      <c r="G374" s="32">
        <v>42563</v>
      </c>
      <c r="H374" s="45">
        <f t="shared" si="28"/>
        <v>10058.42</v>
      </c>
      <c r="I374" s="45">
        <f>H374</f>
        <v>10058.42</v>
      </c>
      <c r="J374" s="45"/>
      <c r="K374" s="45"/>
      <c r="L374" s="45">
        <v>7914</v>
      </c>
      <c r="M374" s="29">
        <f t="shared" si="31"/>
        <v>2144.42</v>
      </c>
      <c r="N374" s="38">
        <f>M374</f>
        <v>2144.42</v>
      </c>
      <c r="O374" s="44">
        <f t="shared" si="30"/>
        <v>0.21319650601187862</v>
      </c>
    </row>
    <row r="375" spans="1:15" ht="20.100000000000001" customHeight="1" x14ac:dyDescent="0.25">
      <c r="A375" s="89">
        <v>264</v>
      </c>
      <c r="B375" s="4">
        <v>42538</v>
      </c>
      <c r="C375" s="26" t="s">
        <v>97</v>
      </c>
      <c r="D375" s="3">
        <v>34090</v>
      </c>
      <c r="E375" s="4">
        <v>42548</v>
      </c>
      <c r="F375" s="92" t="s">
        <v>28</v>
      </c>
      <c r="G375" s="32">
        <v>42556</v>
      </c>
      <c r="H375" s="45">
        <f t="shared" si="28"/>
        <v>34090</v>
      </c>
      <c r="I375" s="45"/>
      <c r="J375" s="45"/>
      <c r="K375" s="45"/>
      <c r="L375" s="45">
        <v>26000</v>
      </c>
      <c r="M375" s="29">
        <f t="shared" si="31"/>
        <v>8090</v>
      </c>
      <c r="O375" s="44">
        <f t="shared" si="30"/>
        <v>0.23731299501320036</v>
      </c>
    </row>
    <row r="376" spans="1:15" ht="20.100000000000001" customHeight="1" x14ac:dyDescent="0.25">
      <c r="A376" s="89">
        <v>216</v>
      </c>
      <c r="B376" s="4">
        <v>42509</v>
      </c>
      <c r="C376" s="5" t="s">
        <v>166</v>
      </c>
      <c r="D376" s="3">
        <v>62462.54</v>
      </c>
      <c r="E376" s="4">
        <v>42548</v>
      </c>
      <c r="F376" s="92" t="s">
        <v>28</v>
      </c>
      <c r="G376" s="32">
        <v>42562</v>
      </c>
      <c r="H376" s="45">
        <f t="shared" si="28"/>
        <v>62462.54</v>
      </c>
      <c r="I376" s="45">
        <f>H376</f>
        <v>62462.54</v>
      </c>
      <c r="J376" s="45"/>
      <c r="K376" s="45"/>
      <c r="L376" s="45">
        <v>45445</v>
      </c>
      <c r="M376" s="29">
        <f t="shared" si="31"/>
        <v>17017.54</v>
      </c>
      <c r="N376" s="38">
        <f>M376</f>
        <v>17017.54</v>
      </c>
      <c r="O376" s="44">
        <f t="shared" si="30"/>
        <v>0.2724439319950806</v>
      </c>
    </row>
    <row r="377" spans="1:15" ht="20.100000000000001" customHeight="1" x14ac:dyDescent="0.25">
      <c r="A377" s="89">
        <v>271</v>
      </c>
      <c r="B377" s="4">
        <v>42513</v>
      </c>
      <c r="C377" s="26" t="s">
        <v>167</v>
      </c>
      <c r="D377" s="3">
        <v>4000</v>
      </c>
      <c r="E377" s="4">
        <v>42548</v>
      </c>
      <c r="F377" s="92" t="s">
        <v>28</v>
      </c>
      <c r="G377" s="32">
        <v>42556</v>
      </c>
      <c r="H377" s="45">
        <f t="shared" si="28"/>
        <v>4000</v>
      </c>
      <c r="K377" s="2">
        <v>300</v>
      </c>
      <c r="L377" s="45">
        <v>1758.8</v>
      </c>
      <c r="M377" s="29">
        <f t="shared" si="31"/>
        <v>1941.1999999999998</v>
      </c>
      <c r="O377" s="44">
        <f t="shared" si="30"/>
        <v>0.48529999999999995</v>
      </c>
    </row>
    <row r="378" spans="1:15" ht="20.100000000000001" customHeight="1" x14ac:dyDescent="0.25">
      <c r="A378" s="89">
        <v>269</v>
      </c>
      <c r="B378" s="4">
        <v>42543</v>
      </c>
      <c r="C378" s="26" t="s">
        <v>33</v>
      </c>
      <c r="D378" s="3">
        <v>3834</v>
      </c>
      <c r="E378" s="4">
        <v>42550</v>
      </c>
      <c r="F378" s="92" t="s">
        <v>28</v>
      </c>
      <c r="G378" s="32">
        <v>42565</v>
      </c>
      <c r="H378" s="45">
        <f t="shared" si="28"/>
        <v>3834</v>
      </c>
      <c r="L378" s="45">
        <v>2300</v>
      </c>
      <c r="M378" s="29">
        <f t="shared" si="31"/>
        <v>1534</v>
      </c>
      <c r="O378" s="44">
        <f t="shared" si="30"/>
        <v>0.40010432968179449</v>
      </c>
    </row>
    <row r="379" spans="1:15" ht="19.5" customHeight="1" x14ac:dyDescent="0.25">
      <c r="A379" s="89"/>
      <c r="B379" s="4"/>
      <c r="C379" s="5"/>
      <c r="D379" s="3"/>
      <c r="E379" s="97">
        <v>72700</v>
      </c>
      <c r="F379" s="98">
        <f>M379*0.17+N379*0.06</f>
        <v>68551.719500000007</v>
      </c>
      <c r="G379" s="21">
        <f>H379*0.05+I379*0.02</f>
        <v>56531.470000000008</v>
      </c>
      <c r="H379" s="16">
        <f t="shared" ref="H379:N379" si="32">SUM(H348:H378)</f>
        <v>1042223.2200000001</v>
      </c>
      <c r="I379" s="16">
        <f t="shared" si="32"/>
        <v>221015.45</v>
      </c>
      <c r="J379" s="16">
        <f t="shared" si="32"/>
        <v>108000</v>
      </c>
      <c r="K379" s="16">
        <f t="shared" si="32"/>
        <v>11100</v>
      </c>
      <c r="L379" s="16">
        <f t="shared" si="32"/>
        <v>526303.55000000005</v>
      </c>
      <c r="M379" s="16">
        <f t="shared" si="32"/>
        <v>386019.67000000004</v>
      </c>
      <c r="N379" s="16">
        <f t="shared" si="32"/>
        <v>48806.26</v>
      </c>
      <c r="O379" s="44">
        <f t="shared" si="30"/>
        <v>0.37038099189538304</v>
      </c>
    </row>
    <row r="380" spans="1:15" ht="23.25" x14ac:dyDescent="0.35">
      <c r="C380" s="94" t="s">
        <v>641</v>
      </c>
    </row>
    <row r="381" spans="1:15" ht="20.100000000000001" customHeight="1" x14ac:dyDescent="0.25">
      <c r="A381" s="89">
        <v>280</v>
      </c>
      <c r="B381" s="4">
        <v>42551</v>
      </c>
      <c r="C381" s="26" t="s">
        <v>147</v>
      </c>
      <c r="D381" s="3">
        <v>6618</v>
      </c>
      <c r="E381" s="4">
        <v>42559</v>
      </c>
      <c r="F381" s="92" t="s">
        <v>28</v>
      </c>
      <c r="G381" s="32">
        <v>42565</v>
      </c>
      <c r="H381" s="45">
        <f t="shared" ref="H381:H396" si="33">D381</f>
        <v>6618</v>
      </c>
      <c r="L381" s="45">
        <v>5698</v>
      </c>
      <c r="M381" s="29">
        <f t="shared" ref="M381:M396" si="34">H381-L381-J381-K381</f>
        <v>920</v>
      </c>
      <c r="O381" s="44">
        <f t="shared" ref="O381:O397" si="35">M381/H381</f>
        <v>0.13901480809912362</v>
      </c>
    </row>
    <row r="382" spans="1:15" ht="20.100000000000001" customHeight="1" x14ac:dyDescent="0.25">
      <c r="A382" s="89">
        <v>299</v>
      </c>
      <c r="B382" s="4">
        <v>42562</v>
      </c>
      <c r="C382" s="5" t="s">
        <v>168</v>
      </c>
      <c r="D382" s="3">
        <v>39990</v>
      </c>
      <c r="E382" s="4">
        <v>42562</v>
      </c>
      <c r="F382" s="92" t="s">
        <v>28</v>
      </c>
      <c r="G382" s="32">
        <v>42563</v>
      </c>
      <c r="H382" s="45">
        <f t="shared" si="33"/>
        <v>39990</v>
      </c>
      <c r="I382" s="45">
        <f>H382</f>
        <v>39990</v>
      </c>
      <c r="J382" s="45"/>
      <c r="K382" s="45"/>
      <c r="L382" s="45">
        <v>30232</v>
      </c>
      <c r="M382" s="29">
        <f t="shared" si="34"/>
        <v>9758</v>
      </c>
      <c r="N382" s="38">
        <f>M382</f>
        <v>9758</v>
      </c>
      <c r="O382" s="44">
        <f t="shared" si="35"/>
        <v>0.24401100275068768</v>
      </c>
    </row>
    <row r="383" spans="1:15" ht="20.100000000000001" customHeight="1" x14ac:dyDescent="0.25">
      <c r="A383" s="89">
        <v>302</v>
      </c>
      <c r="B383" s="4">
        <v>42563</v>
      </c>
      <c r="C383" s="26" t="s">
        <v>140</v>
      </c>
      <c r="D383" s="3">
        <v>346</v>
      </c>
      <c r="E383" s="4">
        <v>42563</v>
      </c>
      <c r="F383" s="92" t="s">
        <v>28</v>
      </c>
      <c r="G383" s="32">
        <v>42566</v>
      </c>
      <c r="H383" s="45">
        <f t="shared" si="33"/>
        <v>346</v>
      </c>
      <c r="L383" s="45">
        <v>260</v>
      </c>
      <c r="M383" s="29">
        <f t="shared" si="34"/>
        <v>86</v>
      </c>
      <c r="O383" s="44">
        <f t="shared" si="35"/>
        <v>0.24855491329479767</v>
      </c>
    </row>
    <row r="384" spans="1:15" ht="20.100000000000001" customHeight="1" x14ac:dyDescent="0.25">
      <c r="A384" s="89">
        <v>311</v>
      </c>
      <c r="B384" s="4">
        <v>42564</v>
      </c>
      <c r="C384" s="26" t="s">
        <v>123</v>
      </c>
      <c r="D384" s="3">
        <v>44290</v>
      </c>
      <c r="E384" s="4">
        <v>42565</v>
      </c>
      <c r="F384" s="92" t="s">
        <v>28</v>
      </c>
      <c r="G384" s="32">
        <v>42583</v>
      </c>
      <c r="H384" s="45">
        <f t="shared" si="33"/>
        <v>44290</v>
      </c>
      <c r="L384" s="45">
        <v>33483</v>
      </c>
      <c r="M384" s="29">
        <f t="shared" si="34"/>
        <v>10807</v>
      </c>
      <c r="O384" s="44">
        <f t="shared" si="35"/>
        <v>0.24400541883043578</v>
      </c>
    </row>
    <row r="385" spans="1:15" ht="20.100000000000001" customHeight="1" x14ac:dyDescent="0.25">
      <c r="A385" s="89">
        <v>312</v>
      </c>
      <c r="B385" s="4">
        <v>42564</v>
      </c>
      <c r="C385" s="26" t="s">
        <v>43</v>
      </c>
      <c r="D385" s="3">
        <v>14190</v>
      </c>
      <c r="E385" s="4">
        <v>42564</v>
      </c>
      <c r="F385" s="92" t="s">
        <v>28</v>
      </c>
      <c r="G385" s="32">
        <v>42583</v>
      </c>
      <c r="H385" s="45">
        <f t="shared" si="33"/>
        <v>14190</v>
      </c>
      <c r="L385" s="45">
        <v>11324</v>
      </c>
      <c r="M385" s="29">
        <f t="shared" si="34"/>
        <v>2866</v>
      </c>
      <c r="O385" s="44">
        <f t="shared" si="35"/>
        <v>0.20197322057787173</v>
      </c>
    </row>
    <row r="386" spans="1:15" ht="20.100000000000001" customHeight="1" x14ac:dyDescent="0.25">
      <c r="A386" s="89">
        <v>303</v>
      </c>
      <c r="B386" s="4">
        <v>42563</v>
      </c>
      <c r="C386" s="5" t="s">
        <v>169</v>
      </c>
      <c r="D386" s="3">
        <v>18871.810000000001</v>
      </c>
      <c r="E386" s="4">
        <v>42565</v>
      </c>
      <c r="F386" s="92" t="s">
        <v>28</v>
      </c>
      <c r="G386" s="32">
        <v>42566</v>
      </c>
      <c r="H386" s="45">
        <f t="shared" si="33"/>
        <v>18871.810000000001</v>
      </c>
      <c r="I386" s="45">
        <f>H386</f>
        <v>18871.810000000001</v>
      </c>
      <c r="J386" s="45"/>
      <c r="K386" s="45">
        <v>300</v>
      </c>
      <c r="L386" s="45">
        <v>12523.68</v>
      </c>
      <c r="M386" s="29">
        <f t="shared" si="34"/>
        <v>6048.130000000001</v>
      </c>
      <c r="N386" s="38">
        <f>M386</f>
        <v>6048.130000000001</v>
      </c>
      <c r="O386" s="44">
        <f t="shared" si="35"/>
        <v>0.32048489254607804</v>
      </c>
    </row>
    <row r="387" spans="1:15" ht="20.100000000000001" customHeight="1" x14ac:dyDescent="0.25">
      <c r="A387" s="89">
        <v>218</v>
      </c>
      <c r="B387" s="4">
        <v>42513</v>
      </c>
      <c r="C387" s="26" t="s">
        <v>38</v>
      </c>
      <c r="D387" s="3">
        <v>47648.27</v>
      </c>
      <c r="E387" s="4">
        <v>42565</v>
      </c>
      <c r="F387" s="92" t="s">
        <v>28</v>
      </c>
      <c r="G387" s="32">
        <v>42545</v>
      </c>
      <c r="H387" s="45">
        <f t="shared" si="33"/>
        <v>47648.27</v>
      </c>
      <c r="J387" s="45">
        <f>D387*0.02</f>
        <v>952.96539999999993</v>
      </c>
      <c r="K387" s="2">
        <v>900</v>
      </c>
      <c r="L387" s="45">
        <v>16804.400000000001</v>
      </c>
      <c r="M387" s="29">
        <f t="shared" si="34"/>
        <v>28990.904599999994</v>
      </c>
      <c r="O387" s="44">
        <f t="shared" si="35"/>
        <v>0.60843561791435441</v>
      </c>
    </row>
    <row r="388" spans="1:15" ht="20.100000000000001" customHeight="1" x14ac:dyDescent="0.25">
      <c r="A388" s="89">
        <v>125</v>
      </c>
      <c r="B388" s="4">
        <v>42458</v>
      </c>
      <c r="C388" s="26" t="s">
        <v>99</v>
      </c>
      <c r="D388" s="3">
        <v>187184.77</v>
      </c>
      <c r="E388" s="4">
        <v>42566</v>
      </c>
      <c r="F388" s="92" t="s">
        <v>28</v>
      </c>
      <c r="G388" s="32">
        <v>42496</v>
      </c>
      <c r="H388" s="45">
        <f t="shared" si="33"/>
        <v>187184.77</v>
      </c>
      <c r="J388" s="2">
        <v>45000</v>
      </c>
      <c r="K388" s="2">
        <v>4500</v>
      </c>
      <c r="L388" s="45">
        <v>39397.78</v>
      </c>
      <c r="M388" s="29">
        <f t="shared" si="34"/>
        <v>98286.989999999991</v>
      </c>
      <c r="O388" s="44">
        <f t="shared" si="35"/>
        <v>0.52508005859664753</v>
      </c>
    </row>
    <row r="389" spans="1:15" ht="20.100000000000001" customHeight="1" x14ac:dyDescent="0.25">
      <c r="A389" s="89">
        <v>314</v>
      </c>
      <c r="B389" s="4">
        <v>42565</v>
      </c>
      <c r="C389" s="26" t="s">
        <v>34</v>
      </c>
      <c r="D389" s="3">
        <v>1304.99</v>
      </c>
      <c r="E389" s="4">
        <v>42570</v>
      </c>
      <c r="F389" s="92" t="s">
        <v>28</v>
      </c>
      <c r="G389" s="32">
        <v>42591</v>
      </c>
      <c r="H389" s="45">
        <f t="shared" si="33"/>
        <v>1304.99</v>
      </c>
      <c r="L389" s="45">
        <v>783</v>
      </c>
      <c r="M389" s="29">
        <f t="shared" si="34"/>
        <v>521.99</v>
      </c>
      <c r="O389" s="44">
        <f t="shared" si="35"/>
        <v>0.3999954022636189</v>
      </c>
    </row>
    <row r="390" spans="1:15" ht="20.100000000000001" customHeight="1" x14ac:dyDescent="0.25">
      <c r="A390" s="89">
        <v>316</v>
      </c>
      <c r="B390" s="4">
        <v>42566</v>
      </c>
      <c r="C390" s="26" t="s">
        <v>150</v>
      </c>
      <c r="D390" s="3">
        <v>1650</v>
      </c>
      <c r="E390" s="4">
        <v>42571</v>
      </c>
      <c r="F390" s="92" t="s">
        <v>28</v>
      </c>
      <c r="G390" s="32">
        <v>42572</v>
      </c>
      <c r="H390" s="45">
        <f t="shared" si="33"/>
        <v>1650</v>
      </c>
      <c r="L390" s="45">
        <v>864</v>
      </c>
      <c r="M390" s="29">
        <f t="shared" si="34"/>
        <v>786</v>
      </c>
      <c r="O390" s="44">
        <f t="shared" si="35"/>
        <v>0.47636363636363638</v>
      </c>
    </row>
    <row r="391" spans="1:15" ht="20.100000000000001" customHeight="1" x14ac:dyDescent="0.25">
      <c r="A391" s="89">
        <v>321</v>
      </c>
      <c r="B391" s="4">
        <v>42571</v>
      </c>
      <c r="C391" s="26" t="s">
        <v>54</v>
      </c>
      <c r="D391" s="3">
        <v>5392</v>
      </c>
      <c r="E391" s="4">
        <v>42571</v>
      </c>
      <c r="F391" s="92" t="s">
        <v>28</v>
      </c>
      <c r="G391" s="32">
        <v>42572</v>
      </c>
      <c r="H391" s="45">
        <f t="shared" si="33"/>
        <v>5392</v>
      </c>
      <c r="L391" s="45">
        <v>4076</v>
      </c>
      <c r="M391" s="29">
        <f t="shared" si="34"/>
        <v>1316</v>
      </c>
      <c r="O391" s="44">
        <f t="shared" si="35"/>
        <v>0.24406528189910978</v>
      </c>
    </row>
    <row r="392" spans="1:15" ht="20.100000000000001" customHeight="1" x14ac:dyDescent="0.25">
      <c r="A392" s="89">
        <v>323</v>
      </c>
      <c r="B392" s="4">
        <v>42572</v>
      </c>
      <c r="C392" s="5" t="s">
        <v>170</v>
      </c>
      <c r="D392" s="3">
        <v>33004.15</v>
      </c>
      <c r="E392" s="4">
        <v>42573</v>
      </c>
      <c r="F392" s="92" t="s">
        <v>28</v>
      </c>
      <c r="G392" s="32">
        <v>42587</v>
      </c>
      <c r="H392" s="45">
        <f t="shared" si="33"/>
        <v>33004.15</v>
      </c>
      <c r="I392" s="45">
        <f>H392</f>
        <v>33004.15</v>
      </c>
      <c r="J392" s="45"/>
      <c r="K392" s="45"/>
      <c r="L392" s="45">
        <v>24705</v>
      </c>
      <c r="M392" s="29">
        <f t="shared" si="34"/>
        <v>8299.1500000000015</v>
      </c>
      <c r="N392" s="38">
        <f>M392</f>
        <v>8299.1500000000015</v>
      </c>
      <c r="O392" s="44">
        <f t="shared" si="35"/>
        <v>0.25145777121967999</v>
      </c>
    </row>
    <row r="393" spans="1:15" ht="20.100000000000001" customHeight="1" x14ac:dyDescent="0.25">
      <c r="A393" s="89">
        <v>326</v>
      </c>
      <c r="B393" s="4">
        <v>42576</v>
      </c>
      <c r="C393" s="5" t="s">
        <v>171</v>
      </c>
      <c r="D393" s="3">
        <v>30390</v>
      </c>
      <c r="E393" s="4">
        <v>42576</v>
      </c>
      <c r="F393" s="92" t="s">
        <v>28</v>
      </c>
      <c r="G393" s="32">
        <v>42577</v>
      </c>
      <c r="H393" s="45">
        <f t="shared" si="33"/>
        <v>30390</v>
      </c>
      <c r="I393" s="45">
        <f>H393</f>
        <v>30390</v>
      </c>
      <c r="J393" s="45"/>
      <c r="K393" s="45"/>
      <c r="L393" s="45">
        <v>23613</v>
      </c>
      <c r="M393" s="29">
        <f t="shared" si="34"/>
        <v>6777</v>
      </c>
      <c r="N393" s="38">
        <f>M393</f>
        <v>6777</v>
      </c>
      <c r="O393" s="44">
        <f t="shared" si="35"/>
        <v>0.2230009871668312</v>
      </c>
    </row>
    <row r="394" spans="1:15" ht="20.100000000000001" customHeight="1" x14ac:dyDescent="0.25">
      <c r="A394" s="89">
        <v>263</v>
      </c>
      <c r="B394" s="4">
        <v>42538</v>
      </c>
      <c r="C394" s="26" t="s">
        <v>102</v>
      </c>
      <c r="D394" s="3">
        <v>16890</v>
      </c>
      <c r="E394" s="4">
        <v>42577</v>
      </c>
      <c r="F394" s="92" t="s">
        <v>28</v>
      </c>
      <c r="G394" s="32">
        <v>42618</v>
      </c>
      <c r="H394" s="45">
        <f t="shared" si="33"/>
        <v>16890</v>
      </c>
      <c r="L394" s="45">
        <v>12928</v>
      </c>
      <c r="M394" s="29">
        <f t="shared" si="34"/>
        <v>3962</v>
      </c>
      <c r="N394" s="38"/>
      <c r="O394" s="44">
        <f t="shared" si="35"/>
        <v>0.23457667258732978</v>
      </c>
    </row>
    <row r="395" spans="1:15" ht="20.100000000000001" customHeight="1" x14ac:dyDescent="0.25">
      <c r="A395" s="89">
        <v>333</v>
      </c>
      <c r="B395" s="4">
        <v>42577</v>
      </c>
      <c r="C395" s="5" t="s">
        <v>172</v>
      </c>
      <c r="D395" s="3">
        <v>51272</v>
      </c>
      <c r="E395" s="4">
        <v>42579</v>
      </c>
      <c r="F395" s="92" t="s">
        <v>28</v>
      </c>
      <c r="G395" s="32">
        <v>42590</v>
      </c>
      <c r="H395" s="45">
        <f t="shared" si="33"/>
        <v>51272</v>
      </c>
      <c r="I395" s="45">
        <f>H395</f>
        <v>51272</v>
      </c>
      <c r="J395" s="45"/>
      <c r="K395" s="45"/>
      <c r="L395" s="45">
        <v>39369</v>
      </c>
      <c r="M395" s="29">
        <f t="shared" si="34"/>
        <v>11903</v>
      </c>
      <c r="N395" s="38">
        <f>M395</f>
        <v>11903</v>
      </c>
      <c r="O395" s="44">
        <f t="shared" si="35"/>
        <v>0.23215400218442814</v>
      </c>
    </row>
    <row r="396" spans="1:15" ht="20.100000000000001" customHeight="1" x14ac:dyDescent="0.25">
      <c r="A396" s="89">
        <v>349</v>
      </c>
      <c r="B396" s="4">
        <v>42580</v>
      </c>
      <c r="C396" s="26" t="s">
        <v>145</v>
      </c>
      <c r="D396" s="3">
        <v>5234.9399999999996</v>
      </c>
      <c r="E396" s="4">
        <v>42580</v>
      </c>
      <c r="F396" s="92" t="s">
        <v>28</v>
      </c>
      <c r="G396" s="32">
        <v>42583</v>
      </c>
      <c r="H396" s="45">
        <f t="shared" si="33"/>
        <v>5234.9399999999996</v>
      </c>
      <c r="I396" s="45"/>
      <c r="J396" s="45"/>
      <c r="K396" s="45"/>
      <c r="L396" s="45">
        <v>3991</v>
      </c>
      <c r="M396" s="29">
        <f t="shared" si="34"/>
        <v>1243.9399999999996</v>
      </c>
      <c r="N396" s="38"/>
      <c r="O396" s="44">
        <f t="shared" si="35"/>
        <v>0.23762258975270006</v>
      </c>
    </row>
    <row r="397" spans="1:15" ht="19.5" customHeight="1" x14ac:dyDescent="0.25">
      <c r="A397" s="89"/>
      <c r="B397" s="4"/>
      <c r="C397" s="5"/>
      <c r="D397" s="3"/>
      <c r="E397" s="97">
        <v>35500</v>
      </c>
      <c r="F397" s="98">
        <f>M397*0.17+N397*0.06</f>
        <v>35304.374582000004</v>
      </c>
      <c r="G397" s="21">
        <f>H397*0.05+I397*0.02</f>
        <v>28684.405699999999</v>
      </c>
      <c r="H397" s="16">
        <f t="shared" ref="H397:N397" si="36">SUM(H381:H396)</f>
        <v>504276.93</v>
      </c>
      <c r="I397" s="16">
        <f t="shared" si="36"/>
        <v>173527.96</v>
      </c>
      <c r="J397" s="16">
        <f t="shared" si="36"/>
        <v>45952.965400000001</v>
      </c>
      <c r="K397" s="16">
        <f t="shared" si="36"/>
        <v>5700</v>
      </c>
      <c r="L397" s="16">
        <f t="shared" si="36"/>
        <v>260051.86</v>
      </c>
      <c r="M397" s="16">
        <f t="shared" si="36"/>
        <v>192572.10459999999</v>
      </c>
      <c r="N397" s="16">
        <f t="shared" si="36"/>
        <v>42785.279999999999</v>
      </c>
      <c r="O397" s="44">
        <f t="shared" si="35"/>
        <v>0.38187768097977431</v>
      </c>
    </row>
    <row r="398" spans="1:15" ht="23.25" x14ac:dyDescent="0.35">
      <c r="C398" s="94" t="s">
        <v>642</v>
      </c>
    </row>
    <row r="399" spans="1:15" ht="20.100000000000001" customHeight="1" x14ac:dyDescent="0.25">
      <c r="A399" s="89">
        <v>355</v>
      </c>
      <c r="B399" s="4">
        <v>42583</v>
      </c>
      <c r="C399" s="5" t="s">
        <v>173</v>
      </c>
      <c r="D399" s="3">
        <v>4865.66</v>
      </c>
      <c r="E399" s="4">
        <v>42584</v>
      </c>
      <c r="F399" s="92" t="s">
        <v>28</v>
      </c>
      <c r="G399" s="32">
        <v>42604</v>
      </c>
      <c r="H399" s="27">
        <f t="shared" ref="H399:H441" si="37">D399</f>
        <v>4865.66</v>
      </c>
      <c r="I399" s="27">
        <f>H399</f>
        <v>4865.66</v>
      </c>
      <c r="J399" s="27"/>
      <c r="K399" s="27"/>
      <c r="L399" s="27">
        <v>4189</v>
      </c>
      <c r="M399" s="29">
        <f t="shared" ref="M399:M441" si="38">H399-L399-J399-K399</f>
        <v>676.65999999999985</v>
      </c>
      <c r="N399" s="29">
        <f>M399</f>
        <v>676.65999999999985</v>
      </c>
      <c r="O399" s="44">
        <f t="shared" ref="O399:O442" si="39">M399/H399</f>
        <v>0.1390684922497667</v>
      </c>
    </row>
    <row r="400" spans="1:15" ht="20.100000000000001" customHeight="1" x14ac:dyDescent="0.25">
      <c r="A400" s="89">
        <v>353</v>
      </c>
      <c r="B400" s="4">
        <v>42583</v>
      </c>
      <c r="C400" s="5" t="s">
        <v>174</v>
      </c>
      <c r="D400" s="3">
        <v>8177.48</v>
      </c>
      <c r="E400" s="4">
        <v>42584</v>
      </c>
      <c r="F400" s="92" t="s">
        <v>28</v>
      </c>
      <c r="G400" s="32">
        <v>42586</v>
      </c>
      <c r="H400" s="27">
        <f t="shared" si="37"/>
        <v>8177.48</v>
      </c>
      <c r="I400" s="27">
        <f>H400</f>
        <v>8177.48</v>
      </c>
      <c r="J400" s="27"/>
      <c r="K400" s="27">
        <v>600</v>
      </c>
      <c r="L400" s="27">
        <v>5249.8</v>
      </c>
      <c r="M400" s="29">
        <f t="shared" si="38"/>
        <v>2327.6799999999994</v>
      </c>
      <c r="N400" s="29">
        <f>M400</f>
        <v>2327.6799999999994</v>
      </c>
      <c r="O400" s="44">
        <f t="shared" si="39"/>
        <v>0.28464514740482394</v>
      </c>
    </row>
    <row r="401" spans="1:15" ht="20.100000000000001" customHeight="1" x14ac:dyDescent="0.25">
      <c r="A401" s="89">
        <v>351</v>
      </c>
      <c r="B401" s="4">
        <v>42580</v>
      </c>
      <c r="C401" s="5" t="s">
        <v>175</v>
      </c>
      <c r="D401" s="3">
        <v>29524</v>
      </c>
      <c r="E401" s="4">
        <v>42584</v>
      </c>
      <c r="F401" s="92" t="s">
        <v>28</v>
      </c>
      <c r="G401" s="32">
        <v>42598</v>
      </c>
      <c r="H401" s="27">
        <f t="shared" si="37"/>
        <v>29524</v>
      </c>
      <c r="I401" s="27">
        <f>H401</f>
        <v>29524</v>
      </c>
      <c r="J401" s="27"/>
      <c r="K401" s="27"/>
      <c r="L401" s="27">
        <v>21996</v>
      </c>
      <c r="M401" s="29">
        <f t="shared" si="38"/>
        <v>7528</v>
      </c>
      <c r="N401" s="29">
        <f>M401</f>
        <v>7528</v>
      </c>
      <c r="O401" s="44">
        <f t="shared" si="39"/>
        <v>0.25497900013548297</v>
      </c>
    </row>
    <row r="402" spans="1:15" ht="20.100000000000001" customHeight="1" x14ac:dyDescent="0.25">
      <c r="A402" s="89">
        <v>350</v>
      </c>
      <c r="B402" s="4">
        <v>42583</v>
      </c>
      <c r="C402" s="26" t="s">
        <v>15</v>
      </c>
      <c r="D402" s="3">
        <v>5194.45</v>
      </c>
      <c r="E402" s="4">
        <v>42584</v>
      </c>
      <c r="F402" s="92" t="s">
        <v>28</v>
      </c>
      <c r="G402" s="32">
        <v>42587</v>
      </c>
      <c r="H402" s="27">
        <f t="shared" si="37"/>
        <v>5194.45</v>
      </c>
      <c r="I402" s="99"/>
      <c r="J402" s="99"/>
      <c r="K402" s="99"/>
      <c r="L402" s="27">
        <v>3247</v>
      </c>
      <c r="M402" s="29">
        <f t="shared" si="38"/>
        <v>1947.4499999999998</v>
      </c>
      <c r="N402" s="29"/>
      <c r="O402" s="44">
        <f t="shared" si="39"/>
        <v>0.3749097594548027</v>
      </c>
    </row>
    <row r="403" spans="1:15" ht="20.100000000000001" customHeight="1" x14ac:dyDescent="0.25">
      <c r="A403" s="89">
        <v>340</v>
      </c>
      <c r="B403" s="4">
        <v>42578</v>
      </c>
      <c r="C403" s="26" t="s">
        <v>60</v>
      </c>
      <c r="D403" s="3">
        <v>22631.64</v>
      </c>
      <c r="E403" s="4">
        <v>42586</v>
      </c>
      <c r="F403" s="92" t="s">
        <v>28</v>
      </c>
      <c r="G403" s="32">
        <v>42580</v>
      </c>
      <c r="H403" s="27">
        <f t="shared" si="37"/>
        <v>22631.64</v>
      </c>
      <c r="I403" s="99"/>
      <c r="J403" s="99"/>
      <c r="K403" s="99"/>
      <c r="L403" s="27">
        <v>17604</v>
      </c>
      <c r="M403" s="29">
        <f t="shared" si="38"/>
        <v>5027.6399999999994</v>
      </c>
      <c r="N403" s="29"/>
      <c r="O403" s="44">
        <f t="shared" si="39"/>
        <v>0.22215093559282489</v>
      </c>
    </row>
    <row r="404" spans="1:15" ht="20.100000000000001" customHeight="1" x14ac:dyDescent="0.25">
      <c r="A404" s="89">
        <v>341</v>
      </c>
      <c r="B404" s="4">
        <v>42578</v>
      </c>
      <c r="C404" s="26" t="s">
        <v>50</v>
      </c>
      <c r="D404" s="3">
        <v>4723.78</v>
      </c>
      <c r="E404" s="4">
        <v>42586</v>
      </c>
      <c r="F404" s="92" t="s">
        <v>28</v>
      </c>
      <c r="G404" s="32">
        <v>42592</v>
      </c>
      <c r="H404" s="27">
        <f t="shared" si="37"/>
        <v>4723.78</v>
      </c>
      <c r="I404" s="99"/>
      <c r="J404" s="99"/>
      <c r="K404" s="99"/>
      <c r="L404" s="27">
        <v>3637</v>
      </c>
      <c r="M404" s="29">
        <f t="shared" si="38"/>
        <v>1086.7799999999997</v>
      </c>
      <c r="N404" s="29"/>
      <c r="O404" s="44">
        <f t="shared" si="39"/>
        <v>0.23006575242708166</v>
      </c>
    </row>
    <row r="405" spans="1:15" ht="20.100000000000001" customHeight="1" x14ac:dyDescent="0.25">
      <c r="A405" s="89">
        <v>344</v>
      </c>
      <c r="B405" s="4">
        <v>42579</v>
      </c>
      <c r="C405" s="26" t="s">
        <v>72</v>
      </c>
      <c r="D405" s="3">
        <v>1935</v>
      </c>
      <c r="E405" s="4">
        <v>42586</v>
      </c>
      <c r="F405" s="92" t="s">
        <v>28</v>
      </c>
      <c r="G405" s="32">
        <v>42580</v>
      </c>
      <c r="H405" s="27">
        <f t="shared" si="37"/>
        <v>1935</v>
      </c>
      <c r="I405" s="99"/>
      <c r="J405" s="99"/>
      <c r="K405" s="99"/>
      <c r="L405" s="27">
        <v>1583</v>
      </c>
      <c r="M405" s="29">
        <f t="shared" si="38"/>
        <v>352</v>
      </c>
      <c r="N405" s="29"/>
      <c r="O405" s="44">
        <f t="shared" si="39"/>
        <v>0.18191214470284237</v>
      </c>
    </row>
    <row r="406" spans="1:15" ht="20.100000000000001" customHeight="1" x14ac:dyDescent="0.25">
      <c r="A406" s="89">
        <v>291</v>
      </c>
      <c r="B406" s="4">
        <v>42557</v>
      </c>
      <c r="C406" s="26" t="s">
        <v>56</v>
      </c>
      <c r="D406" s="3">
        <v>84104</v>
      </c>
      <c r="E406" s="4">
        <v>42590</v>
      </c>
      <c r="F406" s="92" t="s">
        <v>28</v>
      </c>
      <c r="G406" s="32">
        <v>42576</v>
      </c>
      <c r="H406" s="27">
        <f t="shared" si="37"/>
        <v>84104</v>
      </c>
      <c r="I406" s="99"/>
      <c r="J406" s="99"/>
      <c r="K406" s="99"/>
      <c r="L406" s="27">
        <v>59790.879999999997</v>
      </c>
      <c r="M406" s="29">
        <f t="shared" si="38"/>
        <v>24313.120000000003</v>
      </c>
      <c r="N406" s="29"/>
      <c r="O406" s="44">
        <f t="shared" si="39"/>
        <v>0.28908399124892992</v>
      </c>
    </row>
    <row r="407" spans="1:15" ht="20.100000000000001" customHeight="1" x14ac:dyDescent="0.25">
      <c r="A407" s="89">
        <v>334</v>
      </c>
      <c r="B407" s="4">
        <v>42577</v>
      </c>
      <c r="C407" s="26" t="s">
        <v>56</v>
      </c>
      <c r="D407" s="3">
        <v>4900</v>
      </c>
      <c r="E407" s="4">
        <v>42590</v>
      </c>
      <c r="F407" s="92" t="s">
        <v>28</v>
      </c>
      <c r="G407" s="32">
        <v>42578</v>
      </c>
      <c r="H407" s="27">
        <f t="shared" si="37"/>
        <v>4900</v>
      </c>
      <c r="I407" s="99"/>
      <c r="J407" s="99"/>
      <c r="K407" s="99"/>
      <c r="L407" s="27">
        <v>4348</v>
      </c>
      <c r="M407" s="29">
        <f t="shared" si="38"/>
        <v>552</v>
      </c>
      <c r="N407" s="29"/>
      <c r="O407" s="44">
        <f t="shared" si="39"/>
        <v>0.1126530612244898</v>
      </c>
    </row>
    <row r="408" spans="1:15" ht="20.100000000000001" customHeight="1" x14ac:dyDescent="0.25">
      <c r="A408" s="89">
        <v>293</v>
      </c>
      <c r="B408" s="4">
        <v>42562</v>
      </c>
      <c r="C408" s="26" t="s">
        <v>38</v>
      </c>
      <c r="D408" s="3">
        <v>23868.76</v>
      </c>
      <c r="E408" s="4">
        <v>42590</v>
      </c>
      <c r="F408" s="92" t="s">
        <v>28</v>
      </c>
      <c r="G408" s="32">
        <v>42579</v>
      </c>
      <c r="H408" s="27">
        <f t="shared" si="37"/>
        <v>23868.76</v>
      </c>
      <c r="I408" s="99"/>
      <c r="J408" s="27">
        <f>0.02*H408</f>
        <v>477.37519999999995</v>
      </c>
      <c r="K408" s="99"/>
      <c r="L408" s="27">
        <v>16339</v>
      </c>
      <c r="M408" s="29">
        <f t="shared" si="38"/>
        <v>7052.384799999998</v>
      </c>
      <c r="N408" s="99"/>
      <c r="O408" s="44">
        <f t="shared" si="39"/>
        <v>0.295465068147654</v>
      </c>
    </row>
    <row r="409" spans="1:15" ht="20.100000000000001" customHeight="1" x14ac:dyDescent="0.25">
      <c r="A409" s="89">
        <v>288</v>
      </c>
      <c r="B409" s="4">
        <v>42562</v>
      </c>
      <c r="C409" s="26" t="s">
        <v>38</v>
      </c>
      <c r="D409" s="3">
        <v>68104.240000000005</v>
      </c>
      <c r="E409" s="4">
        <v>42590</v>
      </c>
      <c r="F409" s="92" t="s">
        <v>28</v>
      </c>
      <c r="G409" s="32">
        <v>42579</v>
      </c>
      <c r="H409" s="27">
        <f t="shared" si="37"/>
        <v>68104.240000000005</v>
      </c>
      <c r="I409" s="99"/>
      <c r="J409" s="27">
        <f>0.02*H409</f>
        <v>1362.0848000000001</v>
      </c>
      <c r="K409" s="99">
        <v>1200</v>
      </c>
      <c r="L409" s="27">
        <v>36079.599999999999</v>
      </c>
      <c r="M409" s="29">
        <f t="shared" si="38"/>
        <v>29462.555200000006</v>
      </c>
      <c r="N409" s="99"/>
      <c r="O409" s="44">
        <f t="shared" si="39"/>
        <v>0.43260970535755194</v>
      </c>
    </row>
    <row r="410" spans="1:15" ht="20.100000000000001" customHeight="1" x14ac:dyDescent="0.25">
      <c r="A410" s="89">
        <v>287</v>
      </c>
      <c r="B410" s="4">
        <v>42562</v>
      </c>
      <c r="C410" s="26" t="s">
        <v>38</v>
      </c>
      <c r="D410" s="3">
        <v>62500</v>
      </c>
      <c r="E410" s="4">
        <v>42590</v>
      </c>
      <c r="F410" s="92" t="s">
        <v>28</v>
      </c>
      <c r="G410" s="32">
        <v>42579</v>
      </c>
      <c r="H410" s="27">
        <f t="shared" si="37"/>
        <v>62500</v>
      </c>
      <c r="I410" s="99"/>
      <c r="J410" s="27">
        <f>0.02*H410</f>
        <v>1250</v>
      </c>
      <c r="K410" s="99">
        <v>3000</v>
      </c>
      <c r="L410" s="27">
        <v>18455.14</v>
      </c>
      <c r="M410" s="29">
        <f t="shared" si="38"/>
        <v>39794.86</v>
      </c>
      <c r="N410" s="99"/>
      <c r="O410" s="44">
        <f t="shared" si="39"/>
        <v>0.63671776000000002</v>
      </c>
    </row>
    <row r="411" spans="1:15" ht="20.100000000000001" customHeight="1" x14ac:dyDescent="0.25">
      <c r="A411" s="89">
        <v>286</v>
      </c>
      <c r="B411" s="4">
        <v>42562</v>
      </c>
      <c r="C411" s="26" t="s">
        <v>38</v>
      </c>
      <c r="D411" s="3">
        <v>125230.53</v>
      </c>
      <c r="E411" s="4">
        <v>42590</v>
      </c>
      <c r="F411" s="92" t="s">
        <v>28</v>
      </c>
      <c r="G411" s="32">
        <v>42579</v>
      </c>
      <c r="H411" s="27">
        <f t="shared" si="37"/>
        <v>125230.53</v>
      </c>
      <c r="I411" s="99"/>
      <c r="J411" s="27">
        <f>0.02*H411</f>
        <v>2504.6106</v>
      </c>
      <c r="K411" s="99">
        <v>3000</v>
      </c>
      <c r="L411" s="27">
        <v>60514</v>
      </c>
      <c r="M411" s="29">
        <f t="shared" si="38"/>
        <v>59211.919399999999</v>
      </c>
      <c r="N411" s="99"/>
      <c r="O411" s="44">
        <f t="shared" si="39"/>
        <v>0.47282335545493581</v>
      </c>
    </row>
    <row r="412" spans="1:15" ht="20.100000000000001" customHeight="1" x14ac:dyDescent="0.25">
      <c r="A412" s="89">
        <v>352</v>
      </c>
      <c r="B412" s="4">
        <v>42583</v>
      </c>
      <c r="C412" s="5" t="s">
        <v>175</v>
      </c>
      <c r="D412" s="3">
        <v>44990</v>
      </c>
      <c r="E412" s="4">
        <v>42591</v>
      </c>
      <c r="F412" s="92" t="s">
        <v>28</v>
      </c>
      <c r="G412" s="32">
        <v>42591</v>
      </c>
      <c r="H412" s="27">
        <f t="shared" si="37"/>
        <v>44990</v>
      </c>
      <c r="I412" s="27">
        <f>H412</f>
        <v>44990</v>
      </c>
      <c r="J412" s="27"/>
      <c r="K412" s="27"/>
      <c r="L412" s="27">
        <v>36703</v>
      </c>
      <c r="M412" s="29">
        <f t="shared" si="38"/>
        <v>8287</v>
      </c>
      <c r="N412" s="29">
        <f>M412</f>
        <v>8287</v>
      </c>
      <c r="O412" s="44">
        <f t="shared" si="39"/>
        <v>0.18419648810846856</v>
      </c>
    </row>
    <row r="413" spans="1:15" ht="20.100000000000001" customHeight="1" x14ac:dyDescent="0.25">
      <c r="A413" s="89">
        <v>372</v>
      </c>
      <c r="B413" s="4">
        <v>42590</v>
      </c>
      <c r="C413" s="26" t="s">
        <v>15</v>
      </c>
      <c r="D413" s="3">
        <v>2742</v>
      </c>
      <c r="E413" s="4">
        <v>42592</v>
      </c>
      <c r="F413" s="92" t="s">
        <v>28</v>
      </c>
      <c r="G413" s="32">
        <v>42594</v>
      </c>
      <c r="H413" s="27">
        <f t="shared" si="37"/>
        <v>2742</v>
      </c>
      <c r="I413" s="27"/>
      <c r="J413" s="27"/>
      <c r="K413" s="27"/>
      <c r="L413" s="27">
        <v>2244</v>
      </c>
      <c r="M413" s="29">
        <f t="shared" si="38"/>
        <v>498</v>
      </c>
      <c r="N413" s="29"/>
      <c r="O413" s="44">
        <f t="shared" si="39"/>
        <v>0.18161925601750548</v>
      </c>
    </row>
    <row r="414" spans="1:15" ht="20.100000000000001" customHeight="1" x14ac:dyDescent="0.25">
      <c r="A414" s="89">
        <v>378</v>
      </c>
      <c r="B414" s="4">
        <v>42591</v>
      </c>
      <c r="C414" s="5" t="s">
        <v>177</v>
      </c>
      <c r="D414" s="3">
        <v>29590</v>
      </c>
      <c r="E414" s="4">
        <v>42592</v>
      </c>
      <c r="F414" s="92" t="s">
        <v>28</v>
      </c>
      <c r="G414" s="32">
        <v>42592</v>
      </c>
      <c r="H414" s="27">
        <f t="shared" si="37"/>
        <v>29590</v>
      </c>
      <c r="I414" s="27">
        <f>H414</f>
        <v>29590</v>
      </c>
      <c r="J414" s="27"/>
      <c r="K414" s="27"/>
      <c r="L414" s="27">
        <v>28387</v>
      </c>
      <c r="M414" s="29">
        <f t="shared" si="38"/>
        <v>1203</v>
      </c>
      <c r="N414" s="29">
        <f>M414</f>
        <v>1203</v>
      </c>
      <c r="O414" s="44">
        <f t="shared" si="39"/>
        <v>4.0655626900980062E-2</v>
      </c>
    </row>
    <row r="415" spans="1:15" ht="20.100000000000001" customHeight="1" x14ac:dyDescent="0.25">
      <c r="A415" s="89">
        <v>381</v>
      </c>
      <c r="B415" s="4">
        <v>42592</v>
      </c>
      <c r="C415" s="5" t="s">
        <v>178</v>
      </c>
      <c r="D415" s="3">
        <v>30390</v>
      </c>
      <c r="E415" s="4">
        <v>42592</v>
      </c>
      <c r="F415" s="92" t="s">
        <v>28</v>
      </c>
      <c r="G415" s="32">
        <v>42593</v>
      </c>
      <c r="H415" s="27">
        <f t="shared" si="37"/>
        <v>30390</v>
      </c>
      <c r="I415" s="27">
        <f>H415</f>
        <v>30390</v>
      </c>
      <c r="J415" s="27"/>
      <c r="K415" s="27"/>
      <c r="L415" s="27">
        <v>23613</v>
      </c>
      <c r="M415" s="29">
        <f t="shared" si="38"/>
        <v>6777</v>
      </c>
      <c r="N415" s="29">
        <f>M415</f>
        <v>6777</v>
      </c>
      <c r="O415" s="44">
        <f t="shared" si="39"/>
        <v>0.2230009871668312</v>
      </c>
    </row>
    <row r="416" spans="1:15" ht="20.100000000000001" customHeight="1" x14ac:dyDescent="0.25">
      <c r="A416" s="89">
        <v>386</v>
      </c>
      <c r="B416" s="4">
        <v>42593</v>
      </c>
      <c r="C416" s="5" t="s">
        <v>178</v>
      </c>
      <c r="D416" s="3">
        <v>1252.9000000000001</v>
      </c>
      <c r="E416" s="4">
        <v>42593</v>
      </c>
      <c r="F416" s="92" t="s">
        <v>28</v>
      </c>
      <c r="G416" s="32">
        <v>42593</v>
      </c>
      <c r="H416" s="27">
        <f t="shared" si="37"/>
        <v>1252.9000000000001</v>
      </c>
      <c r="I416" s="27">
        <f>H416</f>
        <v>1252.9000000000001</v>
      </c>
      <c r="J416" s="27"/>
      <c r="K416" s="27"/>
      <c r="L416" s="27">
        <v>917</v>
      </c>
      <c r="M416" s="29">
        <f t="shared" si="38"/>
        <v>335.90000000000009</v>
      </c>
      <c r="N416" s="29">
        <f>M416</f>
        <v>335.90000000000009</v>
      </c>
      <c r="O416" s="44">
        <f t="shared" si="39"/>
        <v>0.26809801261074312</v>
      </c>
    </row>
    <row r="417" spans="1:15" ht="20.100000000000001" customHeight="1" x14ac:dyDescent="0.25">
      <c r="A417" s="89">
        <v>382</v>
      </c>
      <c r="B417" s="4">
        <v>42592</v>
      </c>
      <c r="C417" s="5" t="s">
        <v>179</v>
      </c>
      <c r="D417" s="3">
        <v>43590</v>
      </c>
      <c r="E417" s="4">
        <v>42593</v>
      </c>
      <c r="F417" s="92" t="s">
        <v>28</v>
      </c>
      <c r="G417" s="32">
        <v>42594</v>
      </c>
      <c r="H417" s="27">
        <f t="shared" si="37"/>
        <v>43590</v>
      </c>
      <c r="I417" s="27">
        <f>H417</f>
        <v>43590</v>
      </c>
      <c r="J417" s="27"/>
      <c r="K417" s="27"/>
      <c r="L417" s="27">
        <v>32954</v>
      </c>
      <c r="M417" s="29">
        <f t="shared" si="38"/>
        <v>10636</v>
      </c>
      <c r="N417" s="29">
        <f>M417</f>
        <v>10636</v>
      </c>
      <c r="O417" s="44">
        <f t="shared" si="39"/>
        <v>0.24400091764166093</v>
      </c>
    </row>
    <row r="418" spans="1:15" ht="20.100000000000001" customHeight="1" x14ac:dyDescent="0.25">
      <c r="A418" s="89">
        <v>339</v>
      </c>
      <c r="B418" s="4">
        <v>42578</v>
      </c>
      <c r="C418" s="26" t="s">
        <v>97</v>
      </c>
      <c r="D418" s="3">
        <v>8714</v>
      </c>
      <c r="E418" s="4">
        <v>42593</v>
      </c>
      <c r="F418" s="92" t="s">
        <v>28</v>
      </c>
      <c r="G418" s="32">
        <v>42594</v>
      </c>
      <c r="H418" s="27">
        <f t="shared" si="37"/>
        <v>8714</v>
      </c>
      <c r="I418" s="27"/>
      <c r="J418" s="27"/>
      <c r="K418" s="27"/>
      <c r="L418" s="27">
        <v>6586</v>
      </c>
      <c r="M418" s="29">
        <f t="shared" si="38"/>
        <v>2128</v>
      </c>
      <c r="N418" s="29"/>
      <c r="O418" s="44">
        <f t="shared" si="39"/>
        <v>0.24420472802386964</v>
      </c>
    </row>
    <row r="419" spans="1:15" ht="20.100000000000001" customHeight="1" x14ac:dyDescent="0.25">
      <c r="A419" s="89">
        <v>324</v>
      </c>
      <c r="B419" s="4">
        <v>42572</v>
      </c>
      <c r="C419" s="5" t="s">
        <v>180</v>
      </c>
      <c r="D419" s="3">
        <v>451098</v>
      </c>
      <c r="E419" s="4">
        <v>42593</v>
      </c>
      <c r="F419" s="92" t="s">
        <v>28</v>
      </c>
      <c r="G419" s="32">
        <v>42606</v>
      </c>
      <c r="H419" s="27">
        <f t="shared" si="37"/>
        <v>451098</v>
      </c>
      <c r="I419" s="27">
        <f>H419</f>
        <v>451098</v>
      </c>
      <c r="J419" s="27"/>
      <c r="K419" s="27">
        <v>6600</v>
      </c>
      <c r="L419" s="27">
        <v>331100</v>
      </c>
      <c r="M419" s="29">
        <f t="shared" si="38"/>
        <v>113398</v>
      </c>
      <c r="N419" s="29">
        <f>M419</f>
        <v>113398</v>
      </c>
      <c r="O419" s="44">
        <f t="shared" si="39"/>
        <v>0.25138218302896487</v>
      </c>
    </row>
    <row r="420" spans="1:15" ht="20.100000000000001" customHeight="1" x14ac:dyDescent="0.25">
      <c r="A420" s="89">
        <v>389</v>
      </c>
      <c r="B420" s="4">
        <v>42594</v>
      </c>
      <c r="C420" s="26" t="s">
        <v>162</v>
      </c>
      <c r="D420" s="3">
        <v>5300</v>
      </c>
      <c r="E420" s="4">
        <v>42594</v>
      </c>
      <c r="F420" s="92"/>
      <c r="G420" s="32">
        <v>42597</v>
      </c>
      <c r="H420" s="27">
        <f t="shared" si="37"/>
        <v>5300</v>
      </c>
      <c r="I420" s="27"/>
      <c r="J420" s="27"/>
      <c r="K420" s="27"/>
      <c r="L420" s="27">
        <v>2126</v>
      </c>
      <c r="M420" s="29">
        <f t="shared" si="38"/>
        <v>3174</v>
      </c>
      <c r="N420" s="29"/>
      <c r="O420" s="44">
        <f t="shared" si="39"/>
        <v>0.59886792452830184</v>
      </c>
    </row>
    <row r="421" spans="1:15" ht="20.100000000000001" customHeight="1" x14ac:dyDescent="0.25">
      <c r="A421" s="89">
        <v>369</v>
      </c>
      <c r="B421" s="4">
        <v>42586</v>
      </c>
      <c r="C421" s="26" t="s">
        <v>75</v>
      </c>
      <c r="D421" s="3">
        <v>14688.08</v>
      </c>
      <c r="E421" s="4">
        <v>42597</v>
      </c>
      <c r="F421" s="92" t="s">
        <v>28</v>
      </c>
      <c r="G421" s="32">
        <v>42605</v>
      </c>
      <c r="H421" s="27">
        <f t="shared" si="37"/>
        <v>14688.08</v>
      </c>
      <c r="I421" s="27"/>
      <c r="J421" s="27"/>
      <c r="K421" s="27"/>
      <c r="L421" s="27">
        <v>12444.5</v>
      </c>
      <c r="M421" s="29">
        <f t="shared" si="38"/>
        <v>2243.58</v>
      </c>
      <c r="N421" s="29"/>
      <c r="O421" s="44">
        <f t="shared" si="39"/>
        <v>0.15274835104383963</v>
      </c>
    </row>
    <row r="422" spans="1:15" ht="20.100000000000001" customHeight="1" x14ac:dyDescent="0.25">
      <c r="A422" s="89">
        <v>318</v>
      </c>
      <c r="B422" s="4">
        <v>42570</v>
      </c>
      <c r="C422" s="26" t="s">
        <v>82</v>
      </c>
      <c r="D422" s="3">
        <v>5764.9</v>
      </c>
      <c r="E422" s="4">
        <v>42597</v>
      </c>
      <c r="F422" s="92" t="s">
        <v>28</v>
      </c>
      <c r="G422" s="32">
        <v>42570</v>
      </c>
      <c r="H422" s="27">
        <f t="shared" si="37"/>
        <v>5764.9</v>
      </c>
      <c r="I422" s="99"/>
      <c r="J422" s="99"/>
      <c r="K422" s="99"/>
      <c r="L422" s="27">
        <v>4101</v>
      </c>
      <c r="M422" s="29">
        <f t="shared" si="38"/>
        <v>1663.8999999999996</v>
      </c>
      <c r="N422" s="99"/>
      <c r="O422" s="44">
        <f t="shared" si="39"/>
        <v>0.28862599524709875</v>
      </c>
    </row>
    <row r="423" spans="1:15" ht="20.100000000000001" customHeight="1" x14ac:dyDescent="0.25">
      <c r="A423" s="89">
        <v>370</v>
      </c>
      <c r="B423" s="4">
        <v>42586</v>
      </c>
      <c r="C423" s="26" t="s">
        <v>56</v>
      </c>
      <c r="D423" s="3">
        <v>22810</v>
      </c>
      <c r="E423" s="4">
        <v>42598</v>
      </c>
      <c r="F423" s="92" t="s">
        <v>28</v>
      </c>
      <c r="G423" s="32">
        <v>42593</v>
      </c>
      <c r="H423" s="27">
        <f t="shared" si="37"/>
        <v>22810</v>
      </c>
      <c r="I423" s="99"/>
      <c r="J423" s="99"/>
      <c r="K423" s="99"/>
      <c r="L423" s="27">
        <v>18452</v>
      </c>
      <c r="M423" s="29">
        <f t="shared" si="38"/>
        <v>4358</v>
      </c>
      <c r="N423" s="99"/>
      <c r="O423" s="44">
        <f t="shared" si="39"/>
        <v>0.19105655414291978</v>
      </c>
    </row>
    <row r="424" spans="1:15" ht="20.100000000000001" customHeight="1" x14ac:dyDescent="0.25">
      <c r="A424" s="89">
        <v>392</v>
      </c>
      <c r="B424" s="4">
        <v>42597</v>
      </c>
      <c r="C424" s="5" t="s">
        <v>181</v>
      </c>
      <c r="D424" s="3">
        <v>658.44</v>
      </c>
      <c r="E424" s="4">
        <v>42598</v>
      </c>
      <c r="F424" s="92" t="s">
        <v>28</v>
      </c>
      <c r="G424" s="32">
        <v>42612</v>
      </c>
      <c r="H424" s="27">
        <f t="shared" si="37"/>
        <v>658.44</v>
      </c>
      <c r="I424" s="27">
        <f>H424</f>
        <v>658.44</v>
      </c>
      <c r="J424" s="27"/>
      <c r="K424" s="27"/>
      <c r="L424" s="27">
        <v>498</v>
      </c>
      <c r="M424" s="29">
        <f t="shared" si="38"/>
        <v>160.44000000000005</v>
      </c>
      <c r="N424" s="29">
        <f>M424</f>
        <v>160.44000000000005</v>
      </c>
      <c r="O424" s="44">
        <f t="shared" si="39"/>
        <v>0.24366684891561879</v>
      </c>
    </row>
    <row r="425" spans="1:15" ht="20.100000000000001" customHeight="1" x14ac:dyDescent="0.25">
      <c r="A425" s="89">
        <v>359</v>
      </c>
      <c r="B425" s="4">
        <v>42584</v>
      </c>
      <c r="C425" s="5" t="s">
        <v>182</v>
      </c>
      <c r="D425" s="3">
        <v>8672.7199999999993</v>
      </c>
      <c r="E425" s="4">
        <v>42598</v>
      </c>
      <c r="F425" s="92" t="s">
        <v>28</v>
      </c>
      <c r="G425" s="32">
        <v>42601</v>
      </c>
      <c r="H425" s="27">
        <f t="shared" si="37"/>
        <v>8672.7199999999993</v>
      </c>
      <c r="I425" s="27">
        <f>H425</f>
        <v>8672.7199999999993</v>
      </c>
      <c r="J425" s="27"/>
      <c r="K425" s="27"/>
      <c r="L425" s="27">
        <v>5364</v>
      </c>
      <c r="M425" s="29">
        <f t="shared" si="38"/>
        <v>3308.7199999999993</v>
      </c>
      <c r="N425" s="29">
        <f>M425</f>
        <v>3308.7199999999993</v>
      </c>
      <c r="O425" s="44">
        <f t="shared" si="39"/>
        <v>0.38150891531145931</v>
      </c>
    </row>
    <row r="426" spans="1:15" ht="20.100000000000001" customHeight="1" x14ac:dyDescent="0.25">
      <c r="A426" s="89">
        <v>380</v>
      </c>
      <c r="B426" s="4">
        <v>42592</v>
      </c>
      <c r="C426" s="5" t="s">
        <v>175</v>
      </c>
      <c r="D426" s="3">
        <v>19105.84</v>
      </c>
      <c r="E426" s="4">
        <v>42599</v>
      </c>
      <c r="F426" s="92" t="s">
        <v>28</v>
      </c>
      <c r="G426" s="32">
        <v>42600</v>
      </c>
      <c r="H426" s="27">
        <f t="shared" si="37"/>
        <v>19105.84</v>
      </c>
      <c r="I426" s="27">
        <f>H426</f>
        <v>19105.84</v>
      </c>
      <c r="J426" s="27"/>
      <c r="K426" s="27"/>
      <c r="L426" s="27">
        <v>15648</v>
      </c>
      <c r="M426" s="29">
        <f t="shared" si="38"/>
        <v>3457.84</v>
      </c>
      <c r="N426" s="29">
        <f>M426</f>
        <v>3457.84</v>
      </c>
      <c r="O426" s="44">
        <f t="shared" si="39"/>
        <v>0.18098340612085101</v>
      </c>
    </row>
    <row r="427" spans="1:15" ht="20.100000000000001" customHeight="1" x14ac:dyDescent="0.25">
      <c r="A427" s="89">
        <v>397</v>
      </c>
      <c r="B427" s="4">
        <v>42597</v>
      </c>
      <c r="C427" s="26" t="s">
        <v>183</v>
      </c>
      <c r="D427" s="3">
        <v>4296.43</v>
      </c>
      <c r="E427" s="4">
        <v>42599</v>
      </c>
      <c r="F427" s="92" t="s">
        <v>28</v>
      </c>
      <c r="G427" s="32">
        <v>42604</v>
      </c>
      <c r="H427" s="27">
        <f t="shared" si="37"/>
        <v>4296.43</v>
      </c>
      <c r="I427" s="99"/>
      <c r="J427" s="99"/>
      <c r="K427" s="99"/>
      <c r="L427" s="27">
        <v>3248</v>
      </c>
      <c r="M427" s="29">
        <f t="shared" si="38"/>
        <v>1048.4300000000003</v>
      </c>
      <c r="N427" s="99"/>
      <c r="O427" s="44">
        <f t="shared" si="39"/>
        <v>0.24402352650921816</v>
      </c>
    </row>
    <row r="428" spans="1:15" ht="20.100000000000001" customHeight="1" x14ac:dyDescent="0.25">
      <c r="A428" s="89">
        <v>401</v>
      </c>
      <c r="B428" s="4">
        <v>42600</v>
      </c>
      <c r="C428" s="26" t="s">
        <v>86</v>
      </c>
      <c r="D428" s="3">
        <v>90590</v>
      </c>
      <c r="E428" s="4">
        <v>42601</v>
      </c>
      <c r="F428" s="92" t="s">
        <v>28</v>
      </c>
      <c r="G428" s="32">
        <v>42604</v>
      </c>
      <c r="H428" s="27">
        <f t="shared" si="37"/>
        <v>90590</v>
      </c>
      <c r="I428" s="99"/>
      <c r="J428" s="99"/>
      <c r="K428" s="99"/>
      <c r="L428" s="27">
        <v>79453</v>
      </c>
      <c r="M428" s="29">
        <f t="shared" si="38"/>
        <v>11137</v>
      </c>
      <c r="N428" s="99"/>
      <c r="O428" s="44">
        <f t="shared" si="39"/>
        <v>0.12293851418478861</v>
      </c>
    </row>
    <row r="429" spans="1:15" ht="20.100000000000001" customHeight="1" x14ac:dyDescent="0.25">
      <c r="A429" s="89">
        <v>402</v>
      </c>
      <c r="B429" s="4">
        <v>42601</v>
      </c>
      <c r="C429" s="26" t="s">
        <v>91</v>
      </c>
      <c r="D429" s="3">
        <v>4776.46</v>
      </c>
      <c r="E429" s="4">
        <v>42604</v>
      </c>
      <c r="F429" s="92" t="s">
        <v>28</v>
      </c>
      <c r="G429" s="32">
        <v>42604</v>
      </c>
      <c r="H429" s="27">
        <f t="shared" si="37"/>
        <v>4776.46</v>
      </c>
      <c r="I429" s="99"/>
      <c r="J429" s="99"/>
      <c r="K429" s="99"/>
      <c r="L429" s="27">
        <v>3912</v>
      </c>
      <c r="M429" s="29">
        <f t="shared" si="38"/>
        <v>864.46</v>
      </c>
      <c r="N429" s="99"/>
      <c r="O429" s="44">
        <f t="shared" si="39"/>
        <v>0.18098340612085101</v>
      </c>
    </row>
    <row r="430" spans="1:15" ht="20.100000000000001" customHeight="1" x14ac:dyDescent="0.25">
      <c r="A430" s="89">
        <v>391</v>
      </c>
      <c r="B430" s="4">
        <v>42594</v>
      </c>
      <c r="C430" s="26" t="s">
        <v>34</v>
      </c>
      <c r="D430" s="3">
        <v>4472.28</v>
      </c>
      <c r="E430" s="4">
        <v>42604</v>
      </c>
      <c r="F430" s="92" t="s">
        <v>28</v>
      </c>
      <c r="G430" s="32">
        <v>42613</v>
      </c>
      <c r="H430" s="27">
        <f t="shared" si="37"/>
        <v>4472.28</v>
      </c>
      <c r="I430" s="99"/>
      <c r="J430" s="99"/>
      <c r="K430" s="99"/>
      <c r="L430" s="27">
        <v>2926</v>
      </c>
      <c r="M430" s="29">
        <f t="shared" si="38"/>
        <v>1546.2799999999997</v>
      </c>
      <c r="N430" s="99"/>
      <c r="O430" s="44">
        <f t="shared" si="39"/>
        <v>0.3457475828883701</v>
      </c>
    </row>
    <row r="431" spans="1:15" ht="20.100000000000001" customHeight="1" x14ac:dyDescent="0.25">
      <c r="A431" s="89">
        <v>390</v>
      </c>
      <c r="B431" s="4">
        <v>42594</v>
      </c>
      <c r="C431" s="26" t="s">
        <v>147</v>
      </c>
      <c r="D431" s="3">
        <v>9552.92</v>
      </c>
      <c r="E431" s="4">
        <v>42604</v>
      </c>
      <c r="F431" s="92" t="s">
        <v>28</v>
      </c>
      <c r="G431" s="32">
        <v>42583</v>
      </c>
      <c r="H431" s="27">
        <f t="shared" si="37"/>
        <v>9552.92</v>
      </c>
      <c r="I431" s="99"/>
      <c r="J431" s="99"/>
      <c r="K431" s="99"/>
      <c r="L431" s="27">
        <v>7824</v>
      </c>
      <c r="M431" s="29">
        <f t="shared" si="38"/>
        <v>1728.92</v>
      </c>
      <c r="N431" s="99"/>
      <c r="O431" s="44">
        <f t="shared" si="39"/>
        <v>0.18098340612085101</v>
      </c>
    </row>
    <row r="432" spans="1:15" ht="20.100000000000001" customHeight="1" x14ac:dyDescent="0.25">
      <c r="A432" s="89">
        <v>398</v>
      </c>
      <c r="B432" s="4">
        <v>42598</v>
      </c>
      <c r="C432" s="26" t="s">
        <v>66</v>
      </c>
      <c r="D432" s="3">
        <v>15106.39</v>
      </c>
      <c r="E432" s="4">
        <v>42605</v>
      </c>
      <c r="F432" s="92" t="s">
        <v>28</v>
      </c>
      <c r="G432" s="32">
        <v>42639</v>
      </c>
      <c r="H432" s="27">
        <f t="shared" si="37"/>
        <v>15106.39</v>
      </c>
      <c r="I432" s="99"/>
      <c r="J432" s="99"/>
      <c r="K432" s="99"/>
      <c r="L432" s="27">
        <v>11683</v>
      </c>
      <c r="M432" s="29">
        <f t="shared" si="38"/>
        <v>3423.3899999999994</v>
      </c>
      <c r="N432" s="99"/>
      <c r="O432" s="44">
        <f t="shared" si="39"/>
        <v>0.22661866931808325</v>
      </c>
    </row>
    <row r="433" spans="1:15" ht="20.100000000000001" customHeight="1" x14ac:dyDescent="0.25">
      <c r="A433" s="89">
        <v>327</v>
      </c>
      <c r="B433" s="4">
        <v>42576</v>
      </c>
      <c r="C433" s="26" t="s">
        <v>176</v>
      </c>
      <c r="D433" s="3">
        <v>53080</v>
      </c>
      <c r="E433" s="4">
        <v>42607</v>
      </c>
      <c r="F433" s="92" t="s">
        <v>28</v>
      </c>
      <c r="G433" s="32">
        <v>42590</v>
      </c>
      <c r="H433" s="27">
        <f t="shared" si="37"/>
        <v>53080</v>
      </c>
      <c r="I433" s="99"/>
      <c r="J433" s="99"/>
      <c r="K433" s="99"/>
      <c r="L433" s="27">
        <v>40767</v>
      </c>
      <c r="M433" s="29">
        <f t="shared" si="38"/>
        <v>12313</v>
      </c>
      <c r="N433" s="99"/>
      <c r="O433" s="44">
        <f t="shared" si="39"/>
        <v>0.23197061039939715</v>
      </c>
    </row>
    <row r="434" spans="1:15" ht="20.100000000000001" customHeight="1" x14ac:dyDescent="0.25">
      <c r="A434" s="89">
        <v>405</v>
      </c>
      <c r="B434" s="4">
        <v>42606</v>
      </c>
      <c r="C434" s="5" t="s">
        <v>42</v>
      </c>
      <c r="D434" s="3">
        <v>46173</v>
      </c>
      <c r="E434" s="4">
        <v>42607</v>
      </c>
      <c r="F434" s="92" t="s">
        <v>28</v>
      </c>
      <c r="G434" s="32">
        <v>42628</v>
      </c>
      <c r="H434" s="27">
        <f t="shared" si="37"/>
        <v>46173</v>
      </c>
      <c r="I434" s="27">
        <f>H434</f>
        <v>46173</v>
      </c>
      <c r="J434" s="27"/>
      <c r="K434" s="27"/>
      <c r="L434" s="27">
        <v>34934</v>
      </c>
      <c r="M434" s="29">
        <f t="shared" si="38"/>
        <v>11239</v>
      </c>
      <c r="N434" s="29">
        <f>M434</f>
        <v>11239</v>
      </c>
      <c r="O434" s="44">
        <f t="shared" si="39"/>
        <v>0.24341065124639941</v>
      </c>
    </row>
    <row r="435" spans="1:15" ht="20.100000000000001" customHeight="1" x14ac:dyDescent="0.25">
      <c r="A435" s="89">
        <v>332</v>
      </c>
      <c r="B435" s="4">
        <v>42577</v>
      </c>
      <c r="C435" s="26" t="s">
        <v>38</v>
      </c>
      <c r="D435" s="3">
        <v>26134.53</v>
      </c>
      <c r="E435" s="4">
        <v>42612</v>
      </c>
      <c r="F435" s="92" t="s">
        <v>28</v>
      </c>
      <c r="G435" s="32">
        <v>42597</v>
      </c>
      <c r="H435" s="27">
        <f t="shared" si="37"/>
        <v>26134.53</v>
      </c>
      <c r="I435" s="99"/>
      <c r="J435" s="27">
        <f>0.02*H435</f>
        <v>522.69060000000002</v>
      </c>
      <c r="K435" s="99"/>
      <c r="L435" s="27">
        <v>16798</v>
      </c>
      <c r="M435" s="29">
        <f t="shared" si="38"/>
        <v>8813.8393999999989</v>
      </c>
      <c r="N435" s="99"/>
      <c r="O435" s="44">
        <f t="shared" si="39"/>
        <v>0.33724881985633565</v>
      </c>
    </row>
    <row r="436" spans="1:15" ht="20.100000000000001" customHeight="1" x14ac:dyDescent="0.25">
      <c r="A436" s="89">
        <v>335</v>
      </c>
      <c r="B436" s="4">
        <v>42577</v>
      </c>
      <c r="C436" s="26" t="s">
        <v>38</v>
      </c>
      <c r="D436" s="3">
        <v>135590</v>
      </c>
      <c r="E436" s="4">
        <v>42612</v>
      </c>
      <c r="F436" s="92" t="s">
        <v>28</v>
      </c>
      <c r="G436" s="32">
        <v>42597</v>
      </c>
      <c r="H436" s="27">
        <f t="shared" si="37"/>
        <v>135590</v>
      </c>
      <c r="I436" s="99"/>
      <c r="J436" s="27">
        <f>0.02*H436</f>
        <v>2711.8</v>
      </c>
      <c r="K436" s="99"/>
      <c r="L436" s="27">
        <v>102506</v>
      </c>
      <c r="M436" s="29">
        <f t="shared" si="38"/>
        <v>30372.2</v>
      </c>
      <c r="N436" s="99"/>
      <c r="O436" s="44">
        <f t="shared" si="39"/>
        <v>0.22400029500700641</v>
      </c>
    </row>
    <row r="437" spans="1:15" ht="20.100000000000001" customHeight="1" x14ac:dyDescent="0.25">
      <c r="A437" s="89">
        <v>336</v>
      </c>
      <c r="B437" s="4">
        <v>42577</v>
      </c>
      <c r="C437" s="26" t="s">
        <v>38</v>
      </c>
      <c r="D437" s="3">
        <v>51250</v>
      </c>
      <c r="E437" s="4">
        <v>42612</v>
      </c>
      <c r="F437" s="92" t="s">
        <v>28</v>
      </c>
      <c r="G437" s="32">
        <v>42597</v>
      </c>
      <c r="H437" s="27">
        <f t="shared" si="37"/>
        <v>51250</v>
      </c>
      <c r="I437" s="99"/>
      <c r="J437" s="27">
        <f>0.02*H437</f>
        <v>1025</v>
      </c>
      <c r="K437" s="99">
        <v>3000</v>
      </c>
      <c r="L437" s="27">
        <v>16645.3</v>
      </c>
      <c r="M437" s="29">
        <f t="shared" si="38"/>
        <v>30579.699999999997</v>
      </c>
      <c r="N437" s="99"/>
      <c r="O437" s="44">
        <f t="shared" si="39"/>
        <v>0.5966770731707316</v>
      </c>
    </row>
    <row r="438" spans="1:15" ht="20.100000000000001" customHeight="1" x14ac:dyDescent="0.25">
      <c r="A438" s="89">
        <v>325</v>
      </c>
      <c r="B438" s="4">
        <v>42573</v>
      </c>
      <c r="C438" s="26" t="s">
        <v>13</v>
      </c>
      <c r="D438" s="3">
        <v>20504.27</v>
      </c>
      <c r="E438" s="4">
        <v>42611</v>
      </c>
      <c r="F438" s="92" t="s">
        <v>28</v>
      </c>
      <c r="G438" s="32">
        <v>42604</v>
      </c>
      <c r="H438" s="27">
        <f t="shared" si="37"/>
        <v>20504.27</v>
      </c>
      <c r="I438" s="99"/>
      <c r="J438" s="99"/>
      <c r="K438" s="99"/>
      <c r="L438" s="27">
        <v>15823</v>
      </c>
      <c r="M438" s="29">
        <f t="shared" si="38"/>
        <v>4681.2700000000004</v>
      </c>
      <c r="N438" s="99"/>
      <c r="O438" s="44">
        <f t="shared" si="39"/>
        <v>0.22830707945223119</v>
      </c>
    </row>
    <row r="439" spans="1:15" ht="20.100000000000001" customHeight="1" x14ac:dyDescent="0.25">
      <c r="A439" s="89">
        <v>404</v>
      </c>
      <c r="B439" s="4">
        <v>42605</v>
      </c>
      <c r="C439" s="5" t="s">
        <v>184</v>
      </c>
      <c r="D439" s="3">
        <v>22690</v>
      </c>
      <c r="E439" s="4">
        <v>42611</v>
      </c>
      <c r="F439" s="92" t="s">
        <v>28</v>
      </c>
      <c r="G439" s="32">
        <v>42612</v>
      </c>
      <c r="H439" s="27">
        <f t="shared" si="37"/>
        <v>22690</v>
      </c>
      <c r="I439" s="27">
        <f>H439</f>
        <v>22690</v>
      </c>
      <c r="J439" s="27"/>
      <c r="K439" s="27"/>
      <c r="L439" s="27">
        <v>17154</v>
      </c>
      <c r="M439" s="29">
        <f t="shared" si="38"/>
        <v>5536</v>
      </c>
      <c r="N439" s="29">
        <f>M439</f>
        <v>5536</v>
      </c>
      <c r="O439" s="44">
        <f t="shared" si="39"/>
        <v>0.24398413397972676</v>
      </c>
    </row>
    <row r="440" spans="1:15" ht="20.100000000000001" customHeight="1" x14ac:dyDescent="0.25">
      <c r="A440" s="89">
        <v>417</v>
      </c>
      <c r="B440" s="4">
        <v>42613</v>
      </c>
      <c r="C440" s="26" t="s">
        <v>176</v>
      </c>
      <c r="D440" s="3">
        <v>328</v>
      </c>
      <c r="E440" s="4">
        <v>42613</v>
      </c>
      <c r="F440" s="92" t="s">
        <v>28</v>
      </c>
      <c r="G440" s="32">
        <v>42613</v>
      </c>
      <c r="H440" s="27">
        <f t="shared" si="37"/>
        <v>328</v>
      </c>
      <c r="I440" s="27"/>
      <c r="J440" s="27"/>
      <c r="K440" s="27"/>
      <c r="L440" s="27">
        <v>241</v>
      </c>
      <c r="M440" s="29">
        <f t="shared" si="38"/>
        <v>87</v>
      </c>
      <c r="N440" s="29"/>
      <c r="O440" s="44">
        <f t="shared" si="39"/>
        <v>0.2652439024390244</v>
      </c>
    </row>
    <row r="441" spans="1:15" ht="20.100000000000001" customHeight="1" x14ac:dyDescent="0.25">
      <c r="A441" s="89">
        <v>395</v>
      </c>
      <c r="B441" s="4">
        <v>42597</v>
      </c>
      <c r="C441" s="26" t="s">
        <v>56</v>
      </c>
      <c r="D441" s="3">
        <v>7150</v>
      </c>
      <c r="E441" s="4">
        <v>42612</v>
      </c>
      <c r="F441" s="92" t="s">
        <v>28</v>
      </c>
      <c r="G441" s="32">
        <v>42605</v>
      </c>
      <c r="H441" s="27">
        <f t="shared" si="37"/>
        <v>7150</v>
      </c>
      <c r="I441" s="99"/>
      <c r="J441" s="99"/>
      <c r="K441" s="99"/>
      <c r="L441" s="27">
        <v>4524</v>
      </c>
      <c r="M441" s="29">
        <f t="shared" si="38"/>
        <v>2626</v>
      </c>
      <c r="N441" s="99"/>
      <c r="O441" s="44">
        <f t="shared" si="39"/>
        <v>0.36727272727272725</v>
      </c>
    </row>
    <row r="442" spans="1:15" ht="19.5" customHeight="1" x14ac:dyDescent="0.25">
      <c r="A442" s="89"/>
      <c r="B442" s="4"/>
      <c r="C442" s="5"/>
      <c r="D442" s="3"/>
      <c r="E442" s="97">
        <v>90450</v>
      </c>
      <c r="F442" s="98">
        <f>M442*0.17+N442*0.06</f>
        <v>89875.290596000021</v>
      </c>
      <c r="G442" s="21">
        <f>H442*0.05+I442*0.02</f>
        <v>96156.595799999981</v>
      </c>
      <c r="H442" s="16">
        <f t="shared" ref="H442:N442" si="40">SUM(H399:H441)</f>
        <v>1626820.6999999997</v>
      </c>
      <c r="I442" s="16">
        <f t="shared" si="40"/>
        <v>740778.03999999992</v>
      </c>
      <c r="J442" s="16">
        <f t="shared" si="40"/>
        <v>9853.5612000000001</v>
      </c>
      <c r="K442" s="16">
        <f t="shared" si="40"/>
        <v>17400</v>
      </c>
      <c r="L442" s="16">
        <f t="shared" si="40"/>
        <v>1132608.22</v>
      </c>
      <c r="M442" s="16">
        <f t="shared" si="40"/>
        <v>466958.91880000016</v>
      </c>
      <c r="N442" s="16">
        <f t="shared" si="40"/>
        <v>174871.24</v>
      </c>
      <c r="O442" s="44">
        <f t="shared" si="39"/>
        <v>0.28703772874294031</v>
      </c>
    </row>
    <row r="443" spans="1:15" ht="23.25" x14ac:dyDescent="0.35">
      <c r="C443" s="94" t="s">
        <v>643</v>
      </c>
    </row>
    <row r="444" spans="1:15" ht="20.100000000000001" customHeight="1" x14ac:dyDescent="0.25">
      <c r="A444" s="89">
        <v>322</v>
      </c>
      <c r="B444" s="4">
        <v>42611</v>
      </c>
      <c r="C444" s="26" t="s">
        <v>186</v>
      </c>
      <c r="D444" s="3">
        <v>29590</v>
      </c>
      <c r="E444" s="4">
        <v>42614</v>
      </c>
      <c r="F444" s="92" t="s">
        <v>28</v>
      </c>
      <c r="G444" s="32">
        <v>42620</v>
      </c>
      <c r="H444" s="27">
        <f t="shared" ref="H444:H469" si="41">D444</f>
        <v>29590</v>
      </c>
      <c r="I444" s="27"/>
      <c r="J444" s="99"/>
      <c r="K444" s="99"/>
      <c r="L444" s="27">
        <v>23329</v>
      </c>
      <c r="M444" s="29">
        <f t="shared" ref="M444:M469" si="42">H444-L444-J444-K444</f>
        <v>6261</v>
      </c>
      <c r="N444" s="29"/>
      <c r="O444" s="44">
        <f t="shared" ref="O444:O470" si="43">M444/H444</f>
        <v>0.21159175397093613</v>
      </c>
    </row>
    <row r="445" spans="1:15" ht="20.100000000000001" customHeight="1" x14ac:dyDescent="0.25">
      <c r="A445" s="89">
        <v>399</v>
      </c>
      <c r="B445" s="4">
        <v>42598</v>
      </c>
      <c r="C445" s="26" t="s">
        <v>11</v>
      </c>
      <c r="D445" s="3">
        <v>7254.62</v>
      </c>
      <c r="E445" s="4">
        <v>42614</v>
      </c>
      <c r="F445" s="92" t="s">
        <v>28</v>
      </c>
      <c r="G445" s="32">
        <v>42619</v>
      </c>
      <c r="H445" s="27">
        <f t="shared" si="41"/>
        <v>7254.62</v>
      </c>
      <c r="I445" s="27"/>
      <c r="J445" s="99"/>
      <c r="K445" s="99"/>
      <c r="L445" s="27">
        <v>4920</v>
      </c>
      <c r="M445" s="29">
        <f t="shared" si="42"/>
        <v>2334.62</v>
      </c>
      <c r="N445" s="29"/>
      <c r="O445" s="44">
        <f t="shared" si="43"/>
        <v>0.32181148013266025</v>
      </c>
    </row>
    <row r="446" spans="1:15" ht="20.100000000000001" customHeight="1" x14ac:dyDescent="0.25">
      <c r="A446" s="89">
        <v>418</v>
      </c>
      <c r="B446" s="4">
        <v>42614</v>
      </c>
      <c r="C446" s="5" t="s">
        <v>185</v>
      </c>
      <c r="D446" s="3">
        <v>2285</v>
      </c>
      <c r="E446" s="4">
        <v>42615</v>
      </c>
      <c r="F446" s="92" t="s">
        <v>28</v>
      </c>
      <c r="G446" s="32">
        <v>42618</v>
      </c>
      <c r="H446" s="27">
        <f t="shared" si="41"/>
        <v>2285</v>
      </c>
      <c r="I446" s="27">
        <f>H446</f>
        <v>2285</v>
      </c>
      <c r="J446" s="99"/>
      <c r="K446" s="99"/>
      <c r="L446" s="27">
        <v>1727</v>
      </c>
      <c r="M446" s="29">
        <f t="shared" si="42"/>
        <v>558</v>
      </c>
      <c r="N446" s="29">
        <f>M446</f>
        <v>558</v>
      </c>
      <c r="O446" s="44">
        <f t="shared" si="43"/>
        <v>0.24420131291028446</v>
      </c>
    </row>
    <row r="447" spans="1:15" ht="20.100000000000001" customHeight="1" x14ac:dyDescent="0.25">
      <c r="A447" s="89">
        <v>408</v>
      </c>
      <c r="B447" s="4">
        <v>42611</v>
      </c>
      <c r="C447" s="26" t="s">
        <v>45</v>
      </c>
      <c r="D447" s="3">
        <v>3890</v>
      </c>
      <c r="E447" s="4">
        <v>42615</v>
      </c>
      <c r="F447" s="92" t="s">
        <v>28</v>
      </c>
      <c r="G447" s="32">
        <v>42626</v>
      </c>
      <c r="H447" s="27">
        <f t="shared" si="41"/>
        <v>3890</v>
      </c>
      <c r="I447" s="27"/>
      <c r="J447" s="99"/>
      <c r="K447" s="99"/>
      <c r="L447" s="27">
        <v>3472</v>
      </c>
      <c r="M447" s="29">
        <f t="shared" si="42"/>
        <v>418</v>
      </c>
      <c r="N447" s="29"/>
      <c r="O447" s="44">
        <f t="shared" si="43"/>
        <v>0.10745501285347044</v>
      </c>
    </row>
    <row r="448" spans="1:15" ht="20.100000000000001" customHeight="1" x14ac:dyDescent="0.25">
      <c r="A448" s="89">
        <v>409</v>
      </c>
      <c r="B448" s="4">
        <v>42611</v>
      </c>
      <c r="C448" s="26" t="s">
        <v>45</v>
      </c>
      <c r="D448" s="3">
        <v>16380</v>
      </c>
      <c r="E448" s="4">
        <v>42615</v>
      </c>
      <c r="F448" s="92" t="s">
        <v>28</v>
      </c>
      <c r="G448" s="32">
        <v>42626</v>
      </c>
      <c r="H448" s="27">
        <f t="shared" si="41"/>
        <v>16380</v>
      </c>
      <c r="I448" s="27"/>
      <c r="J448" s="99"/>
      <c r="K448" s="99"/>
      <c r="L448" s="27">
        <v>12728</v>
      </c>
      <c r="M448" s="29">
        <f t="shared" si="42"/>
        <v>3652</v>
      </c>
      <c r="N448" s="29"/>
      <c r="O448" s="44">
        <f t="shared" si="43"/>
        <v>0.22295482295482297</v>
      </c>
    </row>
    <row r="449" spans="1:15" ht="20.100000000000001" customHeight="1" x14ac:dyDescent="0.25">
      <c r="A449" s="89">
        <v>420</v>
      </c>
      <c r="B449" s="4">
        <v>42618</v>
      </c>
      <c r="C449" s="26" t="s">
        <v>34</v>
      </c>
      <c r="D449" s="3">
        <v>758.15</v>
      </c>
      <c r="E449" s="4">
        <v>42619</v>
      </c>
      <c r="F449" s="92" t="s">
        <v>28</v>
      </c>
      <c r="G449" s="32">
        <v>42657</v>
      </c>
      <c r="H449" s="27">
        <f t="shared" si="41"/>
        <v>758.15</v>
      </c>
      <c r="I449" s="27"/>
      <c r="J449" s="99"/>
      <c r="K449" s="99"/>
      <c r="L449" s="27">
        <v>557</v>
      </c>
      <c r="M449" s="29">
        <f t="shared" si="42"/>
        <v>201.14999999999998</v>
      </c>
      <c r="N449" s="29"/>
      <c r="O449" s="44">
        <f t="shared" si="43"/>
        <v>0.26531688979753343</v>
      </c>
    </row>
    <row r="450" spans="1:15" ht="20.100000000000001" customHeight="1" x14ac:dyDescent="0.25">
      <c r="A450" s="89">
        <v>419</v>
      </c>
      <c r="B450" s="4">
        <v>42615</v>
      </c>
      <c r="C450" s="5" t="s">
        <v>185</v>
      </c>
      <c r="D450" s="3">
        <v>1584</v>
      </c>
      <c r="E450" s="4">
        <v>42619</v>
      </c>
      <c r="F450" s="92" t="s">
        <v>28</v>
      </c>
      <c r="G450" s="32">
        <v>42622</v>
      </c>
      <c r="H450" s="27">
        <f t="shared" si="41"/>
        <v>1584</v>
      </c>
      <c r="I450" s="27">
        <f>H450</f>
        <v>1584</v>
      </c>
      <c r="J450" s="99"/>
      <c r="K450" s="99"/>
      <c r="L450" s="27">
        <v>1552</v>
      </c>
      <c r="M450" s="29">
        <f t="shared" si="42"/>
        <v>32</v>
      </c>
      <c r="N450" s="29">
        <f>M450</f>
        <v>32</v>
      </c>
      <c r="O450" s="44">
        <f t="shared" si="43"/>
        <v>2.0202020202020204E-2</v>
      </c>
    </row>
    <row r="451" spans="1:15" ht="20.100000000000001" customHeight="1" x14ac:dyDescent="0.25">
      <c r="A451" s="89">
        <v>346</v>
      </c>
      <c r="B451" s="4">
        <v>42583</v>
      </c>
      <c r="C451" s="26" t="s">
        <v>60</v>
      </c>
      <c r="D451" s="3">
        <v>7806.96</v>
      </c>
      <c r="E451" s="4">
        <v>42620</v>
      </c>
      <c r="F451" s="92" t="s">
        <v>28</v>
      </c>
      <c r="G451" s="32">
        <v>42615</v>
      </c>
      <c r="H451" s="27">
        <f t="shared" si="41"/>
        <v>7806.96</v>
      </c>
      <c r="I451" s="27"/>
      <c r="J451" s="99"/>
      <c r="K451" s="99"/>
      <c r="L451" s="27">
        <v>6078</v>
      </c>
      <c r="M451" s="29">
        <f t="shared" si="42"/>
        <v>1728.96</v>
      </c>
      <c r="N451" s="29"/>
      <c r="O451" s="44">
        <f t="shared" si="43"/>
        <v>0.22146392449814012</v>
      </c>
    </row>
    <row r="452" spans="1:15" ht="20.100000000000001" customHeight="1" x14ac:dyDescent="0.25">
      <c r="A452" s="89">
        <v>430</v>
      </c>
      <c r="B452" s="4">
        <v>42621</v>
      </c>
      <c r="C452" s="26" t="s">
        <v>177</v>
      </c>
      <c r="D452" s="3">
        <v>20164.97</v>
      </c>
      <c r="E452" s="4">
        <v>42621</v>
      </c>
      <c r="F452" s="92" t="s">
        <v>28</v>
      </c>
      <c r="G452" s="32">
        <v>42622</v>
      </c>
      <c r="H452" s="27">
        <f t="shared" si="41"/>
        <v>20164.97</v>
      </c>
      <c r="I452" s="27"/>
      <c r="J452" s="99"/>
      <c r="K452" s="99"/>
      <c r="L452" s="27">
        <v>17775</v>
      </c>
      <c r="M452" s="29">
        <f t="shared" si="42"/>
        <v>2389.9700000000012</v>
      </c>
      <c r="N452" s="29"/>
      <c r="O452" s="44">
        <f t="shared" si="43"/>
        <v>0.11852088051705512</v>
      </c>
    </row>
    <row r="453" spans="1:15" ht="20.100000000000001" customHeight="1" x14ac:dyDescent="0.25">
      <c r="A453" s="89">
        <v>427</v>
      </c>
      <c r="B453" s="4">
        <v>42620</v>
      </c>
      <c r="C453" s="26" t="s">
        <v>189</v>
      </c>
      <c r="D453" s="3">
        <v>2951.52</v>
      </c>
      <c r="E453" s="4">
        <v>42621</v>
      </c>
      <c r="F453" s="92" t="s">
        <v>28</v>
      </c>
      <c r="G453" s="32">
        <v>42647</v>
      </c>
      <c r="H453" s="27">
        <f t="shared" si="41"/>
        <v>2951.52</v>
      </c>
      <c r="I453" s="27"/>
      <c r="J453" s="99"/>
      <c r="K453" s="99"/>
      <c r="L453" s="27">
        <v>2326</v>
      </c>
      <c r="M453" s="29">
        <f t="shared" si="42"/>
        <v>625.52</v>
      </c>
      <c r="N453" s="29"/>
      <c r="O453" s="44">
        <f t="shared" si="43"/>
        <v>0.21193147937333984</v>
      </c>
    </row>
    <row r="454" spans="1:15" ht="20.100000000000001" customHeight="1" x14ac:dyDescent="0.25">
      <c r="A454" s="89">
        <v>428</v>
      </c>
      <c r="B454" s="4">
        <v>42620</v>
      </c>
      <c r="C454" s="26" t="s">
        <v>97</v>
      </c>
      <c r="D454" s="3">
        <v>9362.6</v>
      </c>
      <c r="E454" s="4">
        <v>42625</v>
      </c>
      <c r="F454" s="92" t="s">
        <v>28</v>
      </c>
      <c r="G454" s="32">
        <v>42628</v>
      </c>
      <c r="H454" s="27">
        <f t="shared" si="41"/>
        <v>9362.6</v>
      </c>
      <c r="I454" s="99"/>
      <c r="J454" s="99"/>
      <c r="K454" s="99"/>
      <c r="L454" s="27">
        <v>7186</v>
      </c>
      <c r="M454" s="29">
        <f t="shared" si="42"/>
        <v>2176.6000000000004</v>
      </c>
      <c r="N454" s="29"/>
      <c r="O454" s="44">
        <f t="shared" si="43"/>
        <v>0.23247815777668598</v>
      </c>
    </row>
    <row r="455" spans="1:15" ht="20.100000000000001" customHeight="1" x14ac:dyDescent="0.25">
      <c r="A455" s="89">
        <v>429</v>
      </c>
      <c r="B455" s="4">
        <v>42620</v>
      </c>
      <c r="C455" s="26" t="s">
        <v>97</v>
      </c>
      <c r="D455" s="3">
        <v>9362.6</v>
      </c>
      <c r="E455" s="4">
        <v>42625</v>
      </c>
      <c r="F455" s="92" t="s">
        <v>28</v>
      </c>
      <c r="G455" s="32">
        <v>42667</v>
      </c>
      <c r="H455" s="27">
        <f t="shared" si="41"/>
        <v>9362.6</v>
      </c>
      <c r="I455" s="99"/>
      <c r="J455" s="99"/>
      <c r="K455" s="99"/>
      <c r="L455" s="27">
        <v>7186</v>
      </c>
      <c r="M455" s="29">
        <f t="shared" si="42"/>
        <v>2176.6000000000004</v>
      </c>
      <c r="N455" s="29"/>
      <c r="O455" s="44">
        <f t="shared" si="43"/>
        <v>0.23247815777668598</v>
      </c>
    </row>
    <row r="456" spans="1:15" ht="20.100000000000001" customHeight="1" x14ac:dyDescent="0.25">
      <c r="A456" s="89">
        <v>435</v>
      </c>
      <c r="B456" s="4">
        <v>42626</v>
      </c>
      <c r="C456" s="5" t="s">
        <v>190</v>
      </c>
      <c r="D456" s="3">
        <v>34119.74</v>
      </c>
      <c r="E456" s="4">
        <v>42626</v>
      </c>
      <c r="F456" s="92" t="s">
        <v>28</v>
      </c>
      <c r="G456" s="32">
        <v>42657</v>
      </c>
      <c r="H456" s="27">
        <f t="shared" si="41"/>
        <v>34119.74</v>
      </c>
      <c r="I456" s="27">
        <f>H456</f>
        <v>34119.74</v>
      </c>
      <c r="J456" s="99"/>
      <c r="K456" s="99"/>
      <c r="L456" s="27">
        <v>26550</v>
      </c>
      <c r="M456" s="29">
        <f t="shared" si="42"/>
        <v>7569.739999999998</v>
      </c>
      <c r="N456" s="29">
        <f>M456</f>
        <v>7569.739999999998</v>
      </c>
      <c r="O456" s="44">
        <f t="shared" si="43"/>
        <v>0.22185807980951786</v>
      </c>
    </row>
    <row r="457" spans="1:15" ht="20.100000000000001" customHeight="1" x14ac:dyDescent="0.25">
      <c r="A457" s="89">
        <v>441</v>
      </c>
      <c r="B457" s="4">
        <v>42627</v>
      </c>
      <c r="C457" s="5" t="s">
        <v>191</v>
      </c>
      <c r="D457" s="3">
        <v>31775</v>
      </c>
      <c r="E457" s="4">
        <v>42627</v>
      </c>
      <c r="F457" s="92" t="s">
        <v>28</v>
      </c>
      <c r="G457" s="32">
        <v>42628</v>
      </c>
      <c r="H457" s="27">
        <f t="shared" si="41"/>
        <v>31775</v>
      </c>
      <c r="I457" s="27">
        <f>H457</f>
        <v>31775</v>
      </c>
      <c r="J457" s="99"/>
      <c r="K457" s="99"/>
      <c r="L457" s="27">
        <v>21744</v>
      </c>
      <c r="M457" s="29">
        <f t="shared" si="42"/>
        <v>10031</v>
      </c>
      <c r="N457" s="29">
        <f>M457</f>
        <v>10031</v>
      </c>
      <c r="O457" s="44">
        <f t="shared" si="43"/>
        <v>0.31568843430369786</v>
      </c>
    </row>
    <row r="458" spans="1:15" ht="20.100000000000001" customHeight="1" x14ac:dyDescent="0.25">
      <c r="A458" s="89">
        <v>431</v>
      </c>
      <c r="B458" s="4">
        <v>42621</v>
      </c>
      <c r="C458" s="26" t="s">
        <v>13</v>
      </c>
      <c r="D458" s="3">
        <v>17742.22</v>
      </c>
      <c r="E458" s="4">
        <v>42633</v>
      </c>
      <c r="F458" s="92" t="s">
        <v>28</v>
      </c>
      <c r="G458" s="32">
        <v>42626</v>
      </c>
      <c r="H458" s="27">
        <f t="shared" si="41"/>
        <v>17742.22</v>
      </c>
      <c r="I458" s="99"/>
      <c r="J458" s="99"/>
      <c r="K458" s="99"/>
      <c r="L458" s="27">
        <v>13779</v>
      </c>
      <c r="M458" s="29">
        <f t="shared" si="42"/>
        <v>3963.2200000000012</v>
      </c>
      <c r="N458" s="29"/>
      <c r="O458" s="44">
        <f t="shared" si="43"/>
        <v>0.22337790873971808</v>
      </c>
    </row>
    <row r="459" spans="1:15" ht="20.100000000000001" customHeight="1" x14ac:dyDescent="0.25">
      <c r="A459" s="89">
        <v>434</v>
      </c>
      <c r="B459" s="4">
        <v>42633</v>
      </c>
      <c r="C459" s="26" t="s">
        <v>16</v>
      </c>
      <c r="D459" s="3">
        <v>3065.36</v>
      </c>
      <c r="E459" s="4">
        <v>42633</v>
      </c>
      <c r="F459" s="92" t="s">
        <v>28</v>
      </c>
      <c r="G459" s="32">
        <v>42635</v>
      </c>
      <c r="H459" s="27">
        <f t="shared" si="41"/>
        <v>3065.36</v>
      </c>
      <c r="I459" s="99"/>
      <c r="J459" s="99"/>
      <c r="K459" s="99"/>
      <c r="L459" s="27">
        <v>1422</v>
      </c>
      <c r="M459" s="29">
        <f t="shared" si="42"/>
        <v>1643.3600000000001</v>
      </c>
      <c r="N459" s="29"/>
      <c r="O459" s="44">
        <f t="shared" si="43"/>
        <v>0.5361066889370254</v>
      </c>
    </row>
    <row r="460" spans="1:15" ht="20.100000000000001" customHeight="1" x14ac:dyDescent="0.25">
      <c r="A460" s="89">
        <v>439</v>
      </c>
      <c r="B460" s="4">
        <v>42627</v>
      </c>
      <c r="C460" s="5" t="s">
        <v>192</v>
      </c>
      <c r="D460" s="3">
        <v>2284.5700000000002</v>
      </c>
      <c r="E460" s="4">
        <v>42632</v>
      </c>
      <c r="F460" s="92" t="s">
        <v>28</v>
      </c>
      <c r="G460" s="32">
        <v>42636</v>
      </c>
      <c r="H460" s="27">
        <f t="shared" si="41"/>
        <v>2284.5700000000002</v>
      </c>
      <c r="I460" s="27">
        <f>H460</f>
        <v>2284.5700000000002</v>
      </c>
      <c r="J460" s="99"/>
      <c r="K460" s="99"/>
      <c r="L460" s="27">
        <v>1727</v>
      </c>
      <c r="M460" s="29">
        <f t="shared" si="42"/>
        <v>557.57000000000016</v>
      </c>
      <c r="N460" s="29">
        <f>M460</f>
        <v>557.57000000000016</v>
      </c>
      <c r="O460" s="44">
        <f t="shared" si="43"/>
        <v>0.24405905706544345</v>
      </c>
    </row>
    <row r="461" spans="1:15" ht="20.100000000000001" customHeight="1" x14ac:dyDescent="0.25">
      <c r="A461" s="89">
        <v>2534</v>
      </c>
      <c r="B461" s="4">
        <v>42626</v>
      </c>
      <c r="C461" s="5" t="s">
        <v>192</v>
      </c>
      <c r="D461" s="3">
        <v>38790</v>
      </c>
      <c r="E461" s="4">
        <v>42635</v>
      </c>
      <c r="F461" s="92" t="s">
        <v>28</v>
      </c>
      <c r="G461" s="32">
        <v>42636</v>
      </c>
      <c r="H461" s="27">
        <f t="shared" si="41"/>
        <v>38790</v>
      </c>
      <c r="I461" s="27">
        <f>H461</f>
        <v>38790</v>
      </c>
      <c r="J461" s="99"/>
      <c r="K461" s="99"/>
      <c r="L461" s="27">
        <v>28511</v>
      </c>
      <c r="M461" s="29">
        <f t="shared" si="42"/>
        <v>10279</v>
      </c>
      <c r="N461" s="29">
        <f>M461</f>
        <v>10279</v>
      </c>
      <c r="O461" s="44">
        <f t="shared" si="43"/>
        <v>0.26499097705594227</v>
      </c>
    </row>
    <row r="462" spans="1:15" ht="20.100000000000001" customHeight="1" x14ac:dyDescent="0.25">
      <c r="A462" s="89">
        <v>456</v>
      </c>
      <c r="B462" s="4">
        <v>42635</v>
      </c>
      <c r="C462" s="26" t="s">
        <v>16</v>
      </c>
      <c r="D462" s="3">
        <v>13063.12</v>
      </c>
      <c r="E462" s="4">
        <v>42636</v>
      </c>
      <c r="F462" s="92" t="s">
        <v>28</v>
      </c>
      <c r="G462" s="32">
        <v>42655</v>
      </c>
      <c r="H462" s="27">
        <f t="shared" si="41"/>
        <v>13063.12</v>
      </c>
      <c r="I462" s="99"/>
      <c r="J462" s="99"/>
      <c r="K462" s="99"/>
      <c r="L462" s="27">
        <v>9876</v>
      </c>
      <c r="M462" s="29">
        <f t="shared" si="42"/>
        <v>3187.1200000000008</v>
      </c>
      <c r="N462" s="29"/>
      <c r="O462" s="44">
        <f t="shared" si="43"/>
        <v>0.24397846762488598</v>
      </c>
    </row>
    <row r="463" spans="1:15" ht="20.100000000000001" customHeight="1" x14ac:dyDescent="0.25">
      <c r="A463" s="89">
        <v>403</v>
      </c>
      <c r="B463" s="4">
        <v>42613</v>
      </c>
      <c r="C463" s="26" t="s">
        <v>38</v>
      </c>
      <c r="D463" s="3">
        <v>70397</v>
      </c>
      <c r="E463" s="4">
        <v>42640</v>
      </c>
      <c r="F463" s="92" t="s">
        <v>28</v>
      </c>
      <c r="G463" s="32">
        <v>42628</v>
      </c>
      <c r="H463" s="27">
        <f t="shared" si="41"/>
        <v>70397</v>
      </c>
      <c r="I463" s="99"/>
      <c r="J463" s="99">
        <f>D463*0.02</f>
        <v>1407.94</v>
      </c>
      <c r="K463" s="99">
        <v>2400</v>
      </c>
      <c r="L463" s="27">
        <v>28639.599999999999</v>
      </c>
      <c r="M463" s="29">
        <f t="shared" si="42"/>
        <v>37949.46</v>
      </c>
      <c r="N463" s="29"/>
      <c r="O463" s="44">
        <f t="shared" si="43"/>
        <v>0.53907780161086405</v>
      </c>
    </row>
    <row r="464" spans="1:15" ht="20.100000000000001" customHeight="1" x14ac:dyDescent="0.25">
      <c r="A464" s="89">
        <v>416</v>
      </c>
      <c r="B464" s="4">
        <v>42613</v>
      </c>
      <c r="C464" s="26" t="s">
        <v>38</v>
      </c>
      <c r="D464" s="3">
        <v>61465.19</v>
      </c>
      <c r="E464" s="4">
        <v>42640</v>
      </c>
      <c r="F464" s="92" t="s">
        <v>28</v>
      </c>
      <c r="G464" s="32">
        <v>42628</v>
      </c>
      <c r="H464" s="27">
        <f t="shared" si="41"/>
        <v>61465.19</v>
      </c>
      <c r="I464" s="99"/>
      <c r="J464" s="100">
        <f>D464*0.02</f>
        <v>1229.3038000000001</v>
      </c>
      <c r="K464" s="99"/>
      <c r="L464" s="27">
        <v>34065</v>
      </c>
      <c r="M464" s="29">
        <f t="shared" si="42"/>
        <v>26170.886200000001</v>
      </c>
      <c r="N464" s="29"/>
      <c r="O464" s="44">
        <f t="shared" si="43"/>
        <v>0.42578386563191295</v>
      </c>
    </row>
    <row r="465" spans="1:15" ht="20.100000000000001" customHeight="1" x14ac:dyDescent="0.25">
      <c r="A465" s="89">
        <v>200</v>
      </c>
      <c r="B465" s="4">
        <v>42506</v>
      </c>
      <c r="C465" s="26" t="s">
        <v>99</v>
      </c>
      <c r="D465" s="3">
        <v>99507.12</v>
      </c>
      <c r="E465" s="4">
        <v>42642</v>
      </c>
      <c r="F465" s="92" t="s">
        <v>28</v>
      </c>
      <c r="G465" s="32">
        <v>42562</v>
      </c>
      <c r="H465" s="27">
        <f t="shared" si="41"/>
        <v>99507.12</v>
      </c>
      <c r="I465" s="27"/>
      <c r="J465" s="99"/>
      <c r="K465" s="99"/>
      <c r="L465" s="27">
        <v>72290</v>
      </c>
      <c r="M465" s="29">
        <f t="shared" si="42"/>
        <v>27217.119999999995</v>
      </c>
      <c r="N465" s="29"/>
      <c r="O465" s="44">
        <f t="shared" si="43"/>
        <v>0.27351932203444335</v>
      </c>
    </row>
    <row r="466" spans="1:15" ht="20.100000000000001" customHeight="1" x14ac:dyDescent="0.25">
      <c r="A466" s="89">
        <v>357</v>
      </c>
      <c r="B466" s="4">
        <v>42584</v>
      </c>
      <c r="C466" s="26" t="s">
        <v>99</v>
      </c>
      <c r="D466" s="3">
        <v>1080</v>
      </c>
      <c r="E466" s="4">
        <v>42643</v>
      </c>
      <c r="F466" s="92" t="s">
        <v>28</v>
      </c>
      <c r="G466" s="32">
        <v>42584</v>
      </c>
      <c r="H466" s="27">
        <f t="shared" si="41"/>
        <v>1080</v>
      </c>
      <c r="I466" s="27"/>
      <c r="J466" s="99"/>
      <c r="K466" s="99"/>
      <c r="L466" s="27">
        <v>810</v>
      </c>
      <c r="M466" s="29">
        <f t="shared" si="42"/>
        <v>270</v>
      </c>
      <c r="N466" s="29"/>
      <c r="O466" s="44">
        <f t="shared" si="43"/>
        <v>0.25</v>
      </c>
    </row>
    <row r="467" spans="1:15" ht="20.100000000000001" customHeight="1" x14ac:dyDescent="0.25">
      <c r="A467" s="89">
        <v>347</v>
      </c>
      <c r="B467" s="4">
        <v>42579</v>
      </c>
      <c r="C467" s="26" t="s">
        <v>99</v>
      </c>
      <c r="D467" s="3">
        <v>253571.45</v>
      </c>
      <c r="E467" s="4">
        <v>42643</v>
      </c>
      <c r="F467" s="92" t="s">
        <v>28</v>
      </c>
      <c r="G467" s="32">
        <v>42608</v>
      </c>
      <c r="H467" s="27">
        <f t="shared" si="41"/>
        <v>253571.45</v>
      </c>
      <c r="I467" s="27"/>
      <c r="J467" s="100">
        <v>12000</v>
      </c>
      <c r="K467" s="99">
        <v>2400</v>
      </c>
      <c r="L467" s="27">
        <v>146720</v>
      </c>
      <c r="M467" s="29">
        <f t="shared" si="42"/>
        <v>92451.450000000012</v>
      </c>
      <c r="N467" s="29"/>
      <c r="O467" s="44">
        <f t="shared" si="43"/>
        <v>0.36459723679459971</v>
      </c>
    </row>
    <row r="468" spans="1:15" ht="20.100000000000001" customHeight="1" x14ac:dyDescent="0.25">
      <c r="A468" s="89">
        <v>469</v>
      </c>
      <c r="B468" s="4">
        <v>42641</v>
      </c>
      <c r="C468" s="26" t="s">
        <v>185</v>
      </c>
      <c r="D468" s="3">
        <v>867</v>
      </c>
      <c r="E468" s="4">
        <v>42642</v>
      </c>
      <c r="F468" s="92" t="s">
        <v>28</v>
      </c>
      <c r="G468" s="32">
        <v>42642</v>
      </c>
      <c r="H468" s="27">
        <f t="shared" si="41"/>
        <v>867</v>
      </c>
      <c r="I468" s="27"/>
      <c r="J468" s="100"/>
      <c r="K468" s="99"/>
      <c r="L468" s="27">
        <v>656</v>
      </c>
      <c r="M468" s="29">
        <f t="shared" si="42"/>
        <v>211</v>
      </c>
      <c r="N468" s="29"/>
      <c r="O468" s="44">
        <f t="shared" si="43"/>
        <v>0.24336793540945789</v>
      </c>
    </row>
    <row r="469" spans="1:15" ht="20.100000000000001" customHeight="1" x14ac:dyDescent="0.25">
      <c r="A469" s="89">
        <v>459</v>
      </c>
      <c r="B469" s="4">
        <v>42636</v>
      </c>
      <c r="C469" s="26" t="s">
        <v>97</v>
      </c>
      <c r="D469" s="3">
        <v>18725.2</v>
      </c>
      <c r="E469" s="4">
        <v>42643</v>
      </c>
      <c r="F469" s="92" t="s">
        <v>28</v>
      </c>
      <c r="G469" s="32">
        <v>42667</v>
      </c>
      <c r="H469" s="27">
        <f t="shared" si="41"/>
        <v>18725.2</v>
      </c>
      <c r="I469" s="27"/>
      <c r="J469" s="100"/>
      <c r="K469" s="99"/>
      <c r="L469" s="27">
        <v>14372</v>
      </c>
      <c r="M469" s="29">
        <f t="shared" si="42"/>
        <v>4353.2000000000007</v>
      </c>
      <c r="N469" s="29"/>
      <c r="O469" s="44">
        <f t="shared" si="43"/>
        <v>0.23247815777668598</v>
      </c>
    </row>
    <row r="470" spans="1:15" ht="19.5" customHeight="1" x14ac:dyDescent="0.25">
      <c r="A470" s="89"/>
      <c r="B470" s="4"/>
      <c r="C470" s="5"/>
      <c r="D470" s="3"/>
      <c r="E470" s="97">
        <v>44400</v>
      </c>
      <c r="F470" s="98">
        <f>M470*0.17+N470*0.06</f>
        <v>43971.091454000001</v>
      </c>
      <c r="G470" s="21">
        <f>H470*0.05+I470*0.02</f>
        <v>40108.935700000002</v>
      </c>
      <c r="H470" s="16">
        <f t="shared" ref="H470:N470" si="44">SUM(H444:H469)</f>
        <v>757843.39</v>
      </c>
      <c r="I470" s="16">
        <f t="shared" si="44"/>
        <v>110838.31</v>
      </c>
      <c r="J470" s="16">
        <f t="shared" si="44"/>
        <v>14637.2438</v>
      </c>
      <c r="K470" s="16">
        <f t="shared" si="44"/>
        <v>4800</v>
      </c>
      <c r="L470" s="16">
        <f t="shared" si="44"/>
        <v>489997.6</v>
      </c>
      <c r="M470" s="16">
        <f t="shared" si="44"/>
        <v>248408.54620000001</v>
      </c>
      <c r="N470" s="16">
        <f t="shared" si="44"/>
        <v>29027.309999999998</v>
      </c>
      <c r="O470" s="44">
        <f t="shared" si="43"/>
        <v>0.32778348333947993</v>
      </c>
    </row>
    <row r="471" spans="1:15" ht="23.25" x14ac:dyDescent="0.35">
      <c r="C471" s="94" t="s">
        <v>644</v>
      </c>
    </row>
    <row r="472" spans="1:15" ht="20.100000000000001" customHeight="1" x14ac:dyDescent="0.25">
      <c r="A472" s="89">
        <v>475</v>
      </c>
      <c r="B472" s="4">
        <v>42646</v>
      </c>
      <c r="C472" s="5" t="s">
        <v>193</v>
      </c>
      <c r="D472" s="3">
        <v>37646.5</v>
      </c>
      <c r="E472" s="4">
        <v>42646</v>
      </c>
      <c r="F472" s="92" t="s">
        <v>28</v>
      </c>
      <c r="G472" s="32">
        <v>42646</v>
      </c>
      <c r="H472" s="27">
        <f t="shared" ref="H472:H499" si="45">D472</f>
        <v>37646.5</v>
      </c>
      <c r="I472" s="27">
        <f>H472</f>
        <v>37646.5</v>
      </c>
      <c r="J472" s="99"/>
      <c r="K472" s="99"/>
      <c r="L472" s="27">
        <v>33483</v>
      </c>
      <c r="M472" s="29">
        <f t="shared" ref="M472:M499" si="46">H472-L472-J472-K472</f>
        <v>4163.5</v>
      </c>
      <c r="N472" s="29">
        <f>M472</f>
        <v>4163.5</v>
      </c>
      <c r="O472" s="44">
        <f t="shared" ref="O472:O500" si="47">M472/H472</f>
        <v>0.11059461038874796</v>
      </c>
    </row>
    <row r="473" spans="1:15" ht="20.100000000000001" customHeight="1" x14ac:dyDescent="0.25">
      <c r="A473" s="89">
        <v>476</v>
      </c>
      <c r="B473" s="4">
        <v>42646</v>
      </c>
      <c r="C473" s="5" t="s">
        <v>193</v>
      </c>
      <c r="D473" s="3">
        <v>770.95</v>
      </c>
      <c r="E473" s="4">
        <v>42646</v>
      </c>
      <c r="F473" s="92" t="s">
        <v>28</v>
      </c>
      <c r="G473" s="32">
        <v>42646</v>
      </c>
      <c r="H473" s="27">
        <f t="shared" si="45"/>
        <v>770.95</v>
      </c>
      <c r="I473" s="27">
        <f>H473</f>
        <v>770.95</v>
      </c>
      <c r="J473" s="99"/>
      <c r="K473" s="99"/>
      <c r="L473" s="27">
        <v>727</v>
      </c>
      <c r="M473" s="29">
        <f t="shared" si="46"/>
        <v>43.950000000000045</v>
      </c>
      <c r="N473" s="29">
        <f>M473</f>
        <v>43.950000000000045</v>
      </c>
      <c r="O473" s="44">
        <f t="shared" si="47"/>
        <v>5.7007588040729029E-2</v>
      </c>
    </row>
    <row r="474" spans="1:15" ht="20.100000000000001" customHeight="1" x14ac:dyDescent="0.25">
      <c r="A474" s="89">
        <v>473</v>
      </c>
      <c r="B474" s="4">
        <v>42647</v>
      </c>
      <c r="C474" s="26" t="s">
        <v>180</v>
      </c>
      <c r="D474" s="3">
        <v>54483.14</v>
      </c>
      <c r="E474" s="4">
        <v>42649</v>
      </c>
      <c r="F474" s="92" t="s">
        <v>28</v>
      </c>
      <c r="G474" s="32">
        <v>42670</v>
      </c>
      <c r="H474" s="27">
        <f t="shared" si="45"/>
        <v>54483.14</v>
      </c>
      <c r="I474" s="27"/>
      <c r="J474" s="99"/>
      <c r="K474" s="99"/>
      <c r="L474" s="27">
        <v>39613</v>
      </c>
      <c r="M474" s="29">
        <f t="shared" si="46"/>
        <v>14870.14</v>
      </c>
      <c r="N474" s="29"/>
      <c r="O474" s="44">
        <f t="shared" si="47"/>
        <v>0.27293103884981668</v>
      </c>
    </row>
    <row r="475" spans="1:15" ht="20.100000000000001" customHeight="1" x14ac:dyDescent="0.25">
      <c r="A475" s="89">
        <v>484</v>
      </c>
      <c r="B475" s="4">
        <v>42649</v>
      </c>
      <c r="C475" s="26" t="s">
        <v>144</v>
      </c>
      <c r="D475" s="3">
        <v>4990</v>
      </c>
      <c r="E475" s="4">
        <v>42650</v>
      </c>
      <c r="F475" s="92" t="s">
        <v>28</v>
      </c>
      <c r="G475" s="32">
        <v>42654</v>
      </c>
      <c r="H475" s="27">
        <f t="shared" si="45"/>
        <v>4990</v>
      </c>
      <c r="I475" s="27"/>
      <c r="J475" s="99"/>
      <c r="K475" s="99"/>
      <c r="L475" s="27">
        <v>3850</v>
      </c>
      <c r="M475" s="29">
        <f t="shared" si="46"/>
        <v>1140</v>
      </c>
      <c r="N475" s="29"/>
      <c r="O475" s="44">
        <f t="shared" si="47"/>
        <v>0.22845691382765532</v>
      </c>
    </row>
    <row r="476" spans="1:15" ht="20.100000000000001" customHeight="1" x14ac:dyDescent="0.25">
      <c r="A476" s="89">
        <v>470</v>
      </c>
      <c r="B476" s="4">
        <v>42642</v>
      </c>
      <c r="C476" s="26" t="s">
        <v>97</v>
      </c>
      <c r="D476" s="3">
        <v>98070</v>
      </c>
      <c r="E476" s="4">
        <v>42649</v>
      </c>
      <c r="F476" s="92" t="s">
        <v>28</v>
      </c>
      <c r="G476" s="32">
        <v>42667</v>
      </c>
      <c r="H476" s="27">
        <f t="shared" si="45"/>
        <v>98070</v>
      </c>
      <c r="I476" s="27"/>
      <c r="J476" s="99"/>
      <c r="K476" s="99"/>
      <c r="L476" s="27">
        <v>77229</v>
      </c>
      <c r="M476" s="29">
        <f t="shared" si="46"/>
        <v>20841</v>
      </c>
      <c r="N476" s="29"/>
      <c r="O476" s="44">
        <f t="shared" si="47"/>
        <v>0.21251147139798104</v>
      </c>
    </row>
    <row r="477" spans="1:15" ht="20.100000000000001" customHeight="1" x14ac:dyDescent="0.25">
      <c r="A477" s="89">
        <v>467</v>
      </c>
      <c r="B477" s="4">
        <v>42641</v>
      </c>
      <c r="C477" s="26" t="s">
        <v>97</v>
      </c>
      <c r="D477" s="3">
        <v>3855</v>
      </c>
      <c r="E477" s="4">
        <v>42649</v>
      </c>
      <c r="F477" s="92" t="s">
        <v>28</v>
      </c>
      <c r="G477" s="32">
        <v>42667</v>
      </c>
      <c r="H477" s="27">
        <f t="shared" si="45"/>
        <v>3855</v>
      </c>
      <c r="I477" s="27"/>
      <c r="J477" s="99"/>
      <c r="K477" s="99"/>
      <c r="L477" s="27">
        <v>2349</v>
      </c>
      <c r="M477" s="29">
        <f t="shared" si="46"/>
        <v>1506</v>
      </c>
      <c r="N477" s="29"/>
      <c r="O477" s="44">
        <f t="shared" si="47"/>
        <v>0.39066147859922179</v>
      </c>
    </row>
    <row r="478" spans="1:15" ht="20.100000000000001" customHeight="1" x14ac:dyDescent="0.25">
      <c r="A478" s="89">
        <v>383</v>
      </c>
      <c r="B478" s="4">
        <v>42643</v>
      </c>
      <c r="C478" s="26" t="s">
        <v>45</v>
      </c>
      <c r="D478" s="3">
        <v>232221.58</v>
      </c>
      <c r="E478" s="4">
        <v>42655</v>
      </c>
      <c r="F478" s="92" t="s">
        <v>28</v>
      </c>
      <c r="G478" s="32">
        <v>42682</v>
      </c>
      <c r="H478" s="27">
        <f t="shared" si="45"/>
        <v>232221.58</v>
      </c>
      <c r="I478" s="27"/>
      <c r="J478" s="99"/>
      <c r="K478" s="99"/>
      <c r="L478" s="27">
        <v>155315</v>
      </c>
      <c r="M478" s="29">
        <f t="shared" si="46"/>
        <v>76906.579999999987</v>
      </c>
      <c r="N478" s="29"/>
      <c r="O478" s="44">
        <f t="shared" si="47"/>
        <v>0.3311775761753063</v>
      </c>
    </row>
    <row r="479" spans="1:15" ht="20.100000000000001" customHeight="1" x14ac:dyDescent="0.25">
      <c r="A479" s="89">
        <v>485</v>
      </c>
      <c r="B479" s="4">
        <v>42653</v>
      </c>
      <c r="C479" s="5" t="s">
        <v>194</v>
      </c>
      <c r="D479" s="3">
        <v>15990</v>
      </c>
      <c r="E479" s="4">
        <v>42655</v>
      </c>
      <c r="F479" s="92" t="s">
        <v>28</v>
      </c>
      <c r="G479" s="32">
        <v>42656</v>
      </c>
      <c r="H479" s="27">
        <f t="shared" si="45"/>
        <v>15990</v>
      </c>
      <c r="I479" s="27">
        <f>H479</f>
        <v>15990</v>
      </c>
      <c r="J479" s="99"/>
      <c r="K479" s="99"/>
      <c r="L479" s="27">
        <v>12928</v>
      </c>
      <c r="M479" s="29">
        <f t="shared" si="46"/>
        <v>3062</v>
      </c>
      <c r="N479" s="29">
        <f>M479</f>
        <v>3062</v>
      </c>
      <c r="O479" s="44">
        <f t="shared" si="47"/>
        <v>0.19149468417761101</v>
      </c>
    </row>
    <row r="480" spans="1:15" ht="20.100000000000001" customHeight="1" x14ac:dyDescent="0.25">
      <c r="A480" s="89">
        <v>474</v>
      </c>
      <c r="B480" s="4">
        <v>42646</v>
      </c>
      <c r="C480" s="26" t="s">
        <v>139</v>
      </c>
      <c r="D480" s="3">
        <v>5200</v>
      </c>
      <c r="E480" s="4">
        <v>42654</v>
      </c>
      <c r="F480" s="92" t="s">
        <v>28</v>
      </c>
      <c r="G480" s="32">
        <v>42660</v>
      </c>
      <c r="H480" s="27">
        <f t="shared" si="45"/>
        <v>5200</v>
      </c>
      <c r="I480" s="27"/>
      <c r="J480" s="99"/>
      <c r="K480" s="99"/>
      <c r="L480" s="27">
        <v>2350</v>
      </c>
      <c r="M480" s="29">
        <f t="shared" si="46"/>
        <v>2850</v>
      </c>
      <c r="N480" s="29"/>
      <c r="O480" s="44">
        <f t="shared" si="47"/>
        <v>0.54807692307692313</v>
      </c>
    </row>
    <row r="481" spans="1:15" ht="20.100000000000001" customHeight="1" x14ac:dyDescent="0.25">
      <c r="A481" s="89">
        <v>450</v>
      </c>
      <c r="B481" s="4">
        <v>42633</v>
      </c>
      <c r="C481" s="26" t="s">
        <v>122</v>
      </c>
      <c r="D481" s="3">
        <v>5955</v>
      </c>
      <c r="E481" s="4">
        <v>42656</v>
      </c>
      <c r="F481" s="92" t="s">
        <v>28</v>
      </c>
      <c r="G481" s="32">
        <v>42656</v>
      </c>
      <c r="H481" s="27">
        <f t="shared" si="45"/>
        <v>5955</v>
      </c>
      <c r="I481" s="27"/>
      <c r="J481" s="99"/>
      <c r="K481" s="99"/>
      <c r="L481" s="27">
        <v>4918</v>
      </c>
      <c r="M481" s="29">
        <f t="shared" si="46"/>
        <v>1037</v>
      </c>
      <c r="N481" s="29"/>
      <c r="O481" s="44">
        <f t="shared" si="47"/>
        <v>0.17413937867338372</v>
      </c>
    </row>
    <row r="482" spans="1:15" ht="20.100000000000001" customHeight="1" x14ac:dyDescent="0.25">
      <c r="A482" s="89">
        <v>466</v>
      </c>
      <c r="B482" s="4">
        <v>42640</v>
      </c>
      <c r="C482" s="26" t="s">
        <v>180</v>
      </c>
      <c r="D482" s="3">
        <v>200529.71</v>
      </c>
      <c r="E482" s="4">
        <v>42656</v>
      </c>
      <c r="F482" s="92" t="s">
        <v>28</v>
      </c>
      <c r="G482" s="32">
        <v>42682</v>
      </c>
      <c r="H482" s="27">
        <f t="shared" si="45"/>
        <v>200529.71</v>
      </c>
      <c r="I482" s="27"/>
      <c r="J482" s="99"/>
      <c r="K482" s="99">
        <f>3*1200</f>
        <v>3600</v>
      </c>
      <c r="L482" s="27">
        <v>144180</v>
      </c>
      <c r="M482" s="29">
        <f t="shared" si="46"/>
        <v>52749.709999999992</v>
      </c>
      <c r="N482" s="29"/>
      <c r="O482" s="44">
        <f t="shared" si="47"/>
        <v>0.26305184403847187</v>
      </c>
    </row>
    <row r="483" spans="1:15" ht="20.100000000000001" customHeight="1" x14ac:dyDescent="0.25">
      <c r="A483" s="89">
        <v>290</v>
      </c>
      <c r="B483" s="4">
        <v>42551</v>
      </c>
      <c r="C483" s="26" t="s">
        <v>102</v>
      </c>
      <c r="D483" s="3">
        <v>57918</v>
      </c>
      <c r="E483" s="4">
        <v>42657</v>
      </c>
      <c r="F483" s="92" t="s">
        <v>28</v>
      </c>
      <c r="G483" s="32">
        <v>42660</v>
      </c>
      <c r="H483" s="27">
        <f t="shared" si="45"/>
        <v>57918</v>
      </c>
      <c r="I483" s="27"/>
      <c r="J483" s="99"/>
      <c r="K483" s="99"/>
      <c r="L483" s="27">
        <v>44355</v>
      </c>
      <c r="M483" s="29">
        <f t="shared" si="46"/>
        <v>13563</v>
      </c>
      <c r="N483" s="29"/>
      <c r="O483" s="44">
        <f t="shared" si="47"/>
        <v>0.23417590386408371</v>
      </c>
    </row>
    <row r="484" spans="1:15" ht="20.100000000000001" customHeight="1" x14ac:dyDescent="0.25">
      <c r="A484" s="89">
        <v>496</v>
      </c>
      <c r="B484" s="4">
        <v>42656</v>
      </c>
      <c r="C484" s="5" t="s">
        <v>195</v>
      </c>
      <c r="D484" s="3">
        <v>10031</v>
      </c>
      <c r="E484" s="4">
        <v>42657</v>
      </c>
      <c r="F484" s="92" t="s">
        <v>28</v>
      </c>
      <c r="G484" s="32">
        <v>42661</v>
      </c>
      <c r="H484" s="27">
        <f t="shared" si="45"/>
        <v>10031</v>
      </c>
      <c r="I484" s="27">
        <f>H484</f>
        <v>10031</v>
      </c>
      <c r="J484" s="99"/>
      <c r="K484" s="99"/>
      <c r="L484" s="27">
        <v>7164</v>
      </c>
      <c r="M484" s="29">
        <f t="shared" si="46"/>
        <v>2867</v>
      </c>
      <c r="N484" s="29">
        <f>M484</f>
        <v>2867</v>
      </c>
      <c r="O484" s="44">
        <f t="shared" si="47"/>
        <v>0.28581397667231584</v>
      </c>
    </row>
    <row r="485" spans="1:15" ht="20.100000000000001" customHeight="1" x14ac:dyDescent="0.25">
      <c r="A485" s="89">
        <v>343</v>
      </c>
      <c r="B485" s="4">
        <v>42579</v>
      </c>
      <c r="C485" s="26" t="s">
        <v>150</v>
      </c>
      <c r="D485" s="3">
        <v>5621</v>
      </c>
      <c r="E485" s="4">
        <v>42661</v>
      </c>
      <c r="F485" s="92" t="s">
        <v>28</v>
      </c>
      <c r="G485" s="32">
        <v>42661</v>
      </c>
      <c r="H485" s="27">
        <f t="shared" si="45"/>
        <v>5621</v>
      </c>
      <c r="I485" s="27"/>
      <c r="J485" s="99"/>
      <c r="K485" s="99"/>
      <c r="L485" s="27">
        <v>4840</v>
      </c>
      <c r="M485" s="29">
        <f t="shared" si="46"/>
        <v>781</v>
      </c>
      <c r="N485" s="29"/>
      <c r="O485" s="44">
        <f t="shared" si="47"/>
        <v>0.13894324853228962</v>
      </c>
    </row>
    <row r="486" spans="1:15" ht="20.100000000000001" customHeight="1" x14ac:dyDescent="0.25">
      <c r="A486" s="89">
        <v>422</v>
      </c>
      <c r="B486" s="4">
        <v>42619</v>
      </c>
      <c r="C486" s="26" t="s">
        <v>56</v>
      </c>
      <c r="D486" s="3">
        <v>78380.960000000006</v>
      </c>
      <c r="E486" s="4">
        <v>42661</v>
      </c>
      <c r="F486" s="92" t="s">
        <v>28</v>
      </c>
      <c r="G486" s="32">
        <v>42646</v>
      </c>
      <c r="H486" s="27">
        <f t="shared" si="45"/>
        <v>78380.960000000006</v>
      </c>
      <c r="I486" s="99"/>
      <c r="J486" s="99"/>
      <c r="K486" s="99"/>
      <c r="L486" s="27">
        <v>55179</v>
      </c>
      <c r="M486" s="29">
        <f t="shared" si="46"/>
        <v>23201.960000000006</v>
      </c>
      <c r="N486" s="29"/>
      <c r="O486" s="44">
        <f t="shared" si="47"/>
        <v>0.29601525676643925</v>
      </c>
    </row>
    <row r="487" spans="1:15" ht="20.100000000000001" customHeight="1" x14ac:dyDescent="0.25">
      <c r="A487" s="89">
        <v>500</v>
      </c>
      <c r="B487" s="4">
        <v>42660</v>
      </c>
      <c r="C487" s="5" t="s">
        <v>196</v>
      </c>
      <c r="D487" s="3">
        <v>4865.66</v>
      </c>
      <c r="E487" s="4">
        <v>42661</v>
      </c>
      <c r="F487" s="92" t="s">
        <v>28</v>
      </c>
      <c r="G487" s="32">
        <v>42726</v>
      </c>
      <c r="H487" s="27">
        <f t="shared" si="45"/>
        <v>4865.66</v>
      </c>
      <c r="I487" s="27">
        <f>H487</f>
        <v>4865.66</v>
      </c>
      <c r="J487" s="99"/>
      <c r="K487" s="99"/>
      <c r="L487" s="27">
        <v>3678</v>
      </c>
      <c r="M487" s="29">
        <f t="shared" si="46"/>
        <v>1187.6599999999999</v>
      </c>
      <c r="N487" s="29">
        <f>M487</f>
        <v>1187.6599999999999</v>
      </c>
      <c r="O487" s="44">
        <f t="shared" si="47"/>
        <v>0.2440902159213755</v>
      </c>
    </row>
    <row r="488" spans="1:15" ht="20.100000000000001" customHeight="1" x14ac:dyDescent="0.25">
      <c r="A488" s="89">
        <v>498</v>
      </c>
      <c r="B488" s="4">
        <v>42660</v>
      </c>
      <c r="C488" s="26" t="s">
        <v>16</v>
      </c>
      <c r="D488" s="3">
        <v>6130.72</v>
      </c>
      <c r="E488" s="4">
        <v>42661</v>
      </c>
      <c r="F488" s="92" t="s">
        <v>28</v>
      </c>
      <c r="G488" s="32">
        <v>42674</v>
      </c>
      <c r="H488" s="27">
        <f t="shared" si="45"/>
        <v>6130.72</v>
      </c>
      <c r="I488" s="99"/>
      <c r="J488" s="99"/>
      <c r="K488" s="99"/>
      <c r="L488" s="27">
        <v>3004</v>
      </c>
      <c r="M488" s="29">
        <f t="shared" si="46"/>
        <v>3126.7200000000003</v>
      </c>
      <c r="N488" s="29"/>
      <c r="O488" s="44">
        <f t="shared" si="47"/>
        <v>0.51000861236526873</v>
      </c>
    </row>
    <row r="489" spans="1:15" ht="20.100000000000001" customHeight="1" x14ac:dyDescent="0.25">
      <c r="A489" s="89">
        <v>495</v>
      </c>
      <c r="B489" s="4">
        <v>42656</v>
      </c>
      <c r="C489" s="26" t="s">
        <v>122</v>
      </c>
      <c r="D489" s="3">
        <v>12090</v>
      </c>
      <c r="E489" s="4">
        <v>42661</v>
      </c>
      <c r="F489" s="92" t="s">
        <v>28</v>
      </c>
      <c r="G489" s="32">
        <v>42667</v>
      </c>
      <c r="H489" s="27">
        <f t="shared" si="45"/>
        <v>12090</v>
      </c>
      <c r="I489" s="99"/>
      <c r="J489" s="99"/>
      <c r="K489" s="99"/>
      <c r="L489" s="27">
        <v>9662</v>
      </c>
      <c r="M489" s="29">
        <f t="shared" si="46"/>
        <v>2428</v>
      </c>
      <c r="N489" s="29"/>
      <c r="O489" s="44">
        <f t="shared" si="47"/>
        <v>0.20082712985938792</v>
      </c>
    </row>
    <row r="490" spans="1:15" ht="20.100000000000001" customHeight="1" x14ac:dyDescent="0.25">
      <c r="A490" s="89">
        <v>494</v>
      </c>
      <c r="B490" s="4">
        <v>42656</v>
      </c>
      <c r="C490" s="26" t="s">
        <v>50</v>
      </c>
      <c r="D490" s="3">
        <v>4723.78</v>
      </c>
      <c r="E490" s="4">
        <v>42661</v>
      </c>
      <c r="F490" s="92" t="s">
        <v>28</v>
      </c>
      <c r="G490" s="32">
        <v>42668</v>
      </c>
      <c r="H490" s="27">
        <f t="shared" si="45"/>
        <v>4723.78</v>
      </c>
      <c r="I490" s="99"/>
      <c r="J490" s="99"/>
      <c r="K490" s="99"/>
      <c r="L490" s="27">
        <v>3637</v>
      </c>
      <c r="M490" s="29">
        <f t="shared" si="46"/>
        <v>1086.7799999999997</v>
      </c>
      <c r="N490" s="29"/>
      <c r="O490" s="44">
        <f t="shared" si="47"/>
        <v>0.23006575242708166</v>
      </c>
    </row>
    <row r="491" spans="1:15" ht="20.100000000000001" customHeight="1" x14ac:dyDescent="0.25">
      <c r="A491" s="89">
        <v>497</v>
      </c>
      <c r="B491" s="4">
        <v>42657</v>
      </c>
      <c r="C491" s="26" t="s">
        <v>115</v>
      </c>
      <c r="D491" s="3">
        <v>4335</v>
      </c>
      <c r="E491" s="4">
        <v>42662</v>
      </c>
      <c r="F491" s="92" t="s">
        <v>28</v>
      </c>
      <c r="G491" s="32">
        <v>42683</v>
      </c>
      <c r="H491" s="27">
        <f t="shared" si="45"/>
        <v>4335</v>
      </c>
      <c r="I491" s="99"/>
      <c r="J491" s="99"/>
      <c r="K491" s="99"/>
      <c r="L491" s="27">
        <v>3280</v>
      </c>
      <c r="M491" s="29">
        <f t="shared" si="46"/>
        <v>1055</v>
      </c>
      <c r="N491" s="29"/>
      <c r="O491" s="44">
        <f t="shared" si="47"/>
        <v>0.24336793540945789</v>
      </c>
    </row>
    <row r="492" spans="1:15" ht="20.100000000000001" customHeight="1" x14ac:dyDescent="0.25">
      <c r="A492" s="89">
        <v>503</v>
      </c>
      <c r="B492" s="4">
        <v>42661</v>
      </c>
      <c r="C492" s="26" t="s">
        <v>64</v>
      </c>
      <c r="D492" s="3">
        <v>8177.48</v>
      </c>
      <c r="E492" s="92">
        <v>42663</v>
      </c>
      <c r="F492" s="92" t="s">
        <v>28</v>
      </c>
      <c r="G492" s="32">
        <v>42668</v>
      </c>
      <c r="H492" s="27">
        <f t="shared" si="45"/>
        <v>8177.48</v>
      </c>
      <c r="I492" s="99"/>
      <c r="J492" s="99"/>
      <c r="K492" s="99">
        <v>600</v>
      </c>
      <c r="L492" s="27">
        <v>4944</v>
      </c>
      <c r="M492" s="29">
        <f t="shared" si="46"/>
        <v>2633.4799999999996</v>
      </c>
      <c r="N492" s="29"/>
      <c r="O492" s="44">
        <f t="shared" si="47"/>
        <v>0.32204053082367667</v>
      </c>
    </row>
    <row r="493" spans="1:15" ht="20.100000000000001" customHeight="1" x14ac:dyDescent="0.25">
      <c r="A493" s="89">
        <v>505</v>
      </c>
      <c r="B493" s="4">
        <v>42662</v>
      </c>
      <c r="C493" s="5" t="s">
        <v>197</v>
      </c>
      <c r="D493" s="3">
        <v>3476</v>
      </c>
      <c r="E493" s="92">
        <v>42542</v>
      </c>
      <c r="F493" s="92" t="s">
        <v>28</v>
      </c>
      <c r="G493" s="32">
        <v>42542</v>
      </c>
      <c r="H493" s="27">
        <f t="shared" si="45"/>
        <v>3476</v>
      </c>
      <c r="I493" s="27">
        <f>H493</f>
        <v>3476</v>
      </c>
      <c r="J493" s="99"/>
      <c r="K493" s="99"/>
      <c r="L493" s="27">
        <v>2585</v>
      </c>
      <c r="M493" s="29">
        <f t="shared" si="46"/>
        <v>891</v>
      </c>
      <c r="N493" s="29">
        <f>M493</f>
        <v>891</v>
      </c>
      <c r="O493" s="44">
        <f t="shared" si="47"/>
        <v>0.25632911392405061</v>
      </c>
    </row>
    <row r="494" spans="1:15" ht="20.100000000000001" customHeight="1" x14ac:dyDescent="0.25">
      <c r="A494" s="89">
        <v>453</v>
      </c>
      <c r="B494" s="4">
        <v>42635</v>
      </c>
      <c r="C494" s="26" t="s">
        <v>13</v>
      </c>
      <c r="D494" s="3">
        <v>10601.29</v>
      </c>
      <c r="E494" s="92">
        <v>42668</v>
      </c>
      <c r="F494" s="92" t="s">
        <v>28</v>
      </c>
      <c r="G494" s="32">
        <v>42661</v>
      </c>
      <c r="H494" s="27">
        <f t="shared" si="45"/>
        <v>10601.29</v>
      </c>
      <c r="I494" s="99"/>
      <c r="J494" s="99"/>
      <c r="K494" s="99"/>
      <c r="L494" s="27">
        <v>8014</v>
      </c>
      <c r="M494" s="29">
        <f t="shared" si="46"/>
        <v>2587.2900000000009</v>
      </c>
      <c r="N494" s="29"/>
      <c r="O494" s="44">
        <f t="shared" si="47"/>
        <v>0.24405426132102798</v>
      </c>
    </row>
    <row r="495" spans="1:15" ht="20.100000000000001" customHeight="1" x14ac:dyDescent="0.25">
      <c r="A495" s="89">
        <v>492</v>
      </c>
      <c r="B495" s="4">
        <v>42656</v>
      </c>
      <c r="C495" s="26" t="s">
        <v>65</v>
      </c>
      <c r="D495" s="3">
        <v>63528.14</v>
      </c>
      <c r="E495" s="92">
        <v>42670</v>
      </c>
      <c r="F495" s="92" t="s">
        <v>28</v>
      </c>
      <c r="G495" s="32">
        <v>42670</v>
      </c>
      <c r="H495" s="27">
        <f t="shared" si="45"/>
        <v>63528.14</v>
      </c>
      <c r="I495" s="99"/>
      <c r="J495" s="99"/>
      <c r="K495" s="99">
        <f>2*600</f>
        <v>1200</v>
      </c>
      <c r="L495" s="27">
        <v>46080</v>
      </c>
      <c r="M495" s="29">
        <f t="shared" si="46"/>
        <v>16248.14</v>
      </c>
      <c r="N495" s="29"/>
      <c r="O495" s="44">
        <f t="shared" si="47"/>
        <v>0.25576287925319391</v>
      </c>
    </row>
    <row r="496" spans="1:15" ht="20.100000000000001" customHeight="1" x14ac:dyDescent="0.25">
      <c r="A496" s="89">
        <v>454</v>
      </c>
      <c r="B496" s="4">
        <v>42635</v>
      </c>
      <c r="C496" s="26" t="s">
        <v>38</v>
      </c>
      <c r="D496" s="3">
        <v>64300</v>
      </c>
      <c r="E496" s="92">
        <v>42670</v>
      </c>
      <c r="F496" s="92" t="s">
        <v>28</v>
      </c>
      <c r="G496" s="32">
        <v>42661</v>
      </c>
      <c r="H496" s="27">
        <f t="shared" si="45"/>
        <v>64300</v>
      </c>
      <c r="I496" s="99"/>
      <c r="J496" s="27">
        <f>D496*0.02</f>
        <v>1286</v>
      </c>
      <c r="K496" s="99">
        <f>2*1200</f>
        <v>2400</v>
      </c>
      <c r="L496" s="27">
        <v>21968</v>
      </c>
      <c r="M496" s="29">
        <f t="shared" si="46"/>
        <v>38646</v>
      </c>
      <c r="N496" s="29"/>
      <c r="O496" s="44">
        <f t="shared" si="47"/>
        <v>0.60102643856920679</v>
      </c>
    </row>
    <row r="497" spans="1:15" ht="20.100000000000001" customHeight="1" x14ac:dyDescent="0.25">
      <c r="A497" s="89">
        <v>455</v>
      </c>
      <c r="B497" s="4">
        <v>42635</v>
      </c>
      <c r="C497" s="26" t="s">
        <v>38</v>
      </c>
      <c r="D497" s="3">
        <v>97553.72</v>
      </c>
      <c r="E497" s="92">
        <v>42670</v>
      </c>
      <c r="F497" s="92" t="s">
        <v>28</v>
      </c>
      <c r="G497" s="32">
        <v>42661</v>
      </c>
      <c r="H497" s="27">
        <f t="shared" si="45"/>
        <v>97553.72</v>
      </c>
      <c r="I497" s="99"/>
      <c r="J497" s="27">
        <f>D497*0.02</f>
        <v>1951.0744</v>
      </c>
      <c r="K497" s="99">
        <f>2*1200</f>
        <v>2400</v>
      </c>
      <c r="L497" s="27">
        <v>59612</v>
      </c>
      <c r="M497" s="29">
        <f t="shared" si="46"/>
        <v>33590.645600000003</v>
      </c>
      <c r="N497" s="29"/>
      <c r="O497" s="44">
        <f t="shared" si="47"/>
        <v>0.34432972520166327</v>
      </c>
    </row>
    <row r="498" spans="1:15" ht="20.100000000000001" customHeight="1" x14ac:dyDescent="0.25">
      <c r="A498" s="89">
        <v>516</v>
      </c>
      <c r="B498" s="4">
        <v>42669</v>
      </c>
      <c r="C498" s="26" t="s">
        <v>122</v>
      </c>
      <c r="D498" s="3">
        <v>12090</v>
      </c>
      <c r="E498" s="92">
        <v>42671</v>
      </c>
      <c r="F498" s="92" t="s">
        <v>28</v>
      </c>
      <c r="G498" s="32">
        <v>42671</v>
      </c>
      <c r="H498" s="27">
        <f t="shared" si="45"/>
        <v>12090</v>
      </c>
      <c r="I498" s="99"/>
      <c r="J498" s="99"/>
      <c r="K498" s="99"/>
      <c r="L498" s="27">
        <v>9662</v>
      </c>
      <c r="M498" s="29">
        <f t="shared" si="46"/>
        <v>2428</v>
      </c>
      <c r="N498" s="29"/>
      <c r="O498" s="44">
        <f t="shared" si="47"/>
        <v>0.20082712985938792</v>
      </c>
    </row>
    <row r="499" spans="1:15" ht="20.100000000000001" customHeight="1" x14ac:dyDescent="0.25">
      <c r="A499" s="89">
        <v>514</v>
      </c>
      <c r="B499" s="4">
        <v>42668</v>
      </c>
      <c r="C499" s="5" t="s">
        <v>198</v>
      </c>
      <c r="D499" s="3">
        <v>6050</v>
      </c>
      <c r="E499" s="92">
        <v>42674</v>
      </c>
      <c r="F499" s="92" t="s">
        <v>28</v>
      </c>
      <c r="G499" s="32">
        <v>42690</v>
      </c>
      <c r="H499" s="27">
        <f t="shared" si="45"/>
        <v>6050</v>
      </c>
      <c r="I499" s="27">
        <f>H499</f>
        <v>6050</v>
      </c>
      <c r="J499" s="27"/>
      <c r="K499" s="99"/>
      <c r="L499" s="27">
        <v>4574</v>
      </c>
      <c r="M499" s="29">
        <f t="shared" si="46"/>
        <v>1476</v>
      </c>
      <c r="N499" s="29">
        <f>M499</f>
        <v>1476</v>
      </c>
      <c r="O499" s="44">
        <f t="shared" si="47"/>
        <v>0.24396694214876033</v>
      </c>
    </row>
    <row r="500" spans="1:15" ht="19.5" customHeight="1" x14ac:dyDescent="0.25">
      <c r="A500" s="89"/>
      <c r="B500" s="4"/>
      <c r="C500" s="5"/>
      <c r="D500" s="3"/>
      <c r="E500" s="97">
        <v>56400</v>
      </c>
      <c r="F500" s="98">
        <f>M500*0.17+N500*0.06</f>
        <v>56405.951051999997</v>
      </c>
      <c r="G500" s="21">
        <f>H500*0.05+I500*0.02</f>
        <v>57055.83370000001</v>
      </c>
      <c r="H500" s="16">
        <f t="shared" ref="H500:N500" si="48">SUM(H472:H499)</f>
        <v>1109584.6300000001</v>
      </c>
      <c r="I500" s="16">
        <f t="shared" si="48"/>
        <v>78830.11</v>
      </c>
      <c r="J500" s="16">
        <f t="shared" si="48"/>
        <v>3237.0744</v>
      </c>
      <c r="K500" s="16">
        <f t="shared" si="48"/>
        <v>10200</v>
      </c>
      <c r="L500" s="16">
        <f t="shared" si="48"/>
        <v>769180</v>
      </c>
      <c r="M500" s="16">
        <f t="shared" si="48"/>
        <v>326967.55559999996</v>
      </c>
      <c r="N500" s="16">
        <f t="shared" si="48"/>
        <v>13691.11</v>
      </c>
      <c r="O500" s="44">
        <f t="shared" si="47"/>
        <v>0.29467563515186751</v>
      </c>
    </row>
    <row r="501" spans="1:15" ht="23.25" x14ac:dyDescent="0.35">
      <c r="C501" s="94" t="s">
        <v>645</v>
      </c>
    </row>
    <row r="502" spans="1:15" ht="20.100000000000001" customHeight="1" x14ac:dyDescent="0.25">
      <c r="A502" s="89">
        <v>520</v>
      </c>
      <c r="B502" s="4">
        <v>42675</v>
      </c>
      <c r="C502" s="5" t="s">
        <v>199</v>
      </c>
      <c r="D502" s="3">
        <v>22291</v>
      </c>
      <c r="E502" s="92">
        <v>42675</v>
      </c>
      <c r="F502" s="92" t="s">
        <v>28</v>
      </c>
      <c r="G502" s="32">
        <v>42682</v>
      </c>
      <c r="H502" s="27">
        <f>D502</f>
        <v>22291</v>
      </c>
      <c r="I502" s="27">
        <f>H502</f>
        <v>22291</v>
      </c>
      <c r="J502" s="27"/>
      <c r="K502" s="99"/>
      <c r="L502" s="27">
        <v>17692</v>
      </c>
      <c r="M502" s="29">
        <f t="shared" ref="M502:M528" si="49">H502-L502-J502-K502</f>
        <v>4599</v>
      </c>
      <c r="N502" s="29">
        <f>M502</f>
        <v>4599</v>
      </c>
      <c r="O502" s="44">
        <f t="shared" ref="O502:O529" si="50">M502/H502</f>
        <v>0.20631645058543807</v>
      </c>
    </row>
    <row r="503" spans="1:15" ht="20.100000000000001" customHeight="1" x14ac:dyDescent="0.25">
      <c r="A503" s="89">
        <v>523</v>
      </c>
      <c r="B503" s="4">
        <v>42675</v>
      </c>
      <c r="C503" s="26" t="s">
        <v>144</v>
      </c>
      <c r="D503" s="3">
        <v>2450</v>
      </c>
      <c r="E503" s="4">
        <v>42676</v>
      </c>
      <c r="F503" s="92" t="s">
        <v>28</v>
      </c>
      <c r="G503" s="32">
        <v>42682</v>
      </c>
      <c r="H503" s="27">
        <f>D503</f>
        <v>2450</v>
      </c>
      <c r="I503" s="27"/>
      <c r="J503" s="27"/>
      <c r="K503" s="99"/>
      <c r="L503" s="27">
        <v>2174</v>
      </c>
      <c r="M503" s="29">
        <f t="shared" si="49"/>
        <v>276</v>
      </c>
      <c r="N503" s="29"/>
      <c r="O503" s="44">
        <f t="shared" si="50"/>
        <v>0.1126530612244898</v>
      </c>
    </row>
    <row r="504" spans="1:15" ht="20.100000000000001" customHeight="1" x14ac:dyDescent="0.25">
      <c r="A504" s="89">
        <v>527</v>
      </c>
      <c r="B504" s="4">
        <v>42676</v>
      </c>
      <c r="C504" s="5" t="s">
        <v>200</v>
      </c>
      <c r="D504" s="3">
        <v>12067.86</v>
      </c>
      <c r="E504" s="4">
        <v>42677</v>
      </c>
      <c r="F504" s="92" t="s">
        <v>28</v>
      </c>
      <c r="G504" s="32">
        <v>42703</v>
      </c>
      <c r="H504" s="27">
        <f>D504</f>
        <v>12067.86</v>
      </c>
      <c r="I504" s="27">
        <f>H504</f>
        <v>12067.86</v>
      </c>
      <c r="J504" s="27"/>
      <c r="K504" s="99"/>
      <c r="L504" s="27">
        <v>9124</v>
      </c>
      <c r="M504" s="29">
        <f t="shared" si="49"/>
        <v>2943.8600000000006</v>
      </c>
      <c r="N504" s="29">
        <f>M504</f>
        <v>2943.8600000000006</v>
      </c>
      <c r="O504" s="44">
        <f t="shared" si="50"/>
        <v>0.24394217367453719</v>
      </c>
    </row>
    <row r="505" spans="1:15" ht="20.100000000000001" customHeight="1" x14ac:dyDescent="0.25">
      <c r="A505" s="89">
        <v>515</v>
      </c>
      <c r="B505" s="4">
        <v>42668</v>
      </c>
      <c r="C505" s="26" t="s">
        <v>60</v>
      </c>
      <c r="D505" s="3">
        <v>22631.64</v>
      </c>
      <c r="E505" s="4">
        <v>42682</v>
      </c>
      <c r="F505" s="92" t="s">
        <v>28</v>
      </c>
      <c r="G505" s="32">
        <v>42671</v>
      </c>
      <c r="H505" s="27">
        <f>D505</f>
        <v>22631.64</v>
      </c>
      <c r="I505" s="99"/>
      <c r="J505" s="99"/>
      <c r="K505" s="99"/>
      <c r="L505" s="27">
        <v>17604</v>
      </c>
      <c r="M505" s="29">
        <f t="shared" si="49"/>
        <v>5027.6399999999994</v>
      </c>
      <c r="N505" s="29"/>
      <c r="O505" s="44">
        <f t="shared" si="50"/>
        <v>0.22215093559282489</v>
      </c>
    </row>
    <row r="506" spans="1:15" ht="20.100000000000001" customHeight="1" x14ac:dyDescent="0.25">
      <c r="A506" s="89">
        <v>487</v>
      </c>
      <c r="B506" s="4">
        <v>42655</v>
      </c>
      <c r="C506" s="26" t="s">
        <v>180</v>
      </c>
      <c r="D506" s="3">
        <v>620582.84</v>
      </c>
      <c r="E506" s="4">
        <v>42685</v>
      </c>
      <c r="F506" s="92" t="s">
        <v>28</v>
      </c>
      <c r="G506" s="32">
        <v>42704</v>
      </c>
      <c r="H506" s="27">
        <v>310291.42</v>
      </c>
      <c r="I506" s="27"/>
      <c r="J506" s="99"/>
      <c r="K506" s="99">
        <f>5*1200</f>
        <v>6000</v>
      </c>
      <c r="L506" s="27">
        <v>228398</v>
      </c>
      <c r="M506" s="29">
        <f t="shared" si="49"/>
        <v>75893.419999999984</v>
      </c>
      <c r="N506" s="29"/>
      <c r="O506" s="44">
        <f t="shared" si="50"/>
        <v>0.24458755578868402</v>
      </c>
    </row>
    <row r="507" spans="1:15" ht="20.100000000000001" customHeight="1" x14ac:dyDescent="0.25">
      <c r="A507" s="89">
        <v>524</v>
      </c>
      <c r="B507" s="4">
        <v>42675</v>
      </c>
      <c r="C507" s="5" t="s">
        <v>202</v>
      </c>
      <c r="D507" s="3">
        <v>19260</v>
      </c>
      <c r="E507" s="4">
        <v>42688</v>
      </c>
      <c r="F507" s="92" t="s">
        <v>28</v>
      </c>
      <c r="G507" s="32">
        <v>42690</v>
      </c>
      <c r="H507" s="27">
        <f t="shared" ref="H507:H513" si="51">D507</f>
        <v>19260</v>
      </c>
      <c r="I507" s="27">
        <f>H507</f>
        <v>19260</v>
      </c>
      <c r="J507" s="27"/>
      <c r="K507" s="99"/>
      <c r="L507" s="27">
        <v>17788</v>
      </c>
      <c r="M507" s="29">
        <f t="shared" si="49"/>
        <v>1472</v>
      </c>
      <c r="N507" s="29">
        <f>M507</f>
        <v>1472</v>
      </c>
      <c r="O507" s="44">
        <f t="shared" si="50"/>
        <v>7.6427829698857738E-2</v>
      </c>
    </row>
    <row r="508" spans="1:15" ht="20.100000000000001" customHeight="1" x14ac:dyDescent="0.25">
      <c r="A508" s="89">
        <v>522</v>
      </c>
      <c r="B508" s="4">
        <v>42681</v>
      </c>
      <c r="C508" s="26" t="s">
        <v>65</v>
      </c>
      <c r="D508" s="3">
        <v>42699.22</v>
      </c>
      <c r="E508" s="4">
        <v>42689</v>
      </c>
      <c r="F508" s="92" t="s">
        <v>28</v>
      </c>
      <c r="G508" s="32">
        <v>42689</v>
      </c>
      <c r="H508" s="27">
        <f t="shared" si="51"/>
        <v>42699.22</v>
      </c>
      <c r="I508" s="27"/>
      <c r="J508" s="27"/>
      <c r="K508" s="99"/>
      <c r="L508" s="27">
        <v>30066</v>
      </c>
      <c r="M508" s="29">
        <f t="shared" si="49"/>
        <v>12633.220000000001</v>
      </c>
      <c r="N508" s="29"/>
      <c r="O508" s="44">
        <f t="shared" si="50"/>
        <v>0.29586535772784611</v>
      </c>
    </row>
    <row r="509" spans="1:15" ht="20.100000000000001" customHeight="1" x14ac:dyDescent="0.25">
      <c r="A509" s="89">
        <v>546</v>
      </c>
      <c r="B509" s="4">
        <v>42688</v>
      </c>
      <c r="C509" s="5" t="s">
        <v>201</v>
      </c>
      <c r="D509" s="3">
        <v>1319</v>
      </c>
      <c r="E509" s="4">
        <v>42689</v>
      </c>
      <c r="F509" s="92" t="s">
        <v>28</v>
      </c>
      <c r="G509" s="32">
        <v>42696</v>
      </c>
      <c r="H509" s="27">
        <f t="shared" si="51"/>
        <v>1319</v>
      </c>
      <c r="I509" s="27">
        <f>H509</f>
        <v>1319</v>
      </c>
      <c r="J509" s="27"/>
      <c r="K509" s="99"/>
      <c r="L509" s="27">
        <v>986</v>
      </c>
      <c r="M509" s="29">
        <f t="shared" si="49"/>
        <v>333</v>
      </c>
      <c r="N509" s="29">
        <f>M509</f>
        <v>333</v>
      </c>
      <c r="O509" s="44">
        <f t="shared" si="50"/>
        <v>0.25246398786959817</v>
      </c>
    </row>
    <row r="510" spans="1:15" ht="20.100000000000001" customHeight="1" x14ac:dyDescent="0.25">
      <c r="A510" s="89">
        <v>547</v>
      </c>
      <c r="B510" s="4">
        <v>42689</v>
      </c>
      <c r="C510" s="5" t="s">
        <v>203</v>
      </c>
      <c r="D510" s="3">
        <v>21029</v>
      </c>
      <c r="E510" s="4">
        <v>42689</v>
      </c>
      <c r="F510" s="92" t="s">
        <v>28</v>
      </c>
      <c r="G510" s="32">
        <v>42690</v>
      </c>
      <c r="H510" s="27">
        <f t="shared" si="51"/>
        <v>21029</v>
      </c>
      <c r="I510" s="27">
        <f>H510</f>
        <v>21029</v>
      </c>
      <c r="J510" s="27"/>
      <c r="K510" s="99"/>
      <c r="L510" s="27">
        <v>15898</v>
      </c>
      <c r="M510" s="29">
        <f t="shared" si="49"/>
        <v>5131</v>
      </c>
      <c r="N510" s="29">
        <f>M510</f>
        <v>5131</v>
      </c>
      <c r="O510" s="44">
        <f t="shared" si="50"/>
        <v>0.24399638594322126</v>
      </c>
    </row>
    <row r="511" spans="1:15" ht="20.100000000000001" customHeight="1" x14ac:dyDescent="0.25">
      <c r="A511" s="89">
        <v>508</v>
      </c>
      <c r="B511" s="4">
        <v>42667</v>
      </c>
      <c r="C511" s="26" t="s">
        <v>38</v>
      </c>
      <c r="D511" s="3">
        <v>20146.669999999998</v>
      </c>
      <c r="E511" s="92">
        <v>42690</v>
      </c>
      <c r="F511" s="92" t="s">
        <v>28</v>
      </c>
      <c r="G511" s="32">
        <v>42683</v>
      </c>
      <c r="H511" s="27">
        <f t="shared" si="51"/>
        <v>20146.669999999998</v>
      </c>
      <c r="I511" s="27"/>
      <c r="J511" s="27">
        <f>D511*0.02</f>
        <v>402.93339999999995</v>
      </c>
      <c r="K511" s="99"/>
      <c r="L511" s="27">
        <v>14466</v>
      </c>
      <c r="M511" s="29">
        <f t="shared" si="49"/>
        <v>5277.7365999999984</v>
      </c>
      <c r="N511" s="29"/>
      <c r="O511" s="44">
        <f t="shared" si="50"/>
        <v>0.26196570450600515</v>
      </c>
    </row>
    <row r="512" spans="1:15" ht="20.100000000000001" customHeight="1" x14ac:dyDescent="0.25">
      <c r="A512" s="89">
        <v>510</v>
      </c>
      <c r="B512" s="4">
        <v>42667</v>
      </c>
      <c r="C512" s="26" t="s">
        <v>38</v>
      </c>
      <c r="D512" s="3">
        <v>78600</v>
      </c>
      <c r="E512" s="92">
        <v>42690</v>
      </c>
      <c r="F512" s="92" t="s">
        <v>28</v>
      </c>
      <c r="G512" s="32">
        <v>42683</v>
      </c>
      <c r="H512" s="27">
        <f t="shared" si="51"/>
        <v>78600</v>
      </c>
      <c r="I512" s="27"/>
      <c r="J512" s="27">
        <f>D512*0.02</f>
        <v>1572</v>
      </c>
      <c r="K512" s="99">
        <f>5*1200</f>
        <v>6000</v>
      </c>
      <c r="L512" s="27">
        <v>29194</v>
      </c>
      <c r="M512" s="29">
        <f t="shared" si="49"/>
        <v>41834</v>
      </c>
      <c r="N512" s="29"/>
      <c r="O512" s="44">
        <f t="shared" si="50"/>
        <v>0.53223918575063611</v>
      </c>
    </row>
    <row r="513" spans="1:15" ht="20.100000000000001" customHeight="1" x14ac:dyDescent="0.25">
      <c r="A513" s="89">
        <v>511</v>
      </c>
      <c r="B513" s="4">
        <v>42667</v>
      </c>
      <c r="C513" s="26" t="s">
        <v>38</v>
      </c>
      <c r="D513" s="3">
        <v>32841.24</v>
      </c>
      <c r="E513" s="92">
        <v>42690</v>
      </c>
      <c r="F513" s="92" t="s">
        <v>28</v>
      </c>
      <c r="G513" s="32">
        <v>42683</v>
      </c>
      <c r="H513" s="27">
        <f t="shared" si="51"/>
        <v>32841.24</v>
      </c>
      <c r="I513" s="27"/>
      <c r="J513" s="27">
        <f>D513*0.02</f>
        <v>656.82479999999998</v>
      </c>
      <c r="K513" s="99"/>
      <c r="L513" s="27">
        <v>21348</v>
      </c>
      <c r="M513" s="29">
        <f t="shared" si="49"/>
        <v>10836.415199999998</v>
      </c>
      <c r="N513" s="29"/>
      <c r="O513" s="44">
        <f t="shared" si="50"/>
        <v>0.32996364327290928</v>
      </c>
    </row>
    <row r="514" spans="1:15" ht="20.100000000000001" customHeight="1" x14ac:dyDescent="0.25">
      <c r="A514" s="89">
        <v>536</v>
      </c>
      <c r="B514" s="4">
        <v>42683</v>
      </c>
      <c r="C514" s="26" t="s">
        <v>180</v>
      </c>
      <c r="D514" s="3">
        <v>56388</v>
      </c>
      <c r="E514" s="92">
        <v>42691</v>
      </c>
      <c r="F514" s="92" t="s">
        <v>28</v>
      </c>
      <c r="G514" s="32">
        <v>42720</v>
      </c>
      <c r="H514" s="27">
        <f>D514/2</f>
        <v>28194</v>
      </c>
      <c r="I514" s="27"/>
      <c r="J514" s="27"/>
      <c r="K514" s="99"/>
      <c r="L514" s="27">
        <v>19698</v>
      </c>
      <c r="M514" s="29">
        <f t="shared" si="49"/>
        <v>8496</v>
      </c>
      <c r="N514" s="29"/>
      <c r="O514" s="44">
        <f t="shared" si="50"/>
        <v>0.30134071078952968</v>
      </c>
    </row>
    <row r="515" spans="1:15" ht="20.100000000000001" customHeight="1" x14ac:dyDescent="0.25">
      <c r="A515" s="89">
        <v>504</v>
      </c>
      <c r="B515" s="4">
        <v>42661</v>
      </c>
      <c r="C515" s="26" t="s">
        <v>180</v>
      </c>
      <c r="D515" s="3">
        <v>336760</v>
      </c>
      <c r="E515" s="92">
        <v>42691</v>
      </c>
      <c r="F515" s="92" t="s">
        <v>28</v>
      </c>
      <c r="G515" s="32">
        <v>42712</v>
      </c>
      <c r="H515" s="27">
        <f>D515/2</f>
        <v>168380</v>
      </c>
      <c r="I515" s="27"/>
      <c r="J515" s="27"/>
      <c r="K515" s="99"/>
      <c r="L515" s="27">
        <v>128064</v>
      </c>
      <c r="M515" s="29">
        <f t="shared" si="49"/>
        <v>40316</v>
      </c>
      <c r="N515" s="29"/>
      <c r="O515" s="44">
        <f t="shared" si="50"/>
        <v>0.23943461218672052</v>
      </c>
    </row>
    <row r="516" spans="1:15" ht="20.100000000000001" customHeight="1" x14ac:dyDescent="0.25">
      <c r="A516" s="89">
        <v>544</v>
      </c>
      <c r="B516" s="4">
        <v>42688</v>
      </c>
      <c r="C516" s="26" t="s">
        <v>64</v>
      </c>
      <c r="D516" s="3">
        <v>1517</v>
      </c>
      <c r="E516" s="92">
        <v>42691</v>
      </c>
      <c r="F516" s="92" t="s">
        <v>28</v>
      </c>
      <c r="G516" s="32">
        <v>42695</v>
      </c>
      <c r="H516" s="27">
        <f t="shared" ref="H516:H522" si="52">D516</f>
        <v>1517</v>
      </c>
      <c r="I516" s="27"/>
      <c r="J516" s="27"/>
      <c r="K516" s="99"/>
      <c r="L516" s="27">
        <v>908</v>
      </c>
      <c r="M516" s="29">
        <f t="shared" si="49"/>
        <v>609</v>
      </c>
      <c r="N516" s="29"/>
      <c r="O516" s="44">
        <f t="shared" si="50"/>
        <v>0.40145023071852343</v>
      </c>
    </row>
    <row r="517" spans="1:15" ht="20.100000000000001" customHeight="1" x14ac:dyDescent="0.25">
      <c r="A517" s="89">
        <v>501</v>
      </c>
      <c r="B517" s="4">
        <v>42660</v>
      </c>
      <c r="C517" s="26" t="s">
        <v>56</v>
      </c>
      <c r="D517" s="3">
        <v>15834.94</v>
      </c>
      <c r="E517" s="4">
        <v>42692</v>
      </c>
      <c r="F517" s="92" t="s">
        <v>28</v>
      </c>
      <c r="G517" s="32">
        <v>42684</v>
      </c>
      <c r="H517" s="27">
        <f t="shared" si="52"/>
        <v>15834.94</v>
      </c>
      <c r="I517" s="99"/>
      <c r="J517" s="99"/>
      <c r="K517" s="99"/>
      <c r="L517" s="27">
        <v>11972</v>
      </c>
      <c r="M517" s="29">
        <f t="shared" si="49"/>
        <v>3862.9400000000005</v>
      </c>
      <c r="N517" s="29"/>
      <c r="O517" s="44">
        <f t="shared" si="50"/>
        <v>0.24395040334854445</v>
      </c>
    </row>
    <row r="518" spans="1:15" ht="20.100000000000001" customHeight="1" x14ac:dyDescent="0.25">
      <c r="A518" s="89">
        <v>480</v>
      </c>
      <c r="B518" s="4">
        <v>42647</v>
      </c>
      <c r="C518" s="26" t="s">
        <v>56</v>
      </c>
      <c r="D518" s="3">
        <v>24714.9</v>
      </c>
      <c r="E518" s="4">
        <v>42692</v>
      </c>
      <c r="F518" s="92" t="s">
        <v>28</v>
      </c>
      <c r="G518" s="32">
        <v>42684</v>
      </c>
      <c r="H518" s="27">
        <f t="shared" si="52"/>
        <v>24714.9</v>
      </c>
      <c r="I518" s="99"/>
      <c r="J518" s="99"/>
      <c r="K518" s="99"/>
      <c r="L518" s="27">
        <v>17450</v>
      </c>
      <c r="M518" s="29">
        <f t="shared" si="49"/>
        <v>7264.9000000000015</v>
      </c>
      <c r="N518" s="29"/>
      <c r="O518" s="44">
        <f t="shared" si="50"/>
        <v>0.29394818510291365</v>
      </c>
    </row>
    <row r="519" spans="1:15" ht="20.100000000000001" customHeight="1" x14ac:dyDescent="0.25">
      <c r="A519" s="89">
        <v>540</v>
      </c>
      <c r="B519" s="4">
        <v>42684</v>
      </c>
      <c r="C519" s="26" t="s">
        <v>56</v>
      </c>
      <c r="D519" s="3">
        <v>4700</v>
      </c>
      <c r="E519" s="4">
        <v>42692</v>
      </c>
      <c r="F519" s="92" t="s">
        <v>28</v>
      </c>
      <c r="G519" s="32">
        <v>42684</v>
      </c>
      <c r="H519" s="27">
        <f t="shared" si="52"/>
        <v>4700</v>
      </c>
      <c r="I519" s="99"/>
      <c r="J519" s="99"/>
      <c r="K519" s="99"/>
      <c r="L519" s="27">
        <v>2350</v>
      </c>
      <c r="M519" s="29">
        <f t="shared" si="49"/>
        <v>2350</v>
      </c>
      <c r="N519" s="29"/>
      <c r="O519" s="44">
        <f t="shared" si="50"/>
        <v>0.5</v>
      </c>
    </row>
    <row r="520" spans="1:15" ht="20.100000000000001" customHeight="1" x14ac:dyDescent="0.25">
      <c r="A520" s="89">
        <v>533</v>
      </c>
      <c r="B520" s="4">
        <v>42681</v>
      </c>
      <c r="C520" s="26" t="s">
        <v>114</v>
      </c>
      <c r="D520" s="3">
        <v>16795</v>
      </c>
      <c r="E520" s="4">
        <v>42692</v>
      </c>
      <c r="F520" s="92" t="s">
        <v>28</v>
      </c>
      <c r="G520" s="32">
        <v>42685</v>
      </c>
      <c r="H520" s="27">
        <f t="shared" si="52"/>
        <v>16795</v>
      </c>
      <c r="I520" s="27"/>
      <c r="J520" s="27"/>
      <c r="K520" s="99"/>
      <c r="L520" s="27">
        <v>13469</v>
      </c>
      <c r="M520" s="29">
        <f t="shared" si="49"/>
        <v>3326</v>
      </c>
      <c r="N520" s="29"/>
      <c r="O520" s="44">
        <f t="shared" si="50"/>
        <v>0.19803512950282823</v>
      </c>
    </row>
    <row r="521" spans="1:15" ht="20.100000000000001" customHeight="1" x14ac:dyDescent="0.25">
      <c r="A521" s="89">
        <v>551</v>
      </c>
      <c r="B521" s="4">
        <v>42691</v>
      </c>
      <c r="C521" s="5" t="s">
        <v>204</v>
      </c>
      <c r="D521" s="3">
        <v>57490</v>
      </c>
      <c r="E521" s="4">
        <v>42696</v>
      </c>
      <c r="F521" s="92" t="s">
        <v>28</v>
      </c>
      <c r="G521" s="32">
        <v>42705</v>
      </c>
      <c r="H521" s="27">
        <f t="shared" si="52"/>
        <v>57490</v>
      </c>
      <c r="I521" s="27">
        <f>H521</f>
        <v>57490</v>
      </c>
      <c r="J521" s="27"/>
      <c r="K521" s="99"/>
      <c r="L521" s="27">
        <v>47098</v>
      </c>
      <c r="M521" s="29">
        <f t="shared" si="49"/>
        <v>10392</v>
      </c>
      <c r="N521" s="29">
        <f>M521</f>
        <v>10392</v>
      </c>
      <c r="O521" s="44">
        <f t="shared" si="50"/>
        <v>0.18076187162984866</v>
      </c>
    </row>
    <row r="522" spans="1:15" ht="20.100000000000001" customHeight="1" x14ac:dyDescent="0.25">
      <c r="A522" s="89">
        <v>539</v>
      </c>
      <c r="B522" s="4">
        <v>42684</v>
      </c>
      <c r="C522" s="26" t="s">
        <v>66</v>
      </c>
      <c r="D522" s="3">
        <v>12657</v>
      </c>
      <c r="E522" s="4">
        <v>42697</v>
      </c>
      <c r="F522" s="92" t="s">
        <v>28</v>
      </c>
      <c r="G522" s="32">
        <v>42718</v>
      </c>
      <c r="H522" s="27">
        <f t="shared" si="52"/>
        <v>12657</v>
      </c>
      <c r="I522" s="27"/>
      <c r="J522" s="27"/>
      <c r="K522" s="99"/>
      <c r="L522" s="27">
        <v>9129</v>
      </c>
      <c r="M522" s="29">
        <f t="shared" si="49"/>
        <v>3528</v>
      </c>
      <c r="N522" s="29"/>
      <c r="O522" s="44">
        <f t="shared" si="50"/>
        <v>0.27873903768665559</v>
      </c>
    </row>
    <row r="523" spans="1:15" ht="20.100000000000001" customHeight="1" x14ac:dyDescent="0.25">
      <c r="A523" s="89">
        <v>536</v>
      </c>
      <c r="B523" s="4">
        <v>42683</v>
      </c>
      <c r="C523" s="26" t="s">
        <v>180</v>
      </c>
      <c r="D523" s="3">
        <v>56388</v>
      </c>
      <c r="E523" s="4">
        <v>42698</v>
      </c>
      <c r="F523" s="92" t="s">
        <v>28</v>
      </c>
      <c r="G523" s="32">
        <v>42720</v>
      </c>
      <c r="H523" s="27">
        <f>D523/2</f>
        <v>28194</v>
      </c>
      <c r="I523" s="27"/>
      <c r="J523" s="27"/>
      <c r="K523" s="99"/>
      <c r="L523" s="27">
        <v>19698</v>
      </c>
      <c r="M523" s="29">
        <f t="shared" si="49"/>
        <v>8496</v>
      </c>
      <c r="N523" s="29"/>
      <c r="O523" s="44">
        <f t="shared" si="50"/>
        <v>0.30134071078952968</v>
      </c>
    </row>
    <row r="524" spans="1:15" ht="20.100000000000001" customHeight="1" x14ac:dyDescent="0.25">
      <c r="A524" s="89">
        <v>553</v>
      </c>
      <c r="B524" s="4">
        <v>42692</v>
      </c>
      <c r="C524" s="26" t="s">
        <v>180</v>
      </c>
      <c r="D524" s="3">
        <v>10026</v>
      </c>
      <c r="E524" s="4">
        <v>42698</v>
      </c>
      <c r="F524" s="92" t="s">
        <v>28</v>
      </c>
      <c r="G524" s="32">
        <v>42726</v>
      </c>
      <c r="H524" s="27">
        <f>D524</f>
        <v>10026</v>
      </c>
      <c r="I524" s="27"/>
      <c r="J524" s="27"/>
      <c r="K524" s="99"/>
      <c r="L524" s="27">
        <v>8550</v>
      </c>
      <c r="M524" s="29">
        <f t="shared" si="49"/>
        <v>1476</v>
      </c>
      <c r="N524" s="29"/>
      <c r="O524" s="44">
        <f t="shared" si="50"/>
        <v>0.14721723518850988</v>
      </c>
    </row>
    <row r="525" spans="1:15" ht="20.100000000000001" customHeight="1" x14ac:dyDescent="0.25">
      <c r="A525" s="89">
        <v>458</v>
      </c>
      <c r="B525" s="4">
        <v>42636</v>
      </c>
      <c r="C525" s="26" t="s">
        <v>99</v>
      </c>
      <c r="D525" s="3">
        <v>316630.71000000002</v>
      </c>
      <c r="E525" s="4">
        <v>42702</v>
      </c>
      <c r="F525" s="92" t="s">
        <v>28</v>
      </c>
      <c r="G525" s="32">
        <v>42667</v>
      </c>
      <c r="H525" s="27">
        <f>D525</f>
        <v>316630.71000000002</v>
      </c>
      <c r="I525" s="99"/>
      <c r="J525" s="99">
        <f>18*3000</f>
        <v>54000</v>
      </c>
      <c r="K525" s="99">
        <f>18*600</f>
        <v>10800</v>
      </c>
      <c r="L525" s="27">
        <v>101273</v>
      </c>
      <c r="M525" s="29">
        <f t="shared" si="49"/>
        <v>150557.71000000002</v>
      </c>
      <c r="N525" s="29"/>
      <c r="O525" s="44">
        <f t="shared" si="50"/>
        <v>0.47549939170461392</v>
      </c>
    </row>
    <row r="526" spans="1:15" ht="20.100000000000001" customHeight="1" x14ac:dyDescent="0.25">
      <c r="A526" s="89">
        <v>487</v>
      </c>
      <c r="B526" s="4">
        <v>42655</v>
      </c>
      <c r="C526" s="26" t="s">
        <v>180</v>
      </c>
      <c r="D526" s="3">
        <v>620582.84</v>
      </c>
      <c r="E526" s="4">
        <v>42702</v>
      </c>
      <c r="F526" s="92" t="s">
        <v>28</v>
      </c>
      <c r="G526" s="32">
        <v>42704</v>
      </c>
      <c r="H526" s="27">
        <f>D526/2</f>
        <v>310291.42</v>
      </c>
      <c r="I526" s="27"/>
      <c r="J526" s="99"/>
      <c r="K526" s="99">
        <f>5*1200</f>
        <v>6000</v>
      </c>
      <c r="L526" s="27">
        <v>228398</v>
      </c>
      <c r="M526" s="29">
        <f t="shared" si="49"/>
        <v>75893.419999999984</v>
      </c>
      <c r="N526" s="29"/>
      <c r="O526" s="44">
        <f t="shared" si="50"/>
        <v>0.24458755578868402</v>
      </c>
    </row>
    <row r="527" spans="1:15" ht="20.100000000000001" customHeight="1" x14ac:dyDescent="0.25">
      <c r="A527" s="89">
        <v>548</v>
      </c>
      <c r="B527" s="4">
        <v>42697</v>
      </c>
      <c r="C527" s="26" t="s">
        <v>108</v>
      </c>
      <c r="D527" s="3">
        <v>4000</v>
      </c>
      <c r="E527" s="4">
        <v>42702</v>
      </c>
      <c r="F527" s="92" t="s">
        <v>28</v>
      </c>
      <c r="G527" s="32">
        <v>42703</v>
      </c>
      <c r="H527" s="27">
        <f>D527</f>
        <v>4000</v>
      </c>
      <c r="I527" s="27"/>
      <c r="J527" s="99"/>
      <c r="K527" s="99">
        <v>600</v>
      </c>
      <c r="L527" s="27">
        <v>1808.8</v>
      </c>
      <c r="M527" s="29">
        <f t="shared" si="49"/>
        <v>1591.1999999999998</v>
      </c>
      <c r="N527" s="29"/>
      <c r="O527" s="44">
        <f t="shared" si="50"/>
        <v>0.39779999999999993</v>
      </c>
    </row>
    <row r="528" spans="1:15" ht="20.100000000000001" customHeight="1" x14ac:dyDescent="0.25">
      <c r="A528" s="89">
        <v>578</v>
      </c>
      <c r="B528" s="4">
        <v>42704</v>
      </c>
      <c r="C528" s="5" t="s">
        <v>205</v>
      </c>
      <c r="D528" s="3">
        <v>14598</v>
      </c>
      <c r="E528" s="4">
        <v>42704</v>
      </c>
      <c r="F528" s="92" t="s">
        <v>28</v>
      </c>
      <c r="G528" s="32">
        <v>42705</v>
      </c>
      <c r="H528" s="27">
        <f>D528</f>
        <v>14598</v>
      </c>
      <c r="I528" s="27">
        <f>H528</f>
        <v>14598</v>
      </c>
      <c r="J528" s="27"/>
      <c r="K528" s="27"/>
      <c r="L528" s="27">
        <v>10762</v>
      </c>
      <c r="M528" s="29">
        <f t="shared" si="49"/>
        <v>3836</v>
      </c>
      <c r="N528" s="29">
        <f>M528</f>
        <v>3836</v>
      </c>
      <c r="O528" s="44">
        <f t="shared" si="50"/>
        <v>0.26277572270173999</v>
      </c>
    </row>
    <row r="529" spans="1:15" ht="19.5" customHeight="1" x14ac:dyDescent="0.25">
      <c r="A529" s="89"/>
      <c r="B529" s="4"/>
      <c r="C529" s="5"/>
      <c r="D529" s="3"/>
      <c r="E529" s="97">
        <v>84500</v>
      </c>
      <c r="F529" s="98">
        <f>M529*0.17+N529*0.06</f>
        <v>84725.330106000009</v>
      </c>
      <c r="G529" s="21">
        <f>H529*0.05+I529*0.02</f>
        <v>82943.598200000008</v>
      </c>
      <c r="H529" s="16">
        <f t="shared" ref="H529:N529" si="53">SUM(H502:H528)</f>
        <v>1599650.02</v>
      </c>
      <c r="I529" s="16">
        <f t="shared" si="53"/>
        <v>148054.85999999999</v>
      </c>
      <c r="J529" s="16">
        <f t="shared" si="53"/>
        <v>56631.758199999997</v>
      </c>
      <c r="K529" s="16">
        <f t="shared" si="53"/>
        <v>29400</v>
      </c>
      <c r="L529" s="16">
        <f t="shared" si="53"/>
        <v>1025365.8</v>
      </c>
      <c r="M529" s="16">
        <f t="shared" si="53"/>
        <v>488252.46179999999</v>
      </c>
      <c r="N529" s="16">
        <f t="shared" si="53"/>
        <v>28706.86</v>
      </c>
      <c r="O529" s="44">
        <f t="shared" si="50"/>
        <v>0.30522455268059195</v>
      </c>
    </row>
    <row r="530" spans="1:15" ht="23.25" x14ac:dyDescent="0.35">
      <c r="C530" s="94" t="s">
        <v>646</v>
      </c>
    </row>
    <row r="531" spans="1:15" ht="20.100000000000001" customHeight="1" x14ac:dyDescent="0.25">
      <c r="A531" s="89">
        <v>575</v>
      </c>
      <c r="B531" s="4">
        <v>42702</v>
      </c>
      <c r="C531" s="26" t="s">
        <v>180</v>
      </c>
      <c r="D531" s="3">
        <v>113190</v>
      </c>
      <c r="E531" s="4">
        <v>42705</v>
      </c>
      <c r="F531" s="92" t="s">
        <v>28</v>
      </c>
      <c r="G531" s="32">
        <v>42720</v>
      </c>
      <c r="H531" s="27">
        <f>D531/2</f>
        <v>56595</v>
      </c>
      <c r="I531" s="27"/>
      <c r="J531" s="27"/>
      <c r="K531" s="99"/>
      <c r="L531" s="27">
        <f>89207/2</f>
        <v>44603.5</v>
      </c>
      <c r="M531" s="29">
        <f t="shared" ref="M531:M561" si="54">H531-L531-J531-K531</f>
        <v>11991.5</v>
      </c>
      <c r="N531" s="29"/>
      <c r="O531" s="44">
        <f t="shared" ref="O531:O562" si="55">M531/H531</f>
        <v>0.21188267514798126</v>
      </c>
    </row>
    <row r="532" spans="1:15" ht="20.100000000000001" customHeight="1" x14ac:dyDescent="0.25">
      <c r="A532" s="89">
        <v>545</v>
      </c>
      <c r="B532" s="4">
        <v>42688</v>
      </c>
      <c r="C532" s="26" t="s">
        <v>11</v>
      </c>
      <c r="D532" s="3">
        <v>9958</v>
      </c>
      <c r="E532" s="4">
        <v>42705</v>
      </c>
      <c r="F532" s="92" t="s">
        <v>28</v>
      </c>
      <c r="G532" s="32">
        <v>42713</v>
      </c>
      <c r="H532" s="27">
        <f>D532</f>
        <v>9958</v>
      </c>
      <c r="I532" s="27"/>
      <c r="J532" s="27"/>
      <c r="K532" s="99"/>
      <c r="L532" s="27">
        <v>7719</v>
      </c>
      <c r="M532" s="29">
        <f t="shared" si="54"/>
        <v>2239</v>
      </c>
      <c r="N532" s="29"/>
      <c r="O532" s="44">
        <f t="shared" si="55"/>
        <v>0.22484434625426791</v>
      </c>
    </row>
    <row r="533" spans="1:15" ht="20.100000000000001" customHeight="1" x14ac:dyDescent="0.25">
      <c r="A533" s="89">
        <v>587</v>
      </c>
      <c r="B533" s="4">
        <v>42705</v>
      </c>
      <c r="C533" s="26" t="s">
        <v>16</v>
      </c>
      <c r="D533" s="3">
        <v>6130.72</v>
      </c>
      <c r="E533" s="4">
        <v>42706</v>
      </c>
      <c r="F533" s="92" t="s">
        <v>28</v>
      </c>
      <c r="G533" s="32">
        <v>42733</v>
      </c>
      <c r="H533" s="27">
        <f>D533</f>
        <v>6130.72</v>
      </c>
      <c r="I533" s="27"/>
      <c r="J533" s="27"/>
      <c r="K533" s="99"/>
      <c r="L533" s="27">
        <v>3004</v>
      </c>
      <c r="M533" s="29">
        <f t="shared" si="54"/>
        <v>3126.7200000000003</v>
      </c>
      <c r="N533" s="29"/>
      <c r="O533" s="44">
        <f t="shared" si="55"/>
        <v>0.51000861236526873</v>
      </c>
    </row>
    <row r="534" spans="1:15" ht="20.100000000000001" customHeight="1" x14ac:dyDescent="0.25">
      <c r="A534" s="89">
        <v>509</v>
      </c>
      <c r="B534" s="4">
        <v>42667</v>
      </c>
      <c r="C534" s="26" t="s">
        <v>38</v>
      </c>
      <c r="D534" s="3">
        <v>51250</v>
      </c>
      <c r="E534" s="92">
        <v>42709</v>
      </c>
      <c r="F534" s="92" t="s">
        <v>28</v>
      </c>
      <c r="G534" s="32">
        <v>42683</v>
      </c>
      <c r="H534" s="27">
        <f>D534</f>
        <v>51250</v>
      </c>
      <c r="I534" s="27"/>
      <c r="J534" s="27">
        <f>D534*0.02</f>
        <v>1025</v>
      </c>
      <c r="K534" s="99">
        <f>4*1200</f>
        <v>4800</v>
      </c>
      <c r="L534" s="27">
        <v>16080</v>
      </c>
      <c r="M534" s="29">
        <f t="shared" si="54"/>
        <v>29345</v>
      </c>
      <c r="N534" s="29"/>
      <c r="O534" s="44">
        <f t="shared" si="55"/>
        <v>0.57258536585365849</v>
      </c>
    </row>
    <row r="535" spans="1:15" ht="20.100000000000001" customHeight="1" x14ac:dyDescent="0.25">
      <c r="A535" s="89">
        <v>583</v>
      </c>
      <c r="B535" s="4">
        <v>42705</v>
      </c>
      <c r="C535" s="26" t="s">
        <v>122</v>
      </c>
      <c r="D535" s="3">
        <v>9588.58</v>
      </c>
      <c r="E535" s="92">
        <v>42709</v>
      </c>
      <c r="F535" s="92" t="s">
        <v>28</v>
      </c>
      <c r="G535" s="32">
        <v>42717</v>
      </c>
      <c r="H535" s="27">
        <f>D535</f>
        <v>9588.58</v>
      </c>
      <c r="I535" s="27"/>
      <c r="J535" s="27"/>
      <c r="K535" s="99"/>
      <c r="L535" s="27">
        <v>7250</v>
      </c>
      <c r="M535" s="29">
        <f t="shared" si="54"/>
        <v>2338.58</v>
      </c>
      <c r="N535" s="29"/>
      <c r="O535" s="44">
        <f t="shared" si="55"/>
        <v>0.24389221344557796</v>
      </c>
    </row>
    <row r="536" spans="1:15" ht="20.100000000000001" customHeight="1" x14ac:dyDescent="0.25">
      <c r="A536" s="89">
        <v>504</v>
      </c>
      <c r="B536" s="4">
        <v>42661</v>
      </c>
      <c r="C536" s="26" t="s">
        <v>180</v>
      </c>
      <c r="D536" s="3">
        <v>336760</v>
      </c>
      <c r="E536" s="92">
        <v>42711</v>
      </c>
      <c r="F536" s="92" t="s">
        <v>28</v>
      </c>
      <c r="G536" s="32">
        <v>42712</v>
      </c>
      <c r="H536" s="27">
        <f>D536/2</f>
        <v>168380</v>
      </c>
      <c r="I536" s="27"/>
      <c r="J536" s="27"/>
      <c r="K536" s="99">
        <f>23*600</f>
        <v>13800</v>
      </c>
      <c r="L536" s="27">
        <v>128064</v>
      </c>
      <c r="M536" s="29">
        <f t="shared" si="54"/>
        <v>26516</v>
      </c>
      <c r="N536" s="29"/>
      <c r="O536" s="44">
        <f t="shared" si="55"/>
        <v>0.15747713505166885</v>
      </c>
    </row>
    <row r="537" spans="1:15" ht="20.100000000000001" customHeight="1" x14ac:dyDescent="0.25">
      <c r="A537" s="89">
        <v>586</v>
      </c>
      <c r="B537" s="4">
        <v>42705</v>
      </c>
      <c r="C537" s="5" t="s">
        <v>206</v>
      </c>
      <c r="D537" s="3">
        <v>6249.67</v>
      </c>
      <c r="E537" s="92">
        <v>42712</v>
      </c>
      <c r="F537" s="92" t="s">
        <v>28</v>
      </c>
      <c r="G537" s="32">
        <v>42705</v>
      </c>
      <c r="H537" s="27">
        <f t="shared" ref="H537:H546" si="56">D537</f>
        <v>6249.67</v>
      </c>
      <c r="I537" s="27">
        <f>H537</f>
        <v>6249.67</v>
      </c>
      <c r="J537" s="27"/>
      <c r="K537" s="99"/>
      <c r="L537" s="27">
        <v>5041</v>
      </c>
      <c r="M537" s="29">
        <f t="shared" si="54"/>
        <v>1208.67</v>
      </c>
      <c r="N537" s="29">
        <f>M537</f>
        <v>1208.67</v>
      </c>
      <c r="O537" s="44">
        <f t="shared" si="55"/>
        <v>0.19339741138332106</v>
      </c>
    </row>
    <row r="538" spans="1:15" ht="20.100000000000001" customHeight="1" x14ac:dyDescent="0.25">
      <c r="A538" s="89">
        <v>602</v>
      </c>
      <c r="B538" s="4">
        <v>42712</v>
      </c>
      <c r="C538" s="26" t="s">
        <v>207</v>
      </c>
      <c r="D538" s="3">
        <v>663</v>
      </c>
      <c r="E538" s="92">
        <v>42713</v>
      </c>
      <c r="F538" s="92" t="s">
        <v>28</v>
      </c>
      <c r="G538" s="32">
        <v>42725</v>
      </c>
      <c r="H538" s="27">
        <f t="shared" si="56"/>
        <v>663</v>
      </c>
      <c r="I538" s="27"/>
      <c r="J538" s="27"/>
      <c r="K538" s="99"/>
      <c r="L538" s="27">
        <v>500</v>
      </c>
      <c r="M538" s="29">
        <f t="shared" si="54"/>
        <v>163</v>
      </c>
      <c r="N538" s="29"/>
      <c r="O538" s="44">
        <f t="shared" si="55"/>
        <v>0.2458521870286576</v>
      </c>
    </row>
    <row r="539" spans="1:15" ht="20.100000000000001" customHeight="1" x14ac:dyDescent="0.25">
      <c r="A539" s="89">
        <v>603</v>
      </c>
      <c r="B539" s="4">
        <v>42713</v>
      </c>
      <c r="C539" s="26" t="s">
        <v>118</v>
      </c>
      <c r="D539" s="3">
        <v>10276.5</v>
      </c>
      <c r="E539" s="92">
        <v>42713</v>
      </c>
      <c r="F539" s="92" t="s">
        <v>28</v>
      </c>
      <c r="G539" s="32">
        <v>42716</v>
      </c>
      <c r="H539" s="27">
        <f t="shared" si="56"/>
        <v>10276.5</v>
      </c>
      <c r="I539" s="27"/>
      <c r="J539" s="27"/>
      <c r="K539" s="99"/>
      <c r="L539" s="27">
        <v>9662</v>
      </c>
      <c r="M539" s="29">
        <f t="shared" si="54"/>
        <v>614.5</v>
      </c>
      <c r="N539" s="29"/>
      <c r="O539" s="44">
        <f t="shared" si="55"/>
        <v>5.9796623363985793E-2</v>
      </c>
    </row>
    <row r="540" spans="1:15" ht="20.100000000000001" customHeight="1" x14ac:dyDescent="0.25">
      <c r="A540" s="89">
        <v>556</v>
      </c>
      <c r="B540" s="4">
        <v>42695</v>
      </c>
      <c r="C540" s="26" t="s">
        <v>202</v>
      </c>
      <c r="D540" s="3">
        <v>6200</v>
      </c>
      <c r="E540" s="92">
        <v>42713</v>
      </c>
      <c r="F540" s="92" t="s">
        <v>28</v>
      </c>
      <c r="G540" s="32">
        <v>42724</v>
      </c>
      <c r="H540" s="27">
        <f t="shared" si="56"/>
        <v>6200</v>
      </c>
      <c r="I540" s="27"/>
      <c r="J540" s="27"/>
      <c r="K540" s="99"/>
      <c r="L540" s="27">
        <v>5180</v>
      </c>
      <c r="M540" s="29">
        <f t="shared" si="54"/>
        <v>1020</v>
      </c>
      <c r="N540" s="29"/>
      <c r="O540" s="44">
        <f t="shared" si="55"/>
        <v>0.16451612903225807</v>
      </c>
    </row>
    <row r="541" spans="1:15" ht="20.100000000000001" customHeight="1" x14ac:dyDescent="0.25">
      <c r="A541" s="89">
        <v>559</v>
      </c>
      <c r="B541" s="4">
        <v>42697</v>
      </c>
      <c r="C541" s="26" t="s">
        <v>167</v>
      </c>
      <c r="D541" s="3">
        <v>4000</v>
      </c>
      <c r="E541" s="92">
        <v>42713</v>
      </c>
      <c r="F541" s="92" t="s">
        <v>28</v>
      </c>
      <c r="G541" s="32">
        <v>42718</v>
      </c>
      <c r="H541" s="27">
        <f t="shared" si="56"/>
        <v>4000</v>
      </c>
      <c r="I541" s="27"/>
      <c r="J541" s="27"/>
      <c r="K541" s="99">
        <v>600</v>
      </c>
      <c r="L541" s="27">
        <v>1808.8</v>
      </c>
      <c r="M541" s="29">
        <f t="shared" si="54"/>
        <v>1591.1999999999998</v>
      </c>
      <c r="N541" s="29"/>
      <c r="O541" s="44">
        <f t="shared" si="55"/>
        <v>0.39779999999999993</v>
      </c>
    </row>
    <row r="542" spans="1:15" ht="20.100000000000001" customHeight="1" x14ac:dyDescent="0.25">
      <c r="A542" s="89">
        <v>601</v>
      </c>
      <c r="B542" s="4">
        <v>42712</v>
      </c>
      <c r="C542" s="5" t="s">
        <v>208</v>
      </c>
      <c r="D542" s="3">
        <v>30390</v>
      </c>
      <c r="E542" s="92">
        <v>42713</v>
      </c>
      <c r="F542" s="92" t="s">
        <v>28</v>
      </c>
      <c r="G542" s="32">
        <v>42717</v>
      </c>
      <c r="H542" s="27">
        <f t="shared" si="56"/>
        <v>30390</v>
      </c>
      <c r="I542" s="27">
        <f>H542</f>
        <v>30390</v>
      </c>
      <c r="J542" s="27"/>
      <c r="K542" s="99"/>
      <c r="L542" s="27">
        <v>23613</v>
      </c>
      <c r="M542" s="29">
        <f t="shared" si="54"/>
        <v>6777</v>
      </c>
      <c r="N542" s="29">
        <f>M542</f>
        <v>6777</v>
      </c>
      <c r="O542" s="44">
        <f t="shared" si="55"/>
        <v>0.2230009871668312</v>
      </c>
    </row>
    <row r="543" spans="1:15" ht="20.100000000000001" customHeight="1" x14ac:dyDescent="0.25">
      <c r="A543" s="89">
        <v>463</v>
      </c>
      <c r="B543" s="4">
        <v>42640</v>
      </c>
      <c r="C543" s="26" t="s">
        <v>175</v>
      </c>
      <c r="D543" s="3">
        <v>19112</v>
      </c>
      <c r="E543" s="4">
        <v>42716</v>
      </c>
      <c r="F543" s="92" t="s">
        <v>28</v>
      </c>
      <c r="G543" s="32">
        <v>42717</v>
      </c>
      <c r="H543" s="27">
        <f t="shared" si="56"/>
        <v>19112</v>
      </c>
      <c r="I543" s="99"/>
      <c r="J543" s="99"/>
      <c r="K543" s="99"/>
      <c r="L543" s="27">
        <v>14448</v>
      </c>
      <c r="M543" s="29">
        <f t="shared" si="54"/>
        <v>4664</v>
      </c>
      <c r="N543" s="29"/>
      <c r="O543" s="44">
        <f t="shared" si="55"/>
        <v>0.24403516115529511</v>
      </c>
    </row>
    <row r="544" spans="1:15" ht="20.100000000000001" customHeight="1" x14ac:dyDescent="0.25">
      <c r="A544" s="89">
        <v>579</v>
      </c>
      <c r="B544" s="4">
        <v>42704</v>
      </c>
      <c r="C544" s="26" t="s">
        <v>192</v>
      </c>
      <c r="D544" s="3">
        <v>1324</v>
      </c>
      <c r="E544" s="4">
        <v>42716</v>
      </c>
      <c r="F544" s="92" t="s">
        <v>28</v>
      </c>
      <c r="G544" s="32">
        <v>42717</v>
      </c>
      <c r="H544" s="27">
        <f t="shared" si="56"/>
        <v>1324</v>
      </c>
      <c r="I544" s="99"/>
      <c r="J544" s="99"/>
      <c r="K544" s="99"/>
      <c r="L544" s="27">
        <v>1000</v>
      </c>
      <c r="M544" s="29">
        <f t="shared" si="54"/>
        <v>324</v>
      </c>
      <c r="N544" s="29"/>
      <c r="O544" s="44">
        <f t="shared" si="55"/>
        <v>0.24471299093655588</v>
      </c>
    </row>
    <row r="545" spans="1:15" ht="20.100000000000001" customHeight="1" x14ac:dyDescent="0.25">
      <c r="A545" s="89">
        <v>538</v>
      </c>
      <c r="B545" s="4">
        <v>42683</v>
      </c>
      <c r="C545" s="26" t="s">
        <v>108</v>
      </c>
      <c r="D545" s="3">
        <v>8451</v>
      </c>
      <c r="E545" s="4">
        <v>42717</v>
      </c>
      <c r="F545" s="92" t="s">
        <v>28</v>
      </c>
      <c r="G545" s="32">
        <v>42733</v>
      </c>
      <c r="H545" s="27">
        <f t="shared" si="56"/>
        <v>8451</v>
      </c>
      <c r="I545" s="99"/>
      <c r="J545" s="99"/>
      <c r="K545" s="99"/>
      <c r="L545" s="27">
        <v>5997</v>
      </c>
      <c r="M545" s="29">
        <f t="shared" si="54"/>
        <v>2454</v>
      </c>
      <c r="N545" s="29"/>
      <c r="O545" s="44">
        <f t="shared" si="55"/>
        <v>0.29037983670571532</v>
      </c>
    </row>
    <row r="546" spans="1:15" ht="20.100000000000001" customHeight="1" x14ac:dyDescent="0.25">
      <c r="A546" s="89">
        <v>588</v>
      </c>
      <c r="B546" s="4">
        <v>42709</v>
      </c>
      <c r="C546" s="26" t="s">
        <v>16</v>
      </c>
      <c r="D546" s="3">
        <v>47237.8</v>
      </c>
      <c r="E546" s="4">
        <v>42717</v>
      </c>
      <c r="F546" s="92" t="s">
        <v>28</v>
      </c>
      <c r="G546" s="32">
        <v>42733</v>
      </c>
      <c r="H546" s="27">
        <f t="shared" si="56"/>
        <v>47237.8</v>
      </c>
      <c r="I546" s="99"/>
      <c r="J546" s="99"/>
      <c r="K546" s="99"/>
      <c r="L546" s="27">
        <v>36370</v>
      </c>
      <c r="M546" s="29">
        <f t="shared" si="54"/>
        <v>10867.800000000003</v>
      </c>
      <c r="N546" s="29"/>
      <c r="O546" s="44">
        <f t="shared" si="55"/>
        <v>0.23006575242708174</v>
      </c>
    </row>
    <row r="547" spans="1:15" ht="20.100000000000001" customHeight="1" x14ac:dyDescent="0.25">
      <c r="A547" s="89">
        <v>575</v>
      </c>
      <c r="B547" s="4">
        <v>42702</v>
      </c>
      <c r="C547" s="26" t="s">
        <v>180</v>
      </c>
      <c r="D547" s="3">
        <v>113190</v>
      </c>
      <c r="E547" s="4">
        <v>42719</v>
      </c>
      <c r="F547" s="92" t="s">
        <v>28</v>
      </c>
      <c r="G547" s="32">
        <v>42720</v>
      </c>
      <c r="H547" s="27">
        <f>D547/2</f>
        <v>56595</v>
      </c>
      <c r="I547" s="27"/>
      <c r="J547" s="27"/>
      <c r="K547" s="99"/>
      <c r="L547" s="27">
        <f>89207/2</f>
        <v>44603.5</v>
      </c>
      <c r="M547" s="29">
        <f t="shared" si="54"/>
        <v>11991.5</v>
      </c>
      <c r="N547" s="29"/>
      <c r="O547" s="44">
        <f t="shared" si="55"/>
        <v>0.21188267514798126</v>
      </c>
    </row>
    <row r="548" spans="1:15" ht="20.100000000000001" customHeight="1" x14ac:dyDescent="0.25">
      <c r="A548" s="89">
        <v>612</v>
      </c>
      <c r="B548" s="4">
        <v>42717</v>
      </c>
      <c r="C548" s="5" t="s">
        <v>209</v>
      </c>
      <c r="D548" s="3">
        <v>2312.85</v>
      </c>
      <c r="E548" s="4">
        <v>42719</v>
      </c>
      <c r="F548" s="92" t="s">
        <v>28</v>
      </c>
      <c r="G548" s="32">
        <v>42720</v>
      </c>
      <c r="H548" s="27">
        <f>D548</f>
        <v>2312.85</v>
      </c>
      <c r="I548" s="27">
        <f>H548</f>
        <v>2312.85</v>
      </c>
      <c r="J548" s="27"/>
      <c r="K548" s="99"/>
      <c r="L548" s="27">
        <v>2094</v>
      </c>
      <c r="M548" s="29">
        <f t="shared" si="54"/>
        <v>218.84999999999991</v>
      </c>
      <c r="N548" s="29">
        <f>M548</f>
        <v>218.84999999999991</v>
      </c>
      <c r="O548" s="44">
        <f t="shared" si="55"/>
        <v>9.4623516440754882E-2</v>
      </c>
    </row>
    <row r="549" spans="1:15" ht="20.100000000000001" customHeight="1" x14ac:dyDescent="0.25">
      <c r="A549" s="89">
        <v>619</v>
      </c>
      <c r="B549" s="4">
        <v>42719</v>
      </c>
      <c r="C549" s="26" t="s">
        <v>147</v>
      </c>
      <c r="D549" s="3">
        <v>9552.92</v>
      </c>
      <c r="E549" s="4">
        <v>42720</v>
      </c>
      <c r="F549" s="92" t="s">
        <v>28</v>
      </c>
      <c r="G549" s="32">
        <v>42724</v>
      </c>
      <c r="H549" s="27">
        <f>D549</f>
        <v>9552.92</v>
      </c>
      <c r="I549" s="27"/>
      <c r="J549" s="27"/>
      <c r="K549" s="99"/>
      <c r="L549" s="27">
        <v>7224</v>
      </c>
      <c r="M549" s="29">
        <f t="shared" si="54"/>
        <v>2328.92</v>
      </c>
      <c r="N549" s="29"/>
      <c r="O549" s="44">
        <f t="shared" si="55"/>
        <v>0.24379142712385324</v>
      </c>
    </row>
    <row r="550" spans="1:15" ht="20.100000000000001" customHeight="1" x14ac:dyDescent="0.25">
      <c r="A550" s="89">
        <v>558</v>
      </c>
      <c r="B550" s="4">
        <v>42697</v>
      </c>
      <c r="C550" s="26" t="s">
        <v>180</v>
      </c>
      <c r="D550" s="3">
        <v>323253.98</v>
      </c>
      <c r="E550" s="4">
        <v>42720</v>
      </c>
      <c r="F550" s="92" t="s">
        <v>28</v>
      </c>
      <c r="G550" s="32">
        <v>42766</v>
      </c>
      <c r="H550" s="27">
        <f>D550/2</f>
        <v>161626.99</v>
      </c>
      <c r="I550" s="27"/>
      <c r="J550" s="27"/>
      <c r="K550" s="99">
        <f>10*1200</f>
        <v>12000</v>
      </c>
      <c r="L550" s="27">
        <v>116872</v>
      </c>
      <c r="M550" s="29">
        <f t="shared" si="54"/>
        <v>32754.989999999991</v>
      </c>
      <c r="N550" s="29"/>
      <c r="O550" s="44">
        <f t="shared" si="55"/>
        <v>0.20265792241753677</v>
      </c>
    </row>
    <row r="551" spans="1:15" ht="20.100000000000001" customHeight="1" x14ac:dyDescent="0.25">
      <c r="A551" s="89">
        <v>600</v>
      </c>
      <c r="B551" s="4">
        <v>42712</v>
      </c>
      <c r="C551" s="26" t="s">
        <v>13</v>
      </c>
      <c r="D551" s="3">
        <v>11941.15</v>
      </c>
      <c r="E551" s="92">
        <v>42723</v>
      </c>
      <c r="F551" s="92" t="s">
        <v>28</v>
      </c>
      <c r="G551" s="32">
        <v>42713</v>
      </c>
      <c r="H551" s="27">
        <f t="shared" ref="H551:H561" si="57">D551</f>
        <v>11941.15</v>
      </c>
      <c r="I551" s="27"/>
      <c r="J551" s="27"/>
      <c r="K551" s="99"/>
      <c r="L551" s="27">
        <v>9030</v>
      </c>
      <c r="M551" s="29">
        <f t="shared" si="54"/>
        <v>2911.1499999999996</v>
      </c>
      <c r="N551" s="29"/>
      <c r="O551" s="44">
        <f t="shared" si="55"/>
        <v>0.24379142712385321</v>
      </c>
    </row>
    <row r="552" spans="1:15" ht="20.100000000000001" customHeight="1" x14ac:dyDescent="0.25">
      <c r="A552" s="89">
        <v>567</v>
      </c>
      <c r="B552" s="4">
        <v>42699</v>
      </c>
      <c r="C552" s="26" t="s">
        <v>150</v>
      </c>
      <c r="D552" s="3">
        <v>3873.32</v>
      </c>
      <c r="E552" s="92">
        <v>42724</v>
      </c>
      <c r="F552" s="92" t="s">
        <v>28</v>
      </c>
      <c r="G552" s="32">
        <v>42769</v>
      </c>
      <c r="H552" s="27">
        <f t="shared" si="57"/>
        <v>3873.32</v>
      </c>
      <c r="I552" s="27"/>
      <c r="J552" s="27"/>
      <c r="K552" s="99"/>
      <c r="L552" s="27">
        <v>2929</v>
      </c>
      <c r="M552" s="29">
        <f t="shared" si="54"/>
        <v>944.32000000000016</v>
      </c>
      <c r="N552" s="29"/>
      <c r="O552" s="44">
        <f t="shared" si="55"/>
        <v>0.24380118348083818</v>
      </c>
    </row>
    <row r="553" spans="1:15" ht="20.100000000000001" customHeight="1" x14ac:dyDescent="0.25">
      <c r="A553" s="89">
        <v>541</v>
      </c>
      <c r="B553" s="4">
        <v>42684</v>
      </c>
      <c r="C553" s="26" t="s">
        <v>108</v>
      </c>
      <c r="D553" s="3">
        <v>19890</v>
      </c>
      <c r="E553" s="92">
        <v>42725</v>
      </c>
      <c r="F553" s="92" t="s">
        <v>28</v>
      </c>
      <c r="G553" s="32">
        <v>42726</v>
      </c>
      <c r="H553" s="27">
        <f t="shared" si="57"/>
        <v>19890</v>
      </c>
      <c r="I553" s="27"/>
      <c r="J553" s="27"/>
      <c r="K553" s="99"/>
      <c r="L553" s="27">
        <v>15037</v>
      </c>
      <c r="M553" s="29">
        <f t="shared" si="54"/>
        <v>4853</v>
      </c>
      <c r="N553" s="29"/>
      <c r="O553" s="44">
        <f t="shared" si="55"/>
        <v>0.24399195575666163</v>
      </c>
    </row>
    <row r="554" spans="1:15" ht="20.100000000000001" customHeight="1" x14ac:dyDescent="0.25">
      <c r="A554" s="89">
        <v>629</v>
      </c>
      <c r="B554" s="4">
        <v>42725</v>
      </c>
      <c r="C554" s="26" t="s">
        <v>91</v>
      </c>
      <c r="D554" s="3">
        <v>106722</v>
      </c>
      <c r="E554" s="92">
        <v>42726</v>
      </c>
      <c r="F554" s="92" t="s">
        <v>28</v>
      </c>
      <c r="G554" s="32">
        <v>42727</v>
      </c>
      <c r="H554" s="27">
        <f t="shared" si="57"/>
        <v>106722</v>
      </c>
      <c r="I554" s="27"/>
      <c r="J554" s="27"/>
      <c r="K554" s="99">
        <v>600</v>
      </c>
      <c r="L554" s="27">
        <v>81376</v>
      </c>
      <c r="M554" s="29">
        <f t="shared" si="54"/>
        <v>24746</v>
      </c>
      <c r="N554" s="29"/>
      <c r="O554" s="44">
        <f t="shared" si="55"/>
        <v>0.23187346563969941</v>
      </c>
    </row>
    <row r="555" spans="1:15" ht="20.100000000000001" customHeight="1" x14ac:dyDescent="0.25">
      <c r="A555" s="89">
        <v>629</v>
      </c>
      <c r="B555" s="4">
        <v>42726</v>
      </c>
      <c r="C555" s="5" t="s">
        <v>209</v>
      </c>
      <c r="D555" s="3">
        <v>48190</v>
      </c>
      <c r="E555" s="92">
        <v>42726</v>
      </c>
      <c r="F555" s="92" t="s">
        <v>28</v>
      </c>
      <c r="G555" s="32">
        <v>42727</v>
      </c>
      <c r="H555" s="27">
        <f t="shared" si="57"/>
        <v>48190</v>
      </c>
      <c r="I555" s="27">
        <f>H555</f>
        <v>48190</v>
      </c>
      <c r="J555" s="27"/>
      <c r="K555" s="99"/>
      <c r="L555" s="27">
        <v>36279</v>
      </c>
      <c r="M555" s="29">
        <f t="shared" si="54"/>
        <v>11911</v>
      </c>
      <c r="N555" s="29">
        <f>M555</f>
        <v>11911</v>
      </c>
      <c r="O555" s="44">
        <f t="shared" si="55"/>
        <v>0.24716746212907242</v>
      </c>
    </row>
    <row r="556" spans="1:15" ht="20.100000000000001" customHeight="1" x14ac:dyDescent="0.25">
      <c r="A556" s="89">
        <v>604</v>
      </c>
      <c r="B556" s="4">
        <v>42716</v>
      </c>
      <c r="C556" s="26" t="s">
        <v>50</v>
      </c>
      <c r="D556" s="3">
        <v>49578.400000000001</v>
      </c>
      <c r="E556" s="92">
        <v>42731</v>
      </c>
      <c r="F556" s="92" t="s">
        <v>28</v>
      </c>
      <c r="G556" s="32">
        <v>42761</v>
      </c>
      <c r="H556" s="27">
        <f t="shared" si="57"/>
        <v>49578.400000000001</v>
      </c>
      <c r="I556" s="27"/>
      <c r="J556" s="27"/>
      <c r="K556" s="99"/>
      <c r="L556" s="27">
        <v>38780</v>
      </c>
      <c r="M556" s="29">
        <f t="shared" si="54"/>
        <v>10798.400000000001</v>
      </c>
      <c r="N556" s="29"/>
      <c r="O556" s="44">
        <f t="shared" si="55"/>
        <v>0.21780452777822604</v>
      </c>
    </row>
    <row r="557" spans="1:15" ht="20.100000000000001" customHeight="1" x14ac:dyDescent="0.25">
      <c r="A557" s="89">
        <v>632</v>
      </c>
      <c r="B557" s="4">
        <v>42726</v>
      </c>
      <c r="C557" s="5" t="s">
        <v>210</v>
      </c>
      <c r="D557" s="3">
        <v>12090</v>
      </c>
      <c r="E557" s="4">
        <v>42732</v>
      </c>
      <c r="F557" s="92" t="s">
        <v>28</v>
      </c>
      <c r="G557" s="32">
        <v>42726</v>
      </c>
      <c r="H557" s="27">
        <f t="shared" si="57"/>
        <v>12090</v>
      </c>
      <c r="I557" s="27"/>
      <c r="J557" s="27"/>
      <c r="K557" s="99"/>
      <c r="L557" s="27">
        <v>9662</v>
      </c>
      <c r="M557" s="29">
        <f t="shared" si="54"/>
        <v>2428</v>
      </c>
      <c r="N557" s="29">
        <f>M557</f>
        <v>2428</v>
      </c>
      <c r="O557" s="44">
        <f t="shared" si="55"/>
        <v>0.20082712985938792</v>
      </c>
    </row>
    <row r="558" spans="1:15" ht="20.100000000000001" customHeight="1" x14ac:dyDescent="0.25">
      <c r="A558" s="89">
        <v>423</v>
      </c>
      <c r="B558" s="4">
        <v>42620</v>
      </c>
      <c r="C558" s="26" t="s">
        <v>175</v>
      </c>
      <c r="D558" s="3">
        <v>20777.8</v>
      </c>
      <c r="E558" s="4">
        <v>42732</v>
      </c>
      <c r="F558" s="92" t="s">
        <v>28</v>
      </c>
      <c r="G558" s="32">
        <v>42732</v>
      </c>
      <c r="H558" s="27">
        <f t="shared" si="57"/>
        <v>20777.8</v>
      </c>
      <c r="I558" s="27"/>
      <c r="J558" s="27"/>
      <c r="K558" s="99"/>
      <c r="L558" s="27">
        <v>12468</v>
      </c>
      <c r="M558" s="29">
        <f t="shared" si="54"/>
        <v>8309.7999999999993</v>
      </c>
      <c r="N558" s="29"/>
      <c r="O558" s="44">
        <f t="shared" si="55"/>
        <v>0.3999364706561811</v>
      </c>
    </row>
    <row r="559" spans="1:15" ht="20.100000000000001" customHeight="1" x14ac:dyDescent="0.25">
      <c r="A559" s="89">
        <v>594</v>
      </c>
      <c r="B559" s="4">
        <v>42711</v>
      </c>
      <c r="C559" s="26" t="s">
        <v>56</v>
      </c>
      <c r="D559" s="3">
        <v>45283.57</v>
      </c>
      <c r="E559" s="4">
        <v>42732</v>
      </c>
      <c r="F559" s="92" t="s">
        <v>28</v>
      </c>
      <c r="G559" s="32">
        <v>42725</v>
      </c>
      <c r="H559" s="27">
        <f t="shared" si="57"/>
        <v>45283.57</v>
      </c>
      <c r="I559" s="27"/>
      <c r="J559" s="27"/>
      <c r="K559" s="99">
        <f>3*1200</f>
        <v>3600</v>
      </c>
      <c r="L559" s="27">
        <v>22259</v>
      </c>
      <c r="M559" s="29">
        <f t="shared" si="54"/>
        <v>19424.57</v>
      </c>
      <c r="N559" s="29"/>
      <c r="O559" s="44">
        <f t="shared" si="55"/>
        <v>0.42895403343861804</v>
      </c>
    </row>
    <row r="560" spans="1:15" ht="20.100000000000001" customHeight="1" x14ac:dyDescent="0.25">
      <c r="A560" s="89">
        <v>623</v>
      </c>
      <c r="B560" s="4">
        <v>42724</v>
      </c>
      <c r="C560" s="26" t="s">
        <v>56</v>
      </c>
      <c r="D560" s="3">
        <v>4900</v>
      </c>
      <c r="E560" s="4">
        <v>42732</v>
      </c>
      <c r="F560" s="92" t="s">
        <v>28</v>
      </c>
      <c r="G560" s="32">
        <v>42725</v>
      </c>
      <c r="H560" s="27">
        <f t="shared" si="57"/>
        <v>4900</v>
      </c>
      <c r="I560" s="27"/>
      <c r="J560" s="27"/>
      <c r="K560" s="99"/>
      <c r="L560" s="27">
        <v>4366</v>
      </c>
      <c r="M560" s="29">
        <f t="shared" si="54"/>
        <v>534</v>
      </c>
      <c r="N560" s="29"/>
      <c r="O560" s="44">
        <f t="shared" si="55"/>
        <v>0.1089795918367347</v>
      </c>
    </row>
    <row r="561" spans="1:15" ht="20.100000000000001" customHeight="1" x14ac:dyDescent="0.25">
      <c r="A561" s="89">
        <v>642</v>
      </c>
      <c r="B561" s="4">
        <v>42732</v>
      </c>
      <c r="C561" s="26" t="s">
        <v>56</v>
      </c>
      <c r="D561" s="3">
        <v>11352.22</v>
      </c>
      <c r="E561" s="4">
        <v>43099</v>
      </c>
      <c r="F561" s="92" t="s">
        <v>28</v>
      </c>
      <c r="G561" s="32">
        <v>42732</v>
      </c>
      <c r="H561" s="27">
        <f t="shared" si="57"/>
        <v>11352.22</v>
      </c>
      <c r="I561" s="27"/>
      <c r="J561" s="27"/>
      <c r="K561" s="99"/>
      <c r="L561" s="27">
        <v>7922</v>
      </c>
      <c r="M561" s="29">
        <f t="shared" si="54"/>
        <v>3430.2199999999993</v>
      </c>
      <c r="N561" s="29"/>
      <c r="O561" s="44">
        <f t="shared" si="55"/>
        <v>0.30216292496093272</v>
      </c>
    </row>
    <row r="562" spans="1:15" ht="19.5" customHeight="1" x14ac:dyDescent="0.25">
      <c r="A562" s="89"/>
      <c r="B562" s="4"/>
      <c r="C562" s="5"/>
      <c r="D562" s="3"/>
      <c r="E562" s="97">
        <v>42400</v>
      </c>
      <c r="F562" s="98">
        <f>M562*0.17+N562*0.06</f>
        <v>42632.978499999997</v>
      </c>
      <c r="G562" s="21">
        <f>H562*0.05+I562*0.02</f>
        <v>51767.474900000001</v>
      </c>
      <c r="H562" s="16">
        <f t="shared" ref="H562:N562" si="58">SUM(H531:H561)</f>
        <v>1000492.4899999999</v>
      </c>
      <c r="I562" s="16">
        <f t="shared" si="58"/>
        <v>87142.51999999999</v>
      </c>
      <c r="J562" s="16">
        <f t="shared" si="58"/>
        <v>1025</v>
      </c>
      <c r="K562" s="16">
        <f t="shared" si="58"/>
        <v>35400</v>
      </c>
      <c r="L562" s="16">
        <f t="shared" si="58"/>
        <v>721241.8</v>
      </c>
      <c r="M562" s="16">
        <f t="shared" si="58"/>
        <v>242825.68999999997</v>
      </c>
      <c r="N562" s="16">
        <f t="shared" si="58"/>
        <v>22543.52</v>
      </c>
      <c r="O562" s="44">
        <f t="shared" si="55"/>
        <v>0.2427061596434372</v>
      </c>
    </row>
    <row r="563" spans="1:15" ht="19.5" customHeight="1" x14ac:dyDescent="0.35">
      <c r="A563" s="101"/>
      <c r="B563" s="102"/>
      <c r="C563" s="94">
        <v>2016</v>
      </c>
      <c r="D563" s="103"/>
      <c r="E563" s="104">
        <f>E562+E529+E500+E470+E442+E397+E379+E346+E320+E284+E257+E238</f>
        <v>642932.02830000001</v>
      </c>
      <c r="F563" s="104">
        <f>E563/12</f>
        <v>53577.669025000003</v>
      </c>
      <c r="O563" s="44"/>
    </row>
    <row r="564" spans="1:15" ht="23.25" x14ac:dyDescent="0.35">
      <c r="C564" s="94" t="s">
        <v>647</v>
      </c>
    </row>
    <row r="565" spans="1:15" ht="20.100000000000001" customHeight="1" x14ac:dyDescent="0.25">
      <c r="A565" s="89">
        <v>620</v>
      </c>
      <c r="B565" s="4">
        <v>42719</v>
      </c>
      <c r="C565" s="26" t="s">
        <v>60</v>
      </c>
      <c r="D565" s="3">
        <v>22631.64</v>
      </c>
      <c r="E565" s="4">
        <v>42744</v>
      </c>
      <c r="F565" s="92" t="s">
        <v>28</v>
      </c>
      <c r="G565" s="32">
        <v>42725</v>
      </c>
      <c r="H565" s="27">
        <f t="shared" ref="H565:H570" si="59">D565</f>
        <v>22631.64</v>
      </c>
      <c r="I565" s="99"/>
      <c r="J565" s="99"/>
      <c r="K565" s="99"/>
      <c r="L565" s="27">
        <v>17604</v>
      </c>
      <c r="M565" s="29">
        <f t="shared" ref="M565:M584" si="60">H565-L565-J565-K565</f>
        <v>5027.6399999999994</v>
      </c>
      <c r="N565" s="29"/>
      <c r="O565" s="44">
        <f t="shared" ref="O565:O585" si="61">M565/H565</f>
        <v>0.22215093559282489</v>
      </c>
    </row>
    <row r="566" spans="1:15" ht="20.100000000000001" customHeight="1" x14ac:dyDescent="0.25">
      <c r="A566" s="89">
        <v>634</v>
      </c>
      <c r="B566" s="4">
        <v>42730</v>
      </c>
      <c r="C566" s="26" t="s">
        <v>211</v>
      </c>
      <c r="D566" s="3">
        <v>51271.16</v>
      </c>
      <c r="E566" s="4">
        <v>42744</v>
      </c>
      <c r="F566" s="92" t="s">
        <v>28</v>
      </c>
      <c r="G566" s="32">
        <v>42748</v>
      </c>
      <c r="H566" s="27">
        <f t="shared" si="59"/>
        <v>51271.16</v>
      </c>
      <c r="I566" s="27"/>
      <c r="J566" s="27"/>
      <c r="K566" s="99"/>
      <c r="L566" s="27">
        <v>38651</v>
      </c>
      <c r="M566" s="29">
        <f t="shared" si="60"/>
        <v>12620.160000000003</v>
      </c>
      <c r="N566" s="29"/>
      <c r="O566" s="44">
        <f t="shared" si="61"/>
        <v>0.24614539635927885</v>
      </c>
    </row>
    <row r="567" spans="1:15" ht="20.100000000000001" customHeight="1" x14ac:dyDescent="0.25">
      <c r="A567" s="89">
        <v>3</v>
      </c>
      <c r="B567" s="4">
        <v>42745</v>
      </c>
      <c r="C567" s="5" t="s">
        <v>212</v>
      </c>
      <c r="D567" s="3">
        <v>51565.24</v>
      </c>
      <c r="E567" s="4">
        <v>42745</v>
      </c>
      <c r="F567" s="92" t="s">
        <v>28</v>
      </c>
      <c r="G567" s="32">
        <v>42760</v>
      </c>
      <c r="H567" s="27">
        <f t="shared" si="59"/>
        <v>51565.24</v>
      </c>
      <c r="I567" s="27">
        <f>H567</f>
        <v>51565.24</v>
      </c>
      <c r="J567" s="27"/>
      <c r="K567" s="99"/>
      <c r="L567" s="27">
        <v>38436</v>
      </c>
      <c r="M567" s="29">
        <f t="shared" si="60"/>
        <v>13129.239999999998</v>
      </c>
      <c r="N567" s="29">
        <f>M567</f>
        <v>13129.239999999998</v>
      </c>
      <c r="O567" s="44">
        <f t="shared" si="61"/>
        <v>0.25461415480660998</v>
      </c>
    </row>
    <row r="568" spans="1:15" ht="20.100000000000001" customHeight="1" x14ac:dyDescent="0.25">
      <c r="A568" s="89">
        <v>621</v>
      </c>
      <c r="B568" s="4">
        <v>42720</v>
      </c>
      <c r="C568" s="26" t="s">
        <v>21</v>
      </c>
      <c r="D568" s="3">
        <v>3962.53</v>
      </c>
      <c r="E568" s="92">
        <v>42746</v>
      </c>
      <c r="F568" s="92" t="s">
        <v>28</v>
      </c>
      <c r="G568" s="32">
        <v>42751</v>
      </c>
      <c r="H568" s="27">
        <f t="shared" si="59"/>
        <v>3962.53</v>
      </c>
      <c r="I568" s="27"/>
      <c r="J568" s="27"/>
      <c r="K568" s="99"/>
      <c r="L568" s="27">
        <v>558.13</v>
      </c>
      <c r="M568" s="29">
        <f t="shared" si="60"/>
        <v>3404.4</v>
      </c>
      <c r="N568" s="29"/>
      <c r="O568" s="44">
        <f t="shared" si="61"/>
        <v>0.8591480695414293</v>
      </c>
    </row>
    <row r="569" spans="1:15" ht="20.100000000000001" customHeight="1" x14ac:dyDescent="0.25">
      <c r="A569" s="89">
        <v>641</v>
      </c>
      <c r="B569" s="4">
        <v>42732</v>
      </c>
      <c r="C569" s="26" t="s">
        <v>97</v>
      </c>
      <c r="D569" s="3">
        <v>26432.799999999999</v>
      </c>
      <c r="E569" s="92">
        <v>42747</v>
      </c>
      <c r="F569" s="92" t="s">
        <v>28</v>
      </c>
      <c r="G569" s="32">
        <v>42774</v>
      </c>
      <c r="H569" s="27">
        <f t="shared" si="59"/>
        <v>26432.799999999999</v>
      </c>
      <c r="I569" s="27"/>
      <c r="J569" s="27"/>
      <c r="K569" s="99"/>
      <c r="L569" s="27">
        <v>18096</v>
      </c>
      <c r="M569" s="29">
        <f t="shared" si="60"/>
        <v>8336.7999999999993</v>
      </c>
      <c r="N569" s="29"/>
      <c r="O569" s="44">
        <f t="shared" si="61"/>
        <v>0.31539602312278681</v>
      </c>
    </row>
    <row r="570" spans="1:15" ht="20.100000000000001" customHeight="1" x14ac:dyDescent="0.25">
      <c r="A570" s="89">
        <v>557</v>
      </c>
      <c r="B570" s="4">
        <v>43088</v>
      </c>
      <c r="C570" s="26" t="s">
        <v>11</v>
      </c>
      <c r="D570" s="3">
        <v>24180</v>
      </c>
      <c r="E570" s="92">
        <v>42748</v>
      </c>
      <c r="F570" s="92" t="s">
        <v>28</v>
      </c>
      <c r="G570" s="32">
        <v>42775</v>
      </c>
      <c r="H570" s="27">
        <f t="shared" si="59"/>
        <v>24180</v>
      </c>
      <c r="I570" s="27"/>
      <c r="J570" s="27"/>
      <c r="K570" s="99"/>
      <c r="L570" s="27">
        <f>8920*2</f>
        <v>17840</v>
      </c>
      <c r="M570" s="29">
        <f t="shared" si="60"/>
        <v>6340</v>
      </c>
      <c r="N570" s="29"/>
      <c r="O570" s="44">
        <f t="shared" si="61"/>
        <v>0.26220016542597185</v>
      </c>
    </row>
    <row r="571" spans="1:15" ht="20.100000000000001" customHeight="1" x14ac:dyDescent="0.25">
      <c r="A571" s="89">
        <v>4</v>
      </c>
      <c r="B571" s="4">
        <v>42745</v>
      </c>
      <c r="C571" s="26" t="s">
        <v>180</v>
      </c>
      <c r="D571" s="3">
        <v>113190</v>
      </c>
      <c r="E571" s="92">
        <v>42751</v>
      </c>
      <c r="F571" s="92" t="s">
        <v>28</v>
      </c>
      <c r="G571" s="32">
        <v>42768</v>
      </c>
      <c r="H571" s="27">
        <f>D571/2</f>
        <v>56595</v>
      </c>
      <c r="I571" s="27"/>
      <c r="J571" s="27"/>
      <c r="K571" s="99"/>
      <c r="L571" s="27">
        <v>39535</v>
      </c>
      <c r="M571" s="29">
        <f t="shared" si="60"/>
        <v>17060</v>
      </c>
      <c r="N571" s="29"/>
      <c r="O571" s="44">
        <f t="shared" si="61"/>
        <v>0.30144005654209738</v>
      </c>
    </row>
    <row r="572" spans="1:15" ht="20.100000000000001" customHeight="1" x14ac:dyDescent="0.25">
      <c r="A572" s="89">
        <v>16</v>
      </c>
      <c r="B572" s="4">
        <v>42747</v>
      </c>
      <c r="C572" s="5" t="s">
        <v>213</v>
      </c>
      <c r="D572" s="3">
        <v>28590</v>
      </c>
      <c r="E572" s="92">
        <v>42751</v>
      </c>
      <c r="F572" s="92" t="s">
        <v>28</v>
      </c>
      <c r="G572" s="32">
        <v>42762</v>
      </c>
      <c r="H572" s="27">
        <f>D572</f>
        <v>28590</v>
      </c>
      <c r="I572" s="27">
        <f>H572</f>
        <v>28590</v>
      </c>
      <c r="J572" s="27"/>
      <c r="K572" s="99"/>
      <c r="L572" s="27">
        <v>21614</v>
      </c>
      <c r="M572" s="29">
        <f t="shared" si="60"/>
        <v>6976</v>
      </c>
      <c r="N572" s="29">
        <f>M572</f>
        <v>6976</v>
      </c>
      <c r="O572" s="44">
        <f t="shared" si="61"/>
        <v>0.24400139909059113</v>
      </c>
    </row>
    <row r="573" spans="1:15" ht="20.100000000000001" customHeight="1" x14ac:dyDescent="0.25">
      <c r="A573" s="89">
        <v>27</v>
      </c>
      <c r="B573" s="4">
        <v>42753</v>
      </c>
      <c r="C573" s="5" t="s">
        <v>214</v>
      </c>
      <c r="D573" s="3">
        <v>30700</v>
      </c>
      <c r="E573" s="92">
        <v>42754</v>
      </c>
      <c r="F573" s="92" t="s">
        <v>28</v>
      </c>
      <c r="G573" s="4">
        <v>42794</v>
      </c>
      <c r="H573" s="27">
        <f>D573</f>
        <v>30700</v>
      </c>
      <c r="I573" s="27">
        <f>H573</f>
        <v>30700</v>
      </c>
      <c r="J573" s="27"/>
      <c r="K573" s="99"/>
      <c r="L573" s="27">
        <v>23122</v>
      </c>
      <c r="M573" s="29">
        <f t="shared" si="60"/>
        <v>7578</v>
      </c>
      <c r="N573" s="29">
        <f>M573</f>
        <v>7578</v>
      </c>
      <c r="O573" s="44">
        <f t="shared" si="61"/>
        <v>0.24684039087947882</v>
      </c>
    </row>
    <row r="574" spans="1:15" ht="20.100000000000001" customHeight="1" x14ac:dyDescent="0.25">
      <c r="A574" s="89">
        <v>21</v>
      </c>
      <c r="B574" s="4">
        <v>42751</v>
      </c>
      <c r="C574" s="26" t="s">
        <v>180</v>
      </c>
      <c r="D574" s="3">
        <v>126654.02</v>
      </c>
      <c r="E574" s="92">
        <v>42754</v>
      </c>
      <c r="F574" s="92" t="s">
        <v>28</v>
      </c>
      <c r="G574" s="32">
        <v>42804</v>
      </c>
      <c r="H574" s="27">
        <f>D574/2</f>
        <v>63327.01</v>
      </c>
      <c r="I574" s="27"/>
      <c r="J574" s="27"/>
      <c r="K574" s="99"/>
      <c r="L574" s="27">
        <v>45579</v>
      </c>
      <c r="M574" s="29">
        <f t="shared" si="60"/>
        <v>17748.010000000002</v>
      </c>
      <c r="N574" s="29"/>
      <c r="O574" s="44">
        <f t="shared" si="61"/>
        <v>0.28025971856242704</v>
      </c>
    </row>
    <row r="575" spans="1:15" ht="20.100000000000001" customHeight="1" x14ac:dyDescent="0.25">
      <c r="A575" s="89">
        <v>28</v>
      </c>
      <c r="B575" s="4">
        <v>42753</v>
      </c>
      <c r="C575" s="5" t="s">
        <v>215</v>
      </c>
      <c r="D575" s="3">
        <v>61580</v>
      </c>
      <c r="E575" s="92">
        <v>42755</v>
      </c>
      <c r="F575" s="92" t="s">
        <v>28</v>
      </c>
      <c r="G575" s="32">
        <v>42761</v>
      </c>
      <c r="H575" s="27">
        <f t="shared" ref="H575:H581" si="62">D575</f>
        <v>61580</v>
      </c>
      <c r="J575" s="27"/>
      <c r="K575" s="99"/>
      <c r="L575" s="27">
        <v>44108</v>
      </c>
      <c r="M575" s="29">
        <f t="shared" si="60"/>
        <v>17472</v>
      </c>
      <c r="N575" s="29">
        <f>M575</f>
        <v>17472</v>
      </c>
      <c r="O575" s="44">
        <f t="shared" si="61"/>
        <v>0.28372848327379019</v>
      </c>
    </row>
    <row r="576" spans="1:15" ht="20.100000000000001" customHeight="1" x14ac:dyDescent="0.25">
      <c r="A576" s="89">
        <v>32</v>
      </c>
      <c r="B576" s="4">
        <v>42754</v>
      </c>
      <c r="C576" s="26" t="s">
        <v>216</v>
      </c>
      <c r="D576" s="3">
        <v>3990</v>
      </c>
      <c r="E576" s="92">
        <v>42755</v>
      </c>
      <c r="F576" s="92" t="s">
        <v>28</v>
      </c>
      <c r="G576" s="32">
        <v>42779</v>
      </c>
      <c r="H576" s="27">
        <f t="shared" si="62"/>
        <v>3990</v>
      </c>
      <c r="I576" s="27"/>
      <c r="J576" s="27"/>
      <c r="K576" s="99"/>
      <c r="L576" s="27">
        <v>2933</v>
      </c>
      <c r="M576" s="29">
        <f t="shared" si="60"/>
        <v>1057</v>
      </c>
      <c r="N576" s="29"/>
      <c r="O576" s="44">
        <f t="shared" si="61"/>
        <v>0.26491228070175438</v>
      </c>
    </row>
    <row r="577" spans="1:15" ht="20.100000000000001" customHeight="1" x14ac:dyDescent="0.25">
      <c r="A577" s="89">
        <v>13</v>
      </c>
      <c r="B577" s="4">
        <v>42746</v>
      </c>
      <c r="C577" s="26" t="s">
        <v>13</v>
      </c>
      <c r="D577" s="3">
        <v>11941.15</v>
      </c>
      <c r="E577" s="92">
        <v>42758</v>
      </c>
      <c r="F577" s="92" t="s">
        <v>28</v>
      </c>
      <c r="G577" s="32">
        <v>42748</v>
      </c>
      <c r="H577" s="27">
        <f t="shared" si="62"/>
        <v>11941.15</v>
      </c>
      <c r="I577" s="27"/>
      <c r="J577" s="27"/>
      <c r="K577" s="99"/>
      <c r="L577" s="27">
        <v>9030</v>
      </c>
      <c r="M577" s="29">
        <f t="shared" si="60"/>
        <v>2911.1499999999996</v>
      </c>
      <c r="N577" s="29"/>
      <c r="O577" s="44">
        <f t="shared" si="61"/>
        <v>0.24379142712385321</v>
      </c>
    </row>
    <row r="578" spans="1:15" ht="20.100000000000001" customHeight="1" x14ac:dyDescent="0.25">
      <c r="A578" s="89">
        <v>12</v>
      </c>
      <c r="B578" s="4">
        <v>42746</v>
      </c>
      <c r="C578" s="26" t="s">
        <v>175</v>
      </c>
      <c r="D578" s="3">
        <v>9556</v>
      </c>
      <c r="E578" s="92">
        <v>42759</v>
      </c>
      <c r="F578" s="92" t="s">
        <v>28</v>
      </c>
      <c r="G578" s="32">
        <v>42760</v>
      </c>
      <c r="H578" s="27">
        <f t="shared" si="62"/>
        <v>9556</v>
      </c>
      <c r="I578" s="27"/>
      <c r="J578" s="27"/>
      <c r="K578" s="99"/>
      <c r="L578" s="27">
        <v>7224</v>
      </c>
      <c r="M578" s="29">
        <f t="shared" si="60"/>
        <v>2332</v>
      </c>
      <c r="N578" s="29"/>
      <c r="O578" s="44">
        <f t="shared" si="61"/>
        <v>0.24403516115529511</v>
      </c>
    </row>
    <row r="579" spans="1:15" ht="20.100000000000001" customHeight="1" x14ac:dyDescent="0.25">
      <c r="A579" s="89">
        <v>479</v>
      </c>
      <c r="B579" s="4">
        <v>42647</v>
      </c>
      <c r="C579" s="26" t="s">
        <v>99</v>
      </c>
      <c r="D579" s="3">
        <v>238082.1</v>
      </c>
      <c r="E579" s="92">
        <v>42759</v>
      </c>
      <c r="F579" s="92" t="s">
        <v>28</v>
      </c>
      <c r="G579" s="32">
        <v>42725</v>
      </c>
      <c r="H579" s="27">
        <f t="shared" si="62"/>
        <v>238082.1</v>
      </c>
      <c r="I579" s="99"/>
      <c r="J579" s="99">
        <f>8*3000</f>
        <v>24000</v>
      </c>
      <c r="K579" s="99"/>
      <c r="L579" s="27">
        <v>61584</v>
      </c>
      <c r="M579" s="29">
        <f t="shared" si="60"/>
        <v>152498.1</v>
      </c>
      <c r="N579" s="29"/>
      <c r="O579" s="44">
        <f t="shared" si="61"/>
        <v>0.64052736429996204</v>
      </c>
    </row>
    <row r="580" spans="1:15" ht="20.100000000000001" customHeight="1" x14ac:dyDescent="0.25">
      <c r="A580" s="89">
        <v>596</v>
      </c>
      <c r="B580" s="4">
        <v>42711</v>
      </c>
      <c r="C580" s="26" t="s">
        <v>99</v>
      </c>
      <c r="D580" s="3">
        <v>150176.26</v>
      </c>
      <c r="E580" s="92">
        <v>42759</v>
      </c>
      <c r="F580" s="92" t="s">
        <v>28</v>
      </c>
      <c r="G580" s="32">
        <v>42725</v>
      </c>
      <c r="H580" s="27">
        <f t="shared" si="62"/>
        <v>150176.26</v>
      </c>
      <c r="I580" s="99"/>
      <c r="J580" s="99">
        <f>15*3000</f>
        <v>45000</v>
      </c>
      <c r="K580" s="99"/>
      <c r="L580" s="27">
        <v>50490</v>
      </c>
      <c r="M580" s="29">
        <f t="shared" si="60"/>
        <v>54686.260000000009</v>
      </c>
      <c r="N580" s="29"/>
      <c r="O580" s="44">
        <f t="shared" si="61"/>
        <v>0.36414716946606612</v>
      </c>
    </row>
    <row r="581" spans="1:15" ht="20.100000000000001" customHeight="1" x14ac:dyDescent="0.25">
      <c r="A581" s="89">
        <v>40</v>
      </c>
      <c r="B581" s="4">
        <v>42759</v>
      </c>
      <c r="C581" s="5" t="s">
        <v>217</v>
      </c>
      <c r="D581" s="3">
        <v>23617.48</v>
      </c>
      <c r="E581" s="92">
        <v>42761</v>
      </c>
      <c r="F581" s="92" t="s">
        <v>28</v>
      </c>
      <c r="G581" s="32">
        <v>42781</v>
      </c>
      <c r="H581" s="27">
        <f t="shared" si="62"/>
        <v>23617.48</v>
      </c>
      <c r="I581" s="27">
        <f>H581</f>
        <v>23617.48</v>
      </c>
      <c r="J581" s="99"/>
      <c r="K581" s="99"/>
      <c r="L581" s="27">
        <v>18420</v>
      </c>
      <c r="M581" s="29">
        <f t="shared" si="60"/>
        <v>5197.4799999999996</v>
      </c>
      <c r="N581" s="29">
        <f>M581</f>
        <v>5197.4799999999996</v>
      </c>
      <c r="O581" s="44">
        <f t="shared" si="61"/>
        <v>0.22006920298016552</v>
      </c>
    </row>
    <row r="582" spans="1:15" ht="20.100000000000001" customHeight="1" x14ac:dyDescent="0.25">
      <c r="A582" s="89">
        <v>558</v>
      </c>
      <c r="B582" s="4">
        <v>42697</v>
      </c>
      <c r="C582" s="26" t="s">
        <v>180</v>
      </c>
      <c r="D582" s="3">
        <v>323253.98</v>
      </c>
      <c r="E582" s="92">
        <v>42761</v>
      </c>
      <c r="F582" s="92" t="s">
        <v>28</v>
      </c>
      <c r="G582" s="32">
        <v>42766</v>
      </c>
      <c r="H582" s="27">
        <f>D582/2</f>
        <v>161626.99</v>
      </c>
      <c r="I582" s="27"/>
      <c r="J582" s="27"/>
      <c r="K582" s="99"/>
      <c r="L582" s="27">
        <v>116872</v>
      </c>
      <c r="M582" s="29">
        <f t="shared" si="60"/>
        <v>44754.989999999991</v>
      </c>
      <c r="N582" s="29"/>
      <c r="O582" s="44">
        <f t="shared" si="61"/>
        <v>0.27690294795442266</v>
      </c>
    </row>
    <row r="583" spans="1:15" ht="20.100000000000001" customHeight="1" x14ac:dyDescent="0.25">
      <c r="A583" s="89">
        <v>35</v>
      </c>
      <c r="B583" s="4">
        <v>42758</v>
      </c>
      <c r="C583" s="26" t="s">
        <v>139</v>
      </c>
      <c r="D583" s="3">
        <v>1206.44</v>
      </c>
      <c r="E583" s="92">
        <v>42761</v>
      </c>
      <c r="F583" s="92" t="s">
        <v>28</v>
      </c>
      <c r="G583" s="32">
        <v>42787</v>
      </c>
      <c r="H583" s="27">
        <f>D583</f>
        <v>1206.44</v>
      </c>
      <c r="I583" s="27"/>
      <c r="J583" s="27"/>
      <c r="K583" s="99"/>
      <c r="L583" s="27">
        <v>822</v>
      </c>
      <c r="M583" s="29">
        <f t="shared" si="60"/>
        <v>384.44000000000005</v>
      </c>
      <c r="N583" s="29"/>
      <c r="O583" s="44">
        <f t="shared" si="61"/>
        <v>0.31865654321806308</v>
      </c>
    </row>
    <row r="584" spans="1:15" ht="20.100000000000001" customHeight="1" x14ac:dyDescent="0.25">
      <c r="A584" s="89">
        <v>4</v>
      </c>
      <c r="B584" s="4">
        <v>42745</v>
      </c>
      <c r="C584" s="26" t="s">
        <v>180</v>
      </c>
      <c r="D584" s="3">
        <v>113190</v>
      </c>
      <c r="E584" s="92">
        <v>42765</v>
      </c>
      <c r="F584" s="92" t="s">
        <v>28</v>
      </c>
      <c r="G584" s="32">
        <v>42768</v>
      </c>
      <c r="H584" s="27">
        <f>D584/2</f>
        <v>56595</v>
      </c>
      <c r="I584" s="27"/>
      <c r="J584" s="27"/>
      <c r="K584" s="99"/>
      <c r="L584" s="27">
        <v>39535</v>
      </c>
      <c r="M584" s="29">
        <f t="shared" si="60"/>
        <v>17060</v>
      </c>
      <c r="N584" s="29"/>
      <c r="O584" s="44">
        <f t="shared" si="61"/>
        <v>0.30144005654209738</v>
      </c>
    </row>
    <row r="585" spans="1:15" ht="19.5" customHeight="1" x14ac:dyDescent="0.25">
      <c r="A585" s="89"/>
      <c r="B585" s="4"/>
      <c r="C585" s="5"/>
      <c r="D585" s="3"/>
      <c r="E585" s="97">
        <v>78400</v>
      </c>
      <c r="F585" s="98">
        <f>M585*0.17+N585*0.06+8000</f>
        <v>78438.687099999996</v>
      </c>
      <c r="G585" s="21">
        <f>H585*0.05+I585*0.02</f>
        <v>56570.794399999999</v>
      </c>
      <c r="H585" s="16">
        <f t="shared" ref="H585:N585" si="63">SUM(H565:H584)</f>
        <v>1077626.7999999998</v>
      </c>
      <c r="I585" s="16">
        <f t="shared" si="63"/>
        <v>134472.72</v>
      </c>
      <c r="J585" s="16">
        <f t="shared" si="63"/>
        <v>69000</v>
      </c>
      <c r="K585" s="16">
        <f t="shared" si="63"/>
        <v>0</v>
      </c>
      <c r="L585" s="16">
        <f t="shared" si="63"/>
        <v>612053.13</v>
      </c>
      <c r="M585" s="16">
        <f t="shared" si="63"/>
        <v>396573.67</v>
      </c>
      <c r="N585" s="16">
        <f t="shared" si="63"/>
        <v>50352.72</v>
      </c>
      <c r="O585" s="44">
        <f t="shared" si="61"/>
        <v>0.3680065028078367</v>
      </c>
    </row>
    <row r="586" spans="1:15" ht="23.25" x14ac:dyDescent="0.35">
      <c r="C586" s="94" t="s">
        <v>648</v>
      </c>
    </row>
    <row r="587" spans="1:15" ht="20.100000000000001" customHeight="1" x14ac:dyDescent="0.25">
      <c r="A587" s="89">
        <v>10</v>
      </c>
      <c r="B587" s="4">
        <v>42754</v>
      </c>
      <c r="C587" s="26" t="s">
        <v>56</v>
      </c>
      <c r="D587" s="3">
        <v>120618.58</v>
      </c>
      <c r="E587" s="92">
        <v>42768</v>
      </c>
      <c r="F587" s="92" t="s">
        <v>28</v>
      </c>
      <c r="G587" s="32">
        <v>42762</v>
      </c>
      <c r="H587" s="27">
        <f t="shared" ref="H587:H609" si="64">D587</f>
        <v>120618.58</v>
      </c>
      <c r="I587" s="27"/>
      <c r="J587" s="27"/>
      <c r="K587" s="99"/>
      <c r="L587" s="27">
        <v>78228</v>
      </c>
      <c r="M587" s="29">
        <f t="shared" ref="M587:M612" si="65">H587-L587-J587-K587</f>
        <v>42390.58</v>
      </c>
      <c r="N587" s="29"/>
      <c r="O587" s="44">
        <f t="shared" ref="O587:O613" si="66">M587/H587</f>
        <v>0.35144320219986008</v>
      </c>
    </row>
    <row r="588" spans="1:15" ht="20.100000000000001" customHeight="1" x14ac:dyDescent="0.25">
      <c r="A588" s="89">
        <v>51</v>
      </c>
      <c r="B588" s="4">
        <v>42767</v>
      </c>
      <c r="C588" s="26" t="s">
        <v>71</v>
      </c>
      <c r="D588" s="3">
        <v>2870.12</v>
      </c>
      <c r="E588" s="92">
        <v>42768</v>
      </c>
      <c r="F588" s="92" t="s">
        <v>28</v>
      </c>
      <c r="G588" s="32">
        <v>42773</v>
      </c>
      <c r="H588" s="27">
        <f t="shared" si="64"/>
        <v>2870.12</v>
      </c>
      <c r="I588" s="27"/>
      <c r="J588" s="27"/>
      <c r="K588" s="99"/>
      <c r="L588" s="27">
        <v>1976</v>
      </c>
      <c r="M588" s="29">
        <f t="shared" si="65"/>
        <v>894.11999999999989</v>
      </c>
      <c r="N588" s="29"/>
      <c r="O588" s="44">
        <f t="shared" si="66"/>
        <v>0.31152704416540072</v>
      </c>
    </row>
    <row r="589" spans="1:15" ht="20.100000000000001" customHeight="1" x14ac:dyDescent="0.25">
      <c r="A589" s="89">
        <v>43</v>
      </c>
      <c r="B589" s="4">
        <v>42765</v>
      </c>
      <c r="C589" s="26" t="s">
        <v>208</v>
      </c>
      <c r="D589" s="3">
        <v>96378</v>
      </c>
      <c r="E589" s="92">
        <v>42769</v>
      </c>
      <c r="F589" s="92" t="s">
        <v>28</v>
      </c>
      <c r="G589" s="32">
        <v>42773</v>
      </c>
      <c r="H589" s="27">
        <f t="shared" si="64"/>
        <v>96378</v>
      </c>
      <c r="I589" s="27"/>
      <c r="J589" s="27">
        <v>8500</v>
      </c>
      <c r="K589" s="99">
        <v>1200</v>
      </c>
      <c r="L589" s="27">
        <v>68124</v>
      </c>
      <c r="M589" s="29">
        <f t="shared" si="65"/>
        <v>18554</v>
      </c>
      <c r="N589" s="29"/>
      <c r="O589" s="44">
        <f t="shared" si="66"/>
        <v>0.19251281412770549</v>
      </c>
    </row>
    <row r="590" spans="1:15" ht="20.100000000000001" customHeight="1" x14ac:dyDescent="0.25">
      <c r="A590" s="89">
        <v>45</v>
      </c>
      <c r="B590" s="4">
        <v>42761</v>
      </c>
      <c r="C590" s="5" t="s">
        <v>218</v>
      </c>
      <c r="D590" s="3">
        <v>12945.82</v>
      </c>
      <c r="E590" s="92">
        <v>42769</v>
      </c>
      <c r="F590" s="92" t="s">
        <v>28</v>
      </c>
      <c r="G590" s="32">
        <v>42769</v>
      </c>
      <c r="H590" s="27">
        <f t="shared" si="64"/>
        <v>12945.82</v>
      </c>
      <c r="I590" s="27">
        <f>H590</f>
        <v>12945.82</v>
      </c>
      <c r="J590" s="27"/>
      <c r="K590" s="99"/>
      <c r="L590" s="27">
        <v>12902</v>
      </c>
      <c r="M590" s="29">
        <f t="shared" si="65"/>
        <v>43.819999999999709</v>
      </c>
      <c r="N590" s="29">
        <f>M590</f>
        <v>43.819999999999709</v>
      </c>
      <c r="O590" s="44">
        <f t="shared" si="66"/>
        <v>3.3848763539118965E-3</v>
      </c>
    </row>
    <row r="591" spans="1:15" ht="20.100000000000001" customHeight="1" x14ac:dyDescent="0.25">
      <c r="A591" s="89">
        <v>67</v>
      </c>
      <c r="B591" s="4">
        <v>42772</v>
      </c>
      <c r="C591" s="26" t="s">
        <v>91</v>
      </c>
      <c r="D591" s="3">
        <v>4654</v>
      </c>
      <c r="E591" s="92">
        <v>42773</v>
      </c>
      <c r="F591" s="92" t="s">
        <v>28</v>
      </c>
      <c r="G591" s="32">
        <v>42797</v>
      </c>
      <c r="H591" s="27">
        <f t="shared" si="64"/>
        <v>4654</v>
      </c>
      <c r="I591" s="27"/>
      <c r="J591" s="27"/>
      <c r="K591" s="99"/>
      <c r="L591" s="27">
        <v>3980</v>
      </c>
      <c r="M591" s="29">
        <f t="shared" si="65"/>
        <v>674</v>
      </c>
      <c r="N591" s="29"/>
      <c r="O591" s="44">
        <f t="shared" si="66"/>
        <v>0.14482165878813924</v>
      </c>
    </row>
    <row r="592" spans="1:15" ht="20.100000000000001" customHeight="1" x14ac:dyDescent="0.25">
      <c r="A592" s="89">
        <v>2</v>
      </c>
      <c r="B592" s="4">
        <v>42754</v>
      </c>
      <c r="C592" s="5" t="s">
        <v>219</v>
      </c>
      <c r="D592" s="3">
        <v>317428</v>
      </c>
      <c r="E592" s="92">
        <v>42774</v>
      </c>
      <c r="F592" s="92" t="s">
        <v>28</v>
      </c>
      <c r="G592" s="32">
        <v>42793</v>
      </c>
      <c r="H592" s="27">
        <f t="shared" si="64"/>
        <v>317428</v>
      </c>
      <c r="I592" s="27">
        <f>H592</f>
        <v>317428</v>
      </c>
      <c r="J592" s="27"/>
      <c r="K592" s="99">
        <v>18000</v>
      </c>
      <c r="L592" s="27">
        <v>239053</v>
      </c>
      <c r="M592" s="29">
        <f t="shared" si="65"/>
        <v>60375</v>
      </c>
      <c r="N592" s="29">
        <f>M592</f>
        <v>60375</v>
      </c>
      <c r="O592" s="44">
        <f t="shared" si="66"/>
        <v>0.19020061242234459</v>
      </c>
    </row>
    <row r="593" spans="1:15" ht="20.100000000000001" customHeight="1" x14ac:dyDescent="0.25">
      <c r="A593" s="89">
        <v>69</v>
      </c>
      <c r="B593" s="4">
        <v>42772</v>
      </c>
      <c r="C593" s="26" t="s">
        <v>15</v>
      </c>
      <c r="D593" s="3">
        <v>4128.68</v>
      </c>
      <c r="E593" s="92">
        <v>42774</v>
      </c>
      <c r="F593" s="92" t="s">
        <v>28</v>
      </c>
      <c r="G593" s="32">
        <v>42776</v>
      </c>
      <c r="H593" s="27">
        <f t="shared" si="64"/>
        <v>4128.68</v>
      </c>
      <c r="I593" s="27"/>
      <c r="J593" s="27"/>
      <c r="K593" s="99"/>
      <c r="L593" s="27">
        <v>3166</v>
      </c>
      <c r="M593" s="29">
        <f t="shared" si="65"/>
        <v>962.68000000000029</v>
      </c>
      <c r="N593" s="29"/>
      <c r="O593" s="44">
        <f t="shared" si="66"/>
        <v>0.23316895472645016</v>
      </c>
    </row>
    <row r="594" spans="1:15" ht="20.100000000000001" customHeight="1" x14ac:dyDescent="0.25">
      <c r="A594" s="89">
        <v>79</v>
      </c>
      <c r="B594" s="4">
        <v>42774</v>
      </c>
      <c r="C594" s="26" t="s">
        <v>216</v>
      </c>
      <c r="D594" s="3">
        <v>2717.33</v>
      </c>
      <c r="E594" s="92">
        <v>42775</v>
      </c>
      <c r="F594" s="92" t="s">
        <v>28</v>
      </c>
      <c r="G594" s="32">
        <v>42794</v>
      </c>
      <c r="H594" s="27">
        <f t="shared" si="64"/>
        <v>2717.33</v>
      </c>
      <c r="I594" s="27"/>
      <c r="J594" s="27"/>
      <c r="K594" s="99"/>
      <c r="L594" s="27">
        <v>2556</v>
      </c>
      <c r="M594" s="29">
        <f t="shared" si="65"/>
        <v>161.32999999999993</v>
      </c>
      <c r="N594" s="29"/>
      <c r="O594" s="44">
        <f t="shared" si="66"/>
        <v>5.9370779404783344E-2</v>
      </c>
    </row>
    <row r="595" spans="1:15" ht="20.100000000000001" customHeight="1" x14ac:dyDescent="0.25">
      <c r="A595" s="89">
        <v>61</v>
      </c>
      <c r="B595" s="4">
        <v>42769</v>
      </c>
      <c r="C595" s="26" t="s">
        <v>66</v>
      </c>
      <c r="D595" s="3">
        <v>32931</v>
      </c>
      <c r="E595" s="92">
        <v>42775</v>
      </c>
      <c r="F595" s="92" t="s">
        <v>28</v>
      </c>
      <c r="G595" s="32">
        <v>42816</v>
      </c>
      <c r="H595" s="27">
        <f t="shared" si="64"/>
        <v>32931</v>
      </c>
      <c r="I595" s="27"/>
      <c r="J595" s="27"/>
      <c r="K595" s="99"/>
      <c r="L595" s="27">
        <v>21740</v>
      </c>
      <c r="M595" s="29">
        <f t="shared" si="65"/>
        <v>11191</v>
      </c>
      <c r="N595" s="29"/>
      <c r="O595" s="44">
        <f t="shared" si="66"/>
        <v>0.33983176945735022</v>
      </c>
    </row>
    <row r="596" spans="1:15" ht="20.100000000000001" customHeight="1" x14ac:dyDescent="0.25">
      <c r="A596" s="89">
        <v>70</v>
      </c>
      <c r="B596" s="4">
        <v>42772</v>
      </c>
      <c r="C596" s="26" t="s">
        <v>180</v>
      </c>
      <c r="D596" s="3">
        <v>31013.27</v>
      </c>
      <c r="E596" s="92">
        <v>42775</v>
      </c>
      <c r="F596" s="92" t="s">
        <v>28</v>
      </c>
      <c r="G596" s="32">
        <v>42804</v>
      </c>
      <c r="H596" s="27">
        <f t="shared" si="64"/>
        <v>31013.27</v>
      </c>
      <c r="I596" s="27"/>
      <c r="J596" s="27"/>
      <c r="K596" s="99">
        <f>2*1200</f>
        <v>2400</v>
      </c>
      <c r="L596" s="27">
        <v>13082</v>
      </c>
      <c r="M596" s="29">
        <f t="shared" si="65"/>
        <v>15531.27</v>
      </c>
      <c r="N596" s="29"/>
      <c r="O596" s="44">
        <f t="shared" si="66"/>
        <v>0.50079433739170365</v>
      </c>
    </row>
    <row r="597" spans="1:15" ht="20.100000000000001" customHeight="1" x14ac:dyDescent="0.25">
      <c r="A597" s="89">
        <v>76</v>
      </c>
      <c r="B597" s="4">
        <v>42774</v>
      </c>
      <c r="C597" s="26" t="s">
        <v>220</v>
      </c>
      <c r="D597" s="3">
        <v>4953.28</v>
      </c>
      <c r="E597" s="92">
        <v>42775</v>
      </c>
      <c r="F597" s="92" t="s">
        <v>28</v>
      </c>
      <c r="G597" s="32">
        <v>42779</v>
      </c>
      <c r="H597" s="27">
        <f t="shared" si="64"/>
        <v>4953.28</v>
      </c>
      <c r="I597" s="27"/>
      <c r="J597" s="27"/>
      <c r="K597" s="99"/>
      <c r="L597" s="27">
        <v>3226</v>
      </c>
      <c r="M597" s="29">
        <f t="shared" si="65"/>
        <v>1727.2799999999997</v>
      </c>
      <c r="N597" s="29"/>
      <c r="O597" s="44">
        <f t="shared" si="66"/>
        <v>0.34871438723431741</v>
      </c>
    </row>
    <row r="598" spans="1:15" ht="20.100000000000001" customHeight="1" x14ac:dyDescent="0.25">
      <c r="A598" s="89">
        <v>77</v>
      </c>
      <c r="B598" s="4">
        <v>42774</v>
      </c>
      <c r="C598" s="26" t="s">
        <v>45</v>
      </c>
      <c r="D598" s="3">
        <v>1932.84</v>
      </c>
      <c r="E598" s="92">
        <v>42776</v>
      </c>
      <c r="F598" s="92" t="s">
        <v>28</v>
      </c>
      <c r="G598" s="32">
        <v>42800</v>
      </c>
      <c r="H598" s="27">
        <f t="shared" si="64"/>
        <v>1932.84</v>
      </c>
      <c r="I598" s="27"/>
      <c r="J598" s="27"/>
      <c r="K598" s="99"/>
      <c r="L598" s="27">
        <v>1508</v>
      </c>
      <c r="M598" s="29">
        <f t="shared" si="65"/>
        <v>424.83999999999992</v>
      </c>
      <c r="N598" s="29"/>
      <c r="O598" s="44">
        <f t="shared" si="66"/>
        <v>0.21980091471616892</v>
      </c>
    </row>
    <row r="599" spans="1:15" ht="20.100000000000001" customHeight="1" x14ac:dyDescent="0.25">
      <c r="A599" s="89">
        <v>73</v>
      </c>
      <c r="B599" s="4">
        <v>42773</v>
      </c>
      <c r="C599" s="26" t="s">
        <v>65</v>
      </c>
      <c r="D599" s="3">
        <v>97176.4</v>
      </c>
      <c r="E599" s="92">
        <v>42779</v>
      </c>
      <c r="F599" s="92" t="s">
        <v>28</v>
      </c>
      <c r="G599" s="32">
        <v>42779</v>
      </c>
      <c r="H599" s="27">
        <f t="shared" si="64"/>
        <v>97176.4</v>
      </c>
      <c r="I599" s="27"/>
      <c r="J599" s="27"/>
      <c r="K599" s="99">
        <f>3*600+8*900</f>
        <v>9000</v>
      </c>
      <c r="L599" s="27">
        <v>51147</v>
      </c>
      <c r="M599" s="29">
        <f t="shared" si="65"/>
        <v>37029.399999999994</v>
      </c>
      <c r="N599" s="29"/>
      <c r="O599" s="44">
        <f t="shared" si="66"/>
        <v>0.38105342449401292</v>
      </c>
    </row>
    <row r="600" spans="1:15" ht="20.100000000000001" customHeight="1" x14ac:dyDescent="0.25">
      <c r="A600" s="89">
        <v>64</v>
      </c>
      <c r="B600" s="4">
        <v>42769</v>
      </c>
      <c r="C600" s="26" t="s">
        <v>60</v>
      </c>
      <c r="D600" s="3">
        <v>26340.09</v>
      </c>
      <c r="E600" s="92">
        <v>42780</v>
      </c>
      <c r="F600" s="92" t="s">
        <v>28</v>
      </c>
      <c r="G600" s="32">
        <v>42772</v>
      </c>
      <c r="H600" s="27">
        <f t="shared" si="64"/>
        <v>26340.09</v>
      </c>
      <c r="I600" s="27"/>
      <c r="J600" s="27"/>
      <c r="K600" s="99"/>
      <c r="L600" s="27">
        <v>19984</v>
      </c>
      <c r="M600" s="29">
        <f t="shared" si="65"/>
        <v>6356.09</v>
      </c>
      <c r="N600" s="29"/>
      <c r="O600" s="44">
        <f t="shared" si="66"/>
        <v>0.24130859082106401</v>
      </c>
    </row>
    <row r="601" spans="1:15" ht="20.100000000000001" customHeight="1" x14ac:dyDescent="0.25">
      <c r="A601" s="89">
        <v>60</v>
      </c>
      <c r="B601" s="4">
        <v>42768</v>
      </c>
      <c r="C601" s="5" t="s">
        <v>221</v>
      </c>
      <c r="D601" s="3">
        <v>20875.86</v>
      </c>
      <c r="E601" s="92">
        <v>42780</v>
      </c>
      <c r="F601" s="92" t="s">
        <v>28</v>
      </c>
      <c r="G601" s="32">
        <v>42793</v>
      </c>
      <c r="H601" s="27">
        <f t="shared" si="64"/>
        <v>20875.86</v>
      </c>
      <c r="I601" s="27">
        <f>H601</f>
        <v>20875.86</v>
      </c>
      <c r="J601" s="27"/>
      <c r="K601" s="99"/>
      <c r="L601" s="27">
        <v>16019</v>
      </c>
      <c r="M601" s="29">
        <f t="shared" si="65"/>
        <v>4856.8600000000006</v>
      </c>
      <c r="N601" s="29">
        <f>M601</f>
        <v>4856.8600000000006</v>
      </c>
      <c r="O601" s="44">
        <f t="shared" si="66"/>
        <v>0.23265436729313191</v>
      </c>
    </row>
    <row r="602" spans="1:15" ht="20.100000000000001" customHeight="1" x14ac:dyDescent="0.25">
      <c r="A602" s="89">
        <v>92</v>
      </c>
      <c r="B602" s="4">
        <v>42781</v>
      </c>
      <c r="C602" s="26" t="s">
        <v>222</v>
      </c>
      <c r="D602" s="3">
        <v>8948</v>
      </c>
      <c r="E602" s="92">
        <v>42782</v>
      </c>
      <c r="F602" s="92" t="s">
        <v>28</v>
      </c>
      <c r="G602" s="32">
        <v>42804</v>
      </c>
      <c r="H602" s="27">
        <f t="shared" si="64"/>
        <v>8948</v>
      </c>
      <c r="I602" s="27"/>
      <c r="J602" s="27"/>
      <c r="K602" s="99"/>
      <c r="L602" s="27">
        <v>7064</v>
      </c>
      <c r="M602" s="29">
        <f t="shared" si="65"/>
        <v>1884</v>
      </c>
      <c r="N602" s="29"/>
      <c r="O602" s="44">
        <f t="shared" si="66"/>
        <v>0.21054984354045597</v>
      </c>
    </row>
    <row r="603" spans="1:15" ht="20.100000000000001" customHeight="1" x14ac:dyDescent="0.25">
      <c r="A603" s="89">
        <v>89</v>
      </c>
      <c r="B603" s="4">
        <v>42780</v>
      </c>
      <c r="C603" s="5" t="s">
        <v>223</v>
      </c>
      <c r="D603" s="3">
        <v>132870</v>
      </c>
      <c r="E603" s="92">
        <v>42783</v>
      </c>
      <c r="F603" s="92" t="s">
        <v>28</v>
      </c>
      <c r="G603" s="32">
        <v>42808</v>
      </c>
      <c r="H603" s="27">
        <f t="shared" si="64"/>
        <v>132870</v>
      </c>
      <c r="I603" s="27">
        <f>H603</f>
        <v>132870</v>
      </c>
      <c r="J603" s="27"/>
      <c r="K603" s="99"/>
      <c r="L603" s="27">
        <v>100449</v>
      </c>
      <c r="M603" s="29">
        <f t="shared" si="65"/>
        <v>32421</v>
      </c>
      <c r="N603" s="29">
        <f>M603</f>
        <v>32421</v>
      </c>
      <c r="O603" s="44">
        <f t="shared" si="66"/>
        <v>0.24400541883043578</v>
      </c>
    </row>
    <row r="604" spans="1:15" ht="20.100000000000001" customHeight="1" x14ac:dyDescent="0.25">
      <c r="A604" s="89">
        <v>94</v>
      </c>
      <c r="B604" s="4">
        <v>42782</v>
      </c>
      <c r="C604" s="26" t="s">
        <v>19</v>
      </c>
      <c r="D604" s="3">
        <v>5138.8999999999996</v>
      </c>
      <c r="E604" s="92">
        <v>42783</v>
      </c>
      <c r="F604" s="92" t="s">
        <v>28</v>
      </c>
      <c r="G604" s="32">
        <v>42786</v>
      </c>
      <c r="H604" s="27">
        <f t="shared" si="64"/>
        <v>5138.8999999999996</v>
      </c>
      <c r="I604" s="27"/>
      <c r="J604" s="27"/>
      <c r="K604" s="99"/>
      <c r="L604" s="27">
        <v>4604</v>
      </c>
      <c r="M604" s="29">
        <f t="shared" si="65"/>
        <v>534.89999999999964</v>
      </c>
      <c r="N604" s="29"/>
      <c r="O604" s="44">
        <f t="shared" si="66"/>
        <v>0.10408842359259757</v>
      </c>
    </row>
    <row r="605" spans="1:15" ht="20.100000000000001" customHeight="1" x14ac:dyDescent="0.25">
      <c r="A605" s="89">
        <v>101</v>
      </c>
      <c r="B605" s="4">
        <v>42786</v>
      </c>
      <c r="C605" s="26" t="s">
        <v>122</v>
      </c>
      <c r="D605" s="3">
        <v>1800</v>
      </c>
      <c r="E605" s="92">
        <v>42786</v>
      </c>
      <c r="F605" s="92" t="s">
        <v>28</v>
      </c>
      <c r="G605" s="32">
        <v>42786</v>
      </c>
      <c r="H605" s="27">
        <f t="shared" si="64"/>
        <v>1800</v>
      </c>
      <c r="I605" s="27"/>
      <c r="J605" s="27"/>
      <c r="K605" s="99"/>
      <c r="L605" s="27">
        <v>1485</v>
      </c>
      <c r="M605" s="29">
        <f t="shared" si="65"/>
        <v>315</v>
      </c>
      <c r="N605" s="29"/>
      <c r="O605" s="44">
        <f t="shared" si="66"/>
        <v>0.17499999999999999</v>
      </c>
    </row>
    <row r="606" spans="1:15" ht="20.100000000000001" customHeight="1" x14ac:dyDescent="0.25">
      <c r="A606" s="89">
        <v>99</v>
      </c>
      <c r="B606" s="4">
        <v>42786</v>
      </c>
      <c r="C606" s="26" t="s">
        <v>30</v>
      </c>
      <c r="D606" s="3">
        <v>4086</v>
      </c>
      <c r="E606" s="92">
        <v>42786</v>
      </c>
      <c r="F606" s="92" t="s">
        <v>28</v>
      </c>
      <c r="G606" s="32">
        <v>42787</v>
      </c>
      <c r="H606" s="27">
        <f t="shared" si="64"/>
        <v>4086</v>
      </c>
      <c r="I606" s="27"/>
      <c r="J606" s="27"/>
      <c r="K606" s="99"/>
      <c r="L606" s="27">
        <v>3348</v>
      </c>
      <c r="M606" s="29">
        <f t="shared" si="65"/>
        <v>738</v>
      </c>
      <c r="N606" s="29"/>
      <c r="O606" s="44">
        <f t="shared" si="66"/>
        <v>0.18061674008810572</v>
      </c>
    </row>
    <row r="607" spans="1:15" ht="20.100000000000001" customHeight="1" x14ac:dyDescent="0.25">
      <c r="A607" s="89">
        <v>87</v>
      </c>
      <c r="B607" s="4">
        <v>42780</v>
      </c>
      <c r="C607" s="26" t="s">
        <v>108</v>
      </c>
      <c r="D607" s="3">
        <v>12000</v>
      </c>
      <c r="E607" s="92">
        <v>42786</v>
      </c>
      <c r="F607" s="92" t="s">
        <v>28</v>
      </c>
      <c r="G607" s="32">
        <v>42814</v>
      </c>
      <c r="H607" s="27">
        <f t="shared" si="64"/>
        <v>12000</v>
      </c>
      <c r="I607" s="27"/>
      <c r="J607" s="27"/>
      <c r="K607" s="99">
        <f>2*900</f>
        <v>1800</v>
      </c>
      <c r="L607" s="27">
        <v>4102</v>
      </c>
      <c r="M607" s="29">
        <f t="shared" si="65"/>
        <v>6098</v>
      </c>
      <c r="N607" s="29"/>
      <c r="O607" s="44">
        <f t="shared" si="66"/>
        <v>0.50816666666666666</v>
      </c>
    </row>
    <row r="608" spans="1:15" ht="20.100000000000001" customHeight="1" x14ac:dyDescent="0.25">
      <c r="A608" s="89">
        <v>107</v>
      </c>
      <c r="B608" s="4">
        <v>42787</v>
      </c>
      <c r="C608" s="26" t="s">
        <v>16</v>
      </c>
      <c r="D608" s="3">
        <v>11500</v>
      </c>
      <c r="E608" s="92">
        <v>42788</v>
      </c>
      <c r="F608" s="92" t="s">
        <v>28</v>
      </c>
      <c r="G608" s="32">
        <v>42793</v>
      </c>
      <c r="H608" s="27">
        <f t="shared" si="64"/>
        <v>11500</v>
      </c>
      <c r="I608" s="27"/>
      <c r="J608" s="27"/>
      <c r="K608" s="99"/>
      <c r="L608" s="27">
        <v>7814</v>
      </c>
      <c r="M608" s="29">
        <f t="shared" si="65"/>
        <v>3686</v>
      </c>
      <c r="N608" s="29"/>
      <c r="O608" s="44">
        <f t="shared" si="66"/>
        <v>0.3205217391304348</v>
      </c>
    </row>
    <row r="609" spans="1:15" ht="20.100000000000001" customHeight="1" x14ac:dyDescent="0.25">
      <c r="A609" s="89">
        <v>109</v>
      </c>
      <c r="B609" s="4">
        <v>42787</v>
      </c>
      <c r="C609" s="5" t="s">
        <v>224</v>
      </c>
      <c r="D609" s="3">
        <v>7890</v>
      </c>
      <c r="E609" s="92">
        <v>42788</v>
      </c>
      <c r="F609" s="92" t="s">
        <v>28</v>
      </c>
      <c r="G609" s="32">
        <v>42793</v>
      </c>
      <c r="H609" s="27">
        <f t="shared" si="64"/>
        <v>7890</v>
      </c>
      <c r="I609" s="27">
        <f>H609</f>
        <v>7890</v>
      </c>
      <c r="J609" s="27"/>
      <c r="K609" s="99"/>
      <c r="L609" s="27">
        <v>6364</v>
      </c>
      <c r="M609" s="29">
        <f t="shared" si="65"/>
        <v>1526</v>
      </c>
      <c r="N609" s="29">
        <f>M609</f>
        <v>1526</v>
      </c>
      <c r="O609" s="44">
        <f t="shared" si="66"/>
        <v>0.19340937896070975</v>
      </c>
    </row>
    <row r="610" spans="1:15" ht="20.100000000000001" customHeight="1" x14ac:dyDescent="0.25">
      <c r="A610" s="89">
        <v>21</v>
      </c>
      <c r="B610" s="4">
        <v>42751</v>
      </c>
      <c r="C610" s="26" t="s">
        <v>180</v>
      </c>
      <c r="D610" s="3">
        <v>126654.02</v>
      </c>
      <c r="E610" s="92">
        <v>42788</v>
      </c>
      <c r="F610" s="92" t="s">
        <v>28</v>
      </c>
      <c r="G610" s="32">
        <v>42804</v>
      </c>
      <c r="H610" s="27">
        <f>D610/2</f>
        <v>63327.01</v>
      </c>
      <c r="I610" s="27"/>
      <c r="J610" s="27"/>
      <c r="K610" s="99"/>
      <c r="L610" s="27">
        <v>45579</v>
      </c>
      <c r="M610" s="29">
        <f t="shared" si="65"/>
        <v>17748.010000000002</v>
      </c>
      <c r="N610" s="29"/>
      <c r="O610" s="44">
        <f t="shared" si="66"/>
        <v>0.28025971856242704</v>
      </c>
    </row>
    <row r="611" spans="1:15" ht="20.100000000000001" customHeight="1" x14ac:dyDescent="0.25">
      <c r="A611" s="89">
        <v>14</v>
      </c>
      <c r="B611" s="4">
        <v>42788</v>
      </c>
      <c r="C611" s="26" t="s">
        <v>175</v>
      </c>
      <c r="D611" s="3">
        <v>18960</v>
      </c>
      <c r="E611" s="92">
        <v>42793</v>
      </c>
      <c r="F611" s="92" t="s">
        <v>28</v>
      </c>
      <c r="G611" s="32">
        <v>42807</v>
      </c>
      <c r="H611" s="27">
        <f>D611</f>
        <v>18960</v>
      </c>
      <c r="I611" s="27"/>
      <c r="J611" s="27"/>
      <c r="K611" s="99"/>
      <c r="L611" s="27">
        <v>12512</v>
      </c>
      <c r="M611" s="29">
        <f t="shared" si="65"/>
        <v>6448</v>
      </c>
      <c r="N611" s="29"/>
      <c r="O611" s="44">
        <f t="shared" si="66"/>
        <v>0.34008438818565401</v>
      </c>
    </row>
    <row r="612" spans="1:15" ht="20.100000000000001" customHeight="1" x14ac:dyDescent="0.25">
      <c r="A612" s="89">
        <v>111</v>
      </c>
      <c r="B612" s="4">
        <v>42793</v>
      </c>
      <c r="C612" s="5" t="s">
        <v>225</v>
      </c>
      <c r="D612" s="3">
        <v>8480</v>
      </c>
      <c r="E612" s="92">
        <v>42794</v>
      </c>
      <c r="F612" s="92" t="s">
        <v>28</v>
      </c>
      <c r="G612" s="32">
        <v>42767</v>
      </c>
      <c r="H612" s="27">
        <f>D612</f>
        <v>8480</v>
      </c>
      <c r="I612" s="27">
        <f>H612</f>
        <v>8480</v>
      </c>
      <c r="J612" s="27"/>
      <c r="K612" s="99"/>
      <c r="L612" s="27">
        <v>3310</v>
      </c>
      <c r="M612" s="29">
        <f t="shared" si="65"/>
        <v>5170</v>
      </c>
      <c r="N612" s="29">
        <f>M612</f>
        <v>5170</v>
      </c>
      <c r="O612" s="44">
        <f t="shared" si="66"/>
        <v>0.60966981132075471</v>
      </c>
    </row>
    <row r="613" spans="1:15" ht="19.5" customHeight="1" x14ac:dyDescent="0.25">
      <c r="A613" s="89"/>
      <c r="B613" s="4"/>
      <c r="C613" s="5"/>
      <c r="D613" s="3"/>
      <c r="E613" s="97">
        <v>61500</v>
      </c>
      <c r="F613" s="98">
        <f>M613*0.17+N613*0.06+8000</f>
        <v>61479.561399999999</v>
      </c>
      <c r="G613" s="21">
        <f>H613*0.05+I613*0.02</f>
        <v>62607.952600000019</v>
      </c>
      <c r="H613" s="16">
        <f t="shared" ref="H613:N613" si="67">SUM(H587:H612)</f>
        <v>1051963.1800000002</v>
      </c>
      <c r="I613" s="16">
        <f t="shared" si="67"/>
        <v>500489.68</v>
      </c>
      <c r="J613" s="16">
        <f t="shared" si="67"/>
        <v>8500</v>
      </c>
      <c r="K613" s="16">
        <f t="shared" si="67"/>
        <v>32400</v>
      </c>
      <c r="L613" s="16">
        <f t="shared" si="67"/>
        <v>733322</v>
      </c>
      <c r="M613" s="16">
        <f t="shared" si="67"/>
        <v>277741.18</v>
      </c>
      <c r="N613" s="16">
        <f t="shared" si="67"/>
        <v>104392.68</v>
      </c>
      <c r="O613" s="44">
        <f t="shared" si="66"/>
        <v>0.26402176927903498</v>
      </c>
    </row>
    <row r="614" spans="1:15" ht="23.25" x14ac:dyDescent="0.35">
      <c r="C614" s="94" t="s">
        <v>637</v>
      </c>
    </row>
    <row r="615" spans="1:15" ht="20.100000000000001" customHeight="1" x14ac:dyDescent="0.25">
      <c r="A615" s="89">
        <v>115</v>
      </c>
      <c r="B615" s="4">
        <v>42794</v>
      </c>
      <c r="C615" s="26" t="s">
        <v>118</v>
      </c>
      <c r="D615" s="3">
        <v>1504.7</v>
      </c>
      <c r="E615" s="92">
        <v>42795</v>
      </c>
      <c r="F615" s="92" t="s">
        <v>28</v>
      </c>
      <c r="G615" s="32">
        <v>42767</v>
      </c>
      <c r="H615" s="27">
        <f t="shared" ref="H615:H630" si="68">D615</f>
        <v>1504.7</v>
      </c>
      <c r="I615" s="27"/>
      <c r="J615" s="27"/>
      <c r="K615" s="99"/>
      <c r="L615" s="27">
        <v>1449</v>
      </c>
      <c r="M615" s="29">
        <f t="shared" ref="M615:M647" si="69">H615-L615-J615-K615</f>
        <v>55.700000000000045</v>
      </c>
      <c r="N615" s="29"/>
      <c r="O615" s="44">
        <f t="shared" ref="O615:O648" si="70">M615/H615</f>
        <v>3.7017345650295769E-2</v>
      </c>
    </row>
    <row r="616" spans="1:15" ht="20.100000000000001" customHeight="1" x14ac:dyDescent="0.25">
      <c r="A616" s="89">
        <v>98</v>
      </c>
      <c r="B616" s="4">
        <v>42783</v>
      </c>
      <c r="C616" s="26" t="s">
        <v>66</v>
      </c>
      <c r="D616" s="3">
        <v>8032.8</v>
      </c>
      <c r="E616" s="92">
        <v>42795</v>
      </c>
      <c r="F616" s="92" t="s">
        <v>28</v>
      </c>
      <c r="G616" s="32">
        <v>42816</v>
      </c>
      <c r="H616" s="27">
        <f t="shared" si="68"/>
        <v>8032.8</v>
      </c>
      <c r="I616" s="27"/>
      <c r="J616" s="27"/>
      <c r="K616" s="99"/>
      <c r="L616" s="27">
        <v>5301</v>
      </c>
      <c r="M616" s="29">
        <f t="shared" si="69"/>
        <v>2731.8</v>
      </c>
      <c r="N616" s="29"/>
      <c r="O616" s="44">
        <f t="shared" si="70"/>
        <v>0.34008066925605018</v>
      </c>
    </row>
    <row r="617" spans="1:15" ht="20.100000000000001" customHeight="1" x14ac:dyDescent="0.25">
      <c r="A617" s="89">
        <v>96</v>
      </c>
      <c r="B617" s="4">
        <v>42795</v>
      </c>
      <c r="C617" s="5" t="s">
        <v>226</v>
      </c>
      <c r="D617" s="3">
        <v>149900</v>
      </c>
      <c r="E617" s="92">
        <v>42796</v>
      </c>
      <c r="F617" s="92" t="s">
        <v>28</v>
      </c>
      <c r="G617" s="32">
        <v>42801</v>
      </c>
      <c r="H617" s="27">
        <f t="shared" si="68"/>
        <v>149900</v>
      </c>
      <c r="I617" s="27">
        <f>H617</f>
        <v>149900</v>
      </c>
      <c r="J617" s="27"/>
      <c r="K617" s="99"/>
      <c r="L617" s="27">
        <v>123642</v>
      </c>
      <c r="M617" s="29">
        <f t="shared" si="69"/>
        <v>26258</v>
      </c>
      <c r="N617" s="29">
        <f>M617</f>
        <v>26258</v>
      </c>
      <c r="O617" s="44">
        <f t="shared" si="70"/>
        <v>0.17517011340893929</v>
      </c>
    </row>
    <row r="618" spans="1:15" ht="20.100000000000001" customHeight="1" x14ac:dyDescent="0.25">
      <c r="A618" s="89">
        <v>133</v>
      </c>
      <c r="B618" s="4">
        <v>42797</v>
      </c>
      <c r="C618" s="26" t="s">
        <v>58</v>
      </c>
      <c r="D618" s="3">
        <v>4552.58</v>
      </c>
      <c r="E618" s="92">
        <v>42800</v>
      </c>
      <c r="F618" s="92" t="s">
        <v>28</v>
      </c>
      <c r="G618" s="32">
        <v>42803</v>
      </c>
      <c r="H618" s="27">
        <f t="shared" si="68"/>
        <v>4552.58</v>
      </c>
      <c r="I618" s="27"/>
      <c r="J618" s="27"/>
      <c r="K618" s="99"/>
      <c r="L618" s="27">
        <v>3463</v>
      </c>
      <c r="M618" s="29">
        <f t="shared" si="69"/>
        <v>1089.58</v>
      </c>
      <c r="N618" s="29"/>
      <c r="O618" s="44">
        <f t="shared" si="70"/>
        <v>0.23933242249449763</v>
      </c>
    </row>
    <row r="619" spans="1:15" ht="20.100000000000001" customHeight="1" x14ac:dyDescent="0.25">
      <c r="A619" s="89">
        <v>80</v>
      </c>
      <c r="B619" s="4">
        <v>42774</v>
      </c>
      <c r="C619" s="26" t="s">
        <v>56</v>
      </c>
      <c r="D619" s="3">
        <v>39853.15</v>
      </c>
      <c r="E619" s="92">
        <v>42807</v>
      </c>
      <c r="F619" s="92" t="s">
        <v>28</v>
      </c>
      <c r="G619" s="32">
        <v>42794</v>
      </c>
      <c r="H619" s="27">
        <f t="shared" si="68"/>
        <v>39853.15</v>
      </c>
      <c r="I619" s="27"/>
      <c r="J619" s="27"/>
      <c r="K619" s="99"/>
      <c r="L619" s="27">
        <v>24593</v>
      </c>
      <c r="M619" s="29">
        <f t="shared" si="69"/>
        <v>15260.150000000001</v>
      </c>
      <c r="N619" s="29"/>
      <c r="O619" s="44">
        <f t="shared" si="70"/>
        <v>0.382909506525833</v>
      </c>
    </row>
    <row r="620" spans="1:15" ht="20.100000000000001" customHeight="1" x14ac:dyDescent="0.25">
      <c r="A620" s="89">
        <v>6</v>
      </c>
      <c r="B620" s="4">
        <v>42745</v>
      </c>
      <c r="C620" s="26" t="s">
        <v>38</v>
      </c>
      <c r="D620" s="3">
        <v>199080</v>
      </c>
      <c r="E620" s="92">
        <v>42808</v>
      </c>
      <c r="F620" s="92" t="s">
        <v>28</v>
      </c>
      <c r="G620" s="32">
        <v>42774</v>
      </c>
      <c r="H620" s="27">
        <f t="shared" si="68"/>
        <v>199080</v>
      </c>
      <c r="I620" s="27"/>
      <c r="J620" s="27"/>
      <c r="K620" s="99">
        <v>1200</v>
      </c>
      <c r="L620" s="27">
        <v>133598</v>
      </c>
      <c r="M620" s="29">
        <f t="shared" si="69"/>
        <v>64282</v>
      </c>
      <c r="N620" s="29"/>
      <c r="O620" s="44">
        <f t="shared" si="70"/>
        <v>0.32289531846493874</v>
      </c>
    </row>
    <row r="621" spans="1:15" ht="20.100000000000001" customHeight="1" x14ac:dyDescent="0.25">
      <c r="A621" s="89">
        <v>125</v>
      </c>
      <c r="B621" s="4">
        <v>42796</v>
      </c>
      <c r="C621" s="26" t="s">
        <v>102</v>
      </c>
      <c r="D621" s="3">
        <v>4627</v>
      </c>
      <c r="E621" s="92">
        <v>42808</v>
      </c>
      <c r="F621" s="92" t="s">
        <v>28</v>
      </c>
      <c r="G621" s="32">
        <v>42810</v>
      </c>
      <c r="H621" s="27">
        <f t="shared" si="68"/>
        <v>4627</v>
      </c>
      <c r="I621" s="27"/>
      <c r="J621" s="27"/>
      <c r="K621" s="99"/>
      <c r="L621" s="27">
        <v>3885</v>
      </c>
      <c r="M621" s="29">
        <f t="shared" si="69"/>
        <v>742</v>
      </c>
      <c r="N621" s="29"/>
      <c r="O621" s="44">
        <f t="shared" si="70"/>
        <v>0.16036308623298035</v>
      </c>
    </row>
    <row r="622" spans="1:15" ht="20.100000000000001" customHeight="1" x14ac:dyDescent="0.25">
      <c r="A622" s="89">
        <v>136</v>
      </c>
      <c r="B622" s="4">
        <v>42801</v>
      </c>
      <c r="C622" s="5" t="s">
        <v>227</v>
      </c>
      <c r="D622" s="3">
        <v>9790</v>
      </c>
      <c r="E622" s="92">
        <v>42808</v>
      </c>
      <c r="F622" s="92" t="s">
        <v>28</v>
      </c>
      <c r="G622" s="32">
        <v>42821</v>
      </c>
      <c r="H622" s="27">
        <f t="shared" si="68"/>
        <v>9790</v>
      </c>
      <c r="I622" s="27">
        <f>H622</f>
        <v>9790</v>
      </c>
      <c r="J622" s="27"/>
      <c r="K622" s="99"/>
      <c r="L622" s="27">
        <v>7196</v>
      </c>
      <c r="M622" s="29">
        <f t="shared" si="69"/>
        <v>2594</v>
      </c>
      <c r="N622" s="29">
        <f>M622</f>
        <v>2594</v>
      </c>
      <c r="O622" s="44">
        <f t="shared" si="70"/>
        <v>0.26496424923391215</v>
      </c>
    </row>
    <row r="623" spans="1:15" ht="20.100000000000001" customHeight="1" x14ac:dyDescent="0.25">
      <c r="A623" s="89">
        <v>124</v>
      </c>
      <c r="B623" s="4">
        <v>42795</v>
      </c>
      <c r="C623" s="26" t="s">
        <v>65</v>
      </c>
      <c r="D623" s="3">
        <v>20895</v>
      </c>
      <c r="E623" s="92">
        <v>42811</v>
      </c>
      <c r="F623" s="92" t="s">
        <v>28</v>
      </c>
      <c r="G623" s="32">
        <v>42811</v>
      </c>
      <c r="H623" s="27">
        <f t="shared" si="68"/>
        <v>20895</v>
      </c>
      <c r="I623" s="27"/>
      <c r="J623" s="27"/>
      <c r="K623" s="99"/>
      <c r="L623" s="27">
        <v>17465</v>
      </c>
      <c r="M623" s="29">
        <f t="shared" si="69"/>
        <v>3430</v>
      </c>
      <c r="N623" s="29"/>
      <c r="O623" s="44">
        <f t="shared" si="70"/>
        <v>0.16415410385259632</v>
      </c>
    </row>
    <row r="624" spans="1:15" ht="20.100000000000001" customHeight="1" x14ac:dyDescent="0.25">
      <c r="A624" s="89">
        <v>167</v>
      </c>
      <c r="B624" s="4">
        <v>42810</v>
      </c>
      <c r="C624" s="26" t="s">
        <v>85</v>
      </c>
      <c r="D624" s="3">
        <v>7718.16</v>
      </c>
      <c r="E624" s="92">
        <v>42811</v>
      </c>
      <c r="F624" s="92" t="s">
        <v>28</v>
      </c>
      <c r="G624" s="32">
        <v>42829</v>
      </c>
      <c r="H624" s="27">
        <f t="shared" si="68"/>
        <v>7718.16</v>
      </c>
      <c r="I624" s="27"/>
      <c r="J624" s="27"/>
      <c r="K624" s="99"/>
      <c r="L624" s="27">
        <v>6275</v>
      </c>
      <c r="M624" s="29">
        <f t="shared" si="69"/>
        <v>1443.1599999999999</v>
      </c>
      <c r="N624" s="29"/>
      <c r="O624" s="44">
        <f t="shared" si="70"/>
        <v>0.18698238958508243</v>
      </c>
    </row>
    <row r="625" spans="1:15" ht="20.100000000000001" customHeight="1" x14ac:dyDescent="0.25">
      <c r="A625" s="89">
        <v>112</v>
      </c>
      <c r="B625" s="4">
        <v>42793</v>
      </c>
      <c r="C625" s="26" t="s">
        <v>11</v>
      </c>
      <c r="D625" s="3">
        <v>18242.62</v>
      </c>
      <c r="E625" s="92">
        <v>42811</v>
      </c>
      <c r="F625" s="92" t="s">
        <v>28</v>
      </c>
      <c r="G625" s="32">
        <v>42831</v>
      </c>
      <c r="H625" s="27">
        <f t="shared" si="68"/>
        <v>18242.62</v>
      </c>
      <c r="I625" s="27"/>
      <c r="J625" s="27"/>
      <c r="K625" s="99">
        <v>600</v>
      </c>
      <c r="L625" s="27">
        <v>12813</v>
      </c>
      <c r="M625" s="29">
        <f t="shared" si="69"/>
        <v>4829.619999999999</v>
      </c>
      <c r="N625" s="29"/>
      <c r="O625" s="44">
        <f t="shared" si="70"/>
        <v>0.26474377035754726</v>
      </c>
    </row>
    <row r="626" spans="1:15" ht="20.100000000000001" customHeight="1" x14ac:dyDescent="0.25">
      <c r="A626" s="89">
        <v>149</v>
      </c>
      <c r="B626" s="4">
        <v>42807</v>
      </c>
      <c r="C626" s="26" t="s">
        <v>216</v>
      </c>
      <c r="D626" s="3">
        <v>1190</v>
      </c>
      <c r="E626" s="92">
        <v>42811</v>
      </c>
      <c r="F626" s="92" t="s">
        <v>28</v>
      </c>
      <c r="G626" s="32">
        <v>42817</v>
      </c>
      <c r="H626" s="27">
        <f t="shared" si="68"/>
        <v>1190</v>
      </c>
      <c r="I626" s="27"/>
      <c r="J626" s="27"/>
      <c r="K626" s="99"/>
      <c r="L626" s="27">
        <v>930</v>
      </c>
      <c r="M626" s="29">
        <f t="shared" si="69"/>
        <v>260</v>
      </c>
      <c r="N626" s="29"/>
      <c r="O626" s="44">
        <f t="shared" si="70"/>
        <v>0.21848739495798319</v>
      </c>
    </row>
    <row r="627" spans="1:15" ht="20.100000000000001" customHeight="1" x14ac:dyDescent="0.25">
      <c r="A627" s="89">
        <v>114</v>
      </c>
      <c r="B627" s="4">
        <v>42794</v>
      </c>
      <c r="C627" s="26" t="s">
        <v>216</v>
      </c>
      <c r="D627" s="3">
        <v>4190.75</v>
      </c>
      <c r="E627" s="92">
        <v>42811</v>
      </c>
      <c r="F627" s="92" t="s">
        <v>28</v>
      </c>
      <c r="G627" s="32">
        <v>42843</v>
      </c>
      <c r="H627" s="27">
        <f t="shared" si="68"/>
        <v>4190.75</v>
      </c>
      <c r="I627" s="27"/>
      <c r="J627" s="27"/>
      <c r="K627" s="99"/>
      <c r="L627" s="27">
        <v>3624</v>
      </c>
      <c r="M627" s="29">
        <f t="shared" si="69"/>
        <v>566.75</v>
      </c>
      <c r="N627" s="29"/>
      <c r="O627" s="44">
        <f t="shared" si="70"/>
        <v>0.13523832249597328</v>
      </c>
    </row>
    <row r="628" spans="1:15" ht="20.100000000000001" customHeight="1" x14ac:dyDescent="0.25">
      <c r="A628" s="89">
        <v>150</v>
      </c>
      <c r="B628" s="4">
        <v>42808</v>
      </c>
      <c r="C628" s="26" t="s">
        <v>89</v>
      </c>
      <c r="D628" s="3">
        <v>4000</v>
      </c>
      <c r="E628" s="92">
        <v>42811</v>
      </c>
      <c r="F628" s="92" t="s">
        <v>28</v>
      </c>
      <c r="G628" s="32">
        <v>42814</v>
      </c>
      <c r="H628" s="27">
        <f t="shared" si="68"/>
        <v>4000</v>
      </c>
      <c r="I628" s="27"/>
      <c r="J628" s="27"/>
      <c r="K628" s="99">
        <v>600</v>
      </c>
      <c r="L628" s="27">
        <v>1786</v>
      </c>
      <c r="M628" s="29">
        <f t="shared" si="69"/>
        <v>1614</v>
      </c>
      <c r="N628" s="29"/>
      <c r="O628" s="44">
        <f t="shared" si="70"/>
        <v>0.40350000000000003</v>
      </c>
    </row>
    <row r="629" spans="1:15" ht="20.100000000000001" customHeight="1" x14ac:dyDescent="0.25">
      <c r="A629" s="89">
        <v>135</v>
      </c>
      <c r="B629" s="4">
        <v>42800</v>
      </c>
      <c r="C629" s="5" t="s">
        <v>229</v>
      </c>
      <c r="D629" s="3">
        <v>104590</v>
      </c>
      <c r="E629" s="92">
        <v>42815</v>
      </c>
      <c r="F629" s="92" t="s">
        <v>28</v>
      </c>
      <c r="G629" s="32">
        <v>42816</v>
      </c>
      <c r="H629" s="27">
        <f t="shared" si="68"/>
        <v>104590</v>
      </c>
      <c r="I629" s="27">
        <f>H629</f>
        <v>104590</v>
      </c>
      <c r="J629" s="27"/>
      <c r="K629" s="99"/>
      <c r="L629" s="27">
        <v>79070</v>
      </c>
      <c r="M629" s="29">
        <f t="shared" si="69"/>
        <v>25520</v>
      </c>
      <c r="N629" s="29">
        <f>M629</f>
        <v>25520</v>
      </c>
      <c r="O629" s="44">
        <f t="shared" si="70"/>
        <v>0.24400038244574052</v>
      </c>
    </row>
    <row r="630" spans="1:15" ht="20.100000000000001" customHeight="1" x14ac:dyDescent="0.25">
      <c r="A630" s="89">
        <v>170</v>
      </c>
      <c r="B630" s="4">
        <v>42811</v>
      </c>
      <c r="C630" s="26" t="s">
        <v>49</v>
      </c>
      <c r="D630" s="3">
        <v>4468.54</v>
      </c>
      <c r="E630" s="92">
        <v>42815</v>
      </c>
      <c r="F630" s="92" t="s">
        <v>28</v>
      </c>
      <c r="G630" s="32">
        <v>42818</v>
      </c>
      <c r="H630" s="27">
        <f t="shared" si="68"/>
        <v>4468.54</v>
      </c>
      <c r="I630" s="27"/>
      <c r="J630" s="27"/>
      <c r="K630" s="99"/>
      <c r="L630" s="27">
        <v>3485</v>
      </c>
      <c r="M630" s="29">
        <f t="shared" si="69"/>
        <v>983.54</v>
      </c>
      <c r="N630" s="29"/>
      <c r="O630" s="44">
        <f t="shared" si="70"/>
        <v>0.22010321044457473</v>
      </c>
    </row>
    <row r="631" spans="1:15" ht="20.100000000000001" customHeight="1" x14ac:dyDescent="0.25">
      <c r="A631" s="89">
        <v>93</v>
      </c>
      <c r="B631" s="4">
        <v>42781</v>
      </c>
      <c r="C631" s="5" t="s">
        <v>228</v>
      </c>
      <c r="D631" s="3">
        <v>230621</v>
      </c>
      <c r="E631" s="92">
        <v>42815</v>
      </c>
      <c r="F631" s="92" t="s">
        <v>28</v>
      </c>
      <c r="G631" s="32">
        <v>42835</v>
      </c>
      <c r="H631" s="27">
        <f>D631/2</f>
        <v>115310.5</v>
      </c>
      <c r="I631" s="27">
        <f>H631</f>
        <v>115310.5</v>
      </c>
      <c r="J631" s="27"/>
      <c r="K631" s="99"/>
      <c r="L631" s="27">
        <v>91534.5</v>
      </c>
      <c r="M631" s="29">
        <f t="shared" si="69"/>
        <v>23776</v>
      </c>
      <c r="N631" s="29">
        <f>M631</f>
        <v>23776</v>
      </c>
      <c r="O631" s="44">
        <f t="shared" si="70"/>
        <v>0.2061911100897143</v>
      </c>
    </row>
    <row r="632" spans="1:15" ht="20.100000000000001" customHeight="1" x14ac:dyDescent="0.25">
      <c r="A632" s="89">
        <v>164</v>
      </c>
      <c r="B632" s="4">
        <v>42810</v>
      </c>
      <c r="C632" s="26" t="s">
        <v>65</v>
      </c>
      <c r="D632" s="3">
        <v>30000</v>
      </c>
      <c r="E632" s="92">
        <v>42816</v>
      </c>
      <c r="F632" s="92" t="s">
        <v>28</v>
      </c>
      <c r="G632" s="32">
        <v>42816</v>
      </c>
      <c r="H632" s="27">
        <f>D632</f>
        <v>30000</v>
      </c>
      <c r="I632" s="27"/>
      <c r="J632" s="27"/>
      <c r="K632" s="99"/>
      <c r="L632" s="27">
        <v>26557</v>
      </c>
      <c r="M632" s="29">
        <f t="shared" si="69"/>
        <v>3443</v>
      </c>
      <c r="N632" s="29"/>
      <c r="O632" s="44">
        <f t="shared" si="70"/>
        <v>0.11476666666666667</v>
      </c>
    </row>
    <row r="633" spans="1:15" ht="20.100000000000001" customHeight="1" x14ac:dyDescent="0.25">
      <c r="A633" s="89">
        <v>53</v>
      </c>
      <c r="B633" s="4">
        <v>42767</v>
      </c>
      <c r="C633" s="26" t="s">
        <v>99</v>
      </c>
      <c r="D633" s="3">
        <v>118322.5</v>
      </c>
      <c r="E633" s="92">
        <v>42816</v>
      </c>
      <c r="F633" s="92" t="s">
        <v>28</v>
      </c>
      <c r="G633" s="32">
        <v>42772</v>
      </c>
      <c r="H633" s="27">
        <f>D633</f>
        <v>118322.5</v>
      </c>
      <c r="I633" s="27"/>
      <c r="J633" s="27">
        <v>30000</v>
      </c>
      <c r="K633" s="99"/>
      <c r="L633" s="27">
        <v>14980</v>
      </c>
      <c r="M633" s="29">
        <f t="shared" si="69"/>
        <v>73342.5</v>
      </c>
      <c r="N633" s="29"/>
      <c r="O633" s="44">
        <f t="shared" si="70"/>
        <v>0.61985252170973404</v>
      </c>
    </row>
    <row r="634" spans="1:15" ht="20.100000000000001" customHeight="1" x14ac:dyDescent="0.25">
      <c r="A634" s="89">
        <v>147</v>
      </c>
      <c r="B634" s="4">
        <v>42804</v>
      </c>
      <c r="C634" s="5" t="s">
        <v>230</v>
      </c>
      <c r="D634" s="3">
        <v>5770.92</v>
      </c>
      <c r="E634" s="92">
        <v>42816</v>
      </c>
      <c r="F634" s="92" t="s">
        <v>28</v>
      </c>
      <c r="G634" s="32">
        <v>42817</v>
      </c>
      <c r="H634" s="27">
        <f>D634</f>
        <v>5770.92</v>
      </c>
      <c r="I634" s="27">
        <f>H634</f>
        <v>5770.92</v>
      </c>
      <c r="J634" s="27"/>
      <c r="K634" s="99"/>
      <c r="L634" s="27">
        <v>4452</v>
      </c>
      <c r="M634" s="29">
        <f t="shared" si="69"/>
        <v>1318.92</v>
      </c>
      <c r="N634" s="29">
        <f>M634</f>
        <v>1318.92</v>
      </c>
      <c r="O634" s="44">
        <f t="shared" si="70"/>
        <v>0.22854588176581897</v>
      </c>
    </row>
    <row r="635" spans="1:15" ht="20.100000000000001" customHeight="1" x14ac:dyDescent="0.25">
      <c r="A635" s="89">
        <v>144</v>
      </c>
      <c r="B635" s="4">
        <v>42804</v>
      </c>
      <c r="C635" s="26" t="s">
        <v>13</v>
      </c>
      <c r="D635" s="3">
        <v>11941.15</v>
      </c>
      <c r="E635" s="92">
        <v>42816</v>
      </c>
      <c r="F635" s="92" t="s">
        <v>28</v>
      </c>
      <c r="G635" s="32">
        <v>42808</v>
      </c>
      <c r="H635" s="27">
        <f>D635</f>
        <v>11941.15</v>
      </c>
      <c r="I635" s="27"/>
      <c r="J635" s="27"/>
      <c r="K635" s="99"/>
      <c r="L635" s="27">
        <v>9030</v>
      </c>
      <c r="M635" s="29">
        <f t="shared" si="69"/>
        <v>2911.1499999999996</v>
      </c>
      <c r="N635" s="29"/>
      <c r="O635" s="44">
        <f t="shared" si="70"/>
        <v>0.24379142712385321</v>
      </c>
    </row>
    <row r="636" spans="1:15" ht="20.100000000000001" customHeight="1" x14ac:dyDescent="0.25">
      <c r="A636" s="89">
        <v>143</v>
      </c>
      <c r="B636" s="4">
        <v>42803</v>
      </c>
      <c r="C636" s="26" t="s">
        <v>180</v>
      </c>
      <c r="D636" s="3">
        <v>133579.66</v>
      </c>
      <c r="E636" s="92">
        <v>42816</v>
      </c>
      <c r="F636" s="92" t="s">
        <v>28</v>
      </c>
      <c r="G636" s="32">
        <v>42845</v>
      </c>
      <c r="H636" s="27">
        <f>D636/2</f>
        <v>66789.83</v>
      </c>
      <c r="I636" s="27"/>
      <c r="J636" s="27"/>
      <c r="K636" s="99">
        <v>1200</v>
      </c>
      <c r="L636" s="27">
        <v>42302.5</v>
      </c>
      <c r="M636" s="29">
        <f t="shared" si="69"/>
        <v>23287.33</v>
      </c>
      <c r="N636" s="29"/>
      <c r="O636" s="44">
        <f t="shared" si="70"/>
        <v>0.34866580735420349</v>
      </c>
    </row>
    <row r="637" spans="1:15" ht="20.100000000000001" customHeight="1" x14ac:dyDescent="0.25">
      <c r="A637" s="89">
        <v>185</v>
      </c>
      <c r="B637" s="4">
        <v>42816</v>
      </c>
      <c r="C637" s="26" t="s">
        <v>231</v>
      </c>
      <c r="D637" s="3">
        <v>8480</v>
      </c>
      <c r="E637" s="92">
        <v>42818</v>
      </c>
      <c r="F637" s="92" t="s">
        <v>28</v>
      </c>
      <c r="G637" s="32">
        <v>42821</v>
      </c>
      <c r="H637" s="27">
        <f t="shared" ref="H637:H647" si="71">D637</f>
        <v>8480</v>
      </c>
      <c r="I637" s="27"/>
      <c r="J637" s="27"/>
      <c r="K637" s="99">
        <f>600*2</f>
        <v>1200</v>
      </c>
      <c r="L637" s="27">
        <v>3946</v>
      </c>
      <c r="M637" s="29">
        <f t="shared" si="69"/>
        <v>3334</v>
      </c>
      <c r="N637" s="29"/>
      <c r="O637" s="44">
        <f t="shared" si="70"/>
        <v>0.39316037735849058</v>
      </c>
    </row>
    <row r="638" spans="1:15" ht="20.100000000000001" customHeight="1" x14ac:dyDescent="0.25">
      <c r="A638" s="89">
        <v>197</v>
      </c>
      <c r="B638" s="4">
        <v>42821</v>
      </c>
      <c r="C638" s="5" t="s">
        <v>232</v>
      </c>
      <c r="D638" s="3">
        <v>20100</v>
      </c>
      <c r="E638" s="92">
        <v>42822</v>
      </c>
      <c r="F638" s="92" t="s">
        <v>28</v>
      </c>
      <c r="G638" s="32">
        <v>42822</v>
      </c>
      <c r="H638" s="27">
        <f t="shared" si="71"/>
        <v>20100</v>
      </c>
      <c r="I638" s="27">
        <f>H638</f>
        <v>20100</v>
      </c>
      <c r="J638" s="27"/>
      <c r="K638" s="99"/>
      <c r="L638" s="27">
        <v>17154</v>
      </c>
      <c r="M638" s="29">
        <f t="shared" si="69"/>
        <v>2946</v>
      </c>
      <c r="N638" s="29">
        <f>M638</f>
        <v>2946</v>
      </c>
      <c r="O638" s="44">
        <f t="shared" si="70"/>
        <v>0.14656716417910448</v>
      </c>
    </row>
    <row r="639" spans="1:15" ht="20.100000000000001" customHeight="1" x14ac:dyDescent="0.25">
      <c r="A639" s="89">
        <v>181</v>
      </c>
      <c r="B639" s="4">
        <v>42815</v>
      </c>
      <c r="C639" s="26" t="s">
        <v>165</v>
      </c>
      <c r="D639" s="3">
        <v>1331.52</v>
      </c>
      <c r="E639" s="92">
        <v>42822</v>
      </c>
      <c r="F639" s="92" t="s">
        <v>28</v>
      </c>
      <c r="G639" s="32">
        <v>42853</v>
      </c>
      <c r="H639" s="27">
        <f t="shared" si="71"/>
        <v>1331.52</v>
      </c>
      <c r="I639" s="27"/>
      <c r="J639" s="27"/>
      <c r="K639" s="99"/>
      <c r="L639" s="27">
        <v>1038</v>
      </c>
      <c r="M639" s="29">
        <f t="shared" si="69"/>
        <v>293.52</v>
      </c>
      <c r="N639" s="29"/>
      <c r="O639" s="44">
        <f t="shared" si="70"/>
        <v>0.22043979812545061</v>
      </c>
    </row>
    <row r="640" spans="1:15" ht="20.100000000000001" customHeight="1" x14ac:dyDescent="0.25">
      <c r="A640" s="89">
        <v>202</v>
      </c>
      <c r="B640" s="4">
        <v>42823</v>
      </c>
      <c r="C640" s="5" t="s">
        <v>233</v>
      </c>
      <c r="D640" s="3">
        <v>31673</v>
      </c>
      <c r="E640" s="92">
        <v>42823</v>
      </c>
      <c r="F640" s="92" t="s">
        <v>28</v>
      </c>
      <c r="G640" s="32">
        <v>42823</v>
      </c>
      <c r="H640" s="27">
        <f t="shared" si="71"/>
        <v>31673</v>
      </c>
      <c r="I640" s="27">
        <f>H640</f>
        <v>31673</v>
      </c>
      <c r="J640" s="27"/>
      <c r="K640" s="99"/>
      <c r="L640" s="27">
        <v>24204</v>
      </c>
      <c r="M640" s="29">
        <f t="shared" si="69"/>
        <v>7469</v>
      </c>
      <c r="N640" s="29">
        <f>M640</f>
        <v>7469</v>
      </c>
      <c r="O640" s="44">
        <f t="shared" si="70"/>
        <v>0.23581599469579767</v>
      </c>
    </row>
    <row r="641" spans="1:15" ht="20.100000000000001" customHeight="1" x14ac:dyDescent="0.25">
      <c r="A641" s="89">
        <v>200</v>
      </c>
      <c r="B641" s="4">
        <v>42822</v>
      </c>
      <c r="C641" s="5" t="s">
        <v>234</v>
      </c>
      <c r="D641" s="3">
        <v>17890</v>
      </c>
      <c r="E641" s="92">
        <v>42823</v>
      </c>
      <c r="F641" s="92" t="s">
        <v>28</v>
      </c>
      <c r="G641" s="32">
        <v>42843</v>
      </c>
      <c r="H641" s="27">
        <f t="shared" si="71"/>
        <v>17890</v>
      </c>
      <c r="I641" s="27">
        <f>H641</f>
        <v>17890</v>
      </c>
      <c r="J641" s="27"/>
      <c r="K641" s="99"/>
      <c r="L641" s="27">
        <v>13525</v>
      </c>
      <c r="M641" s="29">
        <f t="shared" si="69"/>
        <v>4365</v>
      </c>
      <c r="N641" s="29">
        <f>M641</f>
        <v>4365</v>
      </c>
      <c r="O641" s="44">
        <f t="shared" si="70"/>
        <v>0.24399105645612074</v>
      </c>
    </row>
    <row r="642" spans="1:15" ht="20.100000000000001" customHeight="1" x14ac:dyDescent="0.25">
      <c r="A642" s="89">
        <v>184</v>
      </c>
      <c r="B642" s="4">
        <v>42816</v>
      </c>
      <c r="C642" s="26" t="s">
        <v>66</v>
      </c>
      <c r="D642" s="3">
        <v>102.03</v>
      </c>
      <c r="E642" s="92">
        <v>42823</v>
      </c>
      <c r="F642" s="92" t="s">
        <v>28</v>
      </c>
      <c r="G642" s="32">
        <v>42843</v>
      </c>
      <c r="H642" s="27">
        <f t="shared" si="71"/>
        <v>102.03</v>
      </c>
      <c r="I642" s="27"/>
      <c r="J642" s="27"/>
      <c r="K642" s="99"/>
      <c r="L642" s="27">
        <v>57</v>
      </c>
      <c r="M642" s="29">
        <f t="shared" si="69"/>
        <v>45.03</v>
      </c>
      <c r="N642" s="29"/>
      <c r="O642" s="44">
        <f t="shared" si="70"/>
        <v>0.44134078212290501</v>
      </c>
    </row>
    <row r="643" spans="1:15" ht="20.100000000000001" customHeight="1" x14ac:dyDescent="0.25">
      <c r="A643" s="89">
        <v>194</v>
      </c>
      <c r="B643" s="4">
        <v>42821</v>
      </c>
      <c r="C643" s="26" t="s">
        <v>66</v>
      </c>
      <c r="D643" s="3">
        <v>582</v>
      </c>
      <c r="E643" s="92">
        <v>42823</v>
      </c>
      <c r="F643" s="92" t="s">
        <v>28</v>
      </c>
      <c r="G643" s="32">
        <v>42821</v>
      </c>
      <c r="H643" s="27">
        <f t="shared" si="71"/>
        <v>582</v>
      </c>
      <c r="I643" s="27"/>
      <c r="J643" s="27"/>
      <c r="K643" s="99"/>
      <c r="L643" s="27">
        <v>382</v>
      </c>
      <c r="M643" s="29">
        <f t="shared" si="69"/>
        <v>200</v>
      </c>
      <c r="N643" s="29"/>
      <c r="O643" s="44">
        <f t="shared" si="70"/>
        <v>0.3436426116838488</v>
      </c>
    </row>
    <row r="644" spans="1:15" ht="20.100000000000001" customHeight="1" x14ac:dyDescent="0.25">
      <c r="A644" s="89">
        <v>148</v>
      </c>
      <c r="B644" s="4">
        <v>42804</v>
      </c>
      <c r="C644" s="26" t="s">
        <v>33</v>
      </c>
      <c r="D644" s="3">
        <v>4920.6000000000004</v>
      </c>
      <c r="E644" s="92">
        <v>42823</v>
      </c>
      <c r="F644" s="92" t="s">
        <v>28</v>
      </c>
      <c r="G644" s="32">
        <v>42825</v>
      </c>
      <c r="H644" s="27">
        <f t="shared" si="71"/>
        <v>4920.6000000000004</v>
      </c>
      <c r="I644" s="27"/>
      <c r="J644" s="27"/>
      <c r="K644" s="99"/>
      <c r="L644" s="27">
        <v>3463</v>
      </c>
      <c r="M644" s="29">
        <f t="shared" si="69"/>
        <v>1457.6000000000004</v>
      </c>
      <c r="N644" s="29"/>
      <c r="O644" s="44">
        <f t="shared" si="70"/>
        <v>0.29622403771897743</v>
      </c>
    </row>
    <row r="645" spans="1:15" ht="20.100000000000001" customHeight="1" x14ac:dyDescent="0.25">
      <c r="A645" s="89">
        <v>129</v>
      </c>
      <c r="B645" s="4">
        <v>42815</v>
      </c>
      <c r="C645" s="26" t="s">
        <v>94</v>
      </c>
      <c r="D645" s="3">
        <v>6736.9</v>
      </c>
      <c r="E645" s="92">
        <v>42823</v>
      </c>
      <c r="F645" s="92" t="s">
        <v>28</v>
      </c>
      <c r="G645" s="32">
        <v>42815</v>
      </c>
      <c r="H645" s="27">
        <f t="shared" si="71"/>
        <v>6736.9</v>
      </c>
      <c r="I645" s="27"/>
      <c r="J645" s="27"/>
      <c r="K645" s="99"/>
      <c r="L645" s="27">
        <v>4833</v>
      </c>
      <c r="M645" s="29">
        <f t="shared" si="69"/>
        <v>1903.8999999999996</v>
      </c>
      <c r="N645" s="29"/>
      <c r="O645" s="44">
        <f t="shared" si="70"/>
        <v>0.28260772758984098</v>
      </c>
    </row>
    <row r="646" spans="1:15" ht="20.100000000000001" customHeight="1" x14ac:dyDescent="0.25">
      <c r="A646" s="89">
        <v>201</v>
      </c>
      <c r="B646" s="4">
        <v>42822</v>
      </c>
      <c r="C646" s="26" t="s">
        <v>216</v>
      </c>
      <c r="D646" s="3">
        <v>16542.93</v>
      </c>
      <c r="E646" s="92">
        <v>42824</v>
      </c>
      <c r="F646" s="92" t="s">
        <v>28</v>
      </c>
      <c r="G646" s="32">
        <v>42843</v>
      </c>
      <c r="H646" s="27">
        <f t="shared" si="71"/>
        <v>16542.93</v>
      </c>
      <c r="I646" s="27"/>
      <c r="J646" s="27"/>
      <c r="K646" s="99"/>
      <c r="L646" s="27">
        <v>15067</v>
      </c>
      <c r="M646" s="29">
        <f t="shared" si="69"/>
        <v>1475.9300000000003</v>
      </c>
      <c r="N646" s="29"/>
      <c r="O646" s="44">
        <f t="shared" si="70"/>
        <v>8.9218173564175163E-2</v>
      </c>
    </row>
    <row r="647" spans="1:15" ht="20.100000000000001" customHeight="1" x14ac:dyDescent="0.25">
      <c r="A647" s="89">
        <v>198</v>
      </c>
      <c r="B647" s="4">
        <v>42822</v>
      </c>
      <c r="C647" s="26" t="s">
        <v>91</v>
      </c>
      <c r="D647" s="3">
        <v>2090</v>
      </c>
      <c r="E647" s="92">
        <v>42825</v>
      </c>
      <c r="F647" s="92" t="s">
        <v>28</v>
      </c>
      <c r="G647" s="32">
        <v>42828</v>
      </c>
      <c r="H647" s="27">
        <f t="shared" si="71"/>
        <v>2090</v>
      </c>
      <c r="I647" s="27"/>
      <c r="J647" s="27"/>
      <c r="K647" s="99"/>
      <c r="L647" s="27">
        <v>1702</v>
      </c>
      <c r="M647" s="29">
        <f t="shared" si="69"/>
        <v>388</v>
      </c>
      <c r="N647" s="29"/>
      <c r="O647" s="44">
        <f t="shared" si="70"/>
        <v>0.18564593301435406</v>
      </c>
    </row>
    <row r="648" spans="1:15" ht="19.5" customHeight="1" x14ac:dyDescent="0.25">
      <c r="A648" s="89"/>
      <c r="B648" s="4"/>
      <c r="C648" s="5"/>
      <c r="D648" s="3"/>
      <c r="E648" s="97">
        <v>64800</v>
      </c>
      <c r="F648" s="98">
        <f>M648*0.17+N648*0.06+8000</f>
        <v>65269.735800000009</v>
      </c>
      <c r="G648" s="21">
        <f>H648*0.05+I648*0.02</f>
        <v>61161.447400000012</v>
      </c>
      <c r="H648" s="16">
        <f t="shared" ref="H648:N648" si="72">SUM(H615:H647)</f>
        <v>1041219.1800000002</v>
      </c>
      <c r="I648" s="16">
        <f t="shared" si="72"/>
        <v>455024.42</v>
      </c>
      <c r="J648" s="16">
        <f t="shared" si="72"/>
        <v>30000</v>
      </c>
      <c r="K648" s="16">
        <f t="shared" si="72"/>
        <v>4800</v>
      </c>
      <c r="L648" s="16">
        <f t="shared" si="72"/>
        <v>702802</v>
      </c>
      <c r="M648" s="16">
        <f t="shared" si="72"/>
        <v>303617.18000000005</v>
      </c>
      <c r="N648" s="16">
        <f t="shared" si="72"/>
        <v>94246.92</v>
      </c>
      <c r="O648" s="44">
        <f t="shared" si="70"/>
        <v>0.29159775946501487</v>
      </c>
    </row>
    <row r="649" spans="1:15" ht="23.25" x14ac:dyDescent="0.35">
      <c r="C649" s="94" t="s">
        <v>638</v>
      </c>
    </row>
    <row r="650" spans="1:15" ht="20.100000000000001" customHeight="1" x14ac:dyDescent="0.25">
      <c r="A650" s="89">
        <v>204</v>
      </c>
      <c r="B650" s="4">
        <v>42823</v>
      </c>
      <c r="C650" s="26" t="s">
        <v>228</v>
      </c>
      <c r="D650" s="3">
        <v>4474.68</v>
      </c>
      <c r="E650" s="92">
        <v>42829</v>
      </c>
      <c r="F650" s="92" t="s">
        <v>28</v>
      </c>
      <c r="G650" s="32">
        <v>42835</v>
      </c>
      <c r="H650" s="27">
        <f>D650</f>
        <v>4474.68</v>
      </c>
      <c r="I650" s="27"/>
      <c r="J650" s="27"/>
      <c r="K650" s="99"/>
      <c r="L650" s="27">
        <v>3446</v>
      </c>
      <c r="M650" s="29">
        <f t="shared" ref="M650:M680" si="73">H650-L650-J650-K650</f>
        <v>1028.6800000000003</v>
      </c>
      <c r="N650" s="29"/>
      <c r="O650" s="44">
        <f t="shared" ref="O650:O681" si="74">M650/H650</f>
        <v>0.2298890646928943</v>
      </c>
    </row>
    <row r="651" spans="1:15" ht="20.100000000000001" customHeight="1" x14ac:dyDescent="0.25">
      <c r="A651" s="89">
        <v>217</v>
      </c>
      <c r="B651" s="4">
        <v>42828</v>
      </c>
      <c r="C651" s="26" t="s">
        <v>236</v>
      </c>
      <c r="D651" s="3">
        <v>10400</v>
      </c>
      <c r="E651" s="92">
        <v>42830</v>
      </c>
      <c r="F651" s="92" t="s">
        <v>28</v>
      </c>
      <c r="G651" s="32">
        <v>42836</v>
      </c>
      <c r="H651" s="27">
        <f>D651</f>
        <v>10400</v>
      </c>
      <c r="I651" s="27"/>
      <c r="J651" s="27"/>
      <c r="K651" s="99"/>
      <c r="L651" s="27">
        <v>5400</v>
      </c>
      <c r="M651" s="29">
        <f t="shared" si="73"/>
        <v>5000</v>
      </c>
      <c r="N651" s="29"/>
      <c r="O651" s="44">
        <f t="shared" si="74"/>
        <v>0.48076923076923078</v>
      </c>
    </row>
    <row r="652" spans="1:15" ht="20.100000000000001" customHeight="1" x14ac:dyDescent="0.25">
      <c r="A652" s="89">
        <v>230</v>
      </c>
      <c r="B652" s="4">
        <v>42831</v>
      </c>
      <c r="C652" s="26" t="s">
        <v>125</v>
      </c>
      <c r="D652" s="3">
        <v>20999</v>
      </c>
      <c r="E652" s="92">
        <v>42831</v>
      </c>
      <c r="F652" s="92" t="s">
        <v>28</v>
      </c>
      <c r="G652" s="32">
        <v>42832</v>
      </c>
      <c r="H652" s="27">
        <f>D652</f>
        <v>20999</v>
      </c>
      <c r="I652" s="27"/>
      <c r="J652" s="27"/>
      <c r="K652" s="99"/>
      <c r="L652" s="27">
        <v>17154</v>
      </c>
      <c r="M652" s="29">
        <f t="shared" si="73"/>
        <v>3845</v>
      </c>
      <c r="N652" s="29"/>
      <c r="O652" s="44">
        <f t="shared" si="74"/>
        <v>0.1831039573313015</v>
      </c>
    </row>
    <row r="653" spans="1:15" ht="20.100000000000001" customHeight="1" x14ac:dyDescent="0.25">
      <c r="A653" s="89">
        <v>126</v>
      </c>
      <c r="B653" s="4">
        <v>42831</v>
      </c>
      <c r="C653" s="5" t="s">
        <v>237</v>
      </c>
      <c r="D653" s="3">
        <v>68628.84</v>
      </c>
      <c r="E653" s="92">
        <v>42832</v>
      </c>
      <c r="F653" s="92" t="s">
        <v>28</v>
      </c>
      <c r="G653" s="32">
        <v>42837</v>
      </c>
      <c r="H653" s="27">
        <f>D653</f>
        <v>68628.84</v>
      </c>
      <c r="I653" s="27">
        <f>H653</f>
        <v>68628.84</v>
      </c>
      <c r="J653" s="27"/>
      <c r="K653" s="99">
        <v>600</v>
      </c>
      <c r="L653" s="27">
        <v>57636.25</v>
      </c>
      <c r="M653" s="29">
        <f t="shared" si="73"/>
        <v>10392.589999999997</v>
      </c>
      <c r="N653" s="29">
        <f>M653</f>
        <v>10392.589999999997</v>
      </c>
      <c r="O653" s="44">
        <f t="shared" si="74"/>
        <v>0.15143181787714899</v>
      </c>
    </row>
    <row r="654" spans="1:15" ht="20.100000000000001" customHeight="1" x14ac:dyDescent="0.25">
      <c r="A654" s="89">
        <v>206</v>
      </c>
      <c r="B654" s="4">
        <v>42824</v>
      </c>
      <c r="C654" s="26" t="s">
        <v>97</v>
      </c>
      <c r="D654" s="3">
        <v>2345.4899999999998</v>
      </c>
      <c r="E654" s="92">
        <v>42831</v>
      </c>
      <c r="F654" s="92" t="s">
        <v>28</v>
      </c>
      <c r="G654" s="32">
        <v>42843</v>
      </c>
      <c r="H654" s="27">
        <f>D654</f>
        <v>2345.4899999999998</v>
      </c>
      <c r="I654" s="27"/>
      <c r="J654" s="27"/>
      <c r="K654" s="99"/>
      <c r="L654" s="27">
        <v>1548</v>
      </c>
      <c r="M654" s="29">
        <f t="shared" si="73"/>
        <v>797.48999999999978</v>
      </c>
      <c r="N654" s="29"/>
      <c r="O654" s="44">
        <f t="shared" si="74"/>
        <v>0.34000997659337701</v>
      </c>
    </row>
    <row r="655" spans="1:15" ht="20.100000000000001" customHeight="1" x14ac:dyDescent="0.25">
      <c r="A655" s="89">
        <v>93</v>
      </c>
      <c r="B655" s="4">
        <v>42781</v>
      </c>
      <c r="C655" s="5" t="s">
        <v>228</v>
      </c>
      <c r="D655" s="3">
        <v>230621</v>
      </c>
      <c r="E655" s="92">
        <v>42832</v>
      </c>
      <c r="F655" s="92" t="s">
        <v>28</v>
      </c>
      <c r="G655" s="32">
        <v>42835</v>
      </c>
      <c r="H655" s="27">
        <f>D655/2</f>
        <v>115310.5</v>
      </c>
      <c r="I655" s="27">
        <f>H655</f>
        <v>115310.5</v>
      </c>
      <c r="J655" s="27"/>
      <c r="K655" s="99"/>
      <c r="L655" s="27">
        <v>91534.5</v>
      </c>
      <c r="M655" s="29">
        <f t="shared" si="73"/>
        <v>23776</v>
      </c>
      <c r="N655" s="29">
        <f>M655</f>
        <v>23776</v>
      </c>
      <c r="O655" s="44">
        <f t="shared" si="74"/>
        <v>0.2061911100897143</v>
      </c>
    </row>
    <row r="656" spans="1:15" ht="20.100000000000001" customHeight="1" x14ac:dyDescent="0.25">
      <c r="A656" s="89">
        <v>234</v>
      </c>
      <c r="B656" s="4">
        <v>42832</v>
      </c>
      <c r="C656" s="26" t="s">
        <v>175</v>
      </c>
      <c r="D656" s="3">
        <v>9480</v>
      </c>
      <c r="E656" s="92">
        <v>42835</v>
      </c>
      <c r="F656" s="92" t="s">
        <v>28</v>
      </c>
      <c r="G656" s="32">
        <v>42837</v>
      </c>
      <c r="H656" s="27">
        <f t="shared" ref="H656:H680" si="75">D656</f>
        <v>9480</v>
      </c>
      <c r="I656" s="27"/>
      <c r="J656" s="27"/>
      <c r="K656" s="99"/>
      <c r="L656" s="27">
        <v>6256</v>
      </c>
      <c r="M656" s="29">
        <f t="shared" si="73"/>
        <v>3224</v>
      </c>
      <c r="N656" s="29"/>
      <c r="O656" s="44">
        <f t="shared" si="74"/>
        <v>0.34008438818565401</v>
      </c>
    </row>
    <row r="657" spans="1:15" ht="20.100000000000001" customHeight="1" x14ac:dyDescent="0.25">
      <c r="A657" s="89">
        <v>233</v>
      </c>
      <c r="B657" s="4">
        <v>42832</v>
      </c>
      <c r="C657" s="5" t="s">
        <v>238</v>
      </c>
      <c r="D657" s="3">
        <v>6490</v>
      </c>
      <c r="E657" s="92">
        <v>42835</v>
      </c>
      <c r="F657" s="92" t="s">
        <v>28</v>
      </c>
      <c r="G657" s="32">
        <v>42838</v>
      </c>
      <c r="H657" s="27">
        <f t="shared" si="75"/>
        <v>6490</v>
      </c>
      <c r="I657" s="27">
        <f>H657</f>
        <v>6490</v>
      </c>
      <c r="J657" s="27"/>
      <c r="K657" s="99"/>
      <c r="L657" s="27">
        <v>4612</v>
      </c>
      <c r="M657" s="29">
        <f t="shared" si="73"/>
        <v>1878</v>
      </c>
      <c r="N657" s="29">
        <f>M657</f>
        <v>1878</v>
      </c>
      <c r="O657" s="44">
        <f t="shared" si="74"/>
        <v>0.28936825885978429</v>
      </c>
    </row>
    <row r="658" spans="1:15" ht="20.100000000000001" customHeight="1" x14ac:dyDescent="0.25">
      <c r="A658" s="89">
        <v>240</v>
      </c>
      <c r="B658" s="4">
        <v>42836</v>
      </c>
      <c r="C658" s="5" t="s">
        <v>239</v>
      </c>
      <c r="D658" s="3">
        <v>15990</v>
      </c>
      <c r="E658" s="92">
        <v>42836</v>
      </c>
      <c r="F658" s="92" t="s">
        <v>28</v>
      </c>
      <c r="G658" s="32">
        <v>42838</v>
      </c>
      <c r="H658" s="27">
        <f t="shared" si="75"/>
        <v>15990</v>
      </c>
      <c r="I658" s="27">
        <f>H658</f>
        <v>15990</v>
      </c>
      <c r="J658" s="27"/>
      <c r="K658" s="99"/>
      <c r="L658" s="27">
        <v>12088</v>
      </c>
      <c r="M658" s="29">
        <f t="shared" si="73"/>
        <v>3902</v>
      </c>
      <c r="N658" s="29">
        <f>M658</f>
        <v>3902</v>
      </c>
      <c r="O658" s="44">
        <f t="shared" si="74"/>
        <v>0.24402751719824892</v>
      </c>
    </row>
    <row r="659" spans="1:15" ht="20.100000000000001" customHeight="1" x14ac:dyDescent="0.25">
      <c r="A659" s="89">
        <v>241</v>
      </c>
      <c r="B659" s="4">
        <v>42836</v>
      </c>
      <c r="C659" s="26" t="s">
        <v>209</v>
      </c>
      <c r="D659" s="3">
        <v>2312.85</v>
      </c>
      <c r="E659" s="92">
        <v>42836</v>
      </c>
      <c r="F659" s="92" t="s">
        <v>28</v>
      </c>
      <c r="G659" s="32">
        <v>42836</v>
      </c>
      <c r="H659" s="27">
        <f t="shared" si="75"/>
        <v>2312.85</v>
      </c>
      <c r="I659" s="27"/>
      <c r="J659" s="27"/>
      <c r="K659" s="99"/>
      <c r="L659" s="27">
        <v>1935</v>
      </c>
      <c r="M659" s="29">
        <f t="shared" si="73"/>
        <v>377.84999999999991</v>
      </c>
      <c r="N659" s="29"/>
      <c r="O659" s="44">
        <f t="shared" si="74"/>
        <v>0.16336986834425057</v>
      </c>
    </row>
    <row r="660" spans="1:15" ht="20.100000000000001" customHeight="1" x14ac:dyDescent="0.25">
      <c r="A660" s="89">
        <v>235</v>
      </c>
      <c r="B660" s="4">
        <v>42832</v>
      </c>
      <c r="C660" s="26" t="s">
        <v>175</v>
      </c>
      <c r="D660" s="3">
        <v>28440</v>
      </c>
      <c r="E660" s="92">
        <v>42837</v>
      </c>
      <c r="F660" s="92" t="s">
        <v>28</v>
      </c>
      <c r="G660" s="32">
        <v>42865</v>
      </c>
      <c r="H660" s="27">
        <f t="shared" si="75"/>
        <v>28440</v>
      </c>
      <c r="I660" s="27"/>
      <c r="J660" s="27"/>
      <c r="K660" s="99"/>
      <c r="L660" s="27">
        <v>18768</v>
      </c>
      <c r="M660" s="29">
        <f t="shared" si="73"/>
        <v>9672</v>
      </c>
      <c r="N660" s="29"/>
      <c r="O660" s="44">
        <f t="shared" si="74"/>
        <v>0.34008438818565401</v>
      </c>
    </row>
    <row r="661" spans="1:15" ht="20.100000000000001" customHeight="1" x14ac:dyDescent="0.25">
      <c r="A661" s="89">
        <v>243</v>
      </c>
      <c r="B661" s="4">
        <v>42836</v>
      </c>
      <c r="C661" s="26" t="s">
        <v>185</v>
      </c>
      <c r="D661" s="3">
        <v>5444</v>
      </c>
      <c r="E661" s="92">
        <v>42837</v>
      </c>
      <c r="F661" s="92" t="s">
        <v>28</v>
      </c>
      <c r="G661" s="32">
        <v>42843</v>
      </c>
      <c r="H661" s="27">
        <f t="shared" si="75"/>
        <v>5444</v>
      </c>
      <c r="I661" s="27"/>
      <c r="J661" s="27"/>
      <c r="K661" s="99"/>
      <c r="L661" s="27">
        <v>4129</v>
      </c>
      <c r="M661" s="29">
        <f t="shared" si="73"/>
        <v>1315</v>
      </c>
      <c r="N661" s="29"/>
      <c r="O661" s="44">
        <f t="shared" si="74"/>
        <v>0.24155033063923587</v>
      </c>
    </row>
    <row r="662" spans="1:15" ht="20.100000000000001" customHeight="1" x14ac:dyDescent="0.25">
      <c r="A662" s="89">
        <v>248</v>
      </c>
      <c r="B662" s="4">
        <v>42837</v>
      </c>
      <c r="C662" s="26" t="s">
        <v>175</v>
      </c>
      <c r="D662" s="3">
        <v>5358</v>
      </c>
      <c r="E662" s="4">
        <v>42838</v>
      </c>
      <c r="F662" s="92" t="s">
        <v>28</v>
      </c>
      <c r="G662" s="32">
        <v>42838</v>
      </c>
      <c r="H662" s="27">
        <f t="shared" si="75"/>
        <v>5358</v>
      </c>
      <c r="I662" s="27"/>
      <c r="J662" s="27"/>
      <c r="K662" s="99"/>
      <c r="L662" s="27">
        <v>3960</v>
      </c>
      <c r="M662" s="29">
        <f t="shared" si="73"/>
        <v>1398</v>
      </c>
      <c r="N662" s="29"/>
      <c r="O662" s="44">
        <f t="shared" si="74"/>
        <v>0.26091825307950728</v>
      </c>
    </row>
    <row r="663" spans="1:15" ht="20.100000000000001" customHeight="1" x14ac:dyDescent="0.25">
      <c r="A663" s="89">
        <v>154</v>
      </c>
      <c r="B663" s="4">
        <v>42808</v>
      </c>
      <c r="C663" s="26" t="s">
        <v>60</v>
      </c>
      <c r="D663" s="3">
        <v>19194.18</v>
      </c>
      <c r="E663" s="4">
        <v>42838</v>
      </c>
      <c r="F663" s="92" t="s">
        <v>28</v>
      </c>
      <c r="G663" s="32">
        <v>42830</v>
      </c>
      <c r="H663" s="27">
        <f t="shared" si="75"/>
        <v>19194.18</v>
      </c>
      <c r="I663" s="27"/>
      <c r="J663" s="27"/>
      <c r="K663" s="99"/>
      <c r="L663" s="27">
        <v>15047</v>
      </c>
      <c r="M663" s="29">
        <f t="shared" si="73"/>
        <v>4147.18</v>
      </c>
      <c r="N663" s="29"/>
      <c r="O663" s="44">
        <f t="shared" si="74"/>
        <v>0.21606445287060974</v>
      </c>
    </row>
    <row r="664" spans="1:15" ht="20.100000000000001" customHeight="1" x14ac:dyDescent="0.25">
      <c r="A664" s="89">
        <v>122</v>
      </c>
      <c r="B664" s="4">
        <v>42795</v>
      </c>
      <c r="C664" s="26" t="s">
        <v>175</v>
      </c>
      <c r="D664" s="3">
        <v>19112</v>
      </c>
      <c r="E664" s="4">
        <v>42839</v>
      </c>
      <c r="F664" s="92" t="s">
        <v>28</v>
      </c>
      <c r="G664" s="32">
        <v>42839</v>
      </c>
      <c r="H664" s="27">
        <f t="shared" si="75"/>
        <v>19112</v>
      </c>
      <c r="I664" s="27"/>
      <c r="J664" s="27"/>
      <c r="K664" s="99"/>
      <c r="L664" s="27">
        <v>13752</v>
      </c>
      <c r="M664" s="29">
        <f t="shared" si="73"/>
        <v>5360</v>
      </c>
      <c r="N664" s="29"/>
      <c r="O664" s="44">
        <f t="shared" si="74"/>
        <v>0.28045207199665134</v>
      </c>
    </row>
    <row r="665" spans="1:15" ht="20.100000000000001" customHeight="1" x14ac:dyDescent="0.25">
      <c r="A665" s="89">
        <v>212</v>
      </c>
      <c r="B665" s="4">
        <v>42825</v>
      </c>
      <c r="C665" s="26" t="s">
        <v>60</v>
      </c>
      <c r="D665" s="3">
        <v>22631.64</v>
      </c>
      <c r="E665" s="4">
        <v>42839</v>
      </c>
      <c r="F665" s="92" t="s">
        <v>28</v>
      </c>
      <c r="G665" s="32">
        <v>42830</v>
      </c>
      <c r="H665" s="27">
        <f t="shared" si="75"/>
        <v>22631.64</v>
      </c>
      <c r="I665" s="27"/>
      <c r="J665" s="27"/>
      <c r="K665" s="99"/>
      <c r="L665" s="27">
        <v>17604</v>
      </c>
      <c r="M665" s="29">
        <f t="shared" si="73"/>
        <v>5027.6399999999994</v>
      </c>
      <c r="N665" s="29"/>
      <c r="O665" s="44">
        <f t="shared" si="74"/>
        <v>0.22215093559282489</v>
      </c>
    </row>
    <row r="666" spans="1:15" ht="20.100000000000001" customHeight="1" x14ac:dyDescent="0.25">
      <c r="A666" s="89">
        <v>142</v>
      </c>
      <c r="B666" s="4">
        <v>42818</v>
      </c>
      <c r="C666" s="26" t="s">
        <v>56</v>
      </c>
      <c r="D666" s="3">
        <v>34418.81</v>
      </c>
      <c r="E666" s="4">
        <v>42839</v>
      </c>
      <c r="F666" s="92" t="s">
        <v>28</v>
      </c>
      <c r="G666" s="32">
        <v>42823</v>
      </c>
      <c r="H666" s="27">
        <f t="shared" si="75"/>
        <v>34418.81</v>
      </c>
      <c r="I666" s="27"/>
      <c r="J666" s="27"/>
      <c r="K666" s="99">
        <f>5*600</f>
        <v>3000</v>
      </c>
      <c r="L666" s="27">
        <v>18282</v>
      </c>
      <c r="M666" s="29">
        <f t="shared" si="73"/>
        <v>13136.809999999998</v>
      </c>
      <c r="N666" s="29"/>
      <c r="O666" s="44">
        <f t="shared" si="74"/>
        <v>0.38167531068040988</v>
      </c>
    </row>
    <row r="667" spans="1:15" ht="20.100000000000001" customHeight="1" x14ac:dyDescent="0.25">
      <c r="A667" s="89">
        <v>275</v>
      </c>
      <c r="B667" s="4">
        <v>42843</v>
      </c>
      <c r="C667" s="5" t="s">
        <v>240</v>
      </c>
      <c r="D667" s="3">
        <v>22236</v>
      </c>
      <c r="E667" s="4">
        <v>42844</v>
      </c>
      <c r="F667" s="92" t="s">
        <v>28</v>
      </c>
      <c r="G667" s="32">
        <v>42844</v>
      </c>
      <c r="H667" s="27">
        <f t="shared" si="75"/>
        <v>22236</v>
      </c>
      <c r="I667" s="27">
        <f>H667</f>
        <v>22236</v>
      </c>
      <c r="J667" s="27"/>
      <c r="K667" s="99"/>
      <c r="L667" s="27">
        <v>17296</v>
      </c>
      <c r="M667" s="29">
        <f t="shared" si="73"/>
        <v>4940</v>
      </c>
      <c r="N667" s="29">
        <f>M667</f>
        <v>4940</v>
      </c>
      <c r="O667" s="44">
        <f t="shared" si="74"/>
        <v>0.2221622593991725</v>
      </c>
    </row>
    <row r="668" spans="1:15" ht="20.100000000000001" customHeight="1" x14ac:dyDescent="0.25">
      <c r="A668" s="89">
        <v>278</v>
      </c>
      <c r="B668" s="4">
        <v>42843</v>
      </c>
      <c r="C668" s="26" t="s">
        <v>14</v>
      </c>
      <c r="D668" s="3">
        <v>4985</v>
      </c>
      <c r="E668" s="4">
        <v>42844</v>
      </c>
      <c r="F668" s="92" t="s">
        <v>28</v>
      </c>
      <c r="G668" s="32">
        <v>42846</v>
      </c>
      <c r="H668" s="27">
        <f t="shared" si="75"/>
        <v>4985</v>
      </c>
      <c r="I668" s="27"/>
      <c r="J668" s="27"/>
      <c r="K668" s="99"/>
      <c r="L668" s="27">
        <v>3402</v>
      </c>
      <c r="M668" s="29">
        <f t="shared" si="73"/>
        <v>1583</v>
      </c>
      <c r="N668" s="29"/>
      <c r="O668" s="44">
        <f t="shared" si="74"/>
        <v>0.31755265797392179</v>
      </c>
    </row>
    <row r="669" spans="1:15" ht="20.100000000000001" customHeight="1" x14ac:dyDescent="0.25">
      <c r="A669" s="89">
        <v>215</v>
      </c>
      <c r="B669" s="4">
        <v>42828</v>
      </c>
      <c r="C669" s="26" t="s">
        <v>180</v>
      </c>
      <c r="D669" s="3">
        <v>48997.09</v>
      </c>
      <c r="E669" s="92">
        <v>42845</v>
      </c>
      <c r="F669" s="92" t="s">
        <v>28</v>
      </c>
      <c r="G669" s="32">
        <v>42844</v>
      </c>
      <c r="H669" s="27">
        <f t="shared" si="75"/>
        <v>48997.09</v>
      </c>
      <c r="I669" s="27"/>
      <c r="J669" s="27"/>
      <c r="K669" s="99"/>
      <c r="L669" s="27">
        <v>33258</v>
      </c>
      <c r="M669" s="29">
        <f t="shared" si="73"/>
        <v>15739.089999999997</v>
      </c>
      <c r="N669" s="29"/>
      <c r="O669" s="44">
        <f t="shared" si="74"/>
        <v>0.32122499519869441</v>
      </c>
    </row>
    <row r="670" spans="1:15" ht="20.100000000000001" customHeight="1" x14ac:dyDescent="0.25">
      <c r="A670" s="89">
        <v>282</v>
      </c>
      <c r="B670" s="4">
        <v>42844</v>
      </c>
      <c r="C670" s="5" t="s">
        <v>241</v>
      </c>
      <c r="D670" s="3">
        <v>2161</v>
      </c>
      <c r="E670" s="92">
        <v>42845</v>
      </c>
      <c r="F670" s="92" t="s">
        <v>28</v>
      </c>
      <c r="G670" s="32">
        <v>42850</v>
      </c>
      <c r="H670" s="27">
        <f t="shared" si="75"/>
        <v>2161</v>
      </c>
      <c r="I670" s="27">
        <f>H670</f>
        <v>2161</v>
      </c>
      <c r="J670" s="27"/>
      <c r="K670" s="99"/>
      <c r="L670" s="27">
        <v>1633</v>
      </c>
      <c r="M670" s="29">
        <f t="shared" si="73"/>
        <v>528</v>
      </c>
      <c r="N670" s="29">
        <f>M670</f>
        <v>528</v>
      </c>
      <c r="O670" s="44">
        <f t="shared" si="74"/>
        <v>0.24433132808884775</v>
      </c>
    </row>
    <row r="671" spans="1:15" ht="20.100000000000001" customHeight="1" x14ac:dyDescent="0.25">
      <c r="A671" s="89">
        <v>273</v>
      </c>
      <c r="B671" s="4">
        <v>42844</v>
      </c>
      <c r="C671" s="5" t="s">
        <v>242</v>
      </c>
      <c r="D671" s="3">
        <v>18490</v>
      </c>
      <c r="E671" s="92">
        <v>42846</v>
      </c>
      <c r="F671" s="92" t="s">
        <v>28</v>
      </c>
      <c r="G671" s="32">
        <v>42846</v>
      </c>
      <c r="H671" s="27">
        <f t="shared" si="75"/>
        <v>18490</v>
      </c>
      <c r="I671" s="27">
        <f>H671</f>
        <v>18490</v>
      </c>
      <c r="J671" s="27"/>
      <c r="K671" s="99"/>
      <c r="L671" s="27">
        <v>13142</v>
      </c>
      <c r="M671" s="29">
        <f t="shared" si="73"/>
        <v>5348</v>
      </c>
      <c r="N671" s="29">
        <f>M671</f>
        <v>5348</v>
      </c>
      <c r="O671" s="44">
        <f t="shared" si="74"/>
        <v>0.28923742563547866</v>
      </c>
    </row>
    <row r="672" spans="1:15" ht="20.100000000000001" customHeight="1" x14ac:dyDescent="0.25">
      <c r="A672" s="89">
        <v>210</v>
      </c>
      <c r="B672" s="4">
        <v>42825</v>
      </c>
      <c r="C672" s="5" t="s">
        <v>235</v>
      </c>
      <c r="D672" s="3">
        <v>26389.17</v>
      </c>
      <c r="E672" s="92">
        <v>42849</v>
      </c>
      <c r="F672" s="92" t="s">
        <v>28</v>
      </c>
      <c r="G672" s="32">
        <v>42828</v>
      </c>
      <c r="H672" s="27">
        <f t="shared" si="75"/>
        <v>26389.17</v>
      </c>
      <c r="I672" s="27">
        <f>H672</f>
        <v>26389.17</v>
      </c>
      <c r="J672" s="27"/>
      <c r="K672" s="99"/>
      <c r="L672" s="27">
        <v>18133</v>
      </c>
      <c r="M672" s="29">
        <f t="shared" si="73"/>
        <v>8256.1699999999983</v>
      </c>
      <c r="N672" s="29">
        <f>M672</f>
        <v>8256.1699999999983</v>
      </c>
      <c r="O672" s="44">
        <f t="shared" si="74"/>
        <v>0.31286205666945943</v>
      </c>
    </row>
    <row r="673" spans="1:15" ht="20.100000000000001" customHeight="1" x14ac:dyDescent="0.25">
      <c r="A673" s="89">
        <v>295</v>
      </c>
      <c r="B673" s="4">
        <v>42846</v>
      </c>
      <c r="C673" s="26" t="s">
        <v>234</v>
      </c>
      <c r="D673" s="3">
        <v>2579.42</v>
      </c>
      <c r="E673" s="92">
        <v>42849</v>
      </c>
      <c r="F673" s="92" t="s">
        <v>28</v>
      </c>
      <c r="G673" s="32">
        <v>42866</v>
      </c>
      <c r="H673" s="27">
        <f t="shared" si="75"/>
        <v>2579.42</v>
      </c>
      <c r="I673" s="27"/>
      <c r="J673" s="27"/>
      <c r="K673" s="99"/>
      <c r="L673" s="27">
        <v>2054</v>
      </c>
      <c r="M673" s="29">
        <f t="shared" si="73"/>
        <v>525.42000000000007</v>
      </c>
      <c r="N673" s="29"/>
      <c r="O673" s="44">
        <f t="shared" si="74"/>
        <v>0.20369695512944772</v>
      </c>
    </row>
    <row r="674" spans="1:15" ht="20.100000000000001" customHeight="1" x14ac:dyDescent="0.25">
      <c r="A674" s="89">
        <v>284</v>
      </c>
      <c r="B674" s="4">
        <v>42845</v>
      </c>
      <c r="C674" s="26" t="s">
        <v>243</v>
      </c>
      <c r="D674" s="3">
        <v>44087.199999999997</v>
      </c>
      <c r="E674" s="92">
        <v>42849</v>
      </c>
      <c r="F674" s="92" t="s">
        <v>28</v>
      </c>
      <c r="G674" s="32">
        <v>42865</v>
      </c>
      <c r="H674" s="27">
        <f t="shared" si="75"/>
        <v>44087.199999999997</v>
      </c>
      <c r="I674" s="27"/>
      <c r="J674" s="27"/>
      <c r="K674" s="99"/>
      <c r="L674" s="27">
        <v>34380</v>
      </c>
      <c r="M674" s="29">
        <f t="shared" si="73"/>
        <v>9707.1999999999971</v>
      </c>
      <c r="N674" s="29"/>
      <c r="O674" s="44">
        <f t="shared" si="74"/>
        <v>0.22018182148106474</v>
      </c>
    </row>
    <row r="675" spans="1:15" ht="20.100000000000001" customHeight="1" x14ac:dyDescent="0.25">
      <c r="A675" s="89">
        <v>237</v>
      </c>
      <c r="B675" s="4">
        <v>42832</v>
      </c>
      <c r="C675" s="26" t="s">
        <v>167</v>
      </c>
      <c r="D675" s="3">
        <v>6513</v>
      </c>
      <c r="E675" s="92">
        <v>42851</v>
      </c>
      <c r="F675" s="92" t="s">
        <v>28</v>
      </c>
      <c r="G675" s="32">
        <v>42853</v>
      </c>
      <c r="H675" s="27">
        <f t="shared" si="75"/>
        <v>6513</v>
      </c>
      <c r="I675" s="27"/>
      <c r="J675" s="27"/>
      <c r="K675" s="99">
        <v>600</v>
      </c>
      <c r="L675" s="27">
        <v>3448</v>
      </c>
      <c r="M675" s="29">
        <f t="shared" si="73"/>
        <v>2465</v>
      </c>
      <c r="N675" s="29"/>
      <c r="O675" s="44">
        <f t="shared" si="74"/>
        <v>0.37847382158759402</v>
      </c>
    </row>
    <row r="676" spans="1:15" ht="20.100000000000001" customHeight="1" x14ac:dyDescent="0.25">
      <c r="A676" s="89">
        <v>279</v>
      </c>
      <c r="B676" s="4">
        <v>42844</v>
      </c>
      <c r="C676" s="26" t="s">
        <v>11</v>
      </c>
      <c r="D676" s="3">
        <v>9048.24</v>
      </c>
      <c r="E676" s="92">
        <v>42852</v>
      </c>
      <c r="F676" s="92" t="s">
        <v>28</v>
      </c>
      <c r="G676" s="32">
        <v>42867</v>
      </c>
      <c r="H676" s="27">
        <f t="shared" si="75"/>
        <v>9048.24</v>
      </c>
      <c r="I676" s="27"/>
      <c r="J676" s="27"/>
      <c r="K676" s="99"/>
      <c r="L676" s="27">
        <v>5762</v>
      </c>
      <c r="M676" s="29">
        <f t="shared" si="73"/>
        <v>3286.24</v>
      </c>
      <c r="N676" s="29"/>
      <c r="O676" s="44">
        <f t="shared" si="74"/>
        <v>0.36319107362315761</v>
      </c>
    </row>
    <row r="677" spans="1:15" ht="20.100000000000001" customHeight="1" x14ac:dyDescent="0.25">
      <c r="A677" s="89">
        <v>301</v>
      </c>
      <c r="B677" s="4">
        <v>42851</v>
      </c>
      <c r="C677" s="5" t="s">
        <v>244</v>
      </c>
      <c r="D677" s="3">
        <v>1760.27</v>
      </c>
      <c r="E677" s="92">
        <v>42852</v>
      </c>
      <c r="F677" s="92" t="s">
        <v>28</v>
      </c>
      <c r="G677" s="32">
        <v>42867</v>
      </c>
      <c r="H677" s="27">
        <f t="shared" si="75"/>
        <v>1760.27</v>
      </c>
      <c r="I677" s="27">
        <f>H677</f>
        <v>1760.27</v>
      </c>
      <c r="J677" s="27"/>
      <c r="K677" s="99"/>
      <c r="L677" s="27">
        <v>1698</v>
      </c>
      <c r="M677" s="29">
        <f t="shared" si="73"/>
        <v>62.269999999999982</v>
      </c>
      <c r="N677" s="29">
        <f>M677</f>
        <v>62.269999999999982</v>
      </c>
      <c r="O677" s="44">
        <f t="shared" si="74"/>
        <v>3.5375254932481941E-2</v>
      </c>
    </row>
    <row r="678" spans="1:15" ht="20.100000000000001" customHeight="1" x14ac:dyDescent="0.25">
      <c r="A678" s="89">
        <v>208</v>
      </c>
      <c r="B678" s="4">
        <v>42846</v>
      </c>
      <c r="C678" s="26" t="s">
        <v>65</v>
      </c>
      <c r="D678" s="3">
        <v>100945.52</v>
      </c>
      <c r="E678" s="92">
        <v>42852</v>
      </c>
      <c r="F678" s="92" t="s">
        <v>28</v>
      </c>
      <c r="G678" s="32">
        <v>42873</v>
      </c>
      <c r="H678" s="27">
        <f t="shared" si="75"/>
        <v>100945.52</v>
      </c>
      <c r="I678" s="27"/>
      <c r="J678" s="27"/>
      <c r="K678" s="99"/>
      <c r="L678" s="27">
        <v>85324</v>
      </c>
      <c r="M678" s="29">
        <f t="shared" si="73"/>
        <v>15621.520000000004</v>
      </c>
      <c r="N678" s="29"/>
      <c r="O678" s="44">
        <f t="shared" si="74"/>
        <v>0.1547519889936671</v>
      </c>
    </row>
    <row r="679" spans="1:15" ht="20.100000000000001" customHeight="1" x14ac:dyDescent="0.25">
      <c r="A679" s="89">
        <v>287</v>
      </c>
      <c r="B679" s="4">
        <v>42845</v>
      </c>
      <c r="C679" s="5" t="s">
        <v>245</v>
      </c>
      <c r="D679" s="3">
        <v>12512.85</v>
      </c>
      <c r="E679" s="92">
        <v>42853</v>
      </c>
      <c r="F679" s="92" t="s">
        <v>28</v>
      </c>
      <c r="G679" s="32">
        <v>42873</v>
      </c>
      <c r="H679" s="27">
        <f t="shared" si="75"/>
        <v>12512.85</v>
      </c>
      <c r="I679" s="27">
        <f>H679</f>
        <v>12512.85</v>
      </c>
      <c r="J679" s="27"/>
      <c r="K679" s="99"/>
      <c r="L679" s="27">
        <v>10585</v>
      </c>
      <c r="M679" s="29">
        <f t="shared" si="73"/>
        <v>1927.8500000000004</v>
      </c>
      <c r="N679" s="29">
        <f>M679</f>
        <v>1927.8500000000004</v>
      </c>
      <c r="O679" s="44">
        <f t="shared" si="74"/>
        <v>0.15406961643430556</v>
      </c>
    </row>
    <row r="680" spans="1:15" ht="20.100000000000001" customHeight="1" x14ac:dyDescent="0.25">
      <c r="A680" s="89">
        <v>239</v>
      </c>
      <c r="B680" s="4">
        <v>42835</v>
      </c>
      <c r="C680" s="26" t="s">
        <v>13</v>
      </c>
      <c r="D680" s="3">
        <v>11941.15</v>
      </c>
      <c r="E680" s="92">
        <v>42853</v>
      </c>
      <c r="F680" s="92" t="s">
        <v>28</v>
      </c>
      <c r="G680" s="32">
        <v>42836</v>
      </c>
      <c r="H680" s="27">
        <f t="shared" si="75"/>
        <v>11941.15</v>
      </c>
      <c r="I680" s="27"/>
      <c r="J680" s="27"/>
      <c r="K680" s="99"/>
      <c r="L680" s="27">
        <v>8595</v>
      </c>
      <c r="M680" s="29">
        <f t="shared" si="73"/>
        <v>3346.1499999999996</v>
      </c>
      <c r="N680" s="29"/>
      <c r="O680" s="44">
        <f t="shared" si="74"/>
        <v>0.2802200793055945</v>
      </c>
    </row>
    <row r="681" spans="1:15" ht="19.5" customHeight="1" x14ac:dyDescent="0.25">
      <c r="A681" s="89"/>
      <c r="B681" s="4"/>
      <c r="C681" s="5"/>
      <c r="D681" s="3"/>
      <c r="E681" s="97">
        <v>40150</v>
      </c>
      <c r="F681" s="98">
        <f>M681*0.17+N681*0.06+8000</f>
        <v>40155.058299999997</v>
      </c>
      <c r="G681" s="21">
        <f>H681*0.05+I681*0.02</f>
        <v>40983.167600000001</v>
      </c>
      <c r="H681" s="16">
        <f t="shared" ref="H681:N681" si="76">SUM(H650:H680)</f>
        <v>703675.89999999991</v>
      </c>
      <c r="I681" s="16">
        <f t="shared" si="76"/>
        <v>289968.63</v>
      </c>
      <c r="J681" s="16">
        <f t="shared" si="76"/>
        <v>0</v>
      </c>
      <c r="K681" s="16">
        <f t="shared" si="76"/>
        <v>4200</v>
      </c>
      <c r="L681" s="16">
        <f t="shared" si="76"/>
        <v>531861.75</v>
      </c>
      <c r="M681" s="16">
        <f t="shared" si="76"/>
        <v>167614.14999999997</v>
      </c>
      <c r="N681" s="16">
        <f t="shared" si="76"/>
        <v>61010.87999999999</v>
      </c>
      <c r="O681" s="44">
        <f t="shared" si="74"/>
        <v>0.23819794027335595</v>
      </c>
    </row>
    <row r="682" spans="1:15" ht="23.25" x14ac:dyDescent="0.35">
      <c r="C682" s="94" t="s">
        <v>639</v>
      </c>
    </row>
    <row r="683" spans="1:15" ht="20.100000000000001" customHeight="1" x14ac:dyDescent="0.25">
      <c r="A683" s="89">
        <v>304</v>
      </c>
      <c r="B683" s="4">
        <v>42853</v>
      </c>
      <c r="C683" s="5" t="s">
        <v>246</v>
      </c>
      <c r="D683" s="3">
        <v>72699</v>
      </c>
      <c r="E683" s="92">
        <v>42857</v>
      </c>
      <c r="F683" s="92" t="s">
        <v>28</v>
      </c>
      <c r="G683" s="32">
        <v>42860</v>
      </c>
      <c r="H683" s="27">
        <f>D683</f>
        <v>72699</v>
      </c>
      <c r="I683" s="27">
        <f>H683</f>
        <v>72699</v>
      </c>
      <c r="J683" s="27"/>
      <c r="K683" s="99"/>
      <c r="L683" s="27">
        <v>54960</v>
      </c>
      <c r="M683" s="29">
        <f t="shared" ref="M683:M723" si="77">H683-L683-J683-K683</f>
        <v>17739</v>
      </c>
      <c r="N683" s="29">
        <f>M683</f>
        <v>17739</v>
      </c>
      <c r="O683" s="44">
        <f t="shared" ref="O683:O724" si="78">M683/H683</f>
        <v>0.24400610737424175</v>
      </c>
    </row>
    <row r="684" spans="1:15" ht="20.100000000000001" customHeight="1" x14ac:dyDescent="0.25">
      <c r="A684" s="89">
        <v>261</v>
      </c>
      <c r="B684" s="4">
        <v>42849</v>
      </c>
      <c r="C684" s="5" t="s">
        <v>247</v>
      </c>
      <c r="D684" s="3">
        <v>18114.240000000002</v>
      </c>
      <c r="E684" s="92">
        <v>42858</v>
      </c>
      <c r="F684" s="92" t="s">
        <v>28</v>
      </c>
      <c r="G684" s="32">
        <v>42877</v>
      </c>
      <c r="H684" s="27">
        <f>D684</f>
        <v>18114.240000000002</v>
      </c>
      <c r="I684" s="27">
        <f>H684</f>
        <v>18114.240000000002</v>
      </c>
      <c r="J684" s="27"/>
      <c r="K684" s="99"/>
      <c r="L684" s="27">
        <v>14129</v>
      </c>
      <c r="M684" s="29">
        <f t="shared" si="77"/>
        <v>3985.2400000000016</v>
      </c>
      <c r="N684" s="29">
        <f>M684</f>
        <v>3985.2400000000016</v>
      </c>
      <c r="O684" s="44">
        <f t="shared" si="78"/>
        <v>0.22000591799600763</v>
      </c>
    </row>
    <row r="685" spans="1:15" ht="20.100000000000001" customHeight="1" x14ac:dyDescent="0.25">
      <c r="A685" s="89">
        <v>288</v>
      </c>
      <c r="B685" s="4">
        <v>42845</v>
      </c>
      <c r="C685" s="26" t="s">
        <v>175</v>
      </c>
      <c r="D685" s="3">
        <v>16125.42</v>
      </c>
      <c r="E685" s="92">
        <v>42860</v>
      </c>
      <c r="F685" s="92" t="s">
        <v>28</v>
      </c>
      <c r="G685" s="32">
        <v>42892</v>
      </c>
      <c r="H685" s="27">
        <f>D685</f>
        <v>16125.42</v>
      </c>
      <c r="I685" s="27"/>
      <c r="J685" s="27"/>
      <c r="K685" s="99"/>
      <c r="L685" s="27">
        <v>13208</v>
      </c>
      <c r="M685" s="29">
        <f t="shared" si="77"/>
        <v>2917.42</v>
      </c>
      <c r="N685" s="29"/>
      <c r="O685" s="44">
        <f t="shared" si="78"/>
        <v>0.18092055896838657</v>
      </c>
    </row>
    <row r="686" spans="1:15" ht="20.100000000000001" customHeight="1" x14ac:dyDescent="0.25">
      <c r="A686" s="89">
        <v>274</v>
      </c>
      <c r="B686" s="4">
        <v>42843</v>
      </c>
      <c r="C686" s="26" t="s">
        <v>228</v>
      </c>
      <c r="D686" s="3">
        <v>14800</v>
      </c>
      <c r="E686" s="92">
        <v>42865</v>
      </c>
      <c r="F686" s="92" t="s">
        <v>28</v>
      </c>
      <c r="G686" s="32">
        <v>42860</v>
      </c>
      <c r="H686" s="27">
        <f>D686</f>
        <v>14800</v>
      </c>
      <c r="I686" s="27"/>
      <c r="J686" s="27"/>
      <c r="K686" s="99">
        <v>600</v>
      </c>
      <c r="L686" s="27">
        <v>6175</v>
      </c>
      <c r="M686" s="29">
        <f t="shared" si="77"/>
        <v>8025</v>
      </c>
      <c r="N686" s="29"/>
      <c r="O686" s="44">
        <f t="shared" si="78"/>
        <v>0.54222972972972971</v>
      </c>
    </row>
    <row r="687" spans="1:15" ht="20.100000000000001" customHeight="1" x14ac:dyDescent="0.25">
      <c r="A687" s="89">
        <v>143</v>
      </c>
      <c r="B687" s="4">
        <v>42803</v>
      </c>
      <c r="C687" s="26" t="s">
        <v>180</v>
      </c>
      <c r="D687" s="3">
        <v>133579.66</v>
      </c>
      <c r="E687" s="92">
        <v>42866</v>
      </c>
      <c r="F687" s="92" t="s">
        <v>28</v>
      </c>
      <c r="G687" s="32">
        <v>42845</v>
      </c>
      <c r="H687" s="27">
        <f>D687/2</f>
        <v>66789.83</v>
      </c>
      <c r="I687" s="27"/>
      <c r="J687" s="27"/>
      <c r="K687" s="99">
        <v>1200</v>
      </c>
      <c r="L687" s="27">
        <v>42302.5</v>
      </c>
      <c r="M687" s="29">
        <f t="shared" si="77"/>
        <v>23287.33</v>
      </c>
      <c r="N687" s="29"/>
      <c r="O687" s="44">
        <f t="shared" si="78"/>
        <v>0.34866580735420349</v>
      </c>
    </row>
    <row r="688" spans="1:15" ht="20.100000000000001" customHeight="1" x14ac:dyDescent="0.25">
      <c r="A688" s="89">
        <v>312</v>
      </c>
      <c r="B688" s="4">
        <v>42858</v>
      </c>
      <c r="C688" s="26" t="s">
        <v>50</v>
      </c>
      <c r="D688" s="3">
        <v>4496.92</v>
      </c>
      <c r="E688" s="92">
        <v>42866</v>
      </c>
      <c r="F688" s="92" t="s">
        <v>28</v>
      </c>
      <c r="G688" s="32">
        <v>42873</v>
      </c>
      <c r="H688" s="27">
        <f t="shared" ref="H688:H723" si="79">D688</f>
        <v>4496.92</v>
      </c>
      <c r="I688" s="27"/>
      <c r="J688" s="27"/>
      <c r="K688" s="99"/>
      <c r="L688" s="27">
        <v>3463</v>
      </c>
      <c r="M688" s="29">
        <f t="shared" si="77"/>
        <v>1033.92</v>
      </c>
      <c r="N688" s="29"/>
      <c r="O688" s="44">
        <f t="shared" si="78"/>
        <v>0.22991736566360976</v>
      </c>
    </row>
    <row r="689" spans="1:15" ht="20.100000000000001" customHeight="1" x14ac:dyDescent="0.25">
      <c r="A689" s="89">
        <v>329</v>
      </c>
      <c r="B689" s="4">
        <v>42866</v>
      </c>
      <c r="C689" s="5" t="s">
        <v>249</v>
      </c>
      <c r="D689" s="3">
        <v>18790</v>
      </c>
      <c r="E689" s="92">
        <v>42867</v>
      </c>
      <c r="F689" s="92" t="s">
        <v>28</v>
      </c>
      <c r="G689" s="32">
        <v>42891</v>
      </c>
      <c r="H689" s="27">
        <f t="shared" si="79"/>
        <v>18790</v>
      </c>
      <c r="I689" s="27">
        <f>H689</f>
        <v>18790</v>
      </c>
      <c r="J689" s="27"/>
      <c r="K689" s="99"/>
      <c r="L689" s="27">
        <v>13811</v>
      </c>
      <c r="M689" s="29">
        <f t="shared" si="77"/>
        <v>4979</v>
      </c>
      <c r="N689" s="29">
        <f>M689</f>
        <v>4979</v>
      </c>
      <c r="O689" s="44">
        <f t="shared" si="78"/>
        <v>0.26498137307078234</v>
      </c>
    </row>
    <row r="690" spans="1:15" ht="20.100000000000001" customHeight="1" x14ac:dyDescent="0.25">
      <c r="A690" s="89">
        <v>333</v>
      </c>
      <c r="B690" s="4">
        <v>42867</v>
      </c>
      <c r="C690" s="26" t="s">
        <v>250</v>
      </c>
      <c r="D690" s="3">
        <v>4013.71</v>
      </c>
      <c r="E690" s="92">
        <v>42867</v>
      </c>
      <c r="F690" s="92" t="s">
        <v>28</v>
      </c>
      <c r="G690" s="32">
        <v>42874</v>
      </c>
      <c r="H690" s="27">
        <f t="shared" si="79"/>
        <v>4013.71</v>
      </c>
      <c r="I690" s="27"/>
      <c r="J690" s="27"/>
      <c r="K690" s="99"/>
      <c r="L690" s="27">
        <v>3139</v>
      </c>
      <c r="M690" s="29">
        <f t="shared" si="77"/>
        <v>874.71</v>
      </c>
      <c r="N690" s="29"/>
      <c r="O690" s="44">
        <f t="shared" si="78"/>
        <v>0.21793054306364934</v>
      </c>
    </row>
    <row r="691" spans="1:15" ht="20.100000000000001" customHeight="1" x14ac:dyDescent="0.25">
      <c r="A691" s="89">
        <v>337</v>
      </c>
      <c r="B691" s="4">
        <v>42867</v>
      </c>
      <c r="C691" s="26" t="s">
        <v>169</v>
      </c>
      <c r="D691" s="3">
        <v>83811.37</v>
      </c>
      <c r="E691" s="92">
        <v>42870</v>
      </c>
      <c r="F691" s="92" t="s">
        <v>28</v>
      </c>
      <c r="G691" s="32">
        <v>42895</v>
      </c>
      <c r="H691" s="27">
        <f t="shared" si="79"/>
        <v>83811.37</v>
      </c>
      <c r="I691" s="27"/>
      <c r="J691" s="27"/>
      <c r="K691" s="99">
        <v>600</v>
      </c>
      <c r="L691" s="27">
        <v>61417</v>
      </c>
      <c r="M691" s="29">
        <f t="shared" si="77"/>
        <v>21794.369999999995</v>
      </c>
      <c r="N691" s="29"/>
      <c r="O691" s="44">
        <f t="shared" si="78"/>
        <v>0.26004073194364913</v>
      </c>
    </row>
    <row r="692" spans="1:15" ht="20.100000000000001" customHeight="1" x14ac:dyDescent="0.25">
      <c r="A692" s="89">
        <v>193</v>
      </c>
      <c r="B692" s="4">
        <v>42821</v>
      </c>
      <c r="C692" s="26" t="s">
        <v>99</v>
      </c>
      <c r="D692" s="3">
        <v>163265.54999999999</v>
      </c>
      <c r="E692" s="92">
        <v>42871</v>
      </c>
      <c r="F692" s="92" t="s">
        <v>28</v>
      </c>
      <c r="G692" s="32">
        <v>42844</v>
      </c>
      <c r="H692" s="27">
        <f t="shared" si="79"/>
        <v>163265.54999999999</v>
      </c>
      <c r="I692" s="27"/>
      <c r="J692" s="27">
        <v>15000</v>
      </c>
      <c r="K692" s="2">
        <f>600*26</f>
        <v>15600</v>
      </c>
      <c r="L692" s="27">
        <v>80530</v>
      </c>
      <c r="M692" s="29">
        <f t="shared" si="77"/>
        <v>52135.549999999988</v>
      </c>
      <c r="N692" s="29"/>
      <c r="O692" s="44">
        <f t="shared" si="78"/>
        <v>0.31932976675116087</v>
      </c>
    </row>
    <row r="693" spans="1:15" ht="20.100000000000001" customHeight="1" x14ac:dyDescent="0.25">
      <c r="A693" s="89">
        <v>336</v>
      </c>
      <c r="B693" s="4">
        <v>42867</v>
      </c>
      <c r="C693" s="26" t="s">
        <v>228</v>
      </c>
      <c r="D693" s="3">
        <v>12000</v>
      </c>
      <c r="E693" s="92">
        <v>42871</v>
      </c>
      <c r="F693" s="92" t="s">
        <v>28</v>
      </c>
      <c r="G693" s="32">
        <v>42879</v>
      </c>
      <c r="H693" s="27">
        <f t="shared" si="79"/>
        <v>12000</v>
      </c>
      <c r="I693" s="27"/>
      <c r="J693" s="27"/>
      <c r="K693" s="99">
        <f>600*3</f>
        <v>1800</v>
      </c>
      <c r="L693" s="27">
        <v>4137</v>
      </c>
      <c r="M693" s="29">
        <f t="shared" si="77"/>
        <v>6063</v>
      </c>
      <c r="N693" s="29"/>
      <c r="O693" s="44">
        <f t="shared" si="78"/>
        <v>0.50524999999999998</v>
      </c>
    </row>
    <row r="694" spans="1:15" ht="20.100000000000001" customHeight="1" x14ac:dyDescent="0.25">
      <c r="A694" s="89">
        <v>199</v>
      </c>
      <c r="B694" s="4">
        <v>42867</v>
      </c>
      <c r="C694" s="5" t="s">
        <v>251</v>
      </c>
      <c r="D694" s="3">
        <v>3291</v>
      </c>
      <c r="E694" s="92">
        <v>42871</v>
      </c>
      <c r="F694" s="92" t="s">
        <v>28</v>
      </c>
      <c r="G694" s="32">
        <v>42877</v>
      </c>
      <c r="H694" s="27">
        <f t="shared" si="79"/>
        <v>3291</v>
      </c>
      <c r="I694" s="27">
        <f>H694</f>
        <v>3291</v>
      </c>
      <c r="J694" s="27"/>
      <c r="K694" s="99"/>
      <c r="L694" s="27">
        <v>2487</v>
      </c>
      <c r="M694" s="29">
        <f t="shared" si="77"/>
        <v>804</v>
      </c>
      <c r="N694" s="29">
        <f>M694</f>
        <v>804</v>
      </c>
      <c r="O694" s="44">
        <f t="shared" si="78"/>
        <v>0.24430264357338194</v>
      </c>
    </row>
    <row r="695" spans="1:15" ht="20.100000000000001" customHeight="1" x14ac:dyDescent="0.25">
      <c r="A695" s="89">
        <v>178</v>
      </c>
      <c r="B695" s="4">
        <v>42830</v>
      </c>
      <c r="C695" s="26" t="s">
        <v>56</v>
      </c>
      <c r="D695" s="3">
        <v>44988.79</v>
      </c>
      <c r="E695" s="92">
        <v>42872</v>
      </c>
      <c r="F695" s="92" t="s">
        <v>28</v>
      </c>
      <c r="G695" s="32">
        <v>42849</v>
      </c>
      <c r="H695" s="27">
        <f t="shared" si="79"/>
        <v>44988.79</v>
      </c>
      <c r="I695" s="27"/>
      <c r="J695" s="27"/>
      <c r="K695" s="99"/>
      <c r="L695" s="27">
        <v>29780</v>
      </c>
      <c r="M695" s="29">
        <f t="shared" si="77"/>
        <v>15208.79</v>
      </c>
      <c r="N695" s="29"/>
      <c r="O695" s="44">
        <f t="shared" si="78"/>
        <v>0.3380573249469479</v>
      </c>
    </row>
    <row r="696" spans="1:15" ht="20.100000000000001" customHeight="1" x14ac:dyDescent="0.25">
      <c r="A696" s="89">
        <v>214</v>
      </c>
      <c r="B696" s="4">
        <v>42853</v>
      </c>
      <c r="C696" s="26" t="s">
        <v>65</v>
      </c>
      <c r="D696" s="3">
        <v>16358.48</v>
      </c>
      <c r="E696" s="92">
        <v>42873</v>
      </c>
      <c r="F696" s="92" t="s">
        <v>28</v>
      </c>
      <c r="G696" s="32">
        <v>42873</v>
      </c>
      <c r="H696" s="27">
        <f t="shared" si="79"/>
        <v>16358.48</v>
      </c>
      <c r="I696" s="27"/>
      <c r="J696" s="27"/>
      <c r="K696" s="99"/>
      <c r="L696" s="27">
        <v>12192</v>
      </c>
      <c r="M696" s="29">
        <f t="shared" si="77"/>
        <v>4166.4799999999996</v>
      </c>
      <c r="N696" s="29"/>
      <c r="O696" s="44">
        <f t="shared" si="78"/>
        <v>0.25469848054342453</v>
      </c>
    </row>
    <row r="697" spans="1:15" ht="20.100000000000001" customHeight="1" x14ac:dyDescent="0.25">
      <c r="A697" s="89">
        <v>339</v>
      </c>
      <c r="B697" s="4">
        <v>42870</v>
      </c>
      <c r="C697" s="26" t="s">
        <v>137</v>
      </c>
      <c r="D697" s="3">
        <v>596.73</v>
      </c>
      <c r="E697" s="92">
        <v>42873</v>
      </c>
      <c r="F697" s="92" t="s">
        <v>28</v>
      </c>
      <c r="G697" s="32">
        <v>42895</v>
      </c>
      <c r="H697" s="27">
        <f t="shared" si="79"/>
        <v>596.73</v>
      </c>
      <c r="I697" s="27"/>
      <c r="J697" s="27"/>
      <c r="K697" s="99"/>
      <c r="L697" s="27">
        <v>465</v>
      </c>
      <c r="M697" s="29">
        <f t="shared" si="77"/>
        <v>131.73000000000002</v>
      </c>
      <c r="N697" s="29"/>
      <c r="O697" s="44">
        <f t="shared" si="78"/>
        <v>0.22075310441908402</v>
      </c>
    </row>
    <row r="698" spans="1:15" ht="20.100000000000001" customHeight="1" x14ac:dyDescent="0.25">
      <c r="A698" s="89">
        <v>192</v>
      </c>
      <c r="B698" s="4">
        <v>42836</v>
      </c>
      <c r="C698" s="26" t="s">
        <v>56</v>
      </c>
      <c r="D698" s="3">
        <v>280640</v>
      </c>
      <c r="E698" s="92">
        <v>42874</v>
      </c>
      <c r="F698" s="92" t="s">
        <v>28</v>
      </c>
      <c r="G698" s="32">
        <v>42865</v>
      </c>
      <c r="H698" s="27">
        <f t="shared" si="79"/>
        <v>280640</v>
      </c>
      <c r="I698" s="27"/>
      <c r="J698" s="27"/>
      <c r="K698" s="99"/>
      <c r="L698" s="27">
        <v>221826</v>
      </c>
      <c r="M698" s="29">
        <f t="shared" si="77"/>
        <v>58814</v>
      </c>
      <c r="N698" s="29"/>
      <c r="O698" s="44">
        <f t="shared" si="78"/>
        <v>0.20957098061573545</v>
      </c>
    </row>
    <row r="699" spans="1:15" ht="20.100000000000001" customHeight="1" x14ac:dyDescent="0.25">
      <c r="A699" s="89">
        <v>328</v>
      </c>
      <c r="B699" s="4">
        <v>42866</v>
      </c>
      <c r="C699" s="26" t="s">
        <v>89</v>
      </c>
      <c r="D699" s="3">
        <v>8216.1</v>
      </c>
      <c r="E699" s="92">
        <v>42874</v>
      </c>
      <c r="F699" s="92" t="s">
        <v>28</v>
      </c>
      <c r="G699" s="32">
        <v>42878</v>
      </c>
      <c r="H699" s="27">
        <f t="shared" si="79"/>
        <v>8216.1</v>
      </c>
      <c r="I699" s="27"/>
      <c r="J699" s="27"/>
      <c r="K699" s="99"/>
      <c r="L699" s="27">
        <v>6408</v>
      </c>
      <c r="M699" s="29">
        <f t="shared" si="77"/>
        <v>1808.1000000000004</v>
      </c>
      <c r="N699" s="29"/>
      <c r="O699" s="44">
        <f t="shared" si="78"/>
        <v>0.22006791543433019</v>
      </c>
    </row>
    <row r="700" spans="1:15" ht="20.100000000000001" customHeight="1" x14ac:dyDescent="0.25">
      <c r="A700" s="89">
        <v>375</v>
      </c>
      <c r="B700" s="4">
        <v>42874</v>
      </c>
      <c r="C700" s="5" t="s">
        <v>253</v>
      </c>
      <c r="D700" s="3">
        <v>5390</v>
      </c>
      <c r="E700" s="92">
        <v>42874</v>
      </c>
      <c r="F700" s="92" t="s">
        <v>28</v>
      </c>
      <c r="G700" s="32">
        <v>42881</v>
      </c>
      <c r="H700" s="27">
        <f t="shared" si="79"/>
        <v>5390</v>
      </c>
      <c r="I700" s="27">
        <f>H700</f>
        <v>5390</v>
      </c>
      <c r="J700" s="27"/>
      <c r="K700" s="99"/>
      <c r="L700" s="27">
        <v>4075</v>
      </c>
      <c r="M700" s="29">
        <f t="shared" si="77"/>
        <v>1315</v>
      </c>
      <c r="N700" s="29">
        <f>M700</f>
        <v>1315</v>
      </c>
      <c r="O700" s="44">
        <f t="shared" si="78"/>
        <v>0.24397031539888683</v>
      </c>
    </row>
    <row r="701" spans="1:15" ht="20.100000000000001" customHeight="1" x14ac:dyDescent="0.25">
      <c r="A701" s="89">
        <v>359</v>
      </c>
      <c r="B701" s="4">
        <v>42873</v>
      </c>
      <c r="C701" s="26" t="s">
        <v>86</v>
      </c>
      <c r="D701" s="3">
        <v>11092.54</v>
      </c>
      <c r="E701" s="92">
        <v>42877</v>
      </c>
      <c r="F701" s="92" t="s">
        <v>28</v>
      </c>
      <c r="G701" s="32">
        <v>42878</v>
      </c>
      <c r="H701" s="27">
        <f t="shared" si="79"/>
        <v>11092.54</v>
      </c>
      <c r="I701" s="27"/>
      <c r="J701" s="27"/>
      <c r="K701" s="99"/>
      <c r="L701" s="27">
        <v>10409</v>
      </c>
      <c r="M701" s="29">
        <f t="shared" si="77"/>
        <v>683.54000000000087</v>
      </c>
      <c r="N701" s="29"/>
      <c r="O701" s="44">
        <f t="shared" si="78"/>
        <v>6.1621594332767864E-2</v>
      </c>
    </row>
    <row r="702" spans="1:15" ht="20.100000000000001" customHeight="1" x14ac:dyDescent="0.25">
      <c r="A702" s="89">
        <v>347</v>
      </c>
      <c r="B702" s="4">
        <v>42870</v>
      </c>
      <c r="C702" s="5" t="s">
        <v>255</v>
      </c>
      <c r="D702" s="3">
        <v>41400</v>
      </c>
      <c r="E702" s="92">
        <v>42878</v>
      </c>
      <c r="F702" s="92" t="s">
        <v>28</v>
      </c>
      <c r="G702" s="32">
        <v>42895</v>
      </c>
      <c r="H702" s="27">
        <f t="shared" si="79"/>
        <v>41400</v>
      </c>
      <c r="I702" s="27">
        <f>H702</f>
        <v>41400</v>
      </c>
      <c r="J702" s="27"/>
      <c r="K702" s="99"/>
      <c r="L702" s="27">
        <v>32794</v>
      </c>
      <c r="M702" s="29">
        <f t="shared" si="77"/>
        <v>8606</v>
      </c>
      <c r="N702" s="29">
        <f>M702</f>
        <v>8606</v>
      </c>
      <c r="O702" s="44">
        <f t="shared" si="78"/>
        <v>0.2078743961352657</v>
      </c>
    </row>
    <row r="703" spans="1:15" ht="20.100000000000001" customHeight="1" x14ac:dyDescent="0.25">
      <c r="A703" s="89">
        <v>360</v>
      </c>
      <c r="B703" s="4">
        <v>42873</v>
      </c>
      <c r="C703" s="26" t="s">
        <v>147</v>
      </c>
      <c r="D703" s="3">
        <v>8817.44</v>
      </c>
      <c r="E703" s="92">
        <v>42879</v>
      </c>
      <c r="F703" s="92" t="s">
        <v>28</v>
      </c>
      <c r="G703" s="32">
        <v>42893</v>
      </c>
      <c r="H703" s="27">
        <f t="shared" si="79"/>
        <v>8817.44</v>
      </c>
      <c r="I703" s="27"/>
      <c r="J703" s="27"/>
      <c r="K703" s="99"/>
      <c r="L703" s="27">
        <v>6876</v>
      </c>
      <c r="M703" s="29">
        <f t="shared" si="77"/>
        <v>1941.4400000000005</v>
      </c>
      <c r="N703" s="29"/>
      <c r="O703" s="44">
        <f t="shared" si="78"/>
        <v>0.22018182148106485</v>
      </c>
    </row>
    <row r="704" spans="1:15" ht="20.100000000000001" customHeight="1" x14ac:dyDescent="0.25">
      <c r="A704" s="89">
        <v>366</v>
      </c>
      <c r="B704" s="4">
        <v>42873</v>
      </c>
      <c r="C704" s="26" t="s">
        <v>144</v>
      </c>
      <c r="D704" s="3">
        <v>2450</v>
      </c>
      <c r="E704" s="92">
        <v>42879</v>
      </c>
      <c r="F704" s="92" t="s">
        <v>28</v>
      </c>
      <c r="G704" s="32">
        <v>42891</v>
      </c>
      <c r="H704" s="27">
        <f t="shared" si="79"/>
        <v>2450</v>
      </c>
      <c r="I704" s="27"/>
      <c r="J704" s="27"/>
      <c r="K704" s="99"/>
      <c r="L704" s="27">
        <v>2183</v>
      </c>
      <c r="M704" s="29">
        <f t="shared" si="77"/>
        <v>267</v>
      </c>
      <c r="N704" s="29"/>
      <c r="O704" s="44">
        <f t="shared" si="78"/>
        <v>0.1089795918367347</v>
      </c>
    </row>
    <row r="705" spans="1:15" ht="20.100000000000001" customHeight="1" x14ac:dyDescent="0.25">
      <c r="A705" s="89">
        <v>338</v>
      </c>
      <c r="B705" s="4">
        <v>42870</v>
      </c>
      <c r="C705" s="26" t="s">
        <v>252</v>
      </c>
      <c r="D705" s="3">
        <v>2179.81</v>
      </c>
      <c r="E705" s="92">
        <v>42878</v>
      </c>
      <c r="F705" s="92" t="s">
        <v>28</v>
      </c>
      <c r="G705" s="32">
        <v>42873</v>
      </c>
      <c r="H705" s="27">
        <f t="shared" si="79"/>
        <v>2179.81</v>
      </c>
      <c r="I705" s="27"/>
      <c r="J705" s="27"/>
      <c r="K705" s="99"/>
      <c r="L705" s="27">
        <v>1648</v>
      </c>
      <c r="M705" s="29">
        <f t="shared" si="77"/>
        <v>531.80999999999995</v>
      </c>
      <c r="N705" s="29"/>
      <c r="O705" s="44">
        <f t="shared" si="78"/>
        <v>0.24397080479491329</v>
      </c>
    </row>
    <row r="706" spans="1:15" ht="20.100000000000001" customHeight="1" x14ac:dyDescent="0.25">
      <c r="A706" s="89">
        <v>332</v>
      </c>
      <c r="B706" s="4">
        <v>42867</v>
      </c>
      <c r="C706" s="26" t="s">
        <v>175</v>
      </c>
      <c r="D706" s="3">
        <v>18012</v>
      </c>
      <c r="E706" s="92">
        <v>42880</v>
      </c>
      <c r="F706" s="92" t="s">
        <v>28</v>
      </c>
      <c r="G706" s="32">
        <v>42892</v>
      </c>
      <c r="H706" s="27">
        <f t="shared" si="79"/>
        <v>18012</v>
      </c>
      <c r="I706" s="27"/>
      <c r="J706" s="27"/>
      <c r="K706" s="99"/>
      <c r="L706" s="27">
        <v>12512</v>
      </c>
      <c r="M706" s="29">
        <f t="shared" si="77"/>
        <v>5500</v>
      </c>
      <c r="N706" s="29"/>
      <c r="O706" s="44">
        <f t="shared" si="78"/>
        <v>0.30535198756384635</v>
      </c>
    </row>
    <row r="707" spans="1:15" ht="20.100000000000001" customHeight="1" x14ac:dyDescent="0.25">
      <c r="A707" s="89">
        <v>372</v>
      </c>
      <c r="B707" s="4">
        <v>42874</v>
      </c>
      <c r="C707" s="26" t="s">
        <v>49</v>
      </c>
      <c r="D707" s="3">
        <v>600</v>
      </c>
      <c r="E707" s="92">
        <v>42880</v>
      </c>
      <c r="F707" s="92" t="s">
        <v>28</v>
      </c>
      <c r="G707" s="32">
        <v>42885</v>
      </c>
      <c r="H707" s="27">
        <f t="shared" si="79"/>
        <v>600</v>
      </c>
      <c r="I707" s="27"/>
      <c r="J707" s="27"/>
      <c r="K707" s="99"/>
      <c r="L707" s="27">
        <v>100</v>
      </c>
      <c r="M707" s="29">
        <f t="shared" si="77"/>
        <v>500</v>
      </c>
      <c r="N707" s="29"/>
      <c r="O707" s="44">
        <f t="shared" si="78"/>
        <v>0.83333333333333337</v>
      </c>
    </row>
    <row r="708" spans="1:15" ht="20.100000000000001" customHeight="1" x14ac:dyDescent="0.25">
      <c r="A708" s="89">
        <v>379</v>
      </c>
      <c r="B708" s="4">
        <v>42877</v>
      </c>
      <c r="C708" s="26" t="s">
        <v>258</v>
      </c>
      <c r="D708" s="3">
        <v>4468</v>
      </c>
      <c r="E708" s="92">
        <v>42880</v>
      </c>
      <c r="F708" s="92" t="s">
        <v>28</v>
      </c>
      <c r="G708" s="32">
        <v>42884</v>
      </c>
      <c r="H708" s="27">
        <f t="shared" si="79"/>
        <v>4468</v>
      </c>
      <c r="I708" s="27"/>
      <c r="J708" s="27"/>
      <c r="K708" s="99"/>
      <c r="L708" s="27">
        <v>3485</v>
      </c>
      <c r="M708" s="29">
        <f t="shared" si="77"/>
        <v>983</v>
      </c>
      <c r="N708" s="29"/>
      <c r="O708" s="44">
        <f t="shared" si="78"/>
        <v>0.22000895255147718</v>
      </c>
    </row>
    <row r="709" spans="1:15" ht="20.100000000000001" customHeight="1" x14ac:dyDescent="0.25">
      <c r="A709" s="89">
        <v>376</v>
      </c>
      <c r="B709" s="4">
        <v>42874</v>
      </c>
      <c r="C709" s="5" t="s">
        <v>257</v>
      </c>
      <c r="D709" s="3">
        <v>7180</v>
      </c>
      <c r="E709" s="92">
        <v>42880</v>
      </c>
      <c r="F709" s="92" t="s">
        <v>28</v>
      </c>
      <c r="G709" s="32">
        <v>42891</v>
      </c>
      <c r="H709" s="27">
        <f t="shared" si="79"/>
        <v>7180</v>
      </c>
      <c r="I709" s="27">
        <f>H709</f>
        <v>7180</v>
      </c>
      <c r="J709" s="27"/>
      <c r="K709" s="99"/>
      <c r="L709" s="27">
        <v>5428</v>
      </c>
      <c r="M709" s="29">
        <f t="shared" si="77"/>
        <v>1752</v>
      </c>
      <c r="N709" s="29">
        <f>M709</f>
        <v>1752</v>
      </c>
      <c r="O709" s="44">
        <f t="shared" si="78"/>
        <v>0.24401114206128133</v>
      </c>
    </row>
    <row r="710" spans="1:15" ht="20.100000000000001" customHeight="1" x14ac:dyDescent="0.25">
      <c r="A710" s="89">
        <v>367</v>
      </c>
      <c r="B710" s="4">
        <v>42873</v>
      </c>
      <c r="C710" s="26" t="s">
        <v>11</v>
      </c>
      <c r="D710" s="3">
        <v>22199</v>
      </c>
      <c r="E710" s="92">
        <v>42880</v>
      </c>
      <c r="F710" s="92" t="s">
        <v>28</v>
      </c>
      <c r="G710" s="32">
        <v>42923</v>
      </c>
      <c r="H710" s="27">
        <f t="shared" si="79"/>
        <v>22199</v>
      </c>
      <c r="I710" s="27"/>
      <c r="J710" s="27"/>
      <c r="K710" s="99"/>
      <c r="L710" s="27">
        <v>16782</v>
      </c>
      <c r="M710" s="29">
        <f t="shared" si="77"/>
        <v>5417</v>
      </c>
      <c r="N710" s="29"/>
      <c r="O710" s="44">
        <f t="shared" si="78"/>
        <v>0.24402000090094147</v>
      </c>
    </row>
    <row r="711" spans="1:15" ht="20.100000000000001" customHeight="1" x14ac:dyDescent="0.25">
      <c r="A711" s="89">
        <v>341</v>
      </c>
      <c r="B711" s="4">
        <v>42870</v>
      </c>
      <c r="C711" s="26" t="s">
        <v>180</v>
      </c>
      <c r="D711" s="3">
        <v>21000</v>
      </c>
      <c r="E711" s="92">
        <v>42880</v>
      </c>
      <c r="F711" s="92" t="s">
        <v>28</v>
      </c>
      <c r="G711" s="32">
        <v>42893</v>
      </c>
      <c r="H711" s="27">
        <f t="shared" si="79"/>
        <v>21000</v>
      </c>
      <c r="I711" s="27"/>
      <c r="J711" s="27"/>
      <c r="K711" s="99"/>
      <c r="L711" s="27">
        <v>12600</v>
      </c>
      <c r="M711" s="29">
        <f t="shared" si="77"/>
        <v>8400</v>
      </c>
      <c r="N711" s="29"/>
      <c r="O711" s="44">
        <f t="shared" si="78"/>
        <v>0.4</v>
      </c>
    </row>
    <row r="712" spans="1:15" ht="20.100000000000001" customHeight="1" x14ac:dyDescent="0.25">
      <c r="A712" s="89">
        <v>303</v>
      </c>
      <c r="B712" s="4">
        <v>42851</v>
      </c>
      <c r="C712" s="26" t="s">
        <v>60</v>
      </c>
      <c r="D712" s="3">
        <v>2991.3</v>
      </c>
      <c r="E712" s="92">
        <v>42880</v>
      </c>
      <c r="F712" s="92" t="s">
        <v>28</v>
      </c>
      <c r="G712" s="32">
        <v>42873</v>
      </c>
      <c r="H712" s="27">
        <f t="shared" si="79"/>
        <v>2991.3</v>
      </c>
      <c r="I712" s="27"/>
      <c r="J712" s="27"/>
      <c r="K712" s="99"/>
      <c r="L712" s="27">
        <v>2088</v>
      </c>
      <c r="M712" s="29">
        <f t="shared" si="77"/>
        <v>903.30000000000018</v>
      </c>
      <c r="N712" s="29"/>
      <c r="O712" s="44">
        <f t="shared" si="78"/>
        <v>0.30197572961588609</v>
      </c>
    </row>
    <row r="713" spans="1:15" ht="20.100000000000001" customHeight="1" x14ac:dyDescent="0.25">
      <c r="A713" s="89">
        <v>340</v>
      </c>
      <c r="B713" s="4">
        <v>42870</v>
      </c>
      <c r="C713" s="26" t="s">
        <v>60</v>
      </c>
      <c r="D713" s="3">
        <v>2239.64</v>
      </c>
      <c r="E713" s="92">
        <v>42880</v>
      </c>
      <c r="F713" s="92" t="s">
        <v>28</v>
      </c>
      <c r="G713" s="32">
        <v>42873</v>
      </c>
      <c r="H713" s="27">
        <f t="shared" si="79"/>
        <v>2239.64</v>
      </c>
      <c r="I713" s="27"/>
      <c r="J713" s="27"/>
      <c r="K713" s="99"/>
      <c r="L713" s="27">
        <v>1848</v>
      </c>
      <c r="M713" s="29">
        <f t="shared" si="77"/>
        <v>391.63999999999987</v>
      </c>
      <c r="N713" s="29"/>
      <c r="O713" s="44">
        <f t="shared" si="78"/>
        <v>0.17486738940186811</v>
      </c>
    </row>
    <row r="714" spans="1:15" ht="20.100000000000001" customHeight="1" x14ac:dyDescent="0.25">
      <c r="A714" s="89">
        <v>374</v>
      </c>
      <c r="B714" s="4">
        <v>42874</v>
      </c>
      <c r="C714" s="26" t="s">
        <v>97</v>
      </c>
      <c r="D714" s="3">
        <v>107.38</v>
      </c>
      <c r="E714" s="92">
        <v>42881</v>
      </c>
      <c r="F714" s="92" t="s">
        <v>28</v>
      </c>
      <c r="G714" s="32">
        <v>42893</v>
      </c>
      <c r="H714" s="27">
        <f t="shared" si="79"/>
        <v>107.38</v>
      </c>
      <c r="I714" s="27"/>
      <c r="J714" s="27"/>
      <c r="K714" s="99"/>
      <c r="L714" s="27">
        <v>71</v>
      </c>
      <c r="M714" s="29">
        <f t="shared" si="77"/>
        <v>36.379999999999995</v>
      </c>
      <c r="N714" s="29"/>
      <c r="O714" s="44">
        <f t="shared" si="78"/>
        <v>0.33879679642391503</v>
      </c>
    </row>
    <row r="715" spans="1:15" ht="20.100000000000001" customHeight="1" x14ac:dyDescent="0.25">
      <c r="A715" s="89">
        <v>266</v>
      </c>
      <c r="B715" s="4">
        <v>42842</v>
      </c>
      <c r="C715" s="26" t="s">
        <v>56</v>
      </c>
      <c r="D715" s="3">
        <v>101974.45</v>
      </c>
      <c r="E715" s="92">
        <v>42881</v>
      </c>
      <c r="F715" s="92" t="s">
        <v>28</v>
      </c>
      <c r="G715" s="32">
        <v>42865</v>
      </c>
      <c r="H715" s="27">
        <f t="shared" si="79"/>
        <v>101974.45</v>
      </c>
      <c r="I715" s="27"/>
      <c r="J715" s="27"/>
      <c r="K715" s="99"/>
      <c r="L715" s="27">
        <v>67348</v>
      </c>
      <c r="M715" s="29">
        <f t="shared" si="77"/>
        <v>34626.449999999997</v>
      </c>
      <c r="N715" s="29"/>
      <c r="O715" s="44">
        <f t="shared" si="78"/>
        <v>0.33956005646512433</v>
      </c>
    </row>
    <row r="716" spans="1:15" ht="20.100000000000001" customHeight="1" x14ac:dyDescent="0.25">
      <c r="A716" s="89">
        <v>353</v>
      </c>
      <c r="B716" s="4">
        <v>42872</v>
      </c>
      <c r="C716" s="26" t="s">
        <v>56</v>
      </c>
      <c r="D716" s="3">
        <v>11479.33</v>
      </c>
      <c r="E716" s="92">
        <v>42881</v>
      </c>
      <c r="F716" s="92" t="s">
        <v>28</v>
      </c>
      <c r="G716" s="32">
        <v>42873</v>
      </c>
      <c r="H716" s="27">
        <f t="shared" si="79"/>
        <v>11479.33</v>
      </c>
      <c r="I716" s="27"/>
      <c r="J716" s="27"/>
      <c r="K716" s="99"/>
      <c r="L716" s="27">
        <v>5022</v>
      </c>
      <c r="M716" s="29">
        <f t="shared" si="77"/>
        <v>6457.33</v>
      </c>
      <c r="N716" s="29"/>
      <c r="O716" s="44">
        <f t="shared" si="78"/>
        <v>0.56251802152216202</v>
      </c>
    </row>
    <row r="717" spans="1:15" ht="20.100000000000001" customHeight="1" x14ac:dyDescent="0.25">
      <c r="A717" s="89">
        <v>391</v>
      </c>
      <c r="B717" s="4">
        <v>42881</v>
      </c>
      <c r="C717" s="5" t="s">
        <v>259</v>
      </c>
      <c r="D717" s="3">
        <v>8670</v>
      </c>
      <c r="E717" s="92">
        <v>42884</v>
      </c>
      <c r="F717" s="92" t="s">
        <v>28</v>
      </c>
      <c r="G717" s="32">
        <v>42885</v>
      </c>
      <c r="H717" s="27">
        <f t="shared" si="79"/>
        <v>8670</v>
      </c>
      <c r="I717" s="27">
        <f>H717</f>
        <v>8670</v>
      </c>
      <c r="J717" s="27"/>
      <c r="K717" s="99"/>
      <c r="L717" s="27">
        <v>7398.91</v>
      </c>
      <c r="M717" s="29">
        <f t="shared" si="77"/>
        <v>1271.0900000000001</v>
      </c>
      <c r="N717" s="29">
        <f>M717</f>
        <v>1271.0900000000001</v>
      </c>
      <c r="O717" s="44">
        <f t="shared" si="78"/>
        <v>0.14660784313725492</v>
      </c>
    </row>
    <row r="718" spans="1:15" ht="20.100000000000001" customHeight="1" x14ac:dyDescent="0.25">
      <c r="A718" s="89">
        <v>389</v>
      </c>
      <c r="B718" s="4">
        <v>42880</v>
      </c>
      <c r="C718" s="5" t="s">
        <v>260</v>
      </c>
      <c r="D718" s="3">
        <v>10374.44</v>
      </c>
      <c r="E718" s="92">
        <v>42885</v>
      </c>
      <c r="F718" s="92" t="s">
        <v>28</v>
      </c>
      <c r="G718" s="32">
        <v>42921</v>
      </c>
      <c r="H718" s="27">
        <f t="shared" si="79"/>
        <v>10374.44</v>
      </c>
      <c r="I718" s="27">
        <f>H718</f>
        <v>10374.44</v>
      </c>
      <c r="J718" s="27"/>
      <c r="K718" s="99"/>
      <c r="L718" s="27">
        <v>8196</v>
      </c>
      <c r="M718" s="29">
        <f t="shared" si="77"/>
        <v>2178.4400000000005</v>
      </c>
      <c r="N718" s="29">
        <f>M718</f>
        <v>2178.4400000000005</v>
      </c>
      <c r="O718" s="44">
        <f t="shared" si="78"/>
        <v>0.20998145442067237</v>
      </c>
    </row>
    <row r="719" spans="1:15" ht="20.100000000000001" customHeight="1" x14ac:dyDescent="0.25">
      <c r="A719" s="89">
        <v>394</v>
      </c>
      <c r="B719" s="4">
        <v>42884</v>
      </c>
      <c r="C719" s="5" t="s">
        <v>261</v>
      </c>
      <c r="D719" s="3">
        <v>11107</v>
      </c>
      <c r="E719" s="92">
        <v>42885</v>
      </c>
      <c r="F719" s="92" t="s">
        <v>28</v>
      </c>
      <c r="G719" s="32">
        <v>42922</v>
      </c>
      <c r="H719" s="27">
        <f t="shared" si="79"/>
        <v>11107</v>
      </c>
      <c r="I719" s="27">
        <f>H719</f>
        <v>11107</v>
      </c>
      <c r="J719" s="27"/>
      <c r="K719" s="99"/>
      <c r="L719" s="27">
        <v>8552</v>
      </c>
      <c r="M719" s="29">
        <f t="shared" si="77"/>
        <v>2555</v>
      </c>
      <c r="N719" s="29">
        <f>M719</f>
        <v>2555</v>
      </c>
      <c r="O719" s="44">
        <f t="shared" si="78"/>
        <v>0.23003511299180696</v>
      </c>
    </row>
    <row r="720" spans="1:15" ht="20.100000000000001" customHeight="1" x14ac:dyDescent="0.25">
      <c r="A720" s="89">
        <v>242</v>
      </c>
      <c r="B720" s="4">
        <v>42836</v>
      </c>
      <c r="C720" s="26" t="s">
        <v>66</v>
      </c>
      <c r="D720" s="3">
        <v>17124</v>
      </c>
      <c r="E720" s="92">
        <v>42885</v>
      </c>
      <c r="F720" s="92" t="s">
        <v>28</v>
      </c>
      <c r="G720" s="32">
        <v>42899</v>
      </c>
      <c r="H720" s="27">
        <f t="shared" si="79"/>
        <v>17124</v>
      </c>
      <c r="I720" s="27"/>
      <c r="J720" s="27"/>
      <c r="K720" s="99"/>
      <c r="L720" s="27">
        <v>13059</v>
      </c>
      <c r="M720" s="29">
        <f t="shared" si="77"/>
        <v>4065</v>
      </c>
      <c r="N720" s="29"/>
      <c r="O720" s="44">
        <f t="shared" si="78"/>
        <v>0.23738612473721094</v>
      </c>
    </row>
    <row r="721" spans="1:15" ht="20.100000000000001" customHeight="1" x14ac:dyDescent="0.25">
      <c r="A721" s="89">
        <v>380</v>
      </c>
      <c r="B721" s="4">
        <v>42879</v>
      </c>
      <c r="C721" s="5" t="s">
        <v>254</v>
      </c>
      <c r="D721" s="3">
        <v>40190</v>
      </c>
      <c r="E721" s="92">
        <v>42885</v>
      </c>
      <c r="F721" s="92" t="s">
        <v>28</v>
      </c>
      <c r="G721" s="32">
        <v>42879</v>
      </c>
      <c r="H721" s="27">
        <f t="shared" si="79"/>
        <v>40190</v>
      </c>
      <c r="I721" s="27">
        <f>H721</f>
        <v>40190</v>
      </c>
      <c r="J721" s="27"/>
      <c r="K721" s="99"/>
      <c r="L721" s="27">
        <v>32954</v>
      </c>
      <c r="M721" s="29">
        <f t="shared" si="77"/>
        <v>7236</v>
      </c>
      <c r="N721" s="29">
        <f>M721</f>
        <v>7236</v>
      </c>
      <c r="O721" s="44">
        <f t="shared" si="78"/>
        <v>0.18004478726051257</v>
      </c>
    </row>
    <row r="722" spans="1:15" ht="20.100000000000001" customHeight="1" x14ac:dyDescent="0.25">
      <c r="A722" s="89">
        <v>401</v>
      </c>
      <c r="B722" s="4">
        <v>42885</v>
      </c>
      <c r="C722" s="26" t="s">
        <v>19</v>
      </c>
      <c r="D722" s="3">
        <v>5615.97</v>
      </c>
      <c r="E722" s="92">
        <v>42886</v>
      </c>
      <c r="F722" s="92" t="s">
        <v>28</v>
      </c>
      <c r="G722" s="32">
        <v>42892</v>
      </c>
      <c r="H722" s="27">
        <f t="shared" si="79"/>
        <v>5615.97</v>
      </c>
      <c r="I722" s="27"/>
      <c r="J722" s="27"/>
      <c r="K722" s="99"/>
      <c r="L722" s="27">
        <v>5338</v>
      </c>
      <c r="M722" s="29">
        <f t="shared" si="77"/>
        <v>277.97000000000025</v>
      </c>
      <c r="N722" s="29"/>
      <c r="O722" s="44">
        <f t="shared" si="78"/>
        <v>4.949634702464583E-2</v>
      </c>
    </row>
    <row r="723" spans="1:15" ht="20.100000000000001" customHeight="1" x14ac:dyDescent="0.25">
      <c r="A723" s="89">
        <v>349</v>
      </c>
      <c r="B723" s="4">
        <v>42871</v>
      </c>
      <c r="C723" s="26" t="s">
        <v>13</v>
      </c>
      <c r="D723" s="3">
        <v>23099.040000000001</v>
      </c>
      <c r="E723" s="92">
        <v>42886</v>
      </c>
      <c r="F723" s="92" t="s">
        <v>28</v>
      </c>
      <c r="G723" s="32">
        <v>42872</v>
      </c>
      <c r="H723" s="27">
        <f t="shared" si="79"/>
        <v>23099.040000000001</v>
      </c>
      <c r="I723" s="27"/>
      <c r="J723" s="27"/>
      <c r="K723" s="99"/>
      <c r="L723" s="27">
        <v>17513</v>
      </c>
      <c r="M723" s="29">
        <f t="shared" si="77"/>
        <v>5586.0400000000009</v>
      </c>
      <c r="N723" s="29"/>
      <c r="O723" s="44">
        <f t="shared" si="78"/>
        <v>0.2418299634963185</v>
      </c>
    </row>
    <row r="724" spans="1:15" ht="19.5" customHeight="1" x14ac:dyDescent="0.25">
      <c r="A724" s="89"/>
      <c r="B724" s="4"/>
      <c r="C724" s="5"/>
      <c r="D724" s="3"/>
      <c r="E724" s="97">
        <v>66400</v>
      </c>
      <c r="F724" s="98">
        <f>M724*0.17+N724*0.06+8000</f>
        <v>66437.588100000008</v>
      </c>
      <c r="G724" s="21">
        <f>H724*0.05+I724*0.02</f>
        <v>65182.037599999996</v>
      </c>
      <c r="H724" s="16">
        <f t="shared" ref="H724:N724" si="80">SUM(H683:H723)</f>
        <v>1208758.48</v>
      </c>
      <c r="I724" s="16">
        <f t="shared" si="80"/>
        <v>237205.68</v>
      </c>
      <c r="J724" s="16">
        <f t="shared" si="80"/>
        <v>15000</v>
      </c>
      <c r="K724" s="16">
        <f t="shared" si="80"/>
        <v>19800</v>
      </c>
      <c r="L724" s="16">
        <f t="shared" si="80"/>
        <v>848709.41</v>
      </c>
      <c r="M724" s="16">
        <f t="shared" si="80"/>
        <v>325249.07</v>
      </c>
      <c r="N724" s="16">
        <f t="shared" si="80"/>
        <v>52420.770000000004</v>
      </c>
      <c r="O724" s="44">
        <f t="shared" si="78"/>
        <v>0.26907697061202829</v>
      </c>
    </row>
    <row r="725" spans="1:15" ht="23.25" x14ac:dyDescent="0.35">
      <c r="C725" s="94" t="s">
        <v>640</v>
      </c>
    </row>
    <row r="726" spans="1:15" ht="20.100000000000001" customHeight="1" x14ac:dyDescent="0.25">
      <c r="A726" s="89">
        <v>399</v>
      </c>
      <c r="B726" s="4">
        <v>42885</v>
      </c>
      <c r="C726" s="26" t="s">
        <v>77</v>
      </c>
      <c r="D726" s="3">
        <v>1537.25</v>
      </c>
      <c r="E726" s="92">
        <v>42887</v>
      </c>
      <c r="F726" s="92" t="s">
        <v>28</v>
      </c>
      <c r="G726" s="32">
        <v>42891</v>
      </c>
      <c r="H726" s="27">
        <f t="shared" ref="H726:H757" si="81">D726</f>
        <v>1537.25</v>
      </c>
      <c r="I726" s="27"/>
      <c r="J726" s="27"/>
      <c r="K726" s="99"/>
      <c r="L726" s="27">
        <v>1116</v>
      </c>
      <c r="M726" s="29">
        <f t="shared" ref="M726:M757" si="82">H726-L726-J726-K726</f>
        <v>421.25</v>
      </c>
      <c r="N726" s="29"/>
      <c r="O726" s="44">
        <f t="shared" ref="O726:O758" si="83">M726/H726</f>
        <v>0.27402829728411121</v>
      </c>
    </row>
    <row r="727" spans="1:15" ht="20.100000000000001" customHeight="1" x14ac:dyDescent="0.25">
      <c r="A727" s="89">
        <v>420</v>
      </c>
      <c r="B727" s="4">
        <v>42888</v>
      </c>
      <c r="C727" s="26" t="s">
        <v>122</v>
      </c>
      <c r="D727" s="3">
        <v>962</v>
      </c>
      <c r="E727" s="92">
        <v>42888</v>
      </c>
      <c r="F727" s="92" t="s">
        <v>28</v>
      </c>
      <c r="G727" s="32">
        <v>42888</v>
      </c>
      <c r="H727" s="27">
        <f t="shared" si="81"/>
        <v>962</v>
      </c>
      <c r="I727" s="27"/>
      <c r="J727" s="27"/>
      <c r="K727" s="99"/>
      <c r="L727" s="27">
        <v>787</v>
      </c>
      <c r="M727" s="29">
        <f t="shared" si="82"/>
        <v>175</v>
      </c>
      <c r="N727" s="29"/>
      <c r="O727" s="44">
        <f t="shared" si="83"/>
        <v>0.18191268191268192</v>
      </c>
    </row>
    <row r="728" spans="1:15" ht="20.100000000000001" customHeight="1" x14ac:dyDescent="0.25">
      <c r="A728" s="89">
        <v>416</v>
      </c>
      <c r="B728" s="4">
        <v>42887</v>
      </c>
      <c r="C728" s="5" t="s">
        <v>263</v>
      </c>
      <c r="D728" s="3">
        <v>52690</v>
      </c>
      <c r="E728" s="92">
        <v>42888</v>
      </c>
      <c r="F728" s="92" t="s">
        <v>28</v>
      </c>
      <c r="G728" s="32">
        <v>42891</v>
      </c>
      <c r="H728" s="27">
        <f t="shared" si="81"/>
        <v>52690</v>
      </c>
      <c r="I728" s="27">
        <f>H728</f>
        <v>52690</v>
      </c>
      <c r="J728" s="27"/>
      <c r="K728" s="99"/>
      <c r="L728" s="27">
        <v>39834</v>
      </c>
      <c r="M728" s="29">
        <f t="shared" si="82"/>
        <v>12856</v>
      </c>
      <c r="N728" s="29">
        <f>M728</f>
        <v>12856</v>
      </c>
      <c r="O728" s="44">
        <f t="shared" si="83"/>
        <v>0.24399316758398179</v>
      </c>
    </row>
    <row r="729" spans="1:15" ht="20.100000000000001" customHeight="1" x14ac:dyDescent="0.25">
      <c r="A729" s="89">
        <v>404</v>
      </c>
      <c r="B729" s="4">
        <v>42886</v>
      </c>
      <c r="C729" s="26" t="s">
        <v>16</v>
      </c>
      <c r="D729" s="3">
        <v>4919.54</v>
      </c>
      <c r="E729" s="92">
        <v>42888</v>
      </c>
      <c r="F729" s="92" t="s">
        <v>28</v>
      </c>
      <c r="G729" s="32">
        <v>42920</v>
      </c>
      <c r="H729" s="27">
        <f t="shared" si="81"/>
        <v>4919.54</v>
      </c>
      <c r="I729" s="27"/>
      <c r="J729" s="27"/>
      <c r="K729" s="99"/>
      <c r="L729" s="27">
        <v>3244</v>
      </c>
      <c r="M729" s="29">
        <f t="shared" si="82"/>
        <v>1675.54</v>
      </c>
      <c r="N729" s="29"/>
      <c r="O729" s="44">
        <f t="shared" si="83"/>
        <v>0.34058875423311935</v>
      </c>
    </row>
    <row r="730" spans="1:15" ht="20.100000000000001" customHeight="1" x14ac:dyDescent="0.25">
      <c r="A730" s="89">
        <v>412</v>
      </c>
      <c r="B730" s="4">
        <v>42887</v>
      </c>
      <c r="C730" s="26" t="s">
        <v>220</v>
      </c>
      <c r="D730" s="3">
        <v>1924</v>
      </c>
      <c r="E730" s="92">
        <v>42888</v>
      </c>
      <c r="F730" s="92" t="s">
        <v>28</v>
      </c>
      <c r="G730" s="32">
        <v>42891</v>
      </c>
      <c r="H730" s="27">
        <f t="shared" si="81"/>
        <v>1924</v>
      </c>
      <c r="I730" s="27"/>
      <c r="J730" s="27"/>
      <c r="K730" s="99"/>
      <c r="L730" s="27">
        <v>1484</v>
      </c>
      <c r="M730" s="29">
        <f t="shared" si="82"/>
        <v>440</v>
      </c>
      <c r="N730" s="29"/>
      <c r="O730" s="44">
        <f t="shared" si="83"/>
        <v>0.2286902286902287</v>
      </c>
    </row>
    <row r="731" spans="1:15" ht="20.100000000000001" customHeight="1" x14ac:dyDescent="0.25">
      <c r="A731" s="89">
        <v>424</v>
      </c>
      <c r="B731" s="4">
        <v>42891</v>
      </c>
      <c r="C731" s="26" t="s">
        <v>122</v>
      </c>
      <c r="D731" s="3">
        <v>203.26</v>
      </c>
      <c r="E731" s="92">
        <v>42892</v>
      </c>
      <c r="F731" s="92" t="s">
        <v>28</v>
      </c>
      <c r="G731" s="32">
        <v>42913</v>
      </c>
      <c r="H731" s="27">
        <f t="shared" si="81"/>
        <v>203.26</v>
      </c>
      <c r="I731" s="27"/>
      <c r="J731" s="27"/>
      <c r="K731" s="99"/>
      <c r="L731" s="27">
        <v>134</v>
      </c>
      <c r="M731" s="29">
        <f t="shared" si="82"/>
        <v>69.259999999999991</v>
      </c>
      <c r="N731" s="29"/>
      <c r="O731" s="44">
        <f t="shared" si="83"/>
        <v>0.34074584276296366</v>
      </c>
    </row>
    <row r="732" spans="1:15" ht="20.100000000000001" customHeight="1" x14ac:dyDescent="0.25">
      <c r="A732" s="89">
        <v>408</v>
      </c>
      <c r="B732" s="4">
        <v>42861</v>
      </c>
      <c r="C732" s="5" t="s">
        <v>262</v>
      </c>
      <c r="D732" s="3">
        <v>15990</v>
      </c>
      <c r="E732" s="92">
        <v>42893</v>
      </c>
      <c r="F732" s="92" t="s">
        <v>28</v>
      </c>
      <c r="G732" s="32">
        <v>42861</v>
      </c>
      <c r="H732" s="27">
        <f t="shared" si="81"/>
        <v>15990</v>
      </c>
      <c r="I732" s="27">
        <f>H732</f>
        <v>15990</v>
      </c>
      <c r="J732" s="27"/>
      <c r="K732" s="99"/>
      <c r="L732" s="27">
        <v>12088</v>
      </c>
      <c r="M732" s="29">
        <f t="shared" si="82"/>
        <v>3902</v>
      </c>
      <c r="N732" s="29">
        <f>M732</f>
        <v>3902</v>
      </c>
      <c r="O732" s="44">
        <f t="shared" si="83"/>
        <v>0.24402751719824892</v>
      </c>
    </row>
    <row r="733" spans="1:15" ht="20.100000000000001" customHeight="1" x14ac:dyDescent="0.25">
      <c r="A733" s="89">
        <v>384</v>
      </c>
      <c r="B733" s="4">
        <v>42878</v>
      </c>
      <c r="C733" s="26" t="s">
        <v>175</v>
      </c>
      <c r="D733" s="3">
        <v>23246.5</v>
      </c>
      <c r="E733" s="92">
        <v>42894</v>
      </c>
      <c r="F733" s="92" t="s">
        <v>28</v>
      </c>
      <c r="G733" s="32">
        <v>42895</v>
      </c>
      <c r="H733" s="27">
        <f t="shared" si="81"/>
        <v>23246.5</v>
      </c>
      <c r="I733" s="27"/>
      <c r="J733" s="27"/>
      <c r="K733" s="99"/>
      <c r="L733" s="27">
        <v>17858</v>
      </c>
      <c r="M733" s="29">
        <f t="shared" si="82"/>
        <v>5388.5</v>
      </c>
      <c r="N733" s="29"/>
      <c r="O733" s="44">
        <f t="shared" si="83"/>
        <v>0.23179833523326093</v>
      </c>
    </row>
    <row r="734" spans="1:15" ht="20.100000000000001" customHeight="1" x14ac:dyDescent="0.25">
      <c r="A734" s="89">
        <v>327</v>
      </c>
      <c r="B734" s="4">
        <v>42878</v>
      </c>
      <c r="C734" s="5" t="s">
        <v>256</v>
      </c>
      <c r="D734" s="3">
        <v>40658.120000000003</v>
      </c>
      <c r="E734" s="92">
        <v>42894</v>
      </c>
      <c r="F734" s="92" t="s">
        <v>28</v>
      </c>
      <c r="G734" s="32">
        <v>42901</v>
      </c>
      <c r="H734" s="27">
        <f t="shared" si="81"/>
        <v>40658.120000000003</v>
      </c>
      <c r="I734" s="27">
        <f>H734</f>
        <v>40658.120000000003</v>
      </c>
      <c r="J734" s="27"/>
      <c r="K734" s="99"/>
      <c r="L734" s="27">
        <v>31248</v>
      </c>
      <c r="M734" s="29">
        <f t="shared" si="82"/>
        <v>9410.1200000000026</v>
      </c>
      <c r="N734" s="29">
        <f>M734</f>
        <v>9410.1200000000026</v>
      </c>
      <c r="O734" s="44">
        <f t="shared" si="83"/>
        <v>0.23144503484174875</v>
      </c>
    </row>
    <row r="735" spans="1:15" ht="20.100000000000001" customHeight="1" x14ac:dyDescent="0.25">
      <c r="A735" s="89">
        <v>289</v>
      </c>
      <c r="B735" s="4">
        <v>42845</v>
      </c>
      <c r="C735" s="26" t="s">
        <v>66</v>
      </c>
      <c r="D735" s="3">
        <v>14874</v>
      </c>
      <c r="E735" s="92">
        <v>42894</v>
      </c>
      <c r="F735" s="92" t="s">
        <v>28</v>
      </c>
      <c r="G735" s="32">
        <v>42899</v>
      </c>
      <c r="H735" s="27">
        <f t="shared" si="81"/>
        <v>14874</v>
      </c>
      <c r="I735" s="27"/>
      <c r="J735" s="27"/>
      <c r="K735" s="99"/>
      <c r="L735" s="27">
        <v>10382</v>
      </c>
      <c r="M735" s="29">
        <f t="shared" si="82"/>
        <v>4492</v>
      </c>
      <c r="N735" s="29"/>
      <c r="O735" s="44">
        <f t="shared" si="83"/>
        <v>0.30200349603334675</v>
      </c>
    </row>
    <row r="736" spans="1:15" ht="20.100000000000001" customHeight="1" x14ac:dyDescent="0.25">
      <c r="A736" s="89">
        <v>418</v>
      </c>
      <c r="B736" s="4">
        <v>42888</v>
      </c>
      <c r="C736" s="26" t="s">
        <v>11</v>
      </c>
      <c r="D736" s="3">
        <v>11799</v>
      </c>
      <c r="E736" s="92">
        <v>42895</v>
      </c>
      <c r="F736" s="92" t="s">
        <v>28</v>
      </c>
      <c r="G736" s="32">
        <v>42900</v>
      </c>
      <c r="H736" s="27">
        <f t="shared" si="81"/>
        <v>11799</v>
      </c>
      <c r="I736" s="27"/>
      <c r="J736" s="27"/>
      <c r="K736" s="99"/>
      <c r="L736" s="27">
        <v>8920</v>
      </c>
      <c r="M736" s="29">
        <f t="shared" si="82"/>
        <v>2879</v>
      </c>
      <c r="N736" s="29"/>
      <c r="O736" s="44">
        <f t="shared" si="83"/>
        <v>0.24400372912958726</v>
      </c>
    </row>
    <row r="737" spans="1:15" ht="20.100000000000001" customHeight="1" x14ac:dyDescent="0.25">
      <c r="A737" s="89">
        <v>438</v>
      </c>
      <c r="B737" s="4">
        <v>42894</v>
      </c>
      <c r="C737" s="26" t="s">
        <v>58</v>
      </c>
      <c r="D737" s="3">
        <v>4552.58</v>
      </c>
      <c r="E737" s="92">
        <v>42899</v>
      </c>
      <c r="F737" s="92" t="s">
        <v>28</v>
      </c>
      <c r="G737" s="32">
        <v>42902</v>
      </c>
      <c r="H737" s="27">
        <f t="shared" si="81"/>
        <v>4552.58</v>
      </c>
      <c r="I737" s="27"/>
      <c r="J737" s="27"/>
      <c r="K737" s="99"/>
      <c r="L737" s="27">
        <v>3463</v>
      </c>
      <c r="M737" s="29">
        <f t="shared" si="82"/>
        <v>1089.58</v>
      </c>
      <c r="N737" s="29"/>
      <c r="O737" s="44">
        <f t="shared" si="83"/>
        <v>0.23933242249449763</v>
      </c>
    </row>
    <row r="738" spans="1:15" ht="20.100000000000001" customHeight="1" x14ac:dyDescent="0.25">
      <c r="A738" s="89">
        <v>303</v>
      </c>
      <c r="B738" s="4">
        <v>42851</v>
      </c>
      <c r="C738" s="26" t="s">
        <v>60</v>
      </c>
      <c r="D738" s="3">
        <v>1495.65</v>
      </c>
      <c r="E738" s="92">
        <v>42899</v>
      </c>
      <c r="F738" s="92" t="s">
        <v>28</v>
      </c>
      <c r="G738" s="32">
        <v>42893</v>
      </c>
      <c r="H738" s="27">
        <f t="shared" si="81"/>
        <v>1495.65</v>
      </c>
      <c r="I738" s="27"/>
      <c r="J738" s="27"/>
      <c r="K738" s="99"/>
      <c r="L738" s="27">
        <v>989</v>
      </c>
      <c r="M738" s="29">
        <f t="shared" si="82"/>
        <v>506.65000000000009</v>
      </c>
      <c r="N738" s="29"/>
      <c r="O738" s="44">
        <f t="shared" si="83"/>
        <v>0.33874903887941704</v>
      </c>
    </row>
    <row r="739" spans="1:15" ht="20.100000000000001" customHeight="1" x14ac:dyDescent="0.25">
      <c r="A739" s="89">
        <v>340</v>
      </c>
      <c r="B739" s="4">
        <v>42870</v>
      </c>
      <c r="C739" s="26" t="s">
        <v>60</v>
      </c>
      <c r="D739" s="3">
        <v>1119.82</v>
      </c>
      <c r="E739" s="92">
        <v>42899</v>
      </c>
      <c r="F739" s="92" t="s">
        <v>28</v>
      </c>
      <c r="G739" s="32">
        <v>42893</v>
      </c>
      <c r="H739" s="27">
        <f t="shared" si="81"/>
        <v>1119.82</v>
      </c>
      <c r="I739" s="27"/>
      <c r="J739" s="27"/>
      <c r="K739" s="99"/>
      <c r="L739" s="27">
        <v>874</v>
      </c>
      <c r="M739" s="29">
        <f t="shared" si="82"/>
        <v>245.81999999999994</v>
      </c>
      <c r="N739" s="29"/>
      <c r="O739" s="44">
        <f t="shared" si="83"/>
        <v>0.21951742244289257</v>
      </c>
    </row>
    <row r="740" spans="1:15" ht="20.100000000000001" customHeight="1" x14ac:dyDescent="0.25">
      <c r="A740" s="89">
        <v>430</v>
      </c>
      <c r="B740" s="4">
        <v>42893</v>
      </c>
      <c r="C740" s="26" t="s">
        <v>264</v>
      </c>
      <c r="D740" s="3">
        <v>28590</v>
      </c>
      <c r="E740" s="92">
        <v>42900</v>
      </c>
      <c r="F740" s="92" t="s">
        <v>28</v>
      </c>
      <c r="G740" s="32">
        <v>42901</v>
      </c>
      <c r="H740" s="27">
        <f t="shared" si="81"/>
        <v>28590</v>
      </c>
      <c r="I740" s="27"/>
      <c r="J740" s="27"/>
      <c r="K740" s="99"/>
      <c r="L740" s="27">
        <v>21614</v>
      </c>
      <c r="M740" s="29">
        <f t="shared" si="82"/>
        <v>6976</v>
      </c>
      <c r="N740" s="29"/>
      <c r="O740" s="44">
        <f t="shared" si="83"/>
        <v>0.24400139909059113</v>
      </c>
    </row>
    <row r="741" spans="1:15" ht="20.100000000000001" customHeight="1" x14ac:dyDescent="0.25">
      <c r="A741" s="89">
        <v>265</v>
      </c>
      <c r="B741" s="4">
        <v>42886</v>
      </c>
      <c r="C741" s="5" t="s">
        <v>248</v>
      </c>
      <c r="D741" s="3">
        <v>15010.96</v>
      </c>
      <c r="E741" s="92">
        <v>42900</v>
      </c>
      <c r="F741" s="92" t="s">
        <v>28</v>
      </c>
      <c r="G741" s="32">
        <v>42886</v>
      </c>
      <c r="H741" s="27">
        <f t="shared" si="81"/>
        <v>15010.96</v>
      </c>
      <c r="I741" s="27">
        <f>H741</f>
        <v>15010.96</v>
      </c>
      <c r="J741" s="27"/>
      <c r="K741" s="99"/>
      <c r="L741" s="27">
        <v>11710</v>
      </c>
      <c r="M741" s="29">
        <f t="shared" si="82"/>
        <v>3300.9599999999991</v>
      </c>
      <c r="N741" s="29">
        <f>M741</f>
        <v>3300.9599999999991</v>
      </c>
      <c r="O741" s="44">
        <f t="shared" si="83"/>
        <v>0.21990332397128493</v>
      </c>
    </row>
    <row r="742" spans="1:15" ht="20.100000000000001" customHeight="1" x14ac:dyDescent="0.25">
      <c r="A742" s="89">
        <v>450</v>
      </c>
      <c r="B742" s="92">
        <v>42900</v>
      </c>
      <c r="C742" s="26" t="s">
        <v>236</v>
      </c>
      <c r="D742" s="3">
        <v>14455</v>
      </c>
      <c r="E742" s="92">
        <v>42901</v>
      </c>
      <c r="F742" s="92" t="s">
        <v>28</v>
      </c>
      <c r="G742" s="32">
        <v>42909</v>
      </c>
      <c r="H742" s="27">
        <f t="shared" si="81"/>
        <v>14455</v>
      </c>
      <c r="I742" s="27"/>
      <c r="J742" s="27"/>
      <c r="K742" s="99"/>
      <c r="L742" s="27">
        <v>10915</v>
      </c>
      <c r="M742" s="29">
        <f t="shared" si="82"/>
        <v>3540</v>
      </c>
      <c r="N742" s="29"/>
      <c r="O742" s="44">
        <f t="shared" si="83"/>
        <v>0.24489795918367346</v>
      </c>
    </row>
    <row r="743" spans="1:15" ht="20.100000000000001" customHeight="1" x14ac:dyDescent="0.25">
      <c r="A743" s="89">
        <v>449</v>
      </c>
      <c r="B743" s="92">
        <v>42900</v>
      </c>
      <c r="C743" s="26" t="s">
        <v>91</v>
      </c>
      <c r="D743" s="3">
        <v>4410</v>
      </c>
      <c r="E743" s="92">
        <v>42901</v>
      </c>
      <c r="F743" s="92" t="s">
        <v>28</v>
      </c>
      <c r="G743" s="32">
        <v>42902</v>
      </c>
      <c r="H743" s="27">
        <f t="shared" si="81"/>
        <v>4410</v>
      </c>
      <c r="I743" s="27"/>
      <c r="J743" s="27"/>
      <c r="K743" s="99"/>
      <c r="L743" s="27">
        <v>3438</v>
      </c>
      <c r="M743" s="29">
        <f t="shared" si="82"/>
        <v>972</v>
      </c>
      <c r="N743" s="29"/>
      <c r="O743" s="44">
        <f t="shared" si="83"/>
        <v>0.22040816326530613</v>
      </c>
    </row>
    <row r="744" spans="1:15" ht="20.100000000000001" customHeight="1" x14ac:dyDescent="0.25">
      <c r="A744" s="89">
        <v>415</v>
      </c>
      <c r="B744" s="92">
        <v>42887</v>
      </c>
      <c r="C744" s="26" t="s">
        <v>265</v>
      </c>
      <c r="D744" s="3">
        <v>4885.79</v>
      </c>
      <c r="E744" s="92">
        <v>42906</v>
      </c>
      <c r="F744" s="92" t="s">
        <v>28</v>
      </c>
      <c r="G744" s="32">
        <v>42922</v>
      </c>
      <c r="H744" s="27">
        <f t="shared" si="81"/>
        <v>4885.79</v>
      </c>
      <c r="I744" s="27"/>
      <c r="J744" s="27"/>
      <c r="K744" s="99"/>
      <c r="L744" s="27">
        <v>3226</v>
      </c>
      <c r="M744" s="29">
        <f t="shared" si="82"/>
        <v>1659.79</v>
      </c>
      <c r="N744" s="29"/>
      <c r="O744" s="44">
        <f t="shared" si="83"/>
        <v>0.33971783478209255</v>
      </c>
    </row>
    <row r="745" spans="1:15" ht="20.100000000000001" customHeight="1" x14ac:dyDescent="0.25">
      <c r="A745" s="89">
        <v>439</v>
      </c>
      <c r="B745" s="92">
        <v>42895</v>
      </c>
      <c r="C745" s="26" t="s">
        <v>137</v>
      </c>
      <c r="D745" s="3">
        <v>2675.3</v>
      </c>
      <c r="E745" s="92">
        <v>42906</v>
      </c>
      <c r="F745" s="92" t="s">
        <v>28</v>
      </c>
      <c r="G745" s="32">
        <v>42944</v>
      </c>
      <c r="H745" s="27">
        <f t="shared" si="81"/>
        <v>2675.3</v>
      </c>
      <c r="I745" s="27"/>
      <c r="J745" s="27"/>
      <c r="K745" s="99"/>
      <c r="L745" s="27">
        <v>2087</v>
      </c>
      <c r="M745" s="29">
        <f t="shared" si="82"/>
        <v>588.30000000000018</v>
      </c>
      <c r="N745" s="29"/>
      <c r="O745" s="44">
        <f t="shared" si="83"/>
        <v>0.21990057189847872</v>
      </c>
    </row>
    <row r="746" spans="1:15" ht="20.100000000000001" customHeight="1" x14ac:dyDescent="0.25">
      <c r="A746" s="89">
        <v>370</v>
      </c>
      <c r="B746" s="4">
        <v>42873</v>
      </c>
      <c r="C746" s="26" t="s">
        <v>56</v>
      </c>
      <c r="D746" s="3">
        <v>740.16</v>
      </c>
      <c r="E746" s="92">
        <v>42907</v>
      </c>
      <c r="F746" s="92" t="s">
        <v>28</v>
      </c>
      <c r="G746" s="32">
        <v>42892</v>
      </c>
      <c r="H746" s="27">
        <f t="shared" si="81"/>
        <v>740.16</v>
      </c>
      <c r="I746" s="27"/>
      <c r="J746" s="27"/>
      <c r="K746" s="99"/>
      <c r="L746" s="27">
        <v>488</v>
      </c>
      <c r="M746" s="29">
        <f t="shared" si="82"/>
        <v>252.15999999999997</v>
      </c>
      <c r="N746" s="29"/>
      <c r="O746" s="44">
        <f t="shared" si="83"/>
        <v>0.34068309554690873</v>
      </c>
    </row>
    <row r="747" spans="1:15" ht="20.100000000000001" customHeight="1" x14ac:dyDescent="0.25">
      <c r="A747" s="89">
        <v>402</v>
      </c>
      <c r="B747" s="4">
        <v>42887</v>
      </c>
      <c r="C747" s="26" t="s">
        <v>56</v>
      </c>
      <c r="D747" s="3">
        <v>42797.23</v>
      </c>
      <c r="E747" s="92">
        <v>42907</v>
      </c>
      <c r="F747" s="92" t="s">
        <v>28</v>
      </c>
      <c r="G747" s="32">
        <v>42892</v>
      </c>
      <c r="H747" s="27">
        <f t="shared" si="81"/>
        <v>42797.23</v>
      </c>
      <c r="I747" s="27"/>
      <c r="J747" s="27"/>
      <c r="K747" s="99"/>
      <c r="L747" s="27">
        <v>24813</v>
      </c>
      <c r="M747" s="29">
        <f t="shared" si="82"/>
        <v>17984.230000000003</v>
      </c>
      <c r="N747" s="29"/>
      <c r="O747" s="44">
        <f t="shared" si="83"/>
        <v>0.42021948616767957</v>
      </c>
    </row>
    <row r="748" spans="1:15" ht="20.100000000000001" customHeight="1" x14ac:dyDescent="0.25">
      <c r="A748" s="89">
        <v>463</v>
      </c>
      <c r="B748" s="92">
        <v>42905</v>
      </c>
      <c r="C748" s="26" t="s">
        <v>180</v>
      </c>
      <c r="D748" s="3">
        <v>1279.3599999999999</v>
      </c>
      <c r="E748" s="92">
        <v>42908</v>
      </c>
      <c r="F748" s="92" t="s">
        <v>28</v>
      </c>
      <c r="G748" s="32">
        <v>42914</v>
      </c>
      <c r="H748" s="27">
        <f t="shared" si="81"/>
        <v>1279.3599999999999</v>
      </c>
      <c r="I748" s="27"/>
      <c r="J748" s="27"/>
      <c r="K748" s="99"/>
      <c r="L748" s="27">
        <v>844</v>
      </c>
      <c r="M748" s="29">
        <f t="shared" si="82"/>
        <v>435.3599999999999</v>
      </c>
      <c r="N748" s="29"/>
      <c r="O748" s="44">
        <f t="shared" si="83"/>
        <v>0.34029514757378682</v>
      </c>
    </row>
    <row r="749" spans="1:15" ht="20.100000000000001" customHeight="1" x14ac:dyDescent="0.25">
      <c r="A749" s="89">
        <v>426</v>
      </c>
      <c r="B749" s="92">
        <v>42891</v>
      </c>
      <c r="C749" s="5" t="s">
        <v>268</v>
      </c>
      <c r="D749" s="3">
        <v>114880</v>
      </c>
      <c r="E749" s="92">
        <v>42912</v>
      </c>
      <c r="F749" s="92" t="s">
        <v>28</v>
      </c>
      <c r="G749" s="32">
        <v>42913</v>
      </c>
      <c r="H749" s="27">
        <f t="shared" si="81"/>
        <v>114880</v>
      </c>
      <c r="I749" s="27">
        <f>H749</f>
        <v>114880</v>
      </c>
      <c r="J749" s="27"/>
      <c r="K749" s="99"/>
      <c r="L749" s="27">
        <v>86850</v>
      </c>
      <c r="M749" s="29">
        <f t="shared" si="82"/>
        <v>28030</v>
      </c>
      <c r="N749" s="29">
        <f>M749</f>
        <v>28030</v>
      </c>
      <c r="O749" s="44">
        <f t="shared" si="83"/>
        <v>0.24399373259052926</v>
      </c>
    </row>
    <row r="750" spans="1:15" ht="20.100000000000001" customHeight="1" x14ac:dyDescent="0.25">
      <c r="A750" s="89">
        <v>480</v>
      </c>
      <c r="B750" s="4">
        <v>42912</v>
      </c>
      <c r="C750" s="5" t="s">
        <v>267</v>
      </c>
      <c r="D750" s="3">
        <v>37636</v>
      </c>
      <c r="E750" s="92">
        <v>42912</v>
      </c>
      <c r="F750" s="92" t="s">
        <v>28</v>
      </c>
      <c r="G750" s="32">
        <v>42913</v>
      </c>
      <c r="H750" s="27">
        <f t="shared" si="81"/>
        <v>37636</v>
      </c>
      <c r="I750" s="27">
        <f>H750</f>
        <v>37636</v>
      </c>
      <c r="J750" s="27"/>
      <c r="K750" s="99"/>
      <c r="L750" s="27">
        <v>28585</v>
      </c>
      <c r="M750" s="29">
        <f t="shared" si="82"/>
        <v>9051</v>
      </c>
      <c r="N750" s="29">
        <f>M750</f>
        <v>9051</v>
      </c>
      <c r="O750" s="44">
        <f t="shared" si="83"/>
        <v>0.24048783080029759</v>
      </c>
    </row>
    <row r="751" spans="1:15" ht="20.100000000000001" customHeight="1" x14ac:dyDescent="0.25">
      <c r="A751" s="89">
        <v>485</v>
      </c>
      <c r="B751" s="4">
        <v>42913</v>
      </c>
      <c r="C751" s="5" t="s">
        <v>269</v>
      </c>
      <c r="D751" s="3">
        <v>11990</v>
      </c>
      <c r="E751" s="92">
        <v>42914</v>
      </c>
      <c r="F751" s="92" t="s">
        <v>28</v>
      </c>
      <c r="G751" s="32">
        <v>42922</v>
      </c>
      <c r="H751" s="27">
        <f t="shared" si="81"/>
        <v>11990</v>
      </c>
      <c r="I751" s="27">
        <f>H751</f>
        <v>11990</v>
      </c>
      <c r="J751" s="27"/>
      <c r="K751" s="99"/>
      <c r="L751" s="27">
        <v>9064</v>
      </c>
      <c r="M751" s="29">
        <f t="shared" si="82"/>
        <v>2926</v>
      </c>
      <c r="N751" s="29">
        <f>M751</f>
        <v>2926</v>
      </c>
      <c r="O751" s="44">
        <f t="shared" si="83"/>
        <v>0.24403669724770644</v>
      </c>
    </row>
    <row r="752" spans="1:15" ht="20.100000000000001" customHeight="1" x14ac:dyDescent="0.25">
      <c r="A752" s="89">
        <v>460</v>
      </c>
      <c r="B752" s="4">
        <v>42905</v>
      </c>
      <c r="C752" s="26" t="s">
        <v>50</v>
      </c>
      <c r="D752" s="3">
        <v>4496.92</v>
      </c>
      <c r="E752" s="92">
        <v>42915</v>
      </c>
      <c r="F752" s="92" t="s">
        <v>28</v>
      </c>
      <c r="G752" s="32">
        <v>42919</v>
      </c>
      <c r="H752" s="27">
        <f t="shared" si="81"/>
        <v>4496.92</v>
      </c>
      <c r="I752" s="27"/>
      <c r="J752" s="27"/>
      <c r="K752" s="99"/>
      <c r="L752" s="27">
        <v>3463</v>
      </c>
      <c r="M752" s="29">
        <f t="shared" si="82"/>
        <v>1033.92</v>
      </c>
      <c r="N752" s="29"/>
      <c r="O752" s="44">
        <f t="shared" si="83"/>
        <v>0.22991736566360976</v>
      </c>
    </row>
    <row r="753" spans="1:15" ht="20.100000000000001" customHeight="1" x14ac:dyDescent="0.25">
      <c r="A753" s="89">
        <v>269</v>
      </c>
      <c r="B753" s="4">
        <v>42843</v>
      </c>
      <c r="C753" s="26" t="s">
        <v>99</v>
      </c>
      <c r="D753" s="3">
        <v>294927.26</v>
      </c>
      <c r="E753" s="92">
        <v>42915</v>
      </c>
      <c r="F753" s="92" t="s">
        <v>28</v>
      </c>
      <c r="G753" s="32">
        <v>42881</v>
      </c>
      <c r="H753" s="27">
        <f t="shared" si="81"/>
        <v>294927.26</v>
      </c>
      <c r="I753" s="27"/>
      <c r="J753" s="27">
        <v>45000</v>
      </c>
      <c r="K753" s="99"/>
      <c r="L753" s="27">
        <v>112724.15</v>
      </c>
      <c r="M753" s="29">
        <f t="shared" si="82"/>
        <v>137203.11000000002</v>
      </c>
      <c r="N753" s="29"/>
      <c r="O753" s="44">
        <f t="shared" si="83"/>
        <v>0.4652099978821897</v>
      </c>
    </row>
    <row r="754" spans="1:15" ht="20.100000000000001" customHeight="1" x14ac:dyDescent="0.25">
      <c r="A754" s="89">
        <v>355</v>
      </c>
      <c r="B754" s="4">
        <v>42872</v>
      </c>
      <c r="C754" s="26" t="s">
        <v>99</v>
      </c>
      <c r="D754" s="3">
        <v>212853.94</v>
      </c>
      <c r="E754" s="92">
        <v>42915</v>
      </c>
      <c r="F754" s="92" t="s">
        <v>28</v>
      </c>
      <c r="G754" s="32">
        <v>42881</v>
      </c>
      <c r="H754" s="27">
        <f t="shared" si="81"/>
        <v>212853.94</v>
      </c>
      <c r="I754" s="27"/>
      <c r="J754" s="27">
        <v>33000</v>
      </c>
      <c r="K754" s="99"/>
      <c r="L754" s="27">
        <v>77900.05</v>
      </c>
      <c r="M754" s="29">
        <f t="shared" si="82"/>
        <v>101953.89000000001</v>
      </c>
      <c r="N754" s="29"/>
      <c r="O754" s="44">
        <f t="shared" si="83"/>
        <v>0.47898521399228039</v>
      </c>
    </row>
    <row r="755" spans="1:15" ht="20.100000000000001" customHeight="1" x14ac:dyDescent="0.25">
      <c r="A755" s="89">
        <v>493</v>
      </c>
      <c r="B755" s="4">
        <v>42915</v>
      </c>
      <c r="C755" s="26" t="s">
        <v>270</v>
      </c>
      <c r="D755" s="3">
        <v>1529</v>
      </c>
      <c r="E755" s="92">
        <v>42915</v>
      </c>
      <c r="F755" s="92" t="s">
        <v>28</v>
      </c>
      <c r="G755" s="32">
        <v>42921</v>
      </c>
      <c r="H755" s="27">
        <f t="shared" si="81"/>
        <v>1529</v>
      </c>
      <c r="I755" s="27"/>
      <c r="J755" s="27"/>
      <c r="K755" s="99"/>
      <c r="L755" s="27">
        <v>1193</v>
      </c>
      <c r="M755" s="29">
        <f t="shared" si="82"/>
        <v>336</v>
      </c>
      <c r="N755" s="29"/>
      <c r="O755" s="44">
        <f t="shared" si="83"/>
        <v>0.21975147155003269</v>
      </c>
    </row>
    <row r="756" spans="1:15" ht="20.100000000000001" customHeight="1" x14ac:dyDescent="0.25">
      <c r="A756" s="89">
        <v>497</v>
      </c>
      <c r="B756" s="4">
        <v>42916</v>
      </c>
      <c r="C756" s="26" t="s">
        <v>209</v>
      </c>
      <c r="D756" s="3">
        <v>3083.8</v>
      </c>
      <c r="E756" s="92">
        <v>42916</v>
      </c>
      <c r="F756" s="92" t="s">
        <v>28</v>
      </c>
      <c r="G756" s="32">
        <v>42930</v>
      </c>
      <c r="H756" s="27">
        <f t="shared" si="81"/>
        <v>3083.8</v>
      </c>
      <c r="I756" s="27"/>
      <c r="J756" s="27"/>
      <c r="K756" s="99"/>
      <c r="L756" s="27">
        <v>2580</v>
      </c>
      <c r="M756" s="29">
        <f t="shared" si="82"/>
        <v>503.80000000000018</v>
      </c>
      <c r="N756" s="29"/>
      <c r="O756" s="44">
        <f t="shared" si="83"/>
        <v>0.16336986834425066</v>
      </c>
    </row>
    <row r="757" spans="1:15" ht="20.100000000000001" customHeight="1" x14ac:dyDescent="0.25">
      <c r="A757" s="89">
        <v>445</v>
      </c>
      <c r="B757" s="4">
        <v>42899</v>
      </c>
      <c r="C757" s="26" t="s">
        <v>202</v>
      </c>
      <c r="D757" s="3">
        <v>14730</v>
      </c>
      <c r="E757" s="92">
        <v>42916</v>
      </c>
      <c r="F757" s="92" t="s">
        <v>28</v>
      </c>
      <c r="G757" s="32">
        <v>42948</v>
      </c>
      <c r="H757" s="27">
        <f t="shared" si="81"/>
        <v>14730</v>
      </c>
      <c r="I757" s="27"/>
      <c r="J757" s="27"/>
      <c r="K757" s="99"/>
      <c r="L757" s="27">
        <v>13604</v>
      </c>
      <c r="M757" s="29">
        <f t="shared" si="82"/>
        <v>1126</v>
      </c>
      <c r="N757" s="29"/>
      <c r="O757" s="44">
        <f t="shared" si="83"/>
        <v>7.6442634080108623E-2</v>
      </c>
    </row>
    <row r="758" spans="1:15" ht="19.5" customHeight="1" x14ac:dyDescent="0.25">
      <c r="A758" s="89"/>
      <c r="B758" s="4"/>
      <c r="C758" s="5"/>
      <c r="D758" s="3"/>
      <c r="E758" s="97">
        <v>70900</v>
      </c>
      <c r="F758" s="98">
        <f>M758*0.17+N758*0.06+8000</f>
        <v>73610.515600000013</v>
      </c>
      <c r="G758" s="21">
        <f>H758*0.05+I758*0.02</f>
        <v>55124.223600000005</v>
      </c>
      <c r="H758" s="16">
        <f t="shared" ref="H758:N758" si="84">SUM(H726:H757)</f>
        <v>986942.44</v>
      </c>
      <c r="I758" s="16">
        <f t="shared" si="84"/>
        <v>288855.07999999996</v>
      </c>
      <c r="J758" s="16">
        <f t="shared" si="84"/>
        <v>78000</v>
      </c>
      <c r="K758" s="16">
        <f t="shared" si="84"/>
        <v>0</v>
      </c>
      <c r="L758" s="16">
        <f t="shared" si="84"/>
        <v>547519.20000000007</v>
      </c>
      <c r="M758" s="16">
        <f t="shared" si="84"/>
        <v>361423.24000000005</v>
      </c>
      <c r="N758" s="16">
        <f t="shared" si="84"/>
        <v>69476.08</v>
      </c>
      <c r="O758" s="44">
        <f t="shared" si="83"/>
        <v>0.36620498354493708</v>
      </c>
    </row>
    <row r="759" spans="1:15" ht="23.25" x14ac:dyDescent="0.35">
      <c r="C759" s="94" t="s">
        <v>641</v>
      </c>
    </row>
    <row r="760" spans="1:15" ht="20.100000000000001" customHeight="1" x14ac:dyDescent="0.25">
      <c r="A760" s="89">
        <v>458</v>
      </c>
      <c r="B760" s="92">
        <v>42902</v>
      </c>
      <c r="C760" s="5" t="s">
        <v>266</v>
      </c>
      <c r="D760" s="3">
        <v>33940</v>
      </c>
      <c r="E760" s="92">
        <v>42919</v>
      </c>
      <c r="F760" s="92" t="s">
        <v>28</v>
      </c>
      <c r="G760" s="32">
        <v>42902</v>
      </c>
      <c r="H760" s="27">
        <f t="shared" ref="H760:H785" si="85">D760</f>
        <v>33940</v>
      </c>
      <c r="I760" s="27">
        <f>H760</f>
        <v>33940</v>
      </c>
      <c r="J760" s="27"/>
      <c r="K760" s="99"/>
      <c r="L760" s="27">
        <v>25726</v>
      </c>
      <c r="M760" s="29">
        <f t="shared" ref="M760:M785" si="86">H760-L760-J760-K760</f>
        <v>8214</v>
      </c>
      <c r="N760" s="29">
        <f>M760</f>
        <v>8214</v>
      </c>
      <c r="O760" s="44">
        <f t="shared" ref="O760:O786" si="87">M760/H760</f>
        <v>0.24201532115497937</v>
      </c>
    </row>
    <row r="761" spans="1:15" ht="20.100000000000001" customHeight="1" x14ac:dyDescent="0.25">
      <c r="A761" s="89">
        <v>330</v>
      </c>
      <c r="B761" s="4">
        <v>42868</v>
      </c>
      <c r="C761" s="26" t="s">
        <v>13</v>
      </c>
      <c r="D761" s="3">
        <v>5299.97</v>
      </c>
      <c r="E761" s="92">
        <v>42920</v>
      </c>
      <c r="F761" s="92" t="s">
        <v>28</v>
      </c>
      <c r="G761" s="32">
        <v>42907</v>
      </c>
      <c r="H761" s="27">
        <f t="shared" si="85"/>
        <v>5299.97</v>
      </c>
      <c r="I761" s="27"/>
      <c r="J761" s="27"/>
      <c r="K761" s="99"/>
      <c r="L761" s="27">
        <v>4229</v>
      </c>
      <c r="M761" s="29">
        <f t="shared" si="86"/>
        <v>1070.9700000000003</v>
      </c>
      <c r="N761" s="29"/>
      <c r="O761" s="44">
        <f t="shared" si="87"/>
        <v>0.20207095511861392</v>
      </c>
    </row>
    <row r="762" spans="1:15" ht="20.100000000000001" customHeight="1" x14ac:dyDescent="0.25">
      <c r="A762" s="89">
        <v>443</v>
      </c>
      <c r="B762" s="4">
        <v>42899</v>
      </c>
      <c r="C762" s="26" t="s">
        <v>13</v>
      </c>
      <c r="D762" s="3">
        <v>8346.5</v>
      </c>
      <c r="E762" s="92">
        <v>42920</v>
      </c>
      <c r="F762" s="92" t="s">
        <v>28</v>
      </c>
      <c r="G762" s="32">
        <v>42907</v>
      </c>
      <c r="H762" s="27">
        <f t="shared" si="85"/>
        <v>8346.5</v>
      </c>
      <c r="I762" s="27"/>
      <c r="J762" s="27"/>
      <c r="K762" s="99"/>
      <c r="L762" s="27">
        <v>6423</v>
      </c>
      <c r="M762" s="29">
        <f t="shared" si="86"/>
        <v>1923.5</v>
      </c>
      <c r="N762" s="29"/>
      <c r="O762" s="44">
        <f t="shared" si="87"/>
        <v>0.2304558797100581</v>
      </c>
    </row>
    <row r="763" spans="1:15" ht="20.100000000000001" customHeight="1" x14ac:dyDescent="0.25">
      <c r="A763" s="89">
        <v>489</v>
      </c>
      <c r="B763" s="4">
        <v>42919</v>
      </c>
      <c r="C763" s="26" t="s">
        <v>217</v>
      </c>
      <c r="D763" s="3">
        <v>34034</v>
      </c>
      <c r="E763" s="92">
        <v>42921</v>
      </c>
      <c r="F763" s="92" t="s">
        <v>28</v>
      </c>
      <c r="G763" s="32">
        <v>42922</v>
      </c>
      <c r="H763" s="27">
        <f t="shared" si="85"/>
        <v>34034</v>
      </c>
      <c r="I763" s="27"/>
      <c r="J763" s="27"/>
      <c r="K763" s="99"/>
      <c r="L763" s="27">
        <v>29869</v>
      </c>
      <c r="M763" s="29">
        <f t="shared" si="86"/>
        <v>4165</v>
      </c>
      <c r="N763" s="29"/>
      <c r="O763" s="44">
        <f t="shared" si="87"/>
        <v>0.12237762237762238</v>
      </c>
    </row>
    <row r="764" spans="1:15" ht="20.100000000000001" customHeight="1" x14ac:dyDescent="0.25">
      <c r="A764" s="89">
        <v>511</v>
      </c>
      <c r="B764" s="4">
        <v>42920</v>
      </c>
      <c r="C764" s="26" t="s">
        <v>71</v>
      </c>
      <c r="D764" s="3">
        <v>2870</v>
      </c>
      <c r="E764" s="92">
        <v>42921</v>
      </c>
      <c r="F764" s="92" t="s">
        <v>28</v>
      </c>
      <c r="G764" s="32">
        <v>42930</v>
      </c>
      <c r="H764" s="27">
        <f t="shared" si="85"/>
        <v>2870</v>
      </c>
      <c r="I764" s="27"/>
      <c r="J764" s="27"/>
      <c r="K764" s="99"/>
      <c r="L764" s="27">
        <v>2354</v>
      </c>
      <c r="M764" s="29">
        <f t="shared" si="86"/>
        <v>516</v>
      </c>
      <c r="N764" s="29"/>
      <c r="O764" s="44">
        <f t="shared" si="87"/>
        <v>0.17979094076655053</v>
      </c>
    </row>
    <row r="765" spans="1:15" ht="19.5" customHeight="1" x14ac:dyDescent="0.25">
      <c r="A765" s="89">
        <v>432</v>
      </c>
      <c r="B765" s="4">
        <v>42893</v>
      </c>
      <c r="C765" s="26" t="s">
        <v>180</v>
      </c>
      <c r="D765" s="3">
        <v>37690.639999999999</v>
      </c>
      <c r="E765" s="92">
        <v>42922</v>
      </c>
      <c r="F765" s="92" t="s">
        <v>28</v>
      </c>
      <c r="G765" s="32">
        <v>42914</v>
      </c>
      <c r="H765" s="27">
        <f t="shared" si="85"/>
        <v>37690.639999999999</v>
      </c>
      <c r="I765" s="27"/>
      <c r="J765" s="27"/>
      <c r="K765" s="99"/>
      <c r="L765" s="27">
        <v>20555.97</v>
      </c>
      <c r="M765" s="29">
        <f t="shared" si="86"/>
        <v>17134.669999999998</v>
      </c>
      <c r="N765" s="29"/>
      <c r="O765" s="44">
        <f t="shared" si="87"/>
        <v>0.45461340003778122</v>
      </c>
    </row>
    <row r="766" spans="1:15" ht="19.5" customHeight="1" x14ac:dyDescent="0.25">
      <c r="A766" s="89">
        <v>495</v>
      </c>
      <c r="B766" s="4">
        <v>42915</v>
      </c>
      <c r="C766" s="26" t="s">
        <v>175</v>
      </c>
      <c r="D766" s="3">
        <v>9764.1</v>
      </c>
      <c r="E766" s="92">
        <v>42923</v>
      </c>
      <c r="F766" s="92" t="s">
        <v>28</v>
      </c>
      <c r="G766" s="32">
        <v>42934</v>
      </c>
      <c r="H766" s="27">
        <f t="shared" si="85"/>
        <v>9764.1</v>
      </c>
      <c r="I766" s="27"/>
      <c r="J766" s="27"/>
      <c r="K766" s="99"/>
      <c r="L766" s="27">
        <v>8016</v>
      </c>
      <c r="M766" s="29">
        <f t="shared" si="86"/>
        <v>1748.1000000000004</v>
      </c>
      <c r="N766" s="29"/>
      <c r="O766" s="44">
        <f t="shared" si="87"/>
        <v>0.17903339785540914</v>
      </c>
    </row>
    <row r="767" spans="1:15" ht="20.100000000000001" customHeight="1" x14ac:dyDescent="0.25">
      <c r="A767" s="89">
        <v>378</v>
      </c>
      <c r="B767" s="4">
        <v>42921</v>
      </c>
      <c r="C767" s="5" t="s">
        <v>271</v>
      </c>
      <c r="D767" s="3">
        <v>52690</v>
      </c>
      <c r="E767" s="92">
        <v>42923</v>
      </c>
      <c r="F767" s="92" t="s">
        <v>28</v>
      </c>
      <c r="G767" s="32">
        <v>42921</v>
      </c>
      <c r="H767" s="27">
        <f t="shared" si="85"/>
        <v>52690</v>
      </c>
      <c r="I767" s="27">
        <f>H767</f>
        <v>52690</v>
      </c>
      <c r="J767" s="27"/>
      <c r="K767" s="99"/>
      <c r="L767" s="27">
        <v>39834</v>
      </c>
      <c r="M767" s="29">
        <f t="shared" si="86"/>
        <v>12856</v>
      </c>
      <c r="N767" s="29">
        <f>M767</f>
        <v>12856</v>
      </c>
      <c r="O767" s="44">
        <f t="shared" si="87"/>
        <v>0.24399316758398179</v>
      </c>
    </row>
    <row r="768" spans="1:15" ht="20.100000000000001" customHeight="1" x14ac:dyDescent="0.25">
      <c r="A768" s="89">
        <v>519</v>
      </c>
      <c r="B768" s="4">
        <v>42922</v>
      </c>
      <c r="C768" s="5" t="s">
        <v>272</v>
      </c>
      <c r="D768" s="3">
        <v>16744</v>
      </c>
      <c r="E768" s="92">
        <v>42926</v>
      </c>
      <c r="F768" s="92" t="s">
        <v>28</v>
      </c>
      <c r="G768" s="32">
        <v>42928</v>
      </c>
      <c r="H768" s="27">
        <f t="shared" si="85"/>
        <v>16744</v>
      </c>
      <c r="I768" s="27">
        <f>H768</f>
        <v>16744</v>
      </c>
      <c r="J768" s="27"/>
      <c r="K768" s="99"/>
      <c r="L768" s="27">
        <v>12635</v>
      </c>
      <c r="M768" s="29">
        <f t="shared" si="86"/>
        <v>4109</v>
      </c>
      <c r="N768" s="29">
        <f>M768</f>
        <v>4109</v>
      </c>
      <c r="O768" s="44">
        <f t="shared" si="87"/>
        <v>0.24540133779264214</v>
      </c>
    </row>
    <row r="769" spans="1:15" ht="20.100000000000001" customHeight="1" x14ac:dyDescent="0.25">
      <c r="A769" s="89">
        <v>441</v>
      </c>
      <c r="B769" s="4">
        <v>42895</v>
      </c>
      <c r="C769" s="26" t="s">
        <v>60</v>
      </c>
      <c r="D769" s="3">
        <v>928.05</v>
      </c>
      <c r="E769" s="92">
        <v>42926</v>
      </c>
      <c r="F769" s="92" t="s">
        <v>28</v>
      </c>
      <c r="G769" s="32">
        <v>42921</v>
      </c>
      <c r="H769" s="27">
        <f t="shared" si="85"/>
        <v>928.05</v>
      </c>
      <c r="I769" s="27"/>
      <c r="J769" s="27"/>
      <c r="K769" s="99"/>
      <c r="L769" s="27">
        <v>610</v>
      </c>
      <c r="M769" s="29">
        <f t="shared" si="86"/>
        <v>318.04999999999995</v>
      </c>
      <c r="N769" s="29"/>
      <c r="O769" s="44">
        <f t="shared" si="87"/>
        <v>0.34270782824201279</v>
      </c>
    </row>
    <row r="770" spans="1:15" ht="20.100000000000001" customHeight="1" x14ac:dyDescent="0.25">
      <c r="A770" s="89">
        <v>397</v>
      </c>
      <c r="B770" s="4">
        <v>42928</v>
      </c>
      <c r="C770" s="5" t="s">
        <v>273</v>
      </c>
      <c r="D770" s="3">
        <v>19651</v>
      </c>
      <c r="E770" s="92">
        <v>42928</v>
      </c>
      <c r="F770" s="92" t="s">
        <v>28</v>
      </c>
      <c r="G770" s="32">
        <v>42928</v>
      </c>
      <c r="H770" s="27">
        <f t="shared" si="85"/>
        <v>19651</v>
      </c>
      <c r="I770" s="27">
        <f>H770</f>
        <v>19651</v>
      </c>
      <c r="J770" s="27"/>
      <c r="K770" s="99"/>
      <c r="L770" s="27">
        <v>16099</v>
      </c>
      <c r="M770" s="29">
        <f t="shared" si="86"/>
        <v>3552</v>
      </c>
      <c r="N770" s="29">
        <f>M770</f>
        <v>3552</v>
      </c>
      <c r="O770" s="44">
        <f t="shared" si="87"/>
        <v>0.1807541600936339</v>
      </c>
    </row>
    <row r="771" spans="1:15" ht="20.100000000000001" customHeight="1" x14ac:dyDescent="0.25">
      <c r="A771" s="89">
        <v>524</v>
      </c>
      <c r="B771" s="4">
        <v>42926</v>
      </c>
      <c r="C771" s="26" t="s">
        <v>274</v>
      </c>
      <c r="D771" s="3">
        <v>15990</v>
      </c>
      <c r="E771" s="92">
        <v>42928</v>
      </c>
      <c r="F771" s="92" t="s">
        <v>28</v>
      </c>
      <c r="G771" s="32">
        <v>42929</v>
      </c>
      <c r="H771" s="27">
        <f t="shared" si="85"/>
        <v>15990</v>
      </c>
      <c r="I771" s="27"/>
      <c r="J771" s="27"/>
      <c r="K771" s="99"/>
      <c r="L771" s="27">
        <v>12088</v>
      </c>
      <c r="M771" s="29">
        <f t="shared" si="86"/>
        <v>3902</v>
      </c>
      <c r="N771" s="29"/>
      <c r="O771" s="44">
        <f t="shared" si="87"/>
        <v>0.24402751719824892</v>
      </c>
    </row>
    <row r="772" spans="1:15" ht="20.100000000000001" customHeight="1" x14ac:dyDescent="0.25">
      <c r="A772" s="89">
        <v>525</v>
      </c>
      <c r="B772" s="4">
        <v>42926</v>
      </c>
      <c r="C772" s="26" t="s">
        <v>60</v>
      </c>
      <c r="D772" s="3">
        <v>5068</v>
      </c>
      <c r="E772" s="92">
        <v>42933</v>
      </c>
      <c r="F772" s="92" t="s">
        <v>28</v>
      </c>
      <c r="G772" s="32">
        <v>42927</v>
      </c>
      <c r="H772" s="27">
        <f t="shared" si="85"/>
        <v>5068</v>
      </c>
      <c r="I772" s="27"/>
      <c r="J772" s="27"/>
      <c r="K772" s="99"/>
      <c r="L772" s="27">
        <v>3956</v>
      </c>
      <c r="M772" s="29">
        <f t="shared" si="86"/>
        <v>1112</v>
      </c>
      <c r="N772" s="29"/>
      <c r="O772" s="44">
        <f t="shared" si="87"/>
        <v>0.21941594317284924</v>
      </c>
    </row>
    <row r="773" spans="1:15" ht="20.100000000000001" customHeight="1" x14ac:dyDescent="0.25">
      <c r="A773" s="89">
        <v>528</v>
      </c>
      <c r="B773" s="4">
        <v>42927</v>
      </c>
      <c r="C773" s="26" t="s">
        <v>275</v>
      </c>
      <c r="D773" s="3">
        <v>32878.980000000003</v>
      </c>
      <c r="E773" s="92">
        <v>42935</v>
      </c>
      <c r="F773" s="92" t="s">
        <v>28</v>
      </c>
      <c r="G773" s="32">
        <v>43166</v>
      </c>
      <c r="H773" s="27">
        <f t="shared" si="85"/>
        <v>32878.980000000003</v>
      </c>
      <c r="I773" s="27"/>
      <c r="J773" s="27"/>
      <c r="K773" s="99"/>
      <c r="L773" s="27">
        <v>25644</v>
      </c>
      <c r="M773" s="29">
        <f t="shared" si="86"/>
        <v>7234.9800000000032</v>
      </c>
      <c r="N773" s="29"/>
      <c r="O773" s="44">
        <f t="shared" si="87"/>
        <v>0.22004879713421774</v>
      </c>
    </row>
    <row r="774" spans="1:15" ht="20.100000000000001" customHeight="1" x14ac:dyDescent="0.25">
      <c r="A774" s="89">
        <v>425</v>
      </c>
      <c r="B774" s="4">
        <v>42891</v>
      </c>
      <c r="C774" s="26" t="s">
        <v>56</v>
      </c>
      <c r="D774" s="3">
        <v>39483.43</v>
      </c>
      <c r="E774" s="92">
        <v>42935</v>
      </c>
      <c r="F774" s="92" t="s">
        <v>28</v>
      </c>
      <c r="G774" s="32">
        <v>42922</v>
      </c>
      <c r="H774" s="27">
        <f t="shared" si="85"/>
        <v>39483.43</v>
      </c>
      <c r="I774" s="27"/>
      <c r="J774" s="27"/>
      <c r="K774" s="99"/>
      <c r="L774" s="27">
        <v>25844</v>
      </c>
      <c r="M774" s="29">
        <f t="shared" si="86"/>
        <v>13639.43</v>
      </c>
      <c r="N774" s="29"/>
      <c r="O774" s="44">
        <f t="shared" si="87"/>
        <v>0.34544693812062427</v>
      </c>
    </row>
    <row r="775" spans="1:15" ht="20.100000000000001" customHeight="1" x14ac:dyDescent="0.25">
      <c r="A775" s="89">
        <v>554</v>
      </c>
      <c r="B775" s="4">
        <v>42930</v>
      </c>
      <c r="C775" s="26" t="s">
        <v>139</v>
      </c>
      <c r="D775" s="3">
        <v>10400</v>
      </c>
      <c r="E775" s="92">
        <v>42936</v>
      </c>
      <c r="F775" s="92" t="s">
        <v>28</v>
      </c>
      <c r="G775" s="32">
        <v>42942</v>
      </c>
      <c r="H775" s="27">
        <f t="shared" si="85"/>
        <v>10400</v>
      </c>
      <c r="I775" s="27"/>
      <c r="J775" s="27"/>
      <c r="K775" s="99"/>
      <c r="L775" s="27">
        <v>4192</v>
      </c>
      <c r="M775" s="29">
        <f t="shared" si="86"/>
        <v>6208</v>
      </c>
      <c r="N775" s="29"/>
      <c r="O775" s="44">
        <f t="shared" si="87"/>
        <v>0.59692307692307689</v>
      </c>
    </row>
    <row r="776" spans="1:15" ht="20.100000000000001" customHeight="1" x14ac:dyDescent="0.25">
      <c r="A776" s="89">
        <v>509</v>
      </c>
      <c r="B776" s="4">
        <v>42920</v>
      </c>
      <c r="C776" s="26" t="s">
        <v>11</v>
      </c>
      <c r="D776" s="3">
        <v>22199</v>
      </c>
      <c r="E776" s="92">
        <v>42936</v>
      </c>
      <c r="F776" s="92" t="s">
        <v>28</v>
      </c>
      <c r="G776" s="32">
        <v>42940</v>
      </c>
      <c r="H776" s="27">
        <f t="shared" si="85"/>
        <v>22199</v>
      </c>
      <c r="I776" s="27"/>
      <c r="J776" s="27"/>
      <c r="K776" s="99"/>
      <c r="L776" s="27">
        <v>16782</v>
      </c>
      <c r="M776" s="29">
        <f t="shared" si="86"/>
        <v>5417</v>
      </c>
      <c r="N776" s="29"/>
      <c r="O776" s="44">
        <f t="shared" si="87"/>
        <v>0.24402000090094147</v>
      </c>
    </row>
    <row r="777" spans="1:15" ht="20.100000000000001" customHeight="1" x14ac:dyDescent="0.25">
      <c r="A777" s="89">
        <v>521</v>
      </c>
      <c r="B777" s="4">
        <v>42923</v>
      </c>
      <c r="C777" s="26" t="s">
        <v>180</v>
      </c>
      <c r="D777" s="3">
        <v>10500</v>
      </c>
      <c r="E777" s="92">
        <v>42936</v>
      </c>
      <c r="F777" s="92" t="s">
        <v>28</v>
      </c>
      <c r="G777" s="32">
        <v>42942</v>
      </c>
      <c r="H777" s="27">
        <f t="shared" si="85"/>
        <v>10500</v>
      </c>
      <c r="I777" s="27"/>
      <c r="J777" s="27"/>
      <c r="K777" s="99"/>
      <c r="L777" s="27">
        <v>6300</v>
      </c>
      <c r="M777" s="29">
        <f t="shared" si="86"/>
        <v>4200</v>
      </c>
      <c r="N777" s="29"/>
      <c r="O777" s="44">
        <f t="shared" si="87"/>
        <v>0.4</v>
      </c>
    </row>
    <row r="778" spans="1:15" ht="20.100000000000001" customHeight="1" x14ac:dyDescent="0.25">
      <c r="A778" s="89">
        <v>443</v>
      </c>
      <c r="B778" s="4">
        <v>42899</v>
      </c>
      <c r="C778" s="26" t="s">
        <v>13</v>
      </c>
      <c r="D778" s="3">
        <v>2100.04</v>
      </c>
      <c r="E778" s="92">
        <v>42937</v>
      </c>
      <c r="F778" s="92" t="s">
        <v>28</v>
      </c>
      <c r="G778" s="32">
        <v>42927</v>
      </c>
      <c r="H778" s="27">
        <f t="shared" si="85"/>
        <v>2100.04</v>
      </c>
      <c r="I778" s="27"/>
      <c r="J778" s="27"/>
      <c r="K778" s="99"/>
      <c r="L778" s="27">
        <v>1638</v>
      </c>
      <c r="M778" s="29">
        <f t="shared" si="86"/>
        <v>462.03999999999996</v>
      </c>
      <c r="N778" s="29"/>
      <c r="O778" s="44">
        <f t="shared" si="87"/>
        <v>0.22001485685986932</v>
      </c>
    </row>
    <row r="779" spans="1:15" ht="20.100000000000001" customHeight="1" x14ac:dyDescent="0.25">
      <c r="A779" s="89">
        <v>453</v>
      </c>
      <c r="B779" s="4">
        <v>43000</v>
      </c>
      <c r="C779" s="26" t="s">
        <v>13</v>
      </c>
      <c r="D779" s="3">
        <v>2094.2600000000002</v>
      </c>
      <c r="E779" s="92">
        <v>42937</v>
      </c>
      <c r="F779" s="92" t="s">
        <v>28</v>
      </c>
      <c r="G779" s="32">
        <v>42927</v>
      </c>
      <c r="H779" s="27">
        <f t="shared" si="85"/>
        <v>2094.2600000000002</v>
      </c>
      <c r="I779" s="27"/>
      <c r="J779" s="27"/>
      <c r="K779" s="99"/>
      <c r="L779" s="27">
        <v>1507</v>
      </c>
      <c r="M779" s="29">
        <f t="shared" si="86"/>
        <v>587.26000000000022</v>
      </c>
      <c r="N779" s="29"/>
      <c r="O779" s="44">
        <f t="shared" si="87"/>
        <v>0.28041408421112957</v>
      </c>
    </row>
    <row r="780" spans="1:15" ht="20.100000000000001" customHeight="1" x14ac:dyDescent="0.25">
      <c r="A780" s="89">
        <v>330</v>
      </c>
      <c r="B780" s="4">
        <v>42868</v>
      </c>
      <c r="C780" s="26" t="s">
        <v>13</v>
      </c>
      <c r="D780" s="3">
        <v>3046.53</v>
      </c>
      <c r="E780" s="92">
        <v>42937</v>
      </c>
      <c r="F780" s="92" t="s">
        <v>28</v>
      </c>
      <c r="G780" s="32">
        <v>42927</v>
      </c>
      <c r="H780" s="27">
        <f t="shared" si="85"/>
        <v>3046.53</v>
      </c>
      <c r="I780" s="27"/>
      <c r="J780" s="27"/>
      <c r="K780" s="99"/>
      <c r="L780" s="27">
        <v>2194</v>
      </c>
      <c r="M780" s="29">
        <f t="shared" si="86"/>
        <v>852.5300000000002</v>
      </c>
      <c r="N780" s="29"/>
      <c r="O780" s="44">
        <f t="shared" si="87"/>
        <v>0.2798364040400062</v>
      </c>
    </row>
    <row r="781" spans="1:15" ht="20.100000000000001" customHeight="1" x14ac:dyDescent="0.25">
      <c r="A781" s="89">
        <v>346</v>
      </c>
      <c r="B781" s="4">
        <v>42894</v>
      </c>
      <c r="C781" s="26" t="s">
        <v>56</v>
      </c>
      <c r="D781" s="3">
        <v>120950</v>
      </c>
      <c r="E781" s="92">
        <v>42941</v>
      </c>
      <c r="F781" s="92" t="s">
        <v>28</v>
      </c>
      <c r="G781" s="32">
        <v>42922</v>
      </c>
      <c r="H781" s="27">
        <f t="shared" si="85"/>
        <v>120950</v>
      </c>
      <c r="I781" s="27"/>
      <c r="J781" s="27"/>
      <c r="K781" s="99"/>
      <c r="L781" s="27">
        <v>94266</v>
      </c>
      <c r="M781" s="29">
        <f t="shared" si="86"/>
        <v>26684</v>
      </c>
      <c r="N781" s="29"/>
      <c r="O781" s="44">
        <f t="shared" si="87"/>
        <v>0.22062009094667218</v>
      </c>
    </row>
    <row r="782" spans="1:15" ht="20.100000000000001" customHeight="1" x14ac:dyDescent="0.25">
      <c r="A782" s="89">
        <v>586</v>
      </c>
      <c r="B782" s="4">
        <v>42940</v>
      </c>
      <c r="C782" s="26" t="s">
        <v>236</v>
      </c>
      <c r="D782" s="3">
        <v>18490</v>
      </c>
      <c r="E782" s="92">
        <v>42941</v>
      </c>
      <c r="F782" s="92" t="s">
        <v>28</v>
      </c>
      <c r="G782" s="32">
        <v>42944</v>
      </c>
      <c r="H782" s="27">
        <f t="shared" si="85"/>
        <v>18490</v>
      </c>
      <c r="I782" s="27"/>
      <c r="J782" s="27"/>
      <c r="K782" s="99"/>
      <c r="L782" s="27">
        <v>13338</v>
      </c>
      <c r="M782" s="29">
        <f t="shared" si="86"/>
        <v>5152</v>
      </c>
      <c r="N782" s="29"/>
      <c r="O782" s="44">
        <f t="shared" si="87"/>
        <v>0.27863710113574908</v>
      </c>
    </row>
    <row r="783" spans="1:15" ht="20.100000000000001" customHeight="1" x14ac:dyDescent="0.25">
      <c r="A783" s="89">
        <v>345</v>
      </c>
      <c r="B783" s="4">
        <v>42887</v>
      </c>
      <c r="C783" s="26" t="s">
        <v>99</v>
      </c>
      <c r="D783" s="3">
        <v>604750</v>
      </c>
      <c r="E783" s="92">
        <v>42943</v>
      </c>
      <c r="F783" s="92" t="s">
        <v>28</v>
      </c>
      <c r="G783" s="32">
        <v>42920</v>
      </c>
      <c r="H783" s="27">
        <f t="shared" si="85"/>
        <v>604750</v>
      </c>
      <c r="I783" s="27"/>
      <c r="J783" s="27">
        <v>10000</v>
      </c>
      <c r="K783" s="99"/>
      <c r="L783" s="27">
        <v>471330</v>
      </c>
      <c r="M783" s="29">
        <f t="shared" si="86"/>
        <v>123420</v>
      </c>
      <c r="N783" s="29"/>
      <c r="O783" s="44">
        <f t="shared" si="87"/>
        <v>0.20408433236874743</v>
      </c>
    </row>
    <row r="784" spans="1:15" ht="20.100000000000001" customHeight="1" x14ac:dyDescent="0.25">
      <c r="A784" s="89">
        <v>575</v>
      </c>
      <c r="B784" s="4">
        <v>42937</v>
      </c>
      <c r="C784" s="26" t="s">
        <v>65</v>
      </c>
      <c r="D784" s="3">
        <v>99147</v>
      </c>
      <c r="E784" s="92">
        <v>42943</v>
      </c>
      <c r="F784" s="92" t="s">
        <v>28</v>
      </c>
      <c r="G784" s="32">
        <v>42944</v>
      </c>
      <c r="H784" s="27">
        <f t="shared" si="85"/>
        <v>99147</v>
      </c>
      <c r="I784" s="27"/>
      <c r="J784" s="27"/>
      <c r="K784" s="99">
        <f>600*3</f>
        <v>1800</v>
      </c>
      <c r="L784" s="27">
        <v>73096</v>
      </c>
      <c r="M784" s="29">
        <f t="shared" si="86"/>
        <v>24251</v>
      </c>
      <c r="N784" s="29"/>
      <c r="O784" s="44">
        <f t="shared" si="87"/>
        <v>0.2445964073547359</v>
      </c>
    </row>
    <row r="785" spans="1:15" ht="20.100000000000001" customHeight="1" x14ac:dyDescent="0.25">
      <c r="A785" s="89">
        <v>599</v>
      </c>
      <c r="B785" s="4">
        <v>42943</v>
      </c>
      <c r="C785" s="26" t="s">
        <v>276</v>
      </c>
      <c r="D785" s="3">
        <v>2286</v>
      </c>
      <c r="E785" s="92">
        <v>42943</v>
      </c>
      <c r="F785" s="92" t="s">
        <v>28</v>
      </c>
      <c r="G785" s="32">
        <v>42944</v>
      </c>
      <c r="H785" s="27">
        <f t="shared" si="85"/>
        <v>2286</v>
      </c>
      <c r="I785" s="27"/>
      <c r="J785" s="27"/>
      <c r="K785" s="99"/>
      <c r="L785" s="27">
        <v>1340</v>
      </c>
      <c r="M785" s="29">
        <f t="shared" si="86"/>
        <v>946</v>
      </c>
      <c r="N785" s="29"/>
      <c r="O785" s="44">
        <f t="shared" si="87"/>
        <v>0.41382327209098863</v>
      </c>
    </row>
    <row r="786" spans="1:15" ht="19.5" customHeight="1" x14ac:dyDescent="0.25">
      <c r="A786" s="89"/>
      <c r="B786" s="4"/>
      <c r="C786" s="5"/>
      <c r="D786" s="3"/>
      <c r="E786" s="97">
        <v>57400</v>
      </c>
      <c r="F786" s="98">
        <f>M786*0.17+N786*0.06+8000</f>
        <v>57268.700100000009</v>
      </c>
      <c r="G786" s="21">
        <f>H786*0.05+I786*0.02</f>
        <v>63027.575000000004</v>
      </c>
      <c r="H786" s="16">
        <f t="shared" ref="H786:N786" si="88">SUM(H760:H785)</f>
        <v>1211341.5</v>
      </c>
      <c r="I786" s="16">
        <f t="shared" si="88"/>
        <v>123025</v>
      </c>
      <c r="J786" s="16">
        <f t="shared" si="88"/>
        <v>10000</v>
      </c>
      <c r="K786" s="16">
        <f t="shared" si="88"/>
        <v>1800</v>
      </c>
      <c r="L786" s="16">
        <f t="shared" si="88"/>
        <v>919865.97</v>
      </c>
      <c r="M786" s="16">
        <f t="shared" si="88"/>
        <v>279675.53000000003</v>
      </c>
      <c r="N786" s="16">
        <f t="shared" si="88"/>
        <v>28731</v>
      </c>
      <c r="O786" s="44">
        <f t="shared" si="87"/>
        <v>0.23088082922941222</v>
      </c>
    </row>
    <row r="787" spans="1:15" ht="23.25" x14ac:dyDescent="0.35">
      <c r="C787" s="94" t="s">
        <v>642</v>
      </c>
    </row>
    <row r="788" spans="1:15" ht="20.100000000000001" customHeight="1" x14ac:dyDescent="0.25">
      <c r="A788" s="89">
        <v>594</v>
      </c>
      <c r="B788" s="4">
        <v>42942</v>
      </c>
      <c r="C788" s="26" t="s">
        <v>228</v>
      </c>
      <c r="D788" s="3">
        <v>14903.97</v>
      </c>
      <c r="E788" s="92">
        <v>42948</v>
      </c>
      <c r="F788" s="92" t="s">
        <v>28</v>
      </c>
      <c r="G788" s="32">
        <v>42956</v>
      </c>
      <c r="H788" s="27">
        <f t="shared" ref="H788:H827" si="89">D788</f>
        <v>14903.97</v>
      </c>
      <c r="I788" s="27"/>
      <c r="J788" s="27"/>
      <c r="K788" s="99"/>
      <c r="L788" s="27">
        <v>9837</v>
      </c>
      <c r="M788" s="29">
        <f t="shared" ref="M788:M827" si="90">H788-L788-J788-K788</f>
        <v>5066.9699999999993</v>
      </c>
      <c r="N788" s="29"/>
      <c r="O788" s="44">
        <f t="shared" ref="O788:O828" si="91">M788/H788</f>
        <v>0.33997451685691799</v>
      </c>
    </row>
    <row r="789" spans="1:15" ht="20.100000000000001" customHeight="1" x14ac:dyDescent="0.25">
      <c r="A789" s="89">
        <v>607</v>
      </c>
      <c r="B789" s="4">
        <v>42948</v>
      </c>
      <c r="C789" s="5" t="s">
        <v>277</v>
      </c>
      <c r="D789" s="3">
        <v>11799</v>
      </c>
      <c r="E789" s="92">
        <v>42948</v>
      </c>
      <c r="F789" s="92" t="s">
        <v>28</v>
      </c>
      <c r="G789" s="32">
        <v>42949</v>
      </c>
      <c r="H789" s="27">
        <f t="shared" si="89"/>
        <v>11799</v>
      </c>
      <c r="I789" s="27">
        <f>H789</f>
        <v>11799</v>
      </c>
      <c r="J789" s="27"/>
      <c r="K789" s="99"/>
      <c r="L789" s="27">
        <v>8920</v>
      </c>
      <c r="M789" s="29">
        <f t="shared" si="90"/>
        <v>2879</v>
      </c>
      <c r="N789" s="29">
        <f>M789</f>
        <v>2879</v>
      </c>
      <c r="O789" s="44">
        <f t="shared" si="91"/>
        <v>0.24400372912958726</v>
      </c>
    </row>
    <row r="790" spans="1:15" ht="20.100000000000001" customHeight="1" x14ac:dyDescent="0.25">
      <c r="A790" s="89">
        <v>503</v>
      </c>
      <c r="B790" s="4">
        <v>42920</v>
      </c>
      <c r="C790" s="26" t="s">
        <v>176</v>
      </c>
      <c r="D790" s="3">
        <v>9390</v>
      </c>
      <c r="E790" s="92">
        <v>42950</v>
      </c>
      <c r="F790" s="92" t="s">
        <v>28</v>
      </c>
      <c r="G790" s="32">
        <v>42933</v>
      </c>
      <c r="H790" s="27">
        <f t="shared" si="89"/>
        <v>9390</v>
      </c>
      <c r="I790" s="27"/>
      <c r="J790" s="27"/>
      <c r="K790" s="99"/>
      <c r="L790" s="27">
        <v>6902</v>
      </c>
      <c r="M790" s="29">
        <f t="shared" si="90"/>
        <v>2488</v>
      </c>
      <c r="N790" s="29"/>
      <c r="O790" s="44">
        <f t="shared" si="91"/>
        <v>0.26496272630457934</v>
      </c>
    </row>
    <row r="791" spans="1:15" ht="20.100000000000001" customHeight="1" x14ac:dyDescent="0.25">
      <c r="A791" s="89">
        <v>605</v>
      </c>
      <c r="B791" s="4">
        <v>42948</v>
      </c>
      <c r="C791" s="26" t="s">
        <v>278</v>
      </c>
      <c r="D791" s="3">
        <v>10344</v>
      </c>
      <c r="E791" s="92">
        <v>42950</v>
      </c>
      <c r="F791" s="92" t="s">
        <v>28</v>
      </c>
      <c r="G791" s="32">
        <v>42951</v>
      </c>
      <c r="H791" s="27">
        <f t="shared" si="89"/>
        <v>10344</v>
      </c>
      <c r="I791" s="27"/>
      <c r="J791" s="27"/>
      <c r="K791" s="99"/>
      <c r="L791" s="27">
        <v>8288</v>
      </c>
      <c r="M791" s="29">
        <f t="shared" si="90"/>
        <v>2056</v>
      </c>
      <c r="N791" s="29"/>
      <c r="O791" s="44">
        <f t="shared" si="91"/>
        <v>0.19876256767208042</v>
      </c>
    </row>
    <row r="792" spans="1:15" ht="20.100000000000001" customHeight="1" x14ac:dyDescent="0.25">
      <c r="A792" s="89">
        <v>622</v>
      </c>
      <c r="B792" s="4">
        <v>42950</v>
      </c>
      <c r="C792" s="26" t="s">
        <v>118</v>
      </c>
      <c r="D792" s="3">
        <v>10624.15</v>
      </c>
      <c r="E792" s="92">
        <v>42951</v>
      </c>
      <c r="F792" s="92" t="s">
        <v>28</v>
      </c>
      <c r="G792" s="32">
        <v>42954</v>
      </c>
      <c r="H792" s="27">
        <f t="shared" si="89"/>
        <v>10624.15</v>
      </c>
      <c r="I792" s="27"/>
      <c r="J792" s="27"/>
      <c r="K792" s="99"/>
      <c r="L792" s="27">
        <v>8920</v>
      </c>
      <c r="M792" s="29">
        <f t="shared" si="90"/>
        <v>1704.1499999999996</v>
      </c>
      <c r="N792" s="29"/>
      <c r="O792" s="44">
        <f t="shared" si="91"/>
        <v>0.1604034205089348</v>
      </c>
    </row>
    <row r="793" spans="1:15" ht="20.100000000000001" customHeight="1" x14ac:dyDescent="0.25">
      <c r="A793" s="89">
        <v>619</v>
      </c>
      <c r="B793" s="4">
        <v>42950</v>
      </c>
      <c r="C793" s="26" t="s">
        <v>279</v>
      </c>
      <c r="D793" s="3">
        <v>5790</v>
      </c>
      <c r="E793" s="92">
        <v>42951</v>
      </c>
      <c r="F793" s="92" t="s">
        <v>28</v>
      </c>
      <c r="G793" s="32">
        <v>42954</v>
      </c>
      <c r="H793" s="27">
        <f t="shared" si="89"/>
        <v>5790</v>
      </c>
      <c r="I793" s="27"/>
      <c r="J793" s="27"/>
      <c r="K793" s="99"/>
      <c r="L793" s="27">
        <v>4075</v>
      </c>
      <c r="M793" s="29">
        <f t="shared" si="90"/>
        <v>1715</v>
      </c>
      <c r="N793" s="29"/>
      <c r="O793" s="44">
        <f t="shared" si="91"/>
        <v>0.29620034542314333</v>
      </c>
    </row>
    <row r="794" spans="1:15" ht="20.100000000000001" customHeight="1" x14ac:dyDescent="0.25">
      <c r="A794" s="89">
        <v>612</v>
      </c>
      <c r="B794" s="4">
        <v>42949</v>
      </c>
      <c r="C794" s="26" t="s">
        <v>270</v>
      </c>
      <c r="D794" s="3">
        <v>2230</v>
      </c>
      <c r="E794" s="92">
        <v>42951</v>
      </c>
      <c r="F794" s="92" t="s">
        <v>28</v>
      </c>
      <c r="G794" s="32">
        <v>42955</v>
      </c>
      <c r="H794" s="27">
        <f t="shared" si="89"/>
        <v>2230</v>
      </c>
      <c r="I794" s="27"/>
      <c r="J794" s="27"/>
      <c r="K794" s="99"/>
      <c r="L794" s="27">
        <v>1615</v>
      </c>
      <c r="M794" s="29">
        <f t="shared" si="90"/>
        <v>615</v>
      </c>
      <c r="N794" s="29"/>
      <c r="O794" s="44">
        <f t="shared" si="91"/>
        <v>0.27578475336322872</v>
      </c>
    </row>
    <row r="795" spans="1:15" ht="20.100000000000001" customHeight="1" x14ac:dyDescent="0.25">
      <c r="A795" s="89">
        <v>610</v>
      </c>
      <c r="B795" s="4">
        <v>42949</v>
      </c>
      <c r="C795" s="26" t="s">
        <v>60</v>
      </c>
      <c r="D795" s="3">
        <v>22631.64</v>
      </c>
      <c r="E795" s="92">
        <v>42955</v>
      </c>
      <c r="F795" s="92" t="s">
        <v>28</v>
      </c>
      <c r="G795" s="32">
        <v>42950</v>
      </c>
      <c r="H795" s="27">
        <f t="shared" si="89"/>
        <v>22631.64</v>
      </c>
      <c r="I795" s="27"/>
      <c r="J795" s="27"/>
      <c r="K795" s="99"/>
      <c r="L795" s="27">
        <v>8634</v>
      </c>
      <c r="M795" s="29">
        <f t="shared" si="90"/>
        <v>13997.64</v>
      </c>
      <c r="N795" s="29"/>
      <c r="O795" s="44">
        <f t="shared" si="91"/>
        <v>0.61849870358489267</v>
      </c>
    </row>
    <row r="796" spans="1:15" ht="20.100000000000001" customHeight="1" x14ac:dyDescent="0.25">
      <c r="A796" s="89">
        <v>637</v>
      </c>
      <c r="B796" s="4">
        <v>42955</v>
      </c>
      <c r="C796" s="26" t="s">
        <v>236</v>
      </c>
      <c r="D796" s="3">
        <v>553</v>
      </c>
      <c r="E796" s="92">
        <v>42955</v>
      </c>
      <c r="F796" s="92" t="s">
        <v>28</v>
      </c>
      <c r="G796" s="32">
        <v>42958</v>
      </c>
      <c r="H796" s="27">
        <f t="shared" si="89"/>
        <v>553</v>
      </c>
      <c r="I796" s="27"/>
      <c r="J796" s="27"/>
      <c r="K796" s="99"/>
      <c r="L796" s="27">
        <v>400</v>
      </c>
      <c r="M796" s="29">
        <f t="shared" si="90"/>
        <v>153</v>
      </c>
      <c r="N796" s="29"/>
      <c r="O796" s="44">
        <f t="shared" si="91"/>
        <v>0.27667269439421338</v>
      </c>
    </row>
    <row r="797" spans="1:15" ht="20.100000000000001" customHeight="1" x14ac:dyDescent="0.25">
      <c r="A797" s="89">
        <v>522</v>
      </c>
      <c r="B797" s="4">
        <v>42923</v>
      </c>
      <c r="C797" s="26" t="s">
        <v>175</v>
      </c>
      <c r="D797" s="3">
        <v>18156.400000000001</v>
      </c>
      <c r="E797" s="92">
        <v>42956</v>
      </c>
      <c r="F797" s="92" t="s">
        <v>28</v>
      </c>
      <c r="G797" s="32">
        <v>42957</v>
      </c>
      <c r="H797" s="27">
        <f t="shared" si="89"/>
        <v>18156.400000000001</v>
      </c>
      <c r="I797" s="27"/>
      <c r="J797" s="27"/>
      <c r="K797" s="99"/>
      <c r="L797" s="27">
        <v>13752</v>
      </c>
      <c r="M797" s="29">
        <f t="shared" si="90"/>
        <v>4404.4000000000015</v>
      </c>
      <c r="N797" s="29"/>
      <c r="O797" s="44">
        <f t="shared" si="91"/>
        <v>0.24258112841752777</v>
      </c>
    </row>
    <row r="798" spans="1:15" ht="20.100000000000001" customHeight="1" x14ac:dyDescent="0.25">
      <c r="A798" s="89">
        <v>641</v>
      </c>
      <c r="B798" s="4">
        <v>42957</v>
      </c>
      <c r="C798" s="26" t="s">
        <v>46</v>
      </c>
      <c r="D798" s="3">
        <v>3555</v>
      </c>
      <c r="E798" s="92">
        <v>42958</v>
      </c>
      <c r="F798" s="92" t="s">
        <v>28</v>
      </c>
      <c r="G798" s="32">
        <v>42961</v>
      </c>
      <c r="H798" s="27">
        <f t="shared" si="89"/>
        <v>3555</v>
      </c>
      <c r="I798" s="27"/>
      <c r="J798" s="27"/>
      <c r="K798" s="99"/>
      <c r="L798" s="27">
        <v>2004</v>
      </c>
      <c r="M798" s="29">
        <f t="shared" si="90"/>
        <v>1551</v>
      </c>
      <c r="N798" s="29"/>
      <c r="O798" s="44">
        <f t="shared" si="91"/>
        <v>0.43628691983122364</v>
      </c>
    </row>
    <row r="799" spans="1:15" ht="20.100000000000001" customHeight="1" x14ac:dyDescent="0.25">
      <c r="A799" s="89">
        <v>651</v>
      </c>
      <c r="B799" s="4">
        <v>42961</v>
      </c>
      <c r="C799" s="26" t="s">
        <v>281</v>
      </c>
      <c r="D799" s="3">
        <v>1036</v>
      </c>
      <c r="E799" s="92">
        <v>42961</v>
      </c>
      <c r="F799" s="92" t="s">
        <v>28</v>
      </c>
      <c r="G799" s="32">
        <v>42961</v>
      </c>
      <c r="H799" s="27">
        <f t="shared" si="89"/>
        <v>1036</v>
      </c>
      <c r="I799" s="27"/>
      <c r="J799" s="27"/>
      <c r="K799" s="99"/>
      <c r="L799" s="27">
        <v>750</v>
      </c>
      <c r="M799" s="29">
        <f t="shared" si="90"/>
        <v>286</v>
      </c>
      <c r="N799" s="29"/>
      <c r="O799" s="44">
        <f t="shared" si="91"/>
        <v>0.27606177606177607</v>
      </c>
    </row>
    <row r="800" spans="1:15" ht="20.100000000000001" customHeight="1" x14ac:dyDescent="0.25">
      <c r="A800" s="89">
        <v>355</v>
      </c>
      <c r="B800" s="4">
        <v>42872</v>
      </c>
      <c r="C800" s="26" t="s">
        <v>99</v>
      </c>
      <c r="D800" s="3">
        <v>7820.34</v>
      </c>
      <c r="E800" s="92">
        <v>42961</v>
      </c>
      <c r="F800" s="92" t="s">
        <v>28</v>
      </c>
      <c r="G800" s="32">
        <v>42893</v>
      </c>
      <c r="H800" s="27">
        <f t="shared" si="89"/>
        <v>7820.34</v>
      </c>
      <c r="I800" s="27"/>
      <c r="J800" s="27"/>
      <c r="K800" s="99"/>
      <c r="L800" s="27">
        <v>6100</v>
      </c>
      <c r="M800" s="29">
        <f t="shared" si="90"/>
        <v>1720.3400000000001</v>
      </c>
      <c r="N800" s="29"/>
      <c r="O800" s="44">
        <f t="shared" si="91"/>
        <v>0.21998276289777685</v>
      </c>
    </row>
    <row r="801" spans="1:15" ht="20.100000000000001" customHeight="1" x14ac:dyDescent="0.25">
      <c r="A801" s="89">
        <v>525</v>
      </c>
      <c r="B801" s="4">
        <v>42926</v>
      </c>
      <c r="C801" s="26" t="s">
        <v>60</v>
      </c>
      <c r="D801" s="3">
        <v>1267</v>
      </c>
      <c r="E801" s="92">
        <v>42961</v>
      </c>
      <c r="F801" s="92" t="s">
        <v>28</v>
      </c>
      <c r="G801" s="32">
        <v>42956</v>
      </c>
      <c r="H801" s="27">
        <f t="shared" si="89"/>
        <v>1267</v>
      </c>
      <c r="I801" s="27"/>
      <c r="J801" s="27"/>
      <c r="K801" s="99"/>
      <c r="L801" s="27">
        <v>989</v>
      </c>
      <c r="M801" s="29">
        <f t="shared" si="90"/>
        <v>278</v>
      </c>
      <c r="N801" s="29"/>
      <c r="O801" s="44">
        <f t="shared" si="91"/>
        <v>0.21941594317284924</v>
      </c>
    </row>
    <row r="802" spans="1:15" ht="20.100000000000001" customHeight="1" x14ac:dyDescent="0.25">
      <c r="A802" s="89">
        <v>626</v>
      </c>
      <c r="B802" s="4">
        <v>42951</v>
      </c>
      <c r="C802" s="5" t="s">
        <v>282</v>
      </c>
      <c r="D802" s="3">
        <v>61580</v>
      </c>
      <c r="E802" s="92">
        <v>42961</v>
      </c>
      <c r="F802" s="92" t="s">
        <v>28</v>
      </c>
      <c r="G802" s="32">
        <v>42962</v>
      </c>
      <c r="H802" s="27">
        <f t="shared" si="89"/>
        <v>61580</v>
      </c>
      <c r="I802" s="27">
        <f>H802</f>
        <v>61580</v>
      </c>
      <c r="J802" s="27"/>
      <c r="K802" s="99"/>
      <c r="L802" s="27">
        <v>46554</v>
      </c>
      <c r="M802" s="29">
        <f t="shared" si="90"/>
        <v>15026</v>
      </c>
      <c r="N802" s="29">
        <f>M802</f>
        <v>15026</v>
      </c>
      <c r="O802" s="44">
        <f t="shared" si="91"/>
        <v>0.24400779473855147</v>
      </c>
    </row>
    <row r="803" spans="1:15" ht="20.100000000000001" customHeight="1" x14ac:dyDescent="0.25">
      <c r="A803" s="89">
        <v>623</v>
      </c>
      <c r="B803" s="4">
        <v>42951</v>
      </c>
      <c r="C803" s="26" t="s">
        <v>49</v>
      </c>
      <c r="D803" s="3">
        <v>3554</v>
      </c>
      <c r="E803" s="92">
        <v>42962</v>
      </c>
      <c r="F803" s="92" t="s">
        <v>28</v>
      </c>
      <c r="G803" s="32">
        <v>42990</v>
      </c>
      <c r="H803" s="27">
        <f t="shared" si="89"/>
        <v>3554</v>
      </c>
      <c r="I803" s="27"/>
      <c r="J803" s="27"/>
      <c r="K803" s="99"/>
      <c r="L803" s="27">
        <v>2346</v>
      </c>
      <c r="M803" s="29">
        <f t="shared" si="90"/>
        <v>1208</v>
      </c>
      <c r="N803" s="29"/>
      <c r="O803" s="44">
        <f t="shared" si="91"/>
        <v>0.33989870568373665</v>
      </c>
    </row>
    <row r="804" spans="1:15" ht="20.100000000000001" customHeight="1" x14ac:dyDescent="0.25">
      <c r="A804" s="89">
        <v>595</v>
      </c>
      <c r="B804" s="4">
        <v>42942</v>
      </c>
      <c r="C804" s="26" t="s">
        <v>50</v>
      </c>
      <c r="D804" s="3">
        <v>4496.92</v>
      </c>
      <c r="E804" s="92">
        <v>42962</v>
      </c>
      <c r="F804" s="92" t="s">
        <v>28</v>
      </c>
      <c r="G804" s="32">
        <v>42962</v>
      </c>
      <c r="H804" s="27">
        <f t="shared" si="89"/>
        <v>4496.92</v>
      </c>
      <c r="I804" s="27"/>
      <c r="J804" s="27"/>
      <c r="K804" s="99"/>
      <c r="L804" s="27">
        <v>3463</v>
      </c>
      <c r="M804" s="29">
        <f t="shared" si="90"/>
        <v>1033.92</v>
      </c>
      <c r="N804" s="29"/>
      <c r="O804" s="44">
        <f t="shared" si="91"/>
        <v>0.22991736566360976</v>
      </c>
    </row>
    <row r="805" spans="1:15" ht="20.100000000000001" customHeight="1" x14ac:dyDescent="0.25">
      <c r="A805" s="89">
        <v>630</v>
      </c>
      <c r="B805" s="4">
        <v>42954</v>
      </c>
      <c r="C805" s="5" t="s">
        <v>280</v>
      </c>
      <c r="D805" s="3">
        <v>17890</v>
      </c>
      <c r="E805" s="92">
        <v>42962</v>
      </c>
      <c r="F805" s="92" t="s">
        <v>28</v>
      </c>
      <c r="G805" s="32">
        <v>42954</v>
      </c>
      <c r="H805" s="27">
        <f t="shared" si="89"/>
        <v>17890</v>
      </c>
      <c r="I805" s="27">
        <f>H805</f>
        <v>17890</v>
      </c>
      <c r="J805" s="27"/>
      <c r="K805" s="99"/>
      <c r="L805" s="27">
        <v>13525</v>
      </c>
      <c r="M805" s="29">
        <f t="shared" si="90"/>
        <v>4365</v>
      </c>
      <c r="N805" s="29">
        <f>M805</f>
        <v>4365</v>
      </c>
      <c r="O805" s="44">
        <f t="shared" si="91"/>
        <v>0.24399105645612074</v>
      </c>
    </row>
    <row r="806" spans="1:15" ht="20.100000000000001" customHeight="1" x14ac:dyDescent="0.25">
      <c r="A806" s="89">
        <v>652</v>
      </c>
      <c r="B806" s="4">
        <v>42961</v>
      </c>
      <c r="C806" s="26" t="s">
        <v>77</v>
      </c>
      <c r="D806" s="3">
        <v>1466</v>
      </c>
      <c r="E806" s="92">
        <v>42962</v>
      </c>
      <c r="F806" s="92" t="s">
        <v>28</v>
      </c>
      <c r="G806" s="32">
        <v>42963</v>
      </c>
      <c r="H806" s="27">
        <f t="shared" si="89"/>
        <v>1466</v>
      </c>
      <c r="I806" s="27"/>
      <c r="J806" s="27"/>
      <c r="K806" s="99"/>
      <c r="L806" s="27">
        <v>1062</v>
      </c>
      <c r="M806" s="29">
        <f t="shared" si="90"/>
        <v>404</v>
      </c>
      <c r="N806" s="29"/>
      <c r="O806" s="44">
        <f t="shared" si="91"/>
        <v>0.27557980900409279</v>
      </c>
    </row>
    <row r="807" spans="1:15" ht="20.100000000000001" customHeight="1" x14ac:dyDescent="0.25">
      <c r="A807" s="89">
        <v>690</v>
      </c>
      <c r="B807" s="4">
        <v>42962</v>
      </c>
      <c r="C807" s="26" t="s">
        <v>250</v>
      </c>
      <c r="D807" s="3">
        <v>2500</v>
      </c>
      <c r="E807" s="92">
        <v>42963</v>
      </c>
      <c r="F807" s="92" t="s">
        <v>28</v>
      </c>
      <c r="G807" s="32">
        <v>42964</v>
      </c>
      <c r="H807" s="27">
        <f t="shared" si="89"/>
        <v>2500</v>
      </c>
      <c r="I807" s="27"/>
      <c r="J807" s="27"/>
      <c r="K807" s="99"/>
      <c r="L807" s="27">
        <v>1250</v>
      </c>
      <c r="M807" s="29">
        <f t="shared" si="90"/>
        <v>1250</v>
      </c>
      <c r="N807" s="29"/>
      <c r="O807" s="44">
        <f t="shared" si="91"/>
        <v>0.5</v>
      </c>
    </row>
    <row r="808" spans="1:15" ht="20.100000000000001" customHeight="1" x14ac:dyDescent="0.25">
      <c r="A808" s="89">
        <v>512</v>
      </c>
      <c r="B808" s="4">
        <v>42920</v>
      </c>
      <c r="C808" s="26" t="s">
        <v>56</v>
      </c>
      <c r="D808" s="3">
        <v>41845.07</v>
      </c>
      <c r="E808" s="92">
        <v>42963</v>
      </c>
      <c r="F808" s="92" t="s">
        <v>28</v>
      </c>
      <c r="G808" s="32">
        <v>42942</v>
      </c>
      <c r="H808" s="27">
        <f t="shared" si="89"/>
        <v>41845.07</v>
      </c>
      <c r="I808" s="27"/>
      <c r="J808" s="27"/>
      <c r="K808" s="99"/>
      <c r="L808" s="27">
        <v>27017</v>
      </c>
      <c r="M808" s="29">
        <f t="shared" si="90"/>
        <v>14828.07</v>
      </c>
      <c r="N808" s="29"/>
      <c r="O808" s="44">
        <f t="shared" si="91"/>
        <v>0.3543564391217412</v>
      </c>
    </row>
    <row r="809" spans="1:15" ht="20.100000000000001" customHeight="1" x14ac:dyDescent="0.25">
      <c r="A809" s="89">
        <v>603</v>
      </c>
      <c r="B809" s="4">
        <v>42947</v>
      </c>
      <c r="C809" s="26" t="s">
        <v>56</v>
      </c>
      <c r="D809" s="3">
        <v>8938</v>
      </c>
      <c r="E809" s="92">
        <v>42963</v>
      </c>
      <c r="F809" s="92" t="s">
        <v>28</v>
      </c>
      <c r="G809" s="32">
        <v>42947</v>
      </c>
      <c r="H809" s="27">
        <f t="shared" si="89"/>
        <v>8938</v>
      </c>
      <c r="I809" s="27"/>
      <c r="J809" s="27"/>
      <c r="K809" s="99"/>
      <c r="L809" s="27">
        <v>6970</v>
      </c>
      <c r="M809" s="29">
        <f t="shared" si="90"/>
        <v>1968</v>
      </c>
      <c r="N809" s="29"/>
      <c r="O809" s="44">
        <f t="shared" si="91"/>
        <v>0.22018348623853212</v>
      </c>
    </row>
    <row r="810" spans="1:15" ht="20.100000000000001" customHeight="1" x14ac:dyDescent="0.25">
      <c r="A810" s="89">
        <v>585</v>
      </c>
      <c r="B810" s="4">
        <v>42940</v>
      </c>
      <c r="C810" s="26" t="s">
        <v>180</v>
      </c>
      <c r="D810" s="3">
        <v>10500</v>
      </c>
      <c r="E810" s="92">
        <v>42964</v>
      </c>
      <c r="F810" s="92" t="s">
        <v>28</v>
      </c>
      <c r="G810" s="32">
        <v>42970</v>
      </c>
      <c r="H810" s="27">
        <f t="shared" si="89"/>
        <v>10500</v>
      </c>
      <c r="I810" s="27"/>
      <c r="J810" s="27"/>
      <c r="K810" s="99"/>
      <c r="L810" s="27">
        <v>6300</v>
      </c>
      <c r="M810" s="29">
        <f t="shared" si="90"/>
        <v>4200</v>
      </c>
      <c r="N810" s="29"/>
      <c r="O810" s="44">
        <f t="shared" si="91"/>
        <v>0.4</v>
      </c>
    </row>
    <row r="811" spans="1:15" ht="20.100000000000001" customHeight="1" x14ac:dyDescent="0.25">
      <c r="A811" s="89">
        <v>712</v>
      </c>
      <c r="B811" s="4">
        <v>42964</v>
      </c>
      <c r="C811" s="5" t="s">
        <v>283</v>
      </c>
      <c r="D811" s="3">
        <v>6199</v>
      </c>
      <c r="E811" s="92">
        <v>42964</v>
      </c>
      <c r="F811" s="92" t="s">
        <v>28</v>
      </c>
      <c r="G811" s="32">
        <v>42971</v>
      </c>
      <c r="H811" s="27">
        <f t="shared" si="89"/>
        <v>6199</v>
      </c>
      <c r="I811" s="27">
        <f>H811</f>
        <v>6199</v>
      </c>
      <c r="J811" s="27"/>
      <c r="K811" s="99"/>
      <c r="L811" s="27">
        <v>4627</v>
      </c>
      <c r="M811" s="29">
        <f t="shared" si="90"/>
        <v>1572</v>
      </c>
      <c r="N811" s="29">
        <f>M811</f>
        <v>1572</v>
      </c>
      <c r="O811" s="44">
        <f t="shared" si="91"/>
        <v>0.25358928859493468</v>
      </c>
    </row>
    <row r="812" spans="1:15" ht="20.100000000000001" customHeight="1" x14ac:dyDescent="0.25">
      <c r="A812" s="89">
        <v>673</v>
      </c>
      <c r="B812" s="4">
        <v>42962</v>
      </c>
      <c r="C812" s="26" t="s">
        <v>209</v>
      </c>
      <c r="D812" s="3">
        <v>1769.7</v>
      </c>
      <c r="E812" s="92">
        <v>42964</v>
      </c>
      <c r="F812" s="92" t="s">
        <v>28</v>
      </c>
      <c r="G812" s="32">
        <v>42989</v>
      </c>
      <c r="H812" s="27">
        <f t="shared" si="89"/>
        <v>1769.7</v>
      </c>
      <c r="I812" s="27"/>
      <c r="J812" s="27"/>
      <c r="K812" s="99"/>
      <c r="L812" s="27">
        <v>1624</v>
      </c>
      <c r="M812" s="29">
        <f t="shared" si="90"/>
        <v>145.70000000000005</v>
      </c>
      <c r="N812" s="29"/>
      <c r="O812" s="44">
        <f t="shared" si="91"/>
        <v>8.2330338475447837E-2</v>
      </c>
    </row>
    <row r="813" spans="1:15" ht="20.100000000000001" customHeight="1" x14ac:dyDescent="0.25">
      <c r="A813" s="89">
        <v>655</v>
      </c>
      <c r="B813" s="4">
        <v>42961</v>
      </c>
      <c r="C813" s="5" t="s">
        <v>284</v>
      </c>
      <c r="D813" s="3">
        <v>35890</v>
      </c>
      <c r="E813" s="92">
        <v>42965</v>
      </c>
      <c r="F813" s="92" t="s">
        <v>28</v>
      </c>
      <c r="G813" s="32">
        <v>42989</v>
      </c>
      <c r="H813" s="27">
        <f t="shared" si="89"/>
        <v>35890</v>
      </c>
      <c r="I813" s="27">
        <f>H813</f>
        <v>35890</v>
      </c>
      <c r="J813" s="27"/>
      <c r="K813" s="99"/>
      <c r="L813" s="27">
        <v>25621</v>
      </c>
      <c r="M813" s="29">
        <f t="shared" si="90"/>
        <v>10269</v>
      </c>
      <c r="N813" s="29">
        <f>M813</f>
        <v>10269</v>
      </c>
      <c r="O813" s="44">
        <f t="shared" si="91"/>
        <v>0.28612426859849538</v>
      </c>
    </row>
    <row r="814" spans="1:15" ht="20.100000000000001" customHeight="1" x14ac:dyDescent="0.25">
      <c r="A814" s="89">
        <v>687</v>
      </c>
      <c r="B814" s="4">
        <v>42962</v>
      </c>
      <c r="C814" s="26" t="s">
        <v>234</v>
      </c>
      <c r="D814" s="3">
        <v>31343</v>
      </c>
      <c r="E814" s="92">
        <v>42968</v>
      </c>
      <c r="F814" s="92" t="s">
        <v>28</v>
      </c>
      <c r="G814" s="32">
        <v>42989</v>
      </c>
      <c r="H814" s="27">
        <f t="shared" si="89"/>
        <v>31343</v>
      </c>
      <c r="I814" s="27"/>
      <c r="J814" s="27"/>
      <c r="K814" s="99"/>
      <c r="L814" s="27">
        <v>23677</v>
      </c>
      <c r="M814" s="29">
        <f t="shared" si="90"/>
        <v>7666</v>
      </c>
      <c r="N814" s="29"/>
      <c r="O814" s="44">
        <f t="shared" si="91"/>
        <v>0.24458411766582649</v>
      </c>
    </row>
    <row r="815" spans="1:15" ht="20.100000000000001" customHeight="1" x14ac:dyDescent="0.25">
      <c r="A815" s="89">
        <v>636</v>
      </c>
      <c r="B815" s="4">
        <v>42955</v>
      </c>
      <c r="C815" s="26" t="s">
        <v>13</v>
      </c>
      <c r="D815" s="3">
        <v>32186</v>
      </c>
      <c r="E815" s="92">
        <v>42969</v>
      </c>
      <c r="F815" s="92" t="s">
        <v>28</v>
      </c>
      <c r="G815" s="32">
        <v>42957</v>
      </c>
      <c r="H815" s="27">
        <f t="shared" si="89"/>
        <v>32186</v>
      </c>
      <c r="I815" s="27"/>
      <c r="J815" s="27"/>
      <c r="K815" s="99"/>
      <c r="L815" s="27">
        <v>22751</v>
      </c>
      <c r="M815" s="29">
        <f t="shared" si="90"/>
        <v>9435</v>
      </c>
      <c r="N815" s="29"/>
      <c r="O815" s="44">
        <f t="shared" si="91"/>
        <v>0.29313987447958739</v>
      </c>
    </row>
    <row r="816" spans="1:15" ht="20.100000000000001" customHeight="1" x14ac:dyDescent="0.25">
      <c r="A816" s="89">
        <v>713</v>
      </c>
      <c r="B816" s="4">
        <v>42964</v>
      </c>
      <c r="C816" s="26" t="s">
        <v>228</v>
      </c>
      <c r="D816" s="3">
        <v>16090</v>
      </c>
      <c r="E816" s="92">
        <v>42969</v>
      </c>
      <c r="F816" s="92" t="s">
        <v>28</v>
      </c>
      <c r="G816" s="32">
        <v>42992</v>
      </c>
      <c r="H816" s="27">
        <f t="shared" si="89"/>
        <v>16090</v>
      </c>
      <c r="I816" s="27"/>
      <c r="J816" s="27"/>
      <c r="K816" s="99"/>
      <c r="L816" s="27">
        <v>12069</v>
      </c>
      <c r="M816" s="29">
        <f t="shared" si="90"/>
        <v>4021</v>
      </c>
      <c r="N816" s="29"/>
      <c r="O816" s="44">
        <f t="shared" si="91"/>
        <v>0.24990677439403355</v>
      </c>
    </row>
    <row r="817" spans="1:15" ht="20.100000000000001" customHeight="1" x14ac:dyDescent="0.25">
      <c r="A817" s="89">
        <v>590</v>
      </c>
      <c r="B817" s="4">
        <v>42940</v>
      </c>
      <c r="C817" s="26" t="s">
        <v>56</v>
      </c>
      <c r="D817" s="3">
        <v>6837.59</v>
      </c>
      <c r="E817" s="92">
        <v>42970</v>
      </c>
      <c r="F817" s="92" t="s">
        <v>28</v>
      </c>
      <c r="G817" s="32">
        <v>42954</v>
      </c>
      <c r="H817" s="27">
        <f t="shared" si="89"/>
        <v>6837.59</v>
      </c>
      <c r="I817" s="27"/>
      <c r="J817" s="27"/>
      <c r="K817" s="99"/>
      <c r="L817" s="27">
        <v>4038</v>
      </c>
      <c r="M817" s="29">
        <f t="shared" si="90"/>
        <v>2799.59</v>
      </c>
      <c r="N817" s="29"/>
      <c r="O817" s="44">
        <f t="shared" si="91"/>
        <v>0.40944104574857515</v>
      </c>
    </row>
    <row r="818" spans="1:15" ht="20.100000000000001" customHeight="1" x14ac:dyDescent="0.25">
      <c r="A818" s="89">
        <v>598</v>
      </c>
      <c r="B818" s="4">
        <v>42943</v>
      </c>
      <c r="C818" s="26" t="s">
        <v>56</v>
      </c>
      <c r="D818" s="3">
        <v>10704.96</v>
      </c>
      <c r="E818" s="92">
        <v>42970</v>
      </c>
      <c r="F818" s="92" t="s">
        <v>28</v>
      </c>
      <c r="G818" s="32">
        <v>42954</v>
      </c>
      <c r="H818" s="27">
        <f t="shared" si="89"/>
        <v>10704.96</v>
      </c>
      <c r="I818" s="27"/>
      <c r="J818" s="27"/>
      <c r="K818" s="99"/>
      <c r="L818" s="27">
        <v>6834</v>
      </c>
      <c r="M818" s="29">
        <f t="shared" si="90"/>
        <v>3870.9599999999991</v>
      </c>
      <c r="N818" s="29"/>
      <c r="O818" s="44">
        <f t="shared" si="91"/>
        <v>0.36160434041789968</v>
      </c>
    </row>
    <row r="819" spans="1:15" ht="20.100000000000001" customHeight="1" x14ac:dyDescent="0.25">
      <c r="A819" s="89">
        <v>518</v>
      </c>
      <c r="B819" s="4">
        <v>42954</v>
      </c>
      <c r="C819" s="26" t="s">
        <v>56</v>
      </c>
      <c r="D819" s="3">
        <v>3436</v>
      </c>
      <c r="E819" s="92">
        <v>42970</v>
      </c>
      <c r="F819" s="92" t="s">
        <v>28</v>
      </c>
      <c r="G819" s="32">
        <v>42954</v>
      </c>
      <c r="H819" s="27">
        <f t="shared" si="89"/>
        <v>3436</v>
      </c>
      <c r="I819" s="27"/>
      <c r="J819" s="27"/>
      <c r="K819" s="99"/>
      <c r="L819" s="27">
        <v>2488</v>
      </c>
      <c r="M819" s="29">
        <f t="shared" si="90"/>
        <v>948</v>
      </c>
      <c r="N819" s="29"/>
      <c r="O819" s="44">
        <f t="shared" si="91"/>
        <v>0.27590221187427239</v>
      </c>
    </row>
    <row r="820" spans="1:15" ht="20.100000000000001" customHeight="1" x14ac:dyDescent="0.25">
      <c r="A820" s="89">
        <v>631</v>
      </c>
      <c r="B820" s="4">
        <v>42954</v>
      </c>
      <c r="C820" s="26" t="s">
        <v>56</v>
      </c>
      <c r="D820" s="3">
        <v>20919.8</v>
      </c>
      <c r="E820" s="92">
        <v>42970</v>
      </c>
      <c r="F820" s="92" t="s">
        <v>28</v>
      </c>
      <c r="G820" s="32">
        <v>42962</v>
      </c>
      <c r="H820" s="27">
        <f t="shared" si="89"/>
        <v>20919.8</v>
      </c>
      <c r="I820" s="27"/>
      <c r="J820" s="27"/>
      <c r="K820" s="99"/>
      <c r="L820" s="27">
        <v>16302</v>
      </c>
      <c r="M820" s="29">
        <f t="shared" si="90"/>
        <v>4617.7999999999993</v>
      </c>
      <c r="N820" s="29"/>
      <c r="O820" s="44">
        <f t="shared" si="91"/>
        <v>0.22073824797560204</v>
      </c>
    </row>
    <row r="821" spans="1:15" ht="20.100000000000001" customHeight="1" x14ac:dyDescent="0.25">
      <c r="A821" s="89">
        <v>644</v>
      </c>
      <c r="B821" s="4">
        <v>42970</v>
      </c>
      <c r="C821" s="5" t="s">
        <v>285</v>
      </c>
      <c r="D821" s="3">
        <v>999</v>
      </c>
      <c r="E821" s="92">
        <v>42970</v>
      </c>
      <c r="F821" s="92" t="s">
        <v>28</v>
      </c>
      <c r="G821" s="32">
        <v>42972</v>
      </c>
      <c r="H821" s="27">
        <f t="shared" si="89"/>
        <v>999</v>
      </c>
      <c r="I821" s="27">
        <f>H821</f>
        <v>999</v>
      </c>
      <c r="J821" s="27"/>
      <c r="K821" s="99"/>
      <c r="L821" s="27">
        <v>723</v>
      </c>
      <c r="M821" s="29">
        <f t="shared" si="90"/>
        <v>276</v>
      </c>
      <c r="N821" s="29">
        <f>M821</f>
        <v>276</v>
      </c>
      <c r="O821" s="44">
        <f t="shared" si="91"/>
        <v>0.27627627627627627</v>
      </c>
    </row>
    <row r="822" spans="1:15" ht="20.100000000000001" customHeight="1" x14ac:dyDescent="0.25">
      <c r="A822" s="89">
        <v>732</v>
      </c>
      <c r="B822" s="4">
        <v>42970</v>
      </c>
      <c r="C822" s="26" t="s">
        <v>286</v>
      </c>
      <c r="D822" s="3">
        <v>16999</v>
      </c>
      <c r="E822" s="92">
        <v>42971</v>
      </c>
      <c r="F822" s="92" t="s">
        <v>28</v>
      </c>
      <c r="G822" s="32">
        <v>42972</v>
      </c>
      <c r="H822" s="27">
        <f t="shared" si="89"/>
        <v>16999</v>
      </c>
      <c r="I822" s="27"/>
      <c r="J822" s="27"/>
      <c r="K822" s="99"/>
      <c r="L822" s="27">
        <v>13811</v>
      </c>
      <c r="M822" s="29">
        <f t="shared" si="90"/>
        <v>3188</v>
      </c>
      <c r="N822" s="29"/>
      <c r="O822" s="44">
        <f t="shared" si="91"/>
        <v>0.18754044355550326</v>
      </c>
    </row>
    <row r="823" spans="1:15" ht="20.100000000000001" customHeight="1" x14ac:dyDescent="0.25">
      <c r="A823" s="89">
        <v>737</v>
      </c>
      <c r="B823" s="4">
        <v>42975</v>
      </c>
      <c r="C823" s="5" t="s">
        <v>287</v>
      </c>
      <c r="D823" s="3">
        <v>6958</v>
      </c>
      <c r="E823" s="92">
        <v>42975</v>
      </c>
      <c r="F823" s="92" t="s">
        <v>28</v>
      </c>
      <c r="G823" s="32">
        <v>42990</v>
      </c>
      <c r="H823" s="27">
        <f t="shared" si="89"/>
        <v>6958</v>
      </c>
      <c r="I823" s="27">
        <f>H823</f>
        <v>6958</v>
      </c>
      <c r="J823" s="27"/>
      <c r="K823" s="99"/>
      <c r="L823" s="27">
        <v>5358</v>
      </c>
      <c r="M823" s="29">
        <f t="shared" si="90"/>
        <v>1600</v>
      </c>
      <c r="N823" s="29">
        <f>M823</f>
        <v>1600</v>
      </c>
      <c r="O823" s="44">
        <f t="shared" si="91"/>
        <v>0.22995113538373096</v>
      </c>
    </row>
    <row r="824" spans="1:15" ht="20.100000000000001" customHeight="1" x14ac:dyDescent="0.25">
      <c r="A824" s="89">
        <v>736</v>
      </c>
      <c r="B824" s="4">
        <v>42976</v>
      </c>
      <c r="C824" s="26" t="s">
        <v>77</v>
      </c>
      <c r="D824" s="3">
        <v>2932</v>
      </c>
      <c r="E824" s="92">
        <v>42976</v>
      </c>
      <c r="F824" s="92" t="s">
        <v>28</v>
      </c>
      <c r="G824" s="32">
        <v>42979</v>
      </c>
      <c r="H824" s="27">
        <f t="shared" si="89"/>
        <v>2932</v>
      </c>
      <c r="I824" s="27"/>
      <c r="J824" s="27"/>
      <c r="K824" s="99"/>
      <c r="L824" s="27">
        <v>2124</v>
      </c>
      <c r="M824" s="29">
        <f t="shared" si="90"/>
        <v>808</v>
      </c>
      <c r="N824" s="29"/>
      <c r="O824" s="44">
        <f t="shared" si="91"/>
        <v>0.27557980900409279</v>
      </c>
    </row>
    <row r="825" spans="1:15" ht="20.100000000000001" customHeight="1" x14ac:dyDescent="0.25">
      <c r="A825" s="89">
        <v>727</v>
      </c>
      <c r="B825" s="4">
        <v>42969</v>
      </c>
      <c r="C825" s="26" t="s">
        <v>281</v>
      </c>
      <c r="D825" s="3">
        <v>1279</v>
      </c>
      <c r="E825" s="92">
        <v>42977</v>
      </c>
      <c r="F825" s="92" t="s">
        <v>28</v>
      </c>
      <c r="G825" s="32">
        <v>42982</v>
      </c>
      <c r="H825" s="27">
        <f t="shared" si="89"/>
        <v>1279</v>
      </c>
      <c r="I825" s="27"/>
      <c r="J825" s="27"/>
      <c r="K825" s="99"/>
      <c r="L825" s="27">
        <v>1073</v>
      </c>
      <c r="M825" s="29">
        <f t="shared" si="90"/>
        <v>206</v>
      </c>
      <c r="N825" s="29"/>
      <c r="O825" s="44">
        <f t="shared" si="91"/>
        <v>0.16106333072713058</v>
      </c>
    </row>
    <row r="826" spans="1:15" ht="20.100000000000001" customHeight="1" x14ac:dyDescent="0.25">
      <c r="A826" s="89">
        <v>616</v>
      </c>
      <c r="B826" s="4">
        <v>42950</v>
      </c>
      <c r="C826" s="26" t="s">
        <v>277</v>
      </c>
      <c r="D826" s="3">
        <v>3350</v>
      </c>
      <c r="E826" s="92">
        <v>42978</v>
      </c>
      <c r="F826" s="92" t="s">
        <v>28</v>
      </c>
      <c r="G826" s="32">
        <v>42989</v>
      </c>
      <c r="H826" s="27">
        <f t="shared" si="89"/>
        <v>3350</v>
      </c>
      <c r="I826" s="27"/>
      <c r="J826" s="27"/>
      <c r="K826" s="99"/>
      <c r="L826" s="27">
        <v>2435</v>
      </c>
      <c r="M826" s="29">
        <f t="shared" si="90"/>
        <v>915</v>
      </c>
      <c r="N826" s="29"/>
      <c r="O826" s="44">
        <f t="shared" si="91"/>
        <v>0.27313432835820894</v>
      </c>
    </row>
    <row r="827" spans="1:15" ht="20.100000000000001" customHeight="1" x14ac:dyDescent="0.25">
      <c r="A827" s="89">
        <v>751</v>
      </c>
      <c r="B827" s="4">
        <v>42978</v>
      </c>
      <c r="C827" s="26" t="s">
        <v>118</v>
      </c>
      <c r="D827" s="3">
        <v>4708</v>
      </c>
      <c r="E827" s="92">
        <v>42978</v>
      </c>
      <c r="F827" s="92" t="s">
        <v>28</v>
      </c>
      <c r="G827" s="32">
        <v>43013</v>
      </c>
      <c r="H827" s="27">
        <f t="shared" si="89"/>
        <v>4708</v>
      </c>
      <c r="I827" s="27"/>
      <c r="J827" s="27"/>
      <c r="K827" s="99"/>
      <c r="L827" s="27">
        <v>3912</v>
      </c>
      <c r="M827" s="29">
        <f t="shared" si="90"/>
        <v>796</v>
      </c>
      <c r="N827" s="29"/>
      <c r="O827" s="44">
        <f t="shared" si="91"/>
        <v>0.16907391673746813</v>
      </c>
    </row>
    <row r="828" spans="1:15" ht="19.5" customHeight="1" x14ac:dyDescent="0.25">
      <c r="A828" s="89"/>
      <c r="B828" s="4"/>
      <c r="C828" s="5"/>
      <c r="D828" s="3"/>
      <c r="E828" s="97">
        <v>25900</v>
      </c>
      <c r="F828" s="98">
        <f>M828*0.12+N828*0.06+8000</f>
        <v>26519.004799999999</v>
      </c>
      <c r="G828" s="21">
        <f>H828*0.05+I828*0.02</f>
        <v>26599.877000000004</v>
      </c>
      <c r="H828" s="16">
        <f t="shared" ref="H828:N828" si="92">SUM(H788:H827)</f>
        <v>475471.54000000004</v>
      </c>
      <c r="I828" s="16">
        <f t="shared" si="92"/>
        <v>141315</v>
      </c>
      <c r="J828" s="16">
        <f t="shared" si="92"/>
        <v>0</v>
      </c>
      <c r="K828" s="16">
        <f t="shared" si="92"/>
        <v>0</v>
      </c>
      <c r="L828" s="16">
        <f t="shared" si="92"/>
        <v>339140</v>
      </c>
      <c r="M828" s="16">
        <f t="shared" si="92"/>
        <v>136331.53999999998</v>
      </c>
      <c r="N828" s="16">
        <f t="shared" si="92"/>
        <v>35987</v>
      </c>
      <c r="O828" s="44">
        <f t="shared" si="91"/>
        <v>0.28672912788849564</v>
      </c>
    </row>
    <row r="829" spans="1:15" ht="23.25" x14ac:dyDescent="0.35">
      <c r="C829" s="94" t="s">
        <v>643</v>
      </c>
    </row>
    <row r="830" spans="1:15" ht="20.100000000000001" customHeight="1" x14ac:dyDescent="0.25">
      <c r="A830" s="89">
        <v>762</v>
      </c>
      <c r="B830" s="4">
        <v>42982</v>
      </c>
      <c r="C830" s="5" t="s">
        <v>288</v>
      </c>
      <c r="D830" s="3">
        <v>17980</v>
      </c>
      <c r="E830" s="92">
        <v>42983</v>
      </c>
      <c r="F830" s="92" t="s">
        <v>28</v>
      </c>
      <c r="G830" s="32">
        <v>42983</v>
      </c>
      <c r="H830" s="27">
        <f t="shared" ref="H830:H850" si="93">D830</f>
        <v>17980</v>
      </c>
      <c r="I830" s="27">
        <f>H830</f>
        <v>17980</v>
      </c>
      <c r="J830" s="27"/>
      <c r="K830" s="99"/>
      <c r="L830" s="27">
        <v>12686</v>
      </c>
      <c r="M830" s="29">
        <f t="shared" ref="M830:M850" si="94">H830-L830-J830-K830</f>
        <v>5294</v>
      </c>
      <c r="N830" s="29">
        <f>M830</f>
        <v>5294</v>
      </c>
      <c r="O830" s="44">
        <f t="shared" ref="O830:O851" si="95">M830/H830</f>
        <v>0.29443826473859847</v>
      </c>
    </row>
    <row r="831" spans="1:15" ht="20.100000000000001" customHeight="1" x14ac:dyDescent="0.25">
      <c r="A831" s="89">
        <v>759</v>
      </c>
      <c r="B831" s="4">
        <v>42982</v>
      </c>
      <c r="C831" s="5" t="s">
        <v>289</v>
      </c>
      <c r="D831" s="3">
        <v>20970</v>
      </c>
      <c r="E831" s="92">
        <v>42983</v>
      </c>
      <c r="F831" s="92" t="s">
        <v>28</v>
      </c>
      <c r="G831" s="32">
        <v>43010</v>
      </c>
      <c r="H831" s="27">
        <f t="shared" si="93"/>
        <v>20970</v>
      </c>
      <c r="I831" s="27">
        <f>H831</f>
        <v>20970</v>
      </c>
      <c r="J831" s="27"/>
      <c r="K831" s="99"/>
      <c r="L831" s="27">
        <v>15414</v>
      </c>
      <c r="M831" s="29">
        <f t="shared" si="94"/>
        <v>5556</v>
      </c>
      <c r="N831" s="29">
        <f>M831</f>
        <v>5556</v>
      </c>
      <c r="O831" s="44">
        <f t="shared" si="95"/>
        <v>0.26494992846924176</v>
      </c>
    </row>
    <row r="832" spans="1:15" ht="20.100000000000001" customHeight="1" x14ac:dyDescent="0.25">
      <c r="A832" s="89">
        <v>763</v>
      </c>
      <c r="B832" s="4">
        <v>42982</v>
      </c>
      <c r="C832" s="5" t="s">
        <v>290</v>
      </c>
      <c r="D832" s="3">
        <v>77990</v>
      </c>
      <c r="E832" s="92">
        <v>42983</v>
      </c>
      <c r="F832" s="92" t="s">
        <v>28</v>
      </c>
      <c r="G832" s="32">
        <v>42984</v>
      </c>
      <c r="H832" s="27">
        <f t="shared" si="93"/>
        <v>77990</v>
      </c>
      <c r="I832" s="27">
        <f>H832</f>
        <v>77990</v>
      </c>
      <c r="J832" s="27"/>
      <c r="K832" s="99"/>
      <c r="L832" s="27">
        <v>54960</v>
      </c>
      <c r="M832" s="29">
        <f t="shared" si="94"/>
        <v>23030</v>
      </c>
      <c r="N832" s="29">
        <f>M832</f>
        <v>23030</v>
      </c>
      <c r="O832" s="44">
        <f t="shared" si="95"/>
        <v>0.29529426849596102</v>
      </c>
    </row>
    <row r="833" spans="1:15" ht="20.100000000000001" customHeight="1" x14ac:dyDescent="0.25">
      <c r="A833" s="89">
        <v>775</v>
      </c>
      <c r="B833" s="4">
        <v>42985</v>
      </c>
      <c r="C833" s="5" t="s">
        <v>291</v>
      </c>
      <c r="D833" s="3">
        <v>33843</v>
      </c>
      <c r="E833" s="92">
        <v>42985</v>
      </c>
      <c r="F833" s="92" t="s">
        <v>28</v>
      </c>
      <c r="G833" s="32">
        <v>42990</v>
      </c>
      <c r="H833" s="27">
        <f t="shared" si="93"/>
        <v>33843</v>
      </c>
      <c r="I833" s="27">
        <f>H833</f>
        <v>33843</v>
      </c>
      <c r="J833" s="27"/>
      <c r="K833" s="99"/>
      <c r="L833" s="27">
        <v>24927</v>
      </c>
      <c r="M833" s="29">
        <f t="shared" si="94"/>
        <v>8916</v>
      </c>
      <c r="N833" s="29">
        <f>M833</f>
        <v>8916</v>
      </c>
      <c r="O833" s="44">
        <f t="shared" si="95"/>
        <v>0.26345182164701708</v>
      </c>
    </row>
    <row r="834" spans="1:15" ht="20.100000000000001" customHeight="1" x14ac:dyDescent="0.25">
      <c r="A834" s="89">
        <v>778</v>
      </c>
      <c r="B834" s="4">
        <v>42986</v>
      </c>
      <c r="C834" s="26" t="s">
        <v>236</v>
      </c>
      <c r="D834" s="3">
        <v>134047</v>
      </c>
      <c r="E834" s="92">
        <v>42989</v>
      </c>
      <c r="F834" s="92" t="s">
        <v>28</v>
      </c>
      <c r="G834" s="32">
        <v>43012</v>
      </c>
      <c r="H834" s="27">
        <f t="shared" si="93"/>
        <v>134047</v>
      </c>
      <c r="I834" s="27"/>
      <c r="J834" s="27"/>
      <c r="K834" s="99">
        <f>300*7</f>
        <v>2100</v>
      </c>
      <c r="L834" s="27">
        <v>99439</v>
      </c>
      <c r="M834" s="29">
        <f t="shared" si="94"/>
        <v>32508</v>
      </c>
      <c r="N834" s="29"/>
      <c r="O834" s="44">
        <f t="shared" si="95"/>
        <v>0.24251195476213566</v>
      </c>
    </row>
    <row r="835" spans="1:15" ht="20.100000000000001" customHeight="1" x14ac:dyDescent="0.25">
      <c r="A835" s="89">
        <v>502</v>
      </c>
      <c r="B835" s="4">
        <v>42920</v>
      </c>
      <c r="C835" s="26" t="s">
        <v>65</v>
      </c>
      <c r="D835" s="3">
        <v>97484</v>
      </c>
      <c r="E835" s="92">
        <v>42989</v>
      </c>
      <c r="F835" s="92" t="s">
        <v>28</v>
      </c>
      <c r="G835" s="32">
        <v>42992</v>
      </c>
      <c r="H835" s="27">
        <f t="shared" si="93"/>
        <v>97484</v>
      </c>
      <c r="I835" s="27"/>
      <c r="J835" s="27"/>
      <c r="K835" s="99"/>
      <c r="L835" s="27">
        <v>77105</v>
      </c>
      <c r="M835" s="29">
        <f t="shared" si="94"/>
        <v>20379</v>
      </c>
      <c r="N835" s="29"/>
      <c r="O835" s="44">
        <f t="shared" si="95"/>
        <v>0.20904969020557221</v>
      </c>
    </row>
    <row r="836" spans="1:15" ht="20.100000000000001" customHeight="1" x14ac:dyDescent="0.25">
      <c r="A836" s="89">
        <v>760</v>
      </c>
      <c r="B836" s="4">
        <v>42982</v>
      </c>
      <c r="C836" s="26" t="s">
        <v>72</v>
      </c>
      <c r="D836" s="3">
        <v>5769</v>
      </c>
      <c r="E836" s="92">
        <v>42989</v>
      </c>
      <c r="F836" s="92" t="s">
        <v>28</v>
      </c>
      <c r="G836" s="32">
        <v>42990</v>
      </c>
      <c r="H836" s="27">
        <f t="shared" si="93"/>
        <v>5769</v>
      </c>
      <c r="I836" s="27"/>
      <c r="J836" s="27"/>
      <c r="K836" s="99"/>
      <c r="L836" s="27">
        <v>4179</v>
      </c>
      <c r="M836" s="29">
        <f t="shared" si="94"/>
        <v>1590</v>
      </c>
      <c r="N836" s="29"/>
      <c r="O836" s="44">
        <f t="shared" si="95"/>
        <v>0.27561102444097763</v>
      </c>
    </row>
    <row r="837" spans="1:15" ht="20.100000000000001" customHeight="1" x14ac:dyDescent="0.25">
      <c r="A837" s="89">
        <v>786</v>
      </c>
      <c r="B837" s="4">
        <v>42990</v>
      </c>
      <c r="C837" s="5" t="s">
        <v>291</v>
      </c>
      <c r="D837" s="3">
        <v>3027</v>
      </c>
      <c r="E837" s="92">
        <v>42990</v>
      </c>
      <c r="F837" s="92" t="s">
        <v>28</v>
      </c>
      <c r="G837" s="32">
        <v>42990</v>
      </c>
      <c r="H837" s="27">
        <f t="shared" si="93"/>
        <v>3027</v>
      </c>
      <c r="I837" s="27">
        <f>H837</f>
        <v>3027</v>
      </c>
      <c r="J837" s="27"/>
      <c r="K837" s="99"/>
      <c r="L837" s="27">
        <v>2586</v>
      </c>
      <c r="M837" s="29">
        <f t="shared" si="94"/>
        <v>441</v>
      </c>
      <c r="N837" s="29">
        <f>M837</f>
        <v>441</v>
      </c>
      <c r="O837" s="44">
        <f t="shared" si="95"/>
        <v>0.14568880079286423</v>
      </c>
    </row>
    <row r="838" spans="1:15" ht="20.100000000000001" customHeight="1" x14ac:dyDescent="0.25">
      <c r="A838" s="89">
        <v>734</v>
      </c>
      <c r="B838" s="4">
        <v>42989</v>
      </c>
      <c r="C838" s="26" t="s">
        <v>161</v>
      </c>
      <c r="D838" s="3">
        <v>1467</v>
      </c>
      <c r="E838" s="92">
        <v>42990</v>
      </c>
      <c r="F838" s="92" t="s">
        <v>28</v>
      </c>
      <c r="G838" s="32">
        <v>43032</v>
      </c>
      <c r="H838" s="27">
        <f t="shared" si="93"/>
        <v>1467</v>
      </c>
      <c r="I838" s="27"/>
      <c r="J838" s="27"/>
      <c r="K838" s="99"/>
      <c r="L838" s="27">
        <v>968</v>
      </c>
      <c r="M838" s="29">
        <f t="shared" si="94"/>
        <v>499</v>
      </c>
      <c r="N838" s="29"/>
      <c r="O838" s="44">
        <f t="shared" si="95"/>
        <v>0.3401499659168371</v>
      </c>
    </row>
    <row r="839" spans="1:15" ht="20.100000000000001" customHeight="1" x14ac:dyDescent="0.25">
      <c r="A839" s="89">
        <v>769</v>
      </c>
      <c r="B839" s="4">
        <v>42984</v>
      </c>
      <c r="C839" s="26" t="s">
        <v>15</v>
      </c>
      <c r="D839" s="3">
        <v>24442</v>
      </c>
      <c r="E839" s="92">
        <v>42991</v>
      </c>
      <c r="F839" s="92" t="s">
        <v>28</v>
      </c>
      <c r="G839" s="32">
        <v>43021</v>
      </c>
      <c r="H839" s="27">
        <f t="shared" si="93"/>
        <v>24442</v>
      </c>
      <c r="I839" s="27"/>
      <c r="J839" s="27"/>
      <c r="K839" s="99"/>
      <c r="L839" s="27">
        <v>17863</v>
      </c>
      <c r="M839" s="29">
        <f t="shared" si="94"/>
        <v>6579</v>
      </c>
      <c r="N839" s="29"/>
      <c r="O839" s="44">
        <f t="shared" si="95"/>
        <v>0.26916782587349641</v>
      </c>
    </row>
    <row r="840" spans="1:15" ht="20.100000000000001" customHeight="1" x14ac:dyDescent="0.25">
      <c r="A840" s="89">
        <v>780</v>
      </c>
      <c r="B840" s="4">
        <v>42986</v>
      </c>
      <c r="C840" s="26" t="s">
        <v>292</v>
      </c>
      <c r="D840" s="3">
        <v>5200</v>
      </c>
      <c r="E840" s="92">
        <v>42993</v>
      </c>
      <c r="F840" s="92" t="s">
        <v>28</v>
      </c>
      <c r="G840" s="32">
        <v>43010</v>
      </c>
      <c r="H840" s="27">
        <f t="shared" si="93"/>
        <v>5200</v>
      </c>
      <c r="I840" s="27"/>
      <c r="J840" s="27"/>
      <c r="K840" s="99"/>
      <c r="L840" s="27">
        <v>3233</v>
      </c>
      <c r="M840" s="29">
        <f t="shared" si="94"/>
        <v>1967</v>
      </c>
      <c r="N840" s="29"/>
      <c r="O840" s="44">
        <f t="shared" si="95"/>
        <v>0.37826923076923075</v>
      </c>
    </row>
    <row r="841" spans="1:15" ht="20.100000000000001" customHeight="1" x14ac:dyDescent="0.25">
      <c r="A841" s="89">
        <v>785</v>
      </c>
      <c r="B841" s="4">
        <v>42990</v>
      </c>
      <c r="C841" s="26" t="s">
        <v>53</v>
      </c>
      <c r="D841" s="3">
        <v>18580</v>
      </c>
      <c r="E841" s="92">
        <v>42993</v>
      </c>
      <c r="F841" s="92" t="s">
        <v>28</v>
      </c>
      <c r="G841" s="32">
        <v>43007</v>
      </c>
      <c r="H841" s="27">
        <f t="shared" si="93"/>
        <v>18580</v>
      </c>
      <c r="I841" s="27"/>
      <c r="J841" s="27"/>
      <c r="K841" s="99"/>
      <c r="L841" s="27">
        <v>13517</v>
      </c>
      <c r="M841" s="29">
        <f t="shared" si="94"/>
        <v>5063</v>
      </c>
      <c r="N841" s="29"/>
      <c r="O841" s="44">
        <f t="shared" si="95"/>
        <v>0.27249730893433799</v>
      </c>
    </row>
    <row r="842" spans="1:15" ht="20.100000000000001" customHeight="1" x14ac:dyDescent="0.25">
      <c r="A842" s="89">
        <v>810</v>
      </c>
      <c r="B842" s="4">
        <v>42998</v>
      </c>
      <c r="C842" s="26" t="s">
        <v>65</v>
      </c>
      <c r="D842" s="3">
        <v>49916</v>
      </c>
      <c r="E842" s="92">
        <v>42998</v>
      </c>
      <c r="F842" s="92" t="s">
        <v>28</v>
      </c>
      <c r="G842" s="32">
        <v>42998</v>
      </c>
      <c r="H842" s="27">
        <f t="shared" si="93"/>
        <v>49916</v>
      </c>
      <c r="I842" s="27"/>
      <c r="J842" s="27"/>
      <c r="K842" s="99">
        <f>300*8</f>
        <v>2400</v>
      </c>
      <c r="L842" s="27">
        <v>15217</v>
      </c>
      <c r="M842" s="29">
        <f t="shared" si="94"/>
        <v>32299</v>
      </c>
      <c r="N842" s="29"/>
      <c r="O842" s="44">
        <f t="shared" si="95"/>
        <v>0.64706707268210595</v>
      </c>
    </row>
    <row r="843" spans="1:15" ht="20.100000000000001" customHeight="1" x14ac:dyDescent="0.25">
      <c r="A843" s="89">
        <v>782</v>
      </c>
      <c r="B843" s="4">
        <v>42989</v>
      </c>
      <c r="C843" s="26" t="s">
        <v>83</v>
      </c>
      <c r="D843" s="3">
        <v>8951</v>
      </c>
      <c r="E843" s="92">
        <v>42998</v>
      </c>
      <c r="F843" s="92" t="s">
        <v>28</v>
      </c>
      <c r="G843" s="32">
        <v>42999</v>
      </c>
      <c r="H843" s="27">
        <f t="shared" si="93"/>
        <v>8951</v>
      </c>
      <c r="I843" s="27"/>
      <c r="J843" s="27"/>
      <c r="K843" s="99"/>
      <c r="L843" s="27">
        <v>5914</v>
      </c>
      <c r="M843" s="29">
        <f t="shared" si="94"/>
        <v>3037</v>
      </c>
      <c r="N843" s="29"/>
      <c r="O843" s="44">
        <f t="shared" si="95"/>
        <v>0.33929169925148028</v>
      </c>
    </row>
    <row r="844" spans="1:15" ht="20.100000000000001" customHeight="1" x14ac:dyDescent="0.25">
      <c r="A844" s="89">
        <v>812</v>
      </c>
      <c r="B844" s="4">
        <v>42998</v>
      </c>
      <c r="C844" s="5" t="s">
        <v>294</v>
      </c>
      <c r="D844" s="3">
        <v>57043</v>
      </c>
      <c r="E844" s="92">
        <v>42998</v>
      </c>
      <c r="F844" s="92" t="s">
        <v>28</v>
      </c>
      <c r="G844" s="32">
        <v>42998</v>
      </c>
      <c r="H844" s="27">
        <f t="shared" si="93"/>
        <v>57043</v>
      </c>
      <c r="I844" s="27">
        <f>H844</f>
        <v>57043</v>
      </c>
      <c r="J844" s="27"/>
      <c r="K844" s="99"/>
      <c r="L844" s="27">
        <v>40234</v>
      </c>
      <c r="M844" s="29">
        <f t="shared" si="94"/>
        <v>16809</v>
      </c>
      <c r="N844" s="29">
        <f>M844</f>
        <v>16809</v>
      </c>
      <c r="O844" s="44">
        <f t="shared" si="95"/>
        <v>0.29467244008905563</v>
      </c>
    </row>
    <row r="845" spans="1:15" ht="20.100000000000001" customHeight="1" x14ac:dyDescent="0.25">
      <c r="A845" s="89">
        <v>818</v>
      </c>
      <c r="B845" s="4">
        <v>42998</v>
      </c>
      <c r="C845" s="5" t="s">
        <v>294</v>
      </c>
      <c r="D845" s="3">
        <v>1881</v>
      </c>
      <c r="E845" s="92">
        <v>42999</v>
      </c>
      <c r="F845" s="92" t="s">
        <v>28</v>
      </c>
      <c r="G845" s="32">
        <v>42999</v>
      </c>
      <c r="H845" s="27">
        <f t="shared" si="93"/>
        <v>1881</v>
      </c>
      <c r="I845" s="27">
        <f>H845</f>
        <v>1881</v>
      </c>
      <c r="J845" s="27"/>
      <c r="K845" s="99"/>
      <c r="L845" s="27">
        <v>1467</v>
      </c>
      <c r="M845" s="29">
        <f t="shared" si="94"/>
        <v>414</v>
      </c>
      <c r="N845" s="29">
        <f>M845</f>
        <v>414</v>
      </c>
      <c r="O845" s="44">
        <f t="shared" si="95"/>
        <v>0.22009569377990432</v>
      </c>
    </row>
    <row r="846" spans="1:15" ht="20.100000000000001" customHeight="1" x14ac:dyDescent="0.25">
      <c r="A846" s="89">
        <v>771</v>
      </c>
      <c r="B846" s="4">
        <v>42984</v>
      </c>
      <c r="C846" s="26" t="s">
        <v>14</v>
      </c>
      <c r="D846" s="3">
        <v>821.87</v>
      </c>
      <c r="E846" s="92">
        <v>43003</v>
      </c>
      <c r="F846" s="92" t="s">
        <v>28</v>
      </c>
      <c r="G846" s="32">
        <v>43006</v>
      </c>
      <c r="H846" s="27">
        <f t="shared" si="93"/>
        <v>821.87</v>
      </c>
      <c r="I846" s="27"/>
      <c r="J846" s="27"/>
      <c r="K846" s="99"/>
      <c r="L846" s="27">
        <v>542</v>
      </c>
      <c r="M846" s="29">
        <f t="shared" si="94"/>
        <v>279.87</v>
      </c>
      <c r="N846" s="29"/>
      <c r="O846" s="44">
        <f t="shared" si="95"/>
        <v>0.34052830739654688</v>
      </c>
    </row>
    <row r="847" spans="1:15" ht="20.100000000000001" customHeight="1" x14ac:dyDescent="0.25">
      <c r="A847" s="89">
        <v>820</v>
      </c>
      <c r="B847" s="4">
        <v>42999</v>
      </c>
      <c r="C847" s="26" t="s">
        <v>147</v>
      </c>
      <c r="D847" s="3">
        <v>13501</v>
      </c>
      <c r="E847" s="92">
        <v>43003</v>
      </c>
      <c r="F847" s="92" t="s">
        <v>28</v>
      </c>
      <c r="G847" s="32">
        <v>43017</v>
      </c>
      <c r="H847" s="27">
        <f t="shared" si="93"/>
        <v>13501</v>
      </c>
      <c r="I847" s="27"/>
      <c r="J847" s="27"/>
      <c r="K847" s="99"/>
      <c r="L847" s="27">
        <v>10308</v>
      </c>
      <c r="M847" s="29">
        <f t="shared" si="94"/>
        <v>3193</v>
      </c>
      <c r="N847" s="29"/>
      <c r="O847" s="44">
        <f t="shared" si="95"/>
        <v>0.2365009999259314</v>
      </c>
    </row>
    <row r="848" spans="1:15" ht="20.100000000000001" customHeight="1" x14ac:dyDescent="0.25">
      <c r="A848" s="89">
        <v>821</v>
      </c>
      <c r="B848" s="4">
        <v>43000</v>
      </c>
      <c r="C848" s="26" t="s">
        <v>287</v>
      </c>
      <c r="D848" s="3">
        <v>13535</v>
      </c>
      <c r="E848" s="92">
        <v>43003</v>
      </c>
      <c r="F848" s="92" t="s">
        <v>28</v>
      </c>
      <c r="G848" s="32">
        <v>43010</v>
      </c>
      <c r="H848" s="27">
        <f t="shared" si="93"/>
        <v>13535</v>
      </c>
      <c r="I848" s="27"/>
      <c r="J848" s="27"/>
      <c r="K848" s="99"/>
      <c r="L848" s="27">
        <v>10199</v>
      </c>
      <c r="M848" s="29">
        <f t="shared" si="94"/>
        <v>3336</v>
      </c>
      <c r="N848" s="29"/>
      <c r="O848" s="44">
        <f t="shared" si="95"/>
        <v>0.24647210934613964</v>
      </c>
    </row>
    <row r="849" spans="1:15" ht="20.100000000000001" customHeight="1" x14ac:dyDescent="0.25">
      <c r="A849" s="89">
        <v>824</v>
      </c>
      <c r="B849" s="4">
        <v>43003</v>
      </c>
      <c r="C849" s="5" t="s">
        <v>293</v>
      </c>
      <c r="D849" s="3">
        <v>7954</v>
      </c>
      <c r="E849" s="92">
        <v>43004</v>
      </c>
      <c r="F849" s="92" t="s">
        <v>28</v>
      </c>
      <c r="G849" s="32">
        <v>43011</v>
      </c>
      <c r="H849" s="27">
        <f t="shared" si="93"/>
        <v>7954</v>
      </c>
      <c r="I849" s="27">
        <f>H849</f>
        <v>7954</v>
      </c>
      <c r="J849" s="27"/>
      <c r="K849" s="99"/>
      <c r="L849" s="27">
        <v>6204</v>
      </c>
      <c r="M849" s="29">
        <f t="shared" si="94"/>
        <v>1750</v>
      </c>
      <c r="N849" s="29">
        <f>M849</f>
        <v>1750</v>
      </c>
      <c r="O849" s="44">
        <f t="shared" si="95"/>
        <v>0.22001508674880563</v>
      </c>
    </row>
    <row r="850" spans="1:15" ht="20.100000000000001" customHeight="1" x14ac:dyDescent="0.25">
      <c r="A850" s="89">
        <v>797</v>
      </c>
      <c r="B850" s="4">
        <v>42993</v>
      </c>
      <c r="C850" s="26" t="s">
        <v>11</v>
      </c>
      <c r="D850" s="3">
        <v>30914</v>
      </c>
      <c r="E850" s="92">
        <v>43005</v>
      </c>
      <c r="F850" s="92" t="s">
        <v>28</v>
      </c>
      <c r="G850" s="32">
        <v>43042</v>
      </c>
      <c r="H850" s="27">
        <f t="shared" si="93"/>
        <v>30914</v>
      </c>
      <c r="I850" s="27"/>
      <c r="J850" s="27"/>
      <c r="K850" s="99"/>
      <c r="L850" s="27">
        <v>20443</v>
      </c>
      <c r="M850" s="29">
        <f t="shared" si="94"/>
        <v>10471</v>
      </c>
      <c r="N850" s="29"/>
      <c r="O850" s="44">
        <f t="shared" si="95"/>
        <v>0.33871385132949472</v>
      </c>
    </row>
    <row r="851" spans="1:15" ht="19.5" customHeight="1" x14ac:dyDescent="0.25">
      <c r="A851" s="89"/>
      <c r="B851" s="4"/>
      <c r="C851" s="5"/>
      <c r="D851" s="3"/>
      <c r="E851" s="97">
        <v>33000</v>
      </c>
      <c r="F851" s="98">
        <f>M851*0.12+N851*0.06+8000</f>
        <v>33741.904399999999</v>
      </c>
      <c r="G851" s="21">
        <f>H851*0.05+I851*0.02</f>
        <v>35679.553500000002</v>
      </c>
      <c r="H851" s="16">
        <f t="shared" ref="H851:N851" si="96">SUM(H830:H850)</f>
        <v>625315.87</v>
      </c>
      <c r="I851" s="16">
        <f t="shared" si="96"/>
        <v>220688</v>
      </c>
      <c r="J851" s="16">
        <f t="shared" si="96"/>
        <v>0</v>
      </c>
      <c r="K851" s="16">
        <f t="shared" si="96"/>
        <v>4500</v>
      </c>
      <c r="L851" s="16">
        <f t="shared" si="96"/>
        <v>437405</v>
      </c>
      <c r="M851" s="16">
        <f t="shared" si="96"/>
        <v>183410.87</v>
      </c>
      <c r="N851" s="16">
        <f t="shared" si="96"/>
        <v>62210</v>
      </c>
      <c r="O851" s="44">
        <f t="shared" si="95"/>
        <v>0.29330915589908185</v>
      </c>
    </row>
    <row r="852" spans="1:15" ht="23.25" x14ac:dyDescent="0.35">
      <c r="C852" s="94" t="s">
        <v>644</v>
      </c>
    </row>
    <row r="853" spans="1:15" ht="20.100000000000001" customHeight="1" x14ac:dyDescent="0.25">
      <c r="A853" s="89">
        <v>825</v>
      </c>
      <c r="B853" s="4">
        <v>43003</v>
      </c>
      <c r="C853" s="26" t="s">
        <v>60</v>
      </c>
      <c r="D853" s="3">
        <v>5460</v>
      </c>
      <c r="E853" s="92">
        <v>43010</v>
      </c>
      <c r="F853" s="92" t="s">
        <v>28</v>
      </c>
      <c r="G853" s="32">
        <v>43004</v>
      </c>
      <c r="H853" s="27">
        <f t="shared" ref="H853:H866" si="97">D853</f>
        <v>5460</v>
      </c>
      <c r="I853" s="27"/>
      <c r="J853" s="27"/>
      <c r="K853" s="99"/>
      <c r="L853" s="27">
        <v>4106</v>
      </c>
      <c r="M853" s="29">
        <f t="shared" ref="M853:M892" si="98">H853-L853-J853-K853</f>
        <v>1354</v>
      </c>
      <c r="N853" s="29"/>
      <c r="O853" s="44">
        <f t="shared" ref="O853:O893" si="99">M853/H853</f>
        <v>0.24798534798534799</v>
      </c>
    </row>
    <row r="854" spans="1:15" ht="20.100000000000001" customHeight="1" x14ac:dyDescent="0.25">
      <c r="A854" s="89">
        <v>836</v>
      </c>
      <c r="B854" s="4">
        <v>43007</v>
      </c>
      <c r="C854" s="26" t="s">
        <v>236</v>
      </c>
      <c r="D854" s="3">
        <v>4990</v>
      </c>
      <c r="E854" s="92">
        <v>43010</v>
      </c>
      <c r="F854" s="92" t="s">
        <v>28</v>
      </c>
      <c r="G854" s="32">
        <v>43012</v>
      </c>
      <c r="H854" s="27">
        <f t="shared" si="97"/>
        <v>4990</v>
      </c>
      <c r="I854" s="27"/>
      <c r="J854" s="27"/>
      <c r="K854" s="99"/>
      <c r="L854" s="27">
        <v>3374</v>
      </c>
      <c r="M854" s="29">
        <f t="shared" si="98"/>
        <v>1616</v>
      </c>
      <c r="N854" s="29"/>
      <c r="O854" s="44">
        <f t="shared" si="99"/>
        <v>0.32384769539078156</v>
      </c>
    </row>
    <row r="855" spans="1:15" ht="20.100000000000001" customHeight="1" x14ac:dyDescent="0.25">
      <c r="A855" s="89">
        <v>827</v>
      </c>
      <c r="B855" s="4">
        <v>43005</v>
      </c>
      <c r="C855" s="26" t="s">
        <v>66</v>
      </c>
      <c r="D855" s="3">
        <v>7633</v>
      </c>
      <c r="E855" s="92">
        <v>43011</v>
      </c>
      <c r="F855" s="92" t="s">
        <v>28</v>
      </c>
      <c r="G855" s="32">
        <v>43012</v>
      </c>
      <c r="H855" s="27">
        <f t="shared" si="97"/>
        <v>7633</v>
      </c>
      <c r="I855" s="27"/>
      <c r="J855" s="27"/>
      <c r="K855" s="99"/>
      <c r="L855" s="27">
        <v>5138</v>
      </c>
      <c r="M855" s="29">
        <f t="shared" si="98"/>
        <v>2495</v>
      </c>
      <c r="N855" s="29"/>
      <c r="O855" s="44">
        <f t="shared" si="99"/>
        <v>0.32687016900301324</v>
      </c>
    </row>
    <row r="856" spans="1:15" ht="20.100000000000001" customHeight="1" x14ac:dyDescent="0.25">
      <c r="A856" s="89">
        <v>843</v>
      </c>
      <c r="B856" s="4">
        <v>43010</v>
      </c>
      <c r="C856" s="5" t="s">
        <v>296</v>
      </c>
      <c r="D856" s="3">
        <v>16999</v>
      </c>
      <c r="E856" s="92">
        <v>43011</v>
      </c>
      <c r="F856" s="92" t="s">
        <v>28</v>
      </c>
      <c r="G856" s="32">
        <v>43014</v>
      </c>
      <c r="H856" s="27">
        <f t="shared" si="97"/>
        <v>16999</v>
      </c>
      <c r="I856" s="27">
        <f>H856</f>
        <v>16999</v>
      </c>
      <c r="J856" s="27"/>
      <c r="K856" s="99"/>
      <c r="L856" s="27">
        <v>12851</v>
      </c>
      <c r="M856" s="29">
        <f t="shared" si="98"/>
        <v>4148</v>
      </c>
      <c r="N856" s="29">
        <f>M856</f>
        <v>4148</v>
      </c>
      <c r="O856" s="44">
        <f t="shared" si="99"/>
        <v>0.24401435378551681</v>
      </c>
    </row>
    <row r="857" spans="1:15" ht="20.100000000000001" customHeight="1" x14ac:dyDescent="0.25">
      <c r="A857" s="89">
        <v>814</v>
      </c>
      <c r="B857" s="4">
        <v>42998</v>
      </c>
      <c r="C857" s="26" t="s">
        <v>50</v>
      </c>
      <c r="D857" s="3">
        <v>4843</v>
      </c>
      <c r="E857" s="92">
        <v>43011</v>
      </c>
      <c r="F857" s="92" t="s">
        <v>28</v>
      </c>
      <c r="G857" s="32">
        <v>43026</v>
      </c>
      <c r="H857" s="27">
        <f t="shared" si="97"/>
        <v>4843</v>
      </c>
      <c r="I857" s="27"/>
      <c r="J857" s="27"/>
      <c r="K857" s="99"/>
      <c r="L857" s="27">
        <v>3463</v>
      </c>
      <c r="M857" s="29">
        <f t="shared" si="98"/>
        <v>1380</v>
      </c>
      <c r="N857" s="29"/>
      <c r="O857" s="44">
        <f t="shared" si="99"/>
        <v>0.28494734668593846</v>
      </c>
    </row>
    <row r="858" spans="1:15" ht="20.100000000000001" customHeight="1" x14ac:dyDescent="0.25">
      <c r="A858" s="89">
        <v>839</v>
      </c>
      <c r="B858" s="4">
        <v>43010</v>
      </c>
      <c r="C858" s="26" t="s">
        <v>295</v>
      </c>
      <c r="D858" s="3">
        <v>92900</v>
      </c>
      <c r="E858" s="92">
        <v>43011</v>
      </c>
      <c r="F858" s="92" t="s">
        <v>28</v>
      </c>
      <c r="G858" s="32">
        <v>43056</v>
      </c>
      <c r="H858" s="27">
        <f t="shared" si="97"/>
        <v>92900</v>
      </c>
      <c r="I858" s="27"/>
      <c r="J858" s="27"/>
      <c r="K858" s="99">
        <f>2*600</f>
        <v>1200</v>
      </c>
      <c r="L858" s="27">
        <v>72126</v>
      </c>
      <c r="M858" s="29">
        <f t="shared" si="98"/>
        <v>19574</v>
      </c>
      <c r="N858" s="29"/>
      <c r="O858" s="44">
        <f t="shared" si="99"/>
        <v>0.21069967707212056</v>
      </c>
    </row>
    <row r="859" spans="1:15" ht="20.100000000000001" customHeight="1" x14ac:dyDescent="0.25">
      <c r="A859" s="89">
        <v>838</v>
      </c>
      <c r="B859" s="4">
        <v>43012</v>
      </c>
      <c r="C859" s="26" t="s">
        <v>216</v>
      </c>
      <c r="D859" s="3">
        <v>9972.0499999999993</v>
      </c>
      <c r="E859" s="92">
        <v>43013</v>
      </c>
      <c r="F859" s="92" t="s">
        <v>28</v>
      </c>
      <c r="G859" s="32">
        <v>43056</v>
      </c>
      <c r="H859" s="27">
        <f t="shared" si="97"/>
        <v>9972.0499999999993</v>
      </c>
      <c r="I859" s="27"/>
      <c r="J859" s="27"/>
      <c r="K859" s="99"/>
      <c r="L859" s="27">
        <v>9010</v>
      </c>
      <c r="M859" s="29">
        <f t="shared" si="98"/>
        <v>962.04999999999927</v>
      </c>
      <c r="N859" s="29"/>
      <c r="O859" s="44">
        <f t="shared" si="99"/>
        <v>9.6474646637351336E-2</v>
      </c>
    </row>
    <row r="860" spans="1:15" ht="20.100000000000001" customHeight="1" x14ac:dyDescent="0.25">
      <c r="A860" s="89">
        <v>835</v>
      </c>
      <c r="B860" s="4">
        <v>43007</v>
      </c>
      <c r="C860" s="26" t="s">
        <v>15</v>
      </c>
      <c r="D860" s="3">
        <v>1530</v>
      </c>
      <c r="E860" s="92">
        <v>43013</v>
      </c>
      <c r="F860" s="92" t="s">
        <v>28</v>
      </c>
      <c r="G860" s="32">
        <v>43035</v>
      </c>
      <c r="H860" s="27">
        <f t="shared" si="97"/>
        <v>1530</v>
      </c>
      <c r="I860" s="27"/>
      <c r="J860" s="27"/>
      <c r="K860" s="99"/>
      <c r="L860" s="27">
        <v>1193</v>
      </c>
      <c r="M860" s="29">
        <f t="shared" si="98"/>
        <v>337</v>
      </c>
      <c r="N860" s="29"/>
      <c r="O860" s="44">
        <f t="shared" si="99"/>
        <v>0.22026143790849673</v>
      </c>
    </row>
    <row r="861" spans="1:15" ht="20.100000000000001" customHeight="1" x14ac:dyDescent="0.25">
      <c r="A861" s="89">
        <v>864</v>
      </c>
      <c r="B861" s="4">
        <v>43014</v>
      </c>
      <c r="C861" s="5" t="s">
        <v>296</v>
      </c>
      <c r="D861" s="3">
        <v>553</v>
      </c>
      <c r="E861" s="92">
        <v>43014</v>
      </c>
      <c r="F861" s="92" t="s">
        <v>28</v>
      </c>
      <c r="G861" s="32">
        <v>43014</v>
      </c>
      <c r="H861" s="27">
        <f t="shared" si="97"/>
        <v>553</v>
      </c>
      <c r="I861" s="27">
        <f>H861</f>
        <v>553</v>
      </c>
      <c r="J861" s="27"/>
      <c r="K861" s="99"/>
      <c r="L861" s="27">
        <v>431</v>
      </c>
      <c r="M861" s="29">
        <f t="shared" si="98"/>
        <v>122</v>
      </c>
      <c r="N861" s="29">
        <f>M861</f>
        <v>122</v>
      </c>
      <c r="O861" s="44">
        <f t="shared" si="99"/>
        <v>0.22061482820976491</v>
      </c>
    </row>
    <row r="862" spans="1:15" ht="20.100000000000001" customHeight="1" x14ac:dyDescent="0.25">
      <c r="A862" s="89">
        <v>840</v>
      </c>
      <c r="B862" s="4">
        <v>43010</v>
      </c>
      <c r="C862" s="26" t="s">
        <v>139</v>
      </c>
      <c r="D862" s="3">
        <v>17528</v>
      </c>
      <c r="E862" s="92">
        <v>43014</v>
      </c>
      <c r="F862" s="92" t="s">
        <v>28</v>
      </c>
      <c r="G862" s="32">
        <v>43027</v>
      </c>
      <c r="H862" s="27">
        <f t="shared" si="97"/>
        <v>17528</v>
      </c>
      <c r="I862" s="27"/>
      <c r="J862" s="27"/>
      <c r="K862" s="99"/>
      <c r="L862" s="27">
        <v>13044</v>
      </c>
      <c r="M862" s="29">
        <f t="shared" si="98"/>
        <v>4484</v>
      </c>
      <c r="N862" s="29"/>
      <c r="O862" s="44">
        <f t="shared" si="99"/>
        <v>0.25581926061159288</v>
      </c>
    </row>
    <row r="863" spans="1:15" ht="20.100000000000001" customHeight="1" x14ac:dyDescent="0.25">
      <c r="A863" s="89">
        <v>776</v>
      </c>
      <c r="B863" s="4">
        <v>42985</v>
      </c>
      <c r="C863" s="26" t="s">
        <v>56</v>
      </c>
      <c r="D863" s="3">
        <v>5200</v>
      </c>
      <c r="E863" s="92">
        <v>43018</v>
      </c>
      <c r="F863" s="92" t="s">
        <v>28</v>
      </c>
      <c r="G863" s="32">
        <v>42986</v>
      </c>
      <c r="H863" s="27">
        <f t="shared" si="97"/>
        <v>5200</v>
      </c>
      <c r="I863" s="27"/>
      <c r="J863" s="27"/>
      <c r="K863" s="99"/>
      <c r="L863" s="27">
        <v>3233</v>
      </c>
      <c r="M863" s="29">
        <f t="shared" si="98"/>
        <v>1967</v>
      </c>
      <c r="N863" s="29"/>
      <c r="O863" s="44">
        <f t="shared" si="99"/>
        <v>0.37826923076923075</v>
      </c>
    </row>
    <row r="864" spans="1:15" ht="20.100000000000001" customHeight="1" x14ac:dyDescent="0.25">
      <c r="A864" s="89">
        <v>867</v>
      </c>
      <c r="B864" s="4">
        <v>43017</v>
      </c>
      <c r="C864" s="26" t="s">
        <v>101</v>
      </c>
      <c r="D864" s="3">
        <v>8102</v>
      </c>
      <c r="E864" s="92">
        <v>43018</v>
      </c>
      <c r="F864" s="92" t="s">
        <v>28</v>
      </c>
      <c r="G864" s="32">
        <v>43028</v>
      </c>
      <c r="H864" s="27">
        <f t="shared" si="97"/>
        <v>8102</v>
      </c>
      <c r="I864" s="27"/>
      <c r="J864" s="27"/>
      <c r="K864" s="99"/>
      <c r="L864" s="27">
        <v>5347</v>
      </c>
      <c r="M864" s="29">
        <f t="shared" si="98"/>
        <v>2755</v>
      </c>
      <c r="N864" s="29"/>
      <c r="O864" s="44">
        <f t="shared" si="99"/>
        <v>0.34003949642063686</v>
      </c>
    </row>
    <row r="865" spans="1:15" ht="20.100000000000001" customHeight="1" x14ac:dyDescent="0.25">
      <c r="A865" s="89">
        <v>874</v>
      </c>
      <c r="B865" s="92">
        <v>43018</v>
      </c>
      <c r="C865" s="26" t="s">
        <v>209</v>
      </c>
      <c r="D865" s="3">
        <v>5914.3</v>
      </c>
      <c r="E865" s="92">
        <v>43019</v>
      </c>
      <c r="F865" s="92" t="s">
        <v>28</v>
      </c>
      <c r="G865" s="32">
        <v>43018</v>
      </c>
      <c r="H865" s="27">
        <f t="shared" si="97"/>
        <v>5914.3</v>
      </c>
      <c r="I865" s="27"/>
      <c r="J865" s="27"/>
      <c r="K865" s="99"/>
      <c r="L865" s="27">
        <v>5358</v>
      </c>
      <c r="M865" s="29">
        <f t="shared" si="98"/>
        <v>556.30000000000018</v>
      </c>
      <c r="N865" s="29"/>
      <c r="O865" s="44">
        <f t="shared" si="99"/>
        <v>9.4060159274977628E-2</v>
      </c>
    </row>
    <row r="866" spans="1:15" ht="20.100000000000001" customHeight="1" x14ac:dyDescent="0.25">
      <c r="A866" s="89">
        <v>825</v>
      </c>
      <c r="B866" s="4">
        <v>43003</v>
      </c>
      <c r="C866" s="26" t="s">
        <v>60</v>
      </c>
      <c r="D866" s="3">
        <v>1365</v>
      </c>
      <c r="E866" s="92">
        <v>43019</v>
      </c>
      <c r="F866" s="92" t="s">
        <v>28</v>
      </c>
      <c r="G866" s="32">
        <v>43013</v>
      </c>
      <c r="H866" s="27">
        <f t="shared" si="97"/>
        <v>1365</v>
      </c>
      <c r="I866" s="27"/>
      <c r="J866" s="27"/>
      <c r="K866" s="99"/>
      <c r="L866" s="27">
        <v>1064</v>
      </c>
      <c r="M866" s="29">
        <f t="shared" si="98"/>
        <v>301</v>
      </c>
      <c r="N866" s="29"/>
      <c r="O866" s="44">
        <f t="shared" si="99"/>
        <v>0.22051282051282051</v>
      </c>
    </row>
    <row r="867" spans="1:15" ht="20.100000000000001" customHeight="1" x14ac:dyDescent="0.25">
      <c r="A867" s="89">
        <v>871</v>
      </c>
      <c r="B867" s="4">
        <v>43018</v>
      </c>
      <c r="C867" s="26" t="s">
        <v>147</v>
      </c>
      <c r="D867" s="3">
        <v>105076</v>
      </c>
      <c r="E867" s="92">
        <v>43020</v>
      </c>
      <c r="F867" s="92" t="s">
        <v>28</v>
      </c>
      <c r="G867" s="32">
        <v>43021</v>
      </c>
      <c r="H867" s="27">
        <f>D867/2</f>
        <v>52538</v>
      </c>
      <c r="I867" s="27"/>
      <c r="J867" s="27"/>
      <c r="K867" s="99"/>
      <c r="L867" s="27">
        <v>40146</v>
      </c>
      <c r="M867" s="29">
        <f t="shared" si="98"/>
        <v>12392</v>
      </c>
      <c r="N867" s="29"/>
      <c r="O867" s="44">
        <f t="shared" si="99"/>
        <v>0.23586737218774981</v>
      </c>
    </row>
    <row r="868" spans="1:15" ht="20.100000000000001" customHeight="1" x14ac:dyDescent="0.25">
      <c r="A868" s="89">
        <v>854</v>
      </c>
      <c r="B868" s="4">
        <v>43012</v>
      </c>
      <c r="C868" s="26" t="s">
        <v>186</v>
      </c>
      <c r="D868" s="3">
        <v>30790</v>
      </c>
      <c r="E868" s="92">
        <v>43020</v>
      </c>
      <c r="F868" s="92" t="s">
        <v>28</v>
      </c>
      <c r="G868" s="32">
        <v>43024</v>
      </c>
      <c r="H868" s="27">
        <f>D868</f>
        <v>30790</v>
      </c>
      <c r="I868" s="27"/>
      <c r="J868" s="27"/>
      <c r="K868" s="99"/>
      <c r="L868" s="27">
        <v>23277</v>
      </c>
      <c r="M868" s="29">
        <f t="shared" si="98"/>
        <v>7513</v>
      </c>
      <c r="N868" s="29"/>
      <c r="O868" s="44">
        <f t="shared" si="99"/>
        <v>0.24400779473855147</v>
      </c>
    </row>
    <row r="869" spans="1:15" ht="20.100000000000001" customHeight="1" x14ac:dyDescent="0.25">
      <c r="A869" s="89">
        <v>881</v>
      </c>
      <c r="B869" s="4">
        <v>43020</v>
      </c>
      <c r="C869" s="26" t="s">
        <v>276</v>
      </c>
      <c r="D869" s="3">
        <v>4812</v>
      </c>
      <c r="E869" s="92">
        <v>43020</v>
      </c>
      <c r="F869" s="92" t="s">
        <v>28</v>
      </c>
      <c r="G869" s="32">
        <v>43021</v>
      </c>
      <c r="H869" s="27">
        <f>D869</f>
        <v>4812</v>
      </c>
      <c r="I869" s="27"/>
      <c r="J869" s="27"/>
      <c r="K869" s="99"/>
      <c r="L869" s="27">
        <v>3485</v>
      </c>
      <c r="M869" s="29">
        <f t="shared" si="98"/>
        <v>1327</v>
      </c>
      <c r="N869" s="29"/>
      <c r="O869" s="44">
        <f t="shared" si="99"/>
        <v>0.27576891105569412</v>
      </c>
    </row>
    <row r="870" spans="1:15" ht="20.100000000000001" customHeight="1" x14ac:dyDescent="0.25">
      <c r="A870" s="89">
        <v>878</v>
      </c>
      <c r="B870" s="4">
        <v>43019</v>
      </c>
      <c r="C870" s="26" t="s">
        <v>16</v>
      </c>
      <c r="D870" s="3">
        <v>18299.2</v>
      </c>
      <c r="E870" s="92">
        <v>43021</v>
      </c>
      <c r="F870" s="92" t="s">
        <v>28</v>
      </c>
      <c r="G870" s="32">
        <v>43031</v>
      </c>
      <c r="H870" s="27">
        <f>D870</f>
        <v>18299.2</v>
      </c>
      <c r="I870" s="27"/>
      <c r="J870" s="27"/>
      <c r="K870" s="99"/>
      <c r="L870" s="27">
        <v>12872</v>
      </c>
      <c r="M870" s="29">
        <f t="shared" si="98"/>
        <v>5427.2000000000007</v>
      </c>
      <c r="N870" s="29"/>
      <c r="O870" s="44">
        <f t="shared" si="99"/>
        <v>0.29658127131240714</v>
      </c>
    </row>
    <row r="871" spans="1:15" ht="20.100000000000001" customHeight="1" x14ac:dyDescent="0.25">
      <c r="A871" s="89">
        <v>885</v>
      </c>
      <c r="B871" s="4">
        <v>43024</v>
      </c>
      <c r="C871" s="5" t="s">
        <v>297</v>
      </c>
      <c r="D871" s="3">
        <v>82637</v>
      </c>
      <c r="E871" s="92">
        <v>43024</v>
      </c>
      <c r="F871" s="92" t="s">
        <v>28</v>
      </c>
      <c r="G871" s="32">
        <v>43024</v>
      </c>
      <c r="H871" s="27">
        <f>D871</f>
        <v>82637</v>
      </c>
      <c r="I871" s="27">
        <f>H871</f>
        <v>82637</v>
      </c>
      <c r="J871" s="27"/>
      <c r="K871" s="99"/>
      <c r="L871" s="27">
        <v>62585</v>
      </c>
      <c r="M871" s="29">
        <f t="shared" si="98"/>
        <v>20052</v>
      </c>
      <c r="N871" s="29">
        <f>M871</f>
        <v>20052</v>
      </c>
      <c r="O871" s="44">
        <f t="shared" si="99"/>
        <v>0.24265159674237932</v>
      </c>
    </row>
    <row r="872" spans="1:15" ht="20.100000000000001" customHeight="1" x14ac:dyDescent="0.25">
      <c r="A872" s="89">
        <v>871</v>
      </c>
      <c r="B872" s="4">
        <v>43018</v>
      </c>
      <c r="C872" s="26" t="s">
        <v>147</v>
      </c>
      <c r="D872" s="3">
        <v>105076</v>
      </c>
      <c r="E872" s="92">
        <v>43025</v>
      </c>
      <c r="F872" s="92" t="s">
        <v>28</v>
      </c>
      <c r="G872" s="32">
        <v>43039</v>
      </c>
      <c r="H872" s="27">
        <f>D872/2</f>
        <v>52538</v>
      </c>
      <c r="I872" s="27"/>
      <c r="J872" s="27"/>
      <c r="K872" s="99"/>
      <c r="L872" s="27">
        <v>40146</v>
      </c>
      <c r="M872" s="29">
        <f t="shared" si="98"/>
        <v>12392</v>
      </c>
      <c r="N872" s="29"/>
      <c r="O872" s="44">
        <f t="shared" si="99"/>
        <v>0.23586737218774981</v>
      </c>
    </row>
    <row r="873" spans="1:15" ht="20.100000000000001" customHeight="1" x14ac:dyDescent="0.25">
      <c r="A873" s="89">
        <v>896</v>
      </c>
      <c r="B873" s="4">
        <v>43025</v>
      </c>
      <c r="C873" s="26" t="s">
        <v>295</v>
      </c>
      <c r="D873" s="3">
        <v>1949</v>
      </c>
      <c r="E873" s="92">
        <v>43027</v>
      </c>
      <c r="F873" s="92" t="s">
        <v>28</v>
      </c>
      <c r="G873" s="32">
        <v>43056</v>
      </c>
      <c r="H873" s="27">
        <f t="shared" ref="H873:H892" si="100">D873</f>
        <v>1949</v>
      </c>
      <c r="I873" s="27"/>
      <c r="J873" s="27"/>
      <c r="K873" s="99"/>
      <c r="L873" s="27">
        <v>1521</v>
      </c>
      <c r="M873" s="29">
        <f t="shared" si="98"/>
        <v>428</v>
      </c>
      <c r="N873" s="29"/>
      <c r="O873" s="44">
        <f t="shared" si="99"/>
        <v>0.21959979476654695</v>
      </c>
    </row>
    <row r="874" spans="1:15" ht="20.100000000000001" customHeight="1" x14ac:dyDescent="0.25">
      <c r="A874" s="89">
        <v>892</v>
      </c>
      <c r="B874" s="4">
        <v>43025</v>
      </c>
      <c r="C874" s="26" t="s">
        <v>118</v>
      </c>
      <c r="D874" s="3">
        <v>1769.7</v>
      </c>
      <c r="E874" s="92">
        <v>43027</v>
      </c>
      <c r="F874" s="92" t="s">
        <v>28</v>
      </c>
      <c r="G874" s="32">
        <v>43062</v>
      </c>
      <c r="H874" s="27">
        <f t="shared" si="100"/>
        <v>1769.7</v>
      </c>
      <c r="I874" s="27"/>
      <c r="J874" s="27"/>
      <c r="K874" s="99"/>
      <c r="L874" s="27">
        <v>1624</v>
      </c>
      <c r="M874" s="29">
        <f t="shared" si="98"/>
        <v>145.70000000000005</v>
      </c>
      <c r="N874" s="29"/>
      <c r="O874" s="44">
        <f t="shared" si="99"/>
        <v>8.2330338475447837E-2</v>
      </c>
    </row>
    <row r="875" spans="1:15" ht="20.100000000000001" customHeight="1" x14ac:dyDescent="0.25">
      <c r="A875" s="89">
        <v>876</v>
      </c>
      <c r="B875" s="4">
        <v>43018</v>
      </c>
      <c r="C875" s="26" t="s">
        <v>11</v>
      </c>
      <c r="D875" s="3">
        <v>3242</v>
      </c>
      <c r="E875" s="92">
        <v>43028</v>
      </c>
      <c r="F875" s="92" t="s">
        <v>28</v>
      </c>
      <c r="G875" s="32">
        <v>43028</v>
      </c>
      <c r="H875" s="27">
        <f t="shared" si="100"/>
        <v>3242</v>
      </c>
      <c r="I875" s="27"/>
      <c r="J875" s="27"/>
      <c r="K875" s="99"/>
      <c r="L875" s="27">
        <v>2438</v>
      </c>
      <c r="M875" s="29">
        <f t="shared" si="98"/>
        <v>804</v>
      </c>
      <c r="N875" s="29"/>
      <c r="O875" s="44">
        <f t="shared" si="99"/>
        <v>0.24799506477483035</v>
      </c>
    </row>
    <row r="876" spans="1:15" ht="20.100000000000001" customHeight="1" x14ac:dyDescent="0.25">
      <c r="A876" s="89">
        <v>904</v>
      </c>
      <c r="B876" s="4">
        <v>43027</v>
      </c>
      <c r="C876" s="26" t="s">
        <v>298</v>
      </c>
      <c r="D876" s="3">
        <v>5863</v>
      </c>
      <c r="E876" s="92">
        <v>43028</v>
      </c>
      <c r="F876" s="92" t="s">
        <v>28</v>
      </c>
      <c r="G876" s="32">
        <v>43032</v>
      </c>
      <c r="H876" s="27">
        <f t="shared" si="100"/>
        <v>5863</v>
      </c>
      <c r="I876" s="27"/>
      <c r="J876" s="27"/>
      <c r="K876" s="99"/>
      <c r="L876" s="27">
        <v>4573</v>
      </c>
      <c r="M876" s="29">
        <f t="shared" si="98"/>
        <v>1290</v>
      </c>
      <c r="N876" s="29"/>
      <c r="O876" s="44">
        <f t="shared" si="99"/>
        <v>0.22002387856046393</v>
      </c>
    </row>
    <row r="877" spans="1:15" ht="20.100000000000001" customHeight="1" x14ac:dyDescent="0.25">
      <c r="A877" s="89">
        <v>862</v>
      </c>
      <c r="B877" s="4">
        <v>43013</v>
      </c>
      <c r="C877" s="26" t="s">
        <v>56</v>
      </c>
      <c r="D877" s="3">
        <v>17696</v>
      </c>
      <c r="E877" s="92">
        <v>43031</v>
      </c>
      <c r="F877" s="92" t="s">
        <v>28</v>
      </c>
      <c r="G877" s="32">
        <v>43019</v>
      </c>
      <c r="H877" s="27">
        <f t="shared" si="100"/>
        <v>17696</v>
      </c>
      <c r="I877" s="27"/>
      <c r="J877" s="27"/>
      <c r="K877" s="99"/>
      <c r="L877" s="27">
        <v>13804</v>
      </c>
      <c r="M877" s="29">
        <f t="shared" si="98"/>
        <v>3892</v>
      </c>
      <c r="N877" s="29"/>
      <c r="O877" s="44">
        <f t="shared" si="99"/>
        <v>0.2199367088607595</v>
      </c>
    </row>
    <row r="878" spans="1:15" ht="20.100000000000001" customHeight="1" x14ac:dyDescent="0.25">
      <c r="A878" s="89">
        <v>888</v>
      </c>
      <c r="B878" s="4">
        <v>43024</v>
      </c>
      <c r="C878" s="26" t="s">
        <v>202</v>
      </c>
      <c r="D878" s="3">
        <v>9630</v>
      </c>
      <c r="E878" s="92">
        <v>43031</v>
      </c>
      <c r="F878" s="92" t="s">
        <v>28</v>
      </c>
      <c r="G878" s="32">
        <v>43055</v>
      </c>
      <c r="H878" s="27">
        <f t="shared" si="100"/>
        <v>9630</v>
      </c>
      <c r="I878" s="27"/>
      <c r="J878" s="27"/>
      <c r="K878" s="99"/>
      <c r="L878" s="27">
        <v>8894</v>
      </c>
      <c r="M878" s="29">
        <f t="shared" si="98"/>
        <v>736</v>
      </c>
      <c r="N878" s="29"/>
      <c r="O878" s="44">
        <f t="shared" si="99"/>
        <v>7.6427829698857738E-2</v>
      </c>
    </row>
    <row r="879" spans="1:15" ht="20.100000000000001" customHeight="1" x14ac:dyDescent="0.25">
      <c r="A879" s="89">
        <v>907</v>
      </c>
      <c r="B879" s="4">
        <v>43028</v>
      </c>
      <c r="C879" s="5" t="s">
        <v>299</v>
      </c>
      <c r="D879" s="3">
        <v>30790</v>
      </c>
      <c r="E879" s="92">
        <v>43032</v>
      </c>
      <c r="F879" s="92" t="s">
        <v>28</v>
      </c>
      <c r="G879" s="32">
        <v>43042</v>
      </c>
      <c r="H879" s="27">
        <f t="shared" si="100"/>
        <v>30790</v>
      </c>
      <c r="I879" s="27">
        <f>H879</f>
        <v>30790</v>
      </c>
      <c r="J879" s="27"/>
      <c r="K879" s="99"/>
      <c r="L879" s="27">
        <v>23277</v>
      </c>
      <c r="M879" s="29">
        <f t="shared" si="98"/>
        <v>7513</v>
      </c>
      <c r="N879" s="29">
        <f>M879</f>
        <v>7513</v>
      </c>
      <c r="O879" s="44">
        <f t="shared" si="99"/>
        <v>0.24400779473855147</v>
      </c>
    </row>
    <row r="880" spans="1:15" ht="20.100000000000001" customHeight="1" x14ac:dyDescent="0.25">
      <c r="A880" s="89">
        <v>910</v>
      </c>
      <c r="B880" s="4">
        <v>43031</v>
      </c>
      <c r="C880" s="26" t="s">
        <v>257</v>
      </c>
      <c r="D880" s="3">
        <v>4499</v>
      </c>
      <c r="E880" s="92">
        <v>43032</v>
      </c>
      <c r="F880" s="92" t="s">
        <v>28</v>
      </c>
      <c r="G880" s="32">
        <v>43033</v>
      </c>
      <c r="H880" s="27">
        <f t="shared" si="100"/>
        <v>4499</v>
      </c>
      <c r="I880" s="27"/>
      <c r="J880" s="27"/>
      <c r="K880" s="99"/>
      <c r="L880" s="27">
        <v>1500</v>
      </c>
      <c r="M880" s="29">
        <f t="shared" si="98"/>
        <v>2999</v>
      </c>
      <c r="N880" s="29"/>
      <c r="O880" s="44">
        <f t="shared" si="99"/>
        <v>0.66659257612802847</v>
      </c>
    </row>
    <row r="881" spans="1:15" ht="20.100000000000001" customHeight="1" x14ac:dyDescent="0.25">
      <c r="A881" s="89">
        <v>618</v>
      </c>
      <c r="B881" s="4">
        <v>42950</v>
      </c>
      <c r="C881" s="26" t="s">
        <v>99</v>
      </c>
      <c r="D881" s="3">
        <v>3436</v>
      </c>
      <c r="E881" s="92">
        <v>43033</v>
      </c>
      <c r="F881" s="92" t="s">
        <v>28</v>
      </c>
      <c r="G881" s="32">
        <v>42950</v>
      </c>
      <c r="H881" s="27">
        <f t="shared" si="100"/>
        <v>3436</v>
      </c>
      <c r="I881" s="27"/>
      <c r="J881" s="27"/>
      <c r="K881" s="99"/>
      <c r="L881" s="27">
        <v>2488</v>
      </c>
      <c r="M881" s="29">
        <f t="shared" si="98"/>
        <v>948</v>
      </c>
      <c r="N881" s="29"/>
      <c r="O881" s="44">
        <f t="shared" si="99"/>
        <v>0.27590221187427239</v>
      </c>
    </row>
    <row r="882" spans="1:15" ht="20.100000000000001" customHeight="1" x14ac:dyDescent="0.25">
      <c r="A882" s="89">
        <v>625</v>
      </c>
      <c r="B882" s="4">
        <v>42951</v>
      </c>
      <c r="C882" s="26" t="s">
        <v>99</v>
      </c>
      <c r="D882" s="3">
        <v>8590</v>
      </c>
      <c r="E882" s="92">
        <v>43033</v>
      </c>
      <c r="F882" s="92" t="s">
        <v>28</v>
      </c>
      <c r="G882" s="32">
        <v>42954</v>
      </c>
      <c r="H882" s="27">
        <f t="shared" si="100"/>
        <v>8590</v>
      </c>
      <c r="I882" s="27"/>
      <c r="J882" s="27"/>
      <c r="K882" s="99"/>
      <c r="L882" s="27">
        <v>6220</v>
      </c>
      <c r="M882" s="29">
        <f t="shared" si="98"/>
        <v>2370</v>
      </c>
      <c r="N882" s="29"/>
      <c r="O882" s="44">
        <f t="shared" si="99"/>
        <v>0.27590221187427239</v>
      </c>
    </row>
    <row r="883" spans="1:15" ht="20.100000000000001" customHeight="1" x14ac:dyDescent="0.25">
      <c r="A883" s="89">
        <v>761</v>
      </c>
      <c r="B883" s="4">
        <v>42982</v>
      </c>
      <c r="C883" s="26" t="s">
        <v>99</v>
      </c>
      <c r="D883" s="3">
        <v>93779</v>
      </c>
      <c r="E883" s="92">
        <v>43033</v>
      </c>
      <c r="F883" s="92" t="s">
        <v>28</v>
      </c>
      <c r="G883" s="32">
        <v>42984</v>
      </c>
      <c r="H883" s="27">
        <f t="shared" si="100"/>
        <v>93779</v>
      </c>
      <c r="I883" s="27"/>
      <c r="J883" s="27"/>
      <c r="K883" s="99"/>
      <c r="L883" s="27">
        <v>67750</v>
      </c>
      <c r="M883" s="29">
        <f t="shared" si="98"/>
        <v>26029</v>
      </c>
      <c r="N883" s="29"/>
      <c r="O883" s="44">
        <f t="shared" si="99"/>
        <v>0.27755680909372032</v>
      </c>
    </row>
    <row r="884" spans="1:15" ht="20.100000000000001" customHeight="1" x14ac:dyDescent="0.25">
      <c r="A884" s="89">
        <v>761</v>
      </c>
      <c r="B884" s="4">
        <v>42982</v>
      </c>
      <c r="C884" s="26" t="s">
        <v>99</v>
      </c>
      <c r="D884" s="3">
        <v>70992</v>
      </c>
      <c r="E884" s="92">
        <v>43033</v>
      </c>
      <c r="F884" s="92" t="s">
        <v>28</v>
      </c>
      <c r="G884" s="32">
        <v>42996</v>
      </c>
      <c r="H884" s="27">
        <f t="shared" si="100"/>
        <v>70992</v>
      </c>
      <c r="I884" s="27"/>
      <c r="J884" s="27">
        <v>18000</v>
      </c>
      <c r="K884" s="99">
        <f>600*12</f>
        <v>7200</v>
      </c>
      <c r="L884" s="27">
        <v>7368</v>
      </c>
      <c r="M884" s="29">
        <f t="shared" si="98"/>
        <v>38424</v>
      </c>
      <c r="N884" s="29"/>
      <c r="O884" s="44">
        <f t="shared" si="99"/>
        <v>0.54124408384043277</v>
      </c>
    </row>
    <row r="885" spans="1:15" ht="20.100000000000001" customHeight="1" x14ac:dyDescent="0.25">
      <c r="A885" s="89">
        <v>826</v>
      </c>
      <c r="B885" s="4">
        <v>43004</v>
      </c>
      <c r="C885" s="26" t="s">
        <v>99</v>
      </c>
      <c r="D885" s="3">
        <v>19708</v>
      </c>
      <c r="E885" s="92">
        <v>43033</v>
      </c>
      <c r="F885" s="92" t="s">
        <v>28</v>
      </c>
      <c r="G885" s="32">
        <v>43004</v>
      </c>
      <c r="H885" s="27">
        <f t="shared" si="100"/>
        <v>19708</v>
      </c>
      <c r="I885" s="27"/>
      <c r="J885" s="27"/>
      <c r="K885" s="99"/>
      <c r="L885" s="27">
        <v>15349</v>
      </c>
      <c r="M885" s="29">
        <f t="shared" si="98"/>
        <v>4359</v>
      </c>
      <c r="N885" s="29"/>
      <c r="O885" s="44">
        <f t="shared" si="99"/>
        <v>0.22117921656180231</v>
      </c>
    </row>
    <row r="886" spans="1:15" ht="20.100000000000001" customHeight="1" x14ac:dyDescent="0.25">
      <c r="A886" s="89">
        <v>796</v>
      </c>
      <c r="B886" s="4">
        <v>42975</v>
      </c>
      <c r="C886" s="26" t="s">
        <v>99</v>
      </c>
      <c r="D886" s="3">
        <v>394710</v>
      </c>
      <c r="E886" s="92">
        <v>43033</v>
      </c>
      <c r="F886" s="92" t="s">
        <v>28</v>
      </c>
      <c r="G886" s="32">
        <v>43006</v>
      </c>
      <c r="H886" s="27">
        <f t="shared" si="100"/>
        <v>394710</v>
      </c>
      <c r="I886" s="27"/>
      <c r="J886" s="27">
        <v>5000</v>
      </c>
      <c r="K886" s="99"/>
      <c r="L886" s="27">
        <v>304590</v>
      </c>
      <c r="M886" s="29">
        <f t="shared" si="98"/>
        <v>85120</v>
      </c>
      <c r="N886" s="29"/>
      <c r="O886" s="44">
        <f t="shared" si="99"/>
        <v>0.21565199766917484</v>
      </c>
    </row>
    <row r="887" spans="1:15" ht="20.100000000000001" customHeight="1" x14ac:dyDescent="0.25">
      <c r="A887" s="89">
        <v>832</v>
      </c>
      <c r="B887" s="4">
        <v>43006</v>
      </c>
      <c r="C887" s="26" t="s">
        <v>99</v>
      </c>
      <c r="D887" s="3">
        <v>11832</v>
      </c>
      <c r="E887" s="92">
        <v>43033</v>
      </c>
      <c r="F887" s="92" t="s">
        <v>28</v>
      </c>
      <c r="G887" s="32">
        <v>43006</v>
      </c>
      <c r="H887" s="27">
        <f t="shared" si="100"/>
        <v>11832</v>
      </c>
      <c r="I887" s="27"/>
      <c r="J887" s="27">
        <v>3000</v>
      </c>
      <c r="L887" s="27">
        <v>1301</v>
      </c>
      <c r="M887" s="29">
        <f t="shared" si="98"/>
        <v>7531</v>
      </c>
      <c r="N887" s="29"/>
      <c r="O887" s="44">
        <f t="shared" si="99"/>
        <v>0.6364942528735632</v>
      </c>
    </row>
    <row r="888" spans="1:15" ht="20.100000000000001" customHeight="1" x14ac:dyDescent="0.25">
      <c r="A888" s="89">
        <v>872</v>
      </c>
      <c r="B888" s="4">
        <v>43018</v>
      </c>
      <c r="C888" s="26" t="s">
        <v>270</v>
      </c>
      <c r="D888" s="3">
        <v>12499</v>
      </c>
      <c r="E888" s="92">
        <v>43033</v>
      </c>
      <c r="F888" s="92" t="s">
        <v>28</v>
      </c>
      <c r="G888" s="32">
        <v>43034</v>
      </c>
      <c r="H888" s="27">
        <f t="shared" si="100"/>
        <v>12499</v>
      </c>
      <c r="I888" s="27"/>
      <c r="J888" s="27"/>
      <c r="K888" s="99"/>
      <c r="L888" s="27">
        <v>9449</v>
      </c>
      <c r="M888" s="29">
        <f t="shared" si="98"/>
        <v>3050</v>
      </c>
      <c r="N888" s="29"/>
      <c r="O888" s="44">
        <f t="shared" si="99"/>
        <v>0.24401952156172493</v>
      </c>
    </row>
    <row r="889" spans="1:15" ht="20.100000000000001" customHeight="1" x14ac:dyDescent="0.25">
      <c r="A889" s="89">
        <v>937</v>
      </c>
      <c r="B889" s="92">
        <v>43038</v>
      </c>
      <c r="C889" s="26" t="s">
        <v>281</v>
      </c>
      <c r="D889" s="3">
        <v>1036</v>
      </c>
      <c r="E889" s="92">
        <v>43038</v>
      </c>
      <c r="F889" s="92" t="s">
        <v>28</v>
      </c>
      <c r="G889" s="32">
        <v>43038</v>
      </c>
      <c r="H889" s="27">
        <f t="shared" si="100"/>
        <v>1036</v>
      </c>
      <c r="I889" s="27"/>
      <c r="J889" s="27"/>
      <c r="K889" s="99"/>
      <c r="L889" s="27">
        <v>750</v>
      </c>
      <c r="M889" s="29">
        <f t="shared" si="98"/>
        <v>286</v>
      </c>
      <c r="N889" s="29"/>
      <c r="O889" s="44">
        <f t="shared" si="99"/>
        <v>0.27606177606177607</v>
      </c>
    </row>
    <row r="890" spans="1:15" ht="20.100000000000001" customHeight="1" x14ac:dyDescent="0.25">
      <c r="A890" s="89">
        <v>886</v>
      </c>
      <c r="B890" s="4">
        <v>43024</v>
      </c>
      <c r="C890" s="26" t="s">
        <v>60</v>
      </c>
      <c r="D890" s="3">
        <v>9420</v>
      </c>
      <c r="E890" s="92">
        <v>43038</v>
      </c>
      <c r="F890" s="92" t="s">
        <v>28</v>
      </c>
      <c r="G890" s="32">
        <v>43035</v>
      </c>
      <c r="H890" s="27">
        <f t="shared" si="100"/>
        <v>9420</v>
      </c>
      <c r="I890" s="27"/>
      <c r="J890" s="27"/>
      <c r="K890" s="99"/>
      <c r="L890" s="27">
        <v>7275</v>
      </c>
      <c r="M890" s="29">
        <f t="shared" si="98"/>
        <v>2145</v>
      </c>
      <c r="N890" s="29"/>
      <c r="O890" s="44">
        <f t="shared" si="99"/>
        <v>0.22770700636942676</v>
      </c>
    </row>
    <row r="891" spans="1:15" ht="20.100000000000001" customHeight="1" x14ac:dyDescent="0.25">
      <c r="A891" s="89">
        <v>934</v>
      </c>
      <c r="B891" s="4">
        <v>43038</v>
      </c>
      <c r="C891" s="26" t="s">
        <v>293</v>
      </c>
      <c r="D891" s="3">
        <v>34890</v>
      </c>
      <c r="E891" s="92">
        <v>43038</v>
      </c>
      <c r="F891" s="92" t="s">
        <v>28</v>
      </c>
      <c r="G891" s="32">
        <v>43054</v>
      </c>
      <c r="H891" s="27">
        <f t="shared" si="100"/>
        <v>34890</v>
      </c>
      <c r="I891" s="27"/>
      <c r="J891" s="27"/>
      <c r="K891" s="99"/>
      <c r="L891" s="27">
        <v>25644</v>
      </c>
      <c r="M891" s="29">
        <f t="shared" si="98"/>
        <v>9246</v>
      </c>
      <c r="N891" s="29"/>
      <c r="O891" s="44">
        <f t="shared" si="99"/>
        <v>0.26500429922613927</v>
      </c>
    </row>
    <row r="892" spans="1:15" ht="20.100000000000001" customHeight="1" x14ac:dyDescent="0.25">
      <c r="A892" s="89">
        <v>900</v>
      </c>
      <c r="B892" s="4">
        <v>43026</v>
      </c>
      <c r="C892" s="26" t="s">
        <v>11</v>
      </c>
      <c r="D892" s="3">
        <v>9290</v>
      </c>
      <c r="E892" s="92">
        <v>43039</v>
      </c>
      <c r="F892" s="92" t="s">
        <v>28</v>
      </c>
      <c r="G892" s="32">
        <v>43054</v>
      </c>
      <c r="H892" s="27">
        <f t="shared" si="100"/>
        <v>9290</v>
      </c>
      <c r="I892" s="27"/>
      <c r="J892" s="27"/>
      <c r="K892" s="99"/>
      <c r="L892" s="27">
        <v>7023</v>
      </c>
      <c r="M892" s="29">
        <f t="shared" si="98"/>
        <v>2267</v>
      </c>
      <c r="N892" s="29"/>
      <c r="O892" s="44">
        <f t="shared" si="99"/>
        <v>0.24402583423035523</v>
      </c>
    </row>
    <row r="893" spans="1:15" ht="19.5" customHeight="1" x14ac:dyDescent="0.25">
      <c r="A893" s="89"/>
      <c r="B893" s="4"/>
      <c r="C893" s="5"/>
      <c r="D893" s="3"/>
      <c r="E893" s="97">
        <v>61700</v>
      </c>
      <c r="F893" s="98">
        <f>M893*0.17+N893*0.06+8000</f>
        <v>61035.432500000003</v>
      </c>
      <c r="G893" s="21">
        <f>H893*0.05+I893*0.02</f>
        <v>61130.792500000003</v>
      </c>
      <c r="H893" s="16">
        <f t="shared" ref="H893:N893" si="101">SUM(H853:H892)</f>
        <v>1170224.25</v>
      </c>
      <c r="I893" s="16">
        <f t="shared" si="101"/>
        <v>130979</v>
      </c>
      <c r="J893" s="16">
        <f t="shared" si="101"/>
        <v>26000</v>
      </c>
      <c r="K893" s="16">
        <f t="shared" si="101"/>
        <v>8400</v>
      </c>
      <c r="L893" s="16">
        <f t="shared" si="101"/>
        <v>835087</v>
      </c>
      <c r="M893" s="16">
        <f t="shared" si="101"/>
        <v>300737.25</v>
      </c>
      <c r="N893" s="16">
        <f t="shared" si="101"/>
        <v>31835</v>
      </c>
      <c r="O893" s="44">
        <f t="shared" si="99"/>
        <v>0.25699112798252127</v>
      </c>
    </row>
    <row r="894" spans="1:15" ht="23.25" x14ac:dyDescent="0.35">
      <c r="C894" s="94" t="s">
        <v>645</v>
      </c>
    </row>
    <row r="895" spans="1:15" ht="20.100000000000001" customHeight="1" x14ac:dyDescent="0.25">
      <c r="A895" s="89">
        <v>823</v>
      </c>
      <c r="B895" s="4">
        <v>43020</v>
      </c>
      <c r="C895" s="26" t="s">
        <v>13</v>
      </c>
      <c r="D895" s="3">
        <v>27967</v>
      </c>
      <c r="E895" s="92">
        <v>43040</v>
      </c>
      <c r="F895" s="92" t="s">
        <v>28</v>
      </c>
      <c r="G895" s="32">
        <v>43026</v>
      </c>
      <c r="H895" s="27">
        <f t="shared" ref="H895:H926" si="102">D895</f>
        <v>27967</v>
      </c>
      <c r="I895" s="27"/>
      <c r="J895" s="27"/>
      <c r="K895" s="99"/>
      <c r="L895" s="27">
        <v>21622</v>
      </c>
      <c r="M895" s="29">
        <f t="shared" ref="M895:M926" si="103">H895-L895-J895-K895</f>
        <v>6345</v>
      </c>
      <c r="N895" s="29"/>
      <c r="O895" s="44">
        <f t="shared" ref="O895:O927" si="104">M895/H895</f>
        <v>0.22687453069689276</v>
      </c>
    </row>
    <row r="896" spans="1:15" ht="20.100000000000001" customHeight="1" x14ac:dyDescent="0.25">
      <c r="A896" s="89">
        <v>924</v>
      </c>
      <c r="B896" s="4">
        <v>43034</v>
      </c>
      <c r="C896" s="26" t="s">
        <v>301</v>
      </c>
      <c r="D896" s="3">
        <v>259208</v>
      </c>
      <c r="E896" s="92">
        <v>43040</v>
      </c>
      <c r="F896" s="92" t="s">
        <v>28</v>
      </c>
      <c r="G896" s="32">
        <v>43041</v>
      </c>
      <c r="H896" s="27">
        <f t="shared" si="102"/>
        <v>259208</v>
      </c>
      <c r="I896" s="27"/>
      <c r="J896" s="27"/>
      <c r="K896" s="99">
        <v>600</v>
      </c>
      <c r="L896" s="27">
        <v>166728</v>
      </c>
      <c r="M896" s="29">
        <f t="shared" si="103"/>
        <v>91880</v>
      </c>
      <c r="N896" s="29"/>
      <c r="O896" s="44">
        <f t="shared" si="104"/>
        <v>0.35446436838369189</v>
      </c>
    </row>
    <row r="897" spans="1:15" ht="20.100000000000001" customHeight="1" x14ac:dyDescent="0.25">
      <c r="A897" s="89">
        <v>801</v>
      </c>
      <c r="B897" s="4">
        <v>43024</v>
      </c>
      <c r="C897" s="5" t="s">
        <v>300</v>
      </c>
      <c r="D897" s="3">
        <v>134047</v>
      </c>
      <c r="E897" s="92">
        <v>43041</v>
      </c>
      <c r="F897" s="92" t="s">
        <v>28</v>
      </c>
      <c r="G897" s="32">
        <v>43056</v>
      </c>
      <c r="H897" s="27">
        <f t="shared" si="102"/>
        <v>134047</v>
      </c>
      <c r="I897" s="27">
        <f>H897</f>
        <v>134047</v>
      </c>
      <c r="J897" s="27"/>
      <c r="K897" s="99"/>
      <c r="L897" s="27">
        <v>101854</v>
      </c>
      <c r="M897" s="29">
        <f t="shared" si="103"/>
        <v>32193</v>
      </c>
      <c r="N897" s="29">
        <f>M897</f>
        <v>32193</v>
      </c>
      <c r="O897" s="44">
        <f t="shared" si="104"/>
        <v>0.24016203271986691</v>
      </c>
    </row>
    <row r="898" spans="1:15" ht="20.100000000000001" customHeight="1" x14ac:dyDescent="0.25">
      <c r="A898" s="89">
        <v>951</v>
      </c>
      <c r="B898" s="4">
        <v>43046</v>
      </c>
      <c r="C898" s="26" t="s">
        <v>51</v>
      </c>
      <c r="D898" s="3">
        <v>4812</v>
      </c>
      <c r="E898" s="92">
        <v>43046</v>
      </c>
      <c r="F898" s="92" t="s">
        <v>28</v>
      </c>
      <c r="G898" s="32">
        <v>43047</v>
      </c>
      <c r="H898" s="27">
        <f t="shared" si="102"/>
        <v>4812</v>
      </c>
      <c r="I898" s="27"/>
      <c r="J898" s="27"/>
      <c r="K898" s="99"/>
      <c r="L898" s="27">
        <v>3485</v>
      </c>
      <c r="M898" s="29">
        <f t="shared" si="103"/>
        <v>1327</v>
      </c>
      <c r="N898" s="29"/>
      <c r="O898" s="44">
        <f t="shared" si="104"/>
        <v>0.27576891105569412</v>
      </c>
    </row>
    <row r="899" spans="1:15" ht="20.100000000000001" customHeight="1" x14ac:dyDescent="0.25">
      <c r="A899" s="89">
        <v>955</v>
      </c>
      <c r="B899" s="4">
        <v>43046</v>
      </c>
      <c r="C899" s="26" t="s">
        <v>207</v>
      </c>
      <c r="D899" s="3">
        <v>1286</v>
      </c>
      <c r="E899" s="92">
        <v>43046</v>
      </c>
      <c r="F899" s="92" t="s">
        <v>28</v>
      </c>
      <c r="G899" s="32">
        <v>43048</v>
      </c>
      <c r="H899" s="27">
        <f t="shared" si="102"/>
        <v>1286</v>
      </c>
      <c r="I899" s="27"/>
      <c r="J899" s="27"/>
      <c r="K899" s="99"/>
      <c r="L899" s="27">
        <v>1002</v>
      </c>
      <c r="M899" s="29">
        <f t="shared" si="103"/>
        <v>284</v>
      </c>
      <c r="N899" s="29"/>
      <c r="O899" s="44">
        <f t="shared" si="104"/>
        <v>0.2208398133748056</v>
      </c>
    </row>
    <row r="900" spans="1:15" ht="20.100000000000001" customHeight="1" x14ac:dyDescent="0.25">
      <c r="A900" s="89">
        <v>936</v>
      </c>
      <c r="B900" s="4">
        <v>43038</v>
      </c>
      <c r="C900" s="26" t="s">
        <v>216</v>
      </c>
      <c r="D900" s="3">
        <v>2676</v>
      </c>
      <c r="E900" s="92">
        <v>43047</v>
      </c>
      <c r="F900" s="92" t="s">
        <v>28</v>
      </c>
      <c r="G900" s="32">
        <v>43062</v>
      </c>
      <c r="H900" s="27">
        <f t="shared" si="102"/>
        <v>2676</v>
      </c>
      <c r="I900" s="27"/>
      <c r="J900" s="27"/>
      <c r="K900" s="99"/>
      <c r="L900" s="27">
        <v>1767</v>
      </c>
      <c r="M900" s="29">
        <f t="shared" si="103"/>
        <v>909</v>
      </c>
      <c r="N900" s="29"/>
      <c r="O900" s="44">
        <f t="shared" si="104"/>
        <v>0.3396860986547085</v>
      </c>
    </row>
    <row r="901" spans="1:15" ht="20.100000000000001" customHeight="1" x14ac:dyDescent="0.25">
      <c r="A901" s="89">
        <v>965</v>
      </c>
      <c r="B901" s="92">
        <v>43047</v>
      </c>
      <c r="C901" s="26" t="s">
        <v>176</v>
      </c>
      <c r="D901" s="3">
        <v>5863</v>
      </c>
      <c r="E901" s="92">
        <v>43047</v>
      </c>
      <c r="F901" s="92" t="s">
        <v>28</v>
      </c>
      <c r="G901" s="32">
        <v>43047</v>
      </c>
      <c r="H901" s="27">
        <f t="shared" si="102"/>
        <v>5863</v>
      </c>
      <c r="I901" s="27"/>
      <c r="J901" s="27"/>
      <c r="K901" s="99"/>
      <c r="L901" s="27">
        <v>4573</v>
      </c>
      <c r="M901" s="29">
        <f t="shared" si="103"/>
        <v>1290</v>
      </c>
      <c r="N901" s="29"/>
      <c r="O901" s="44">
        <f t="shared" si="104"/>
        <v>0.22002387856046393</v>
      </c>
    </row>
    <row r="902" spans="1:15" ht="20.100000000000001" customHeight="1" x14ac:dyDescent="0.25">
      <c r="A902" s="89">
        <v>949</v>
      </c>
      <c r="B902" s="92">
        <v>43042</v>
      </c>
      <c r="C902" s="26" t="s">
        <v>200</v>
      </c>
      <c r="D902" s="3">
        <v>22690</v>
      </c>
      <c r="E902" s="92">
        <v>43048</v>
      </c>
      <c r="F902" s="92" t="s">
        <v>28</v>
      </c>
      <c r="G902" s="32">
        <v>43055</v>
      </c>
      <c r="H902" s="27">
        <f t="shared" si="102"/>
        <v>22690</v>
      </c>
      <c r="I902" s="27"/>
      <c r="J902" s="27"/>
      <c r="K902" s="99"/>
      <c r="L902" s="27">
        <v>17154</v>
      </c>
      <c r="M902" s="29">
        <f t="shared" si="103"/>
        <v>5536</v>
      </c>
      <c r="N902" s="29"/>
      <c r="O902" s="44">
        <f t="shared" si="104"/>
        <v>0.24398413397972676</v>
      </c>
    </row>
    <row r="903" spans="1:15" ht="20.100000000000001" customHeight="1" x14ac:dyDescent="0.25">
      <c r="A903" s="89">
        <v>952</v>
      </c>
      <c r="B903" s="92">
        <v>43046</v>
      </c>
      <c r="C903" s="26" t="s">
        <v>162</v>
      </c>
      <c r="D903" s="3">
        <v>2061</v>
      </c>
      <c r="E903" s="92">
        <v>43049</v>
      </c>
      <c r="F903" s="92" t="s">
        <v>28</v>
      </c>
      <c r="G903" s="32">
        <v>43050</v>
      </c>
      <c r="H903" s="27">
        <f t="shared" si="102"/>
        <v>2061</v>
      </c>
      <c r="I903" s="27"/>
      <c r="J903" s="27"/>
      <c r="K903" s="99"/>
      <c r="L903" s="27">
        <v>1360</v>
      </c>
      <c r="M903" s="29">
        <f t="shared" si="103"/>
        <v>701</v>
      </c>
      <c r="N903" s="29"/>
      <c r="O903" s="44">
        <f t="shared" si="104"/>
        <v>0.34012615235322657</v>
      </c>
    </row>
    <row r="904" spans="1:15" ht="20.100000000000001" customHeight="1" x14ac:dyDescent="0.25">
      <c r="A904" s="89">
        <v>975</v>
      </c>
      <c r="B904" s="92">
        <v>43049</v>
      </c>
      <c r="C904" s="26" t="s">
        <v>270</v>
      </c>
      <c r="D904" s="3">
        <v>1036</v>
      </c>
      <c r="E904" s="92">
        <v>43052</v>
      </c>
      <c r="F904" s="92" t="s">
        <v>28</v>
      </c>
      <c r="G904" s="32">
        <v>43053</v>
      </c>
      <c r="H904" s="27">
        <f t="shared" si="102"/>
        <v>1036</v>
      </c>
      <c r="I904" s="27"/>
      <c r="J904" s="27"/>
      <c r="K904" s="99"/>
      <c r="L904" s="27">
        <v>750</v>
      </c>
      <c r="M904" s="29">
        <f t="shared" si="103"/>
        <v>286</v>
      </c>
      <c r="N904" s="29"/>
      <c r="O904" s="44">
        <f t="shared" si="104"/>
        <v>0.27606177606177607</v>
      </c>
    </row>
    <row r="905" spans="1:15" ht="20.100000000000001" customHeight="1" x14ac:dyDescent="0.25">
      <c r="A905" s="89">
        <v>974</v>
      </c>
      <c r="B905" s="92">
        <v>43049</v>
      </c>
      <c r="C905" s="26" t="s">
        <v>270</v>
      </c>
      <c r="D905" s="3">
        <v>12499</v>
      </c>
      <c r="E905" s="92">
        <v>43052</v>
      </c>
      <c r="F905" s="92" t="s">
        <v>28</v>
      </c>
      <c r="G905" s="32">
        <v>43062</v>
      </c>
      <c r="H905" s="27">
        <f t="shared" si="102"/>
        <v>12499</v>
      </c>
      <c r="I905" s="27"/>
      <c r="J905" s="27"/>
      <c r="K905" s="99"/>
      <c r="L905" s="27">
        <v>9449</v>
      </c>
      <c r="M905" s="29">
        <f t="shared" si="103"/>
        <v>3050</v>
      </c>
      <c r="N905" s="29"/>
      <c r="O905" s="44">
        <f t="shared" si="104"/>
        <v>0.24401952156172493</v>
      </c>
    </row>
    <row r="906" spans="1:15" ht="20.100000000000001" customHeight="1" x14ac:dyDescent="0.25">
      <c r="A906" s="89">
        <v>853</v>
      </c>
      <c r="B906" s="4">
        <v>43026</v>
      </c>
      <c r="C906" s="26" t="s">
        <v>99</v>
      </c>
      <c r="D906" s="3">
        <v>268598.68</v>
      </c>
      <c r="E906" s="92">
        <v>43053</v>
      </c>
      <c r="F906" s="92" t="s">
        <v>28</v>
      </c>
      <c r="G906" s="32">
        <v>43035</v>
      </c>
      <c r="H906" s="27">
        <f t="shared" si="102"/>
        <v>268598.68</v>
      </c>
      <c r="I906" s="27"/>
      <c r="J906" s="27">
        <v>3500</v>
      </c>
      <c r="K906" s="99">
        <f>17*600</f>
        <v>10200</v>
      </c>
      <c r="L906" s="27">
        <v>203060</v>
      </c>
      <c r="M906" s="29">
        <f t="shared" si="103"/>
        <v>51838.679999999993</v>
      </c>
      <c r="N906" s="29"/>
      <c r="O906" s="44">
        <f t="shared" si="104"/>
        <v>0.19299677868856241</v>
      </c>
    </row>
    <row r="907" spans="1:15" ht="20.100000000000001" customHeight="1" x14ac:dyDescent="0.25">
      <c r="A907" s="89">
        <v>959</v>
      </c>
      <c r="B907" s="4">
        <v>43047</v>
      </c>
      <c r="C907" s="26" t="s">
        <v>228</v>
      </c>
      <c r="D907" s="3">
        <v>2445</v>
      </c>
      <c r="E907" s="92">
        <v>43053</v>
      </c>
      <c r="F907" s="92" t="s">
        <v>28</v>
      </c>
      <c r="G907" s="32">
        <v>43098</v>
      </c>
      <c r="H907" s="27">
        <f t="shared" si="102"/>
        <v>2445</v>
      </c>
      <c r="I907" s="27"/>
      <c r="J907" s="27"/>
      <c r="K907" s="99"/>
      <c r="L907" s="27">
        <v>1500</v>
      </c>
      <c r="M907" s="29">
        <f t="shared" si="103"/>
        <v>945</v>
      </c>
      <c r="N907" s="29"/>
      <c r="O907" s="44">
        <f t="shared" si="104"/>
        <v>0.38650306748466257</v>
      </c>
    </row>
    <row r="908" spans="1:15" ht="20.100000000000001" customHeight="1" x14ac:dyDescent="0.25">
      <c r="A908" s="89">
        <v>989</v>
      </c>
      <c r="B908" s="4">
        <v>43054</v>
      </c>
      <c r="C908" s="5" t="s">
        <v>303</v>
      </c>
      <c r="D908" s="3">
        <v>37221.5</v>
      </c>
      <c r="E908" s="92">
        <v>43054</v>
      </c>
      <c r="F908" s="92" t="s">
        <v>28</v>
      </c>
      <c r="G908" s="32">
        <v>43054</v>
      </c>
      <c r="H908" s="27">
        <f t="shared" si="102"/>
        <v>37221.5</v>
      </c>
      <c r="I908" s="27">
        <f>H908</f>
        <v>37221.5</v>
      </c>
      <c r="J908" s="27"/>
      <c r="K908" s="99"/>
      <c r="L908" s="27">
        <v>30913</v>
      </c>
      <c r="M908" s="29">
        <f t="shared" si="103"/>
        <v>6308.5</v>
      </c>
      <c r="N908" s="29">
        <f>M908</f>
        <v>6308.5</v>
      </c>
      <c r="O908" s="44">
        <f t="shared" si="104"/>
        <v>0.16948537807449995</v>
      </c>
    </row>
    <row r="909" spans="1:15" ht="20.100000000000001" customHeight="1" x14ac:dyDescent="0.25">
      <c r="A909" s="89">
        <v>957</v>
      </c>
      <c r="B909" s="92">
        <v>43047</v>
      </c>
      <c r="C909" s="26" t="s">
        <v>175</v>
      </c>
      <c r="D909" s="3">
        <v>18156.400000000001</v>
      </c>
      <c r="E909" s="92">
        <v>43055</v>
      </c>
      <c r="F909" s="92" t="s">
        <v>28</v>
      </c>
      <c r="G909" s="32">
        <v>43060</v>
      </c>
      <c r="H909" s="27">
        <f t="shared" si="102"/>
        <v>18156.400000000001</v>
      </c>
      <c r="I909" s="27"/>
      <c r="J909" s="27"/>
      <c r="K909" s="99"/>
      <c r="L909" s="27">
        <v>14816</v>
      </c>
      <c r="M909" s="29">
        <f t="shared" si="103"/>
        <v>3340.4000000000015</v>
      </c>
      <c r="N909" s="29"/>
      <c r="O909" s="44">
        <f t="shared" si="104"/>
        <v>0.18397920292569017</v>
      </c>
    </row>
    <row r="910" spans="1:15" ht="20.100000000000001" customHeight="1" x14ac:dyDescent="0.25">
      <c r="A910" s="89">
        <v>794</v>
      </c>
      <c r="B910" s="4">
        <v>43031</v>
      </c>
      <c r="C910" s="26" t="s">
        <v>65</v>
      </c>
      <c r="D910" s="3">
        <v>62895.5</v>
      </c>
      <c r="E910" s="92">
        <v>43055</v>
      </c>
      <c r="F910" s="92" t="s">
        <v>28</v>
      </c>
      <c r="G910" s="32">
        <v>43076</v>
      </c>
      <c r="H910" s="27">
        <f t="shared" si="102"/>
        <v>62895.5</v>
      </c>
      <c r="I910" s="27"/>
      <c r="J910" s="27"/>
      <c r="K910" s="99"/>
      <c r="L910" s="27">
        <v>49383</v>
      </c>
      <c r="M910" s="29">
        <f t="shared" si="103"/>
        <v>13512.5</v>
      </c>
      <c r="N910" s="29"/>
      <c r="O910" s="44">
        <f t="shared" si="104"/>
        <v>0.2148404893831832</v>
      </c>
    </row>
    <row r="911" spans="1:15" ht="20.100000000000001" customHeight="1" x14ac:dyDescent="0.25">
      <c r="A911" s="89">
        <v>969</v>
      </c>
      <c r="B911" s="4">
        <v>43048</v>
      </c>
      <c r="C911" s="26" t="s">
        <v>301</v>
      </c>
      <c r="D911" s="3">
        <v>1036</v>
      </c>
      <c r="E911" s="92">
        <v>43055</v>
      </c>
      <c r="F911" s="92" t="s">
        <v>28</v>
      </c>
      <c r="G911" s="32">
        <v>43056</v>
      </c>
      <c r="H911" s="27">
        <f t="shared" si="102"/>
        <v>1036</v>
      </c>
      <c r="I911" s="27"/>
      <c r="J911" s="27"/>
      <c r="K911" s="99"/>
      <c r="L911" s="27">
        <v>742</v>
      </c>
      <c r="M911" s="29">
        <f t="shared" si="103"/>
        <v>294</v>
      </c>
      <c r="N911" s="29"/>
      <c r="O911" s="44">
        <f t="shared" si="104"/>
        <v>0.28378378378378377</v>
      </c>
    </row>
    <row r="912" spans="1:15" ht="20.100000000000001" customHeight="1" x14ac:dyDescent="0.25">
      <c r="A912" s="89">
        <v>962</v>
      </c>
      <c r="B912" s="4">
        <v>43047</v>
      </c>
      <c r="C912" s="26" t="s">
        <v>66</v>
      </c>
      <c r="D912" s="3">
        <v>2450</v>
      </c>
      <c r="E912" s="92">
        <v>43055</v>
      </c>
      <c r="F912" s="92" t="s">
        <v>28</v>
      </c>
      <c r="G912" s="32">
        <v>43063</v>
      </c>
      <c r="H912" s="27">
        <f t="shared" si="102"/>
        <v>2450</v>
      </c>
      <c r="I912" s="27"/>
      <c r="J912" s="27"/>
      <c r="K912" s="99"/>
      <c r="L912" s="27">
        <v>2183</v>
      </c>
      <c r="M912" s="29">
        <f t="shared" si="103"/>
        <v>267</v>
      </c>
      <c r="N912" s="29"/>
      <c r="O912" s="44">
        <f t="shared" si="104"/>
        <v>0.1089795918367347</v>
      </c>
    </row>
    <row r="913" spans="1:15" ht="20.100000000000001" customHeight="1" x14ac:dyDescent="0.25">
      <c r="A913" s="89">
        <v>973</v>
      </c>
      <c r="B913" s="4">
        <v>43049</v>
      </c>
      <c r="C913" s="26" t="s">
        <v>45</v>
      </c>
      <c r="D913" s="3">
        <v>1445</v>
      </c>
      <c r="E913" s="92">
        <v>43056</v>
      </c>
      <c r="F913" s="92" t="s">
        <v>28</v>
      </c>
      <c r="G913" s="32">
        <v>43059</v>
      </c>
      <c r="H913" s="27">
        <f t="shared" si="102"/>
        <v>1445</v>
      </c>
      <c r="I913" s="27"/>
      <c r="J913" s="27"/>
      <c r="K913" s="99"/>
      <c r="L913" s="27">
        <v>991</v>
      </c>
      <c r="M913" s="29">
        <f t="shared" si="103"/>
        <v>454</v>
      </c>
      <c r="N913" s="29"/>
      <c r="O913" s="44">
        <f t="shared" si="104"/>
        <v>0.31418685121107265</v>
      </c>
    </row>
    <row r="914" spans="1:15" ht="20.100000000000001" customHeight="1" x14ac:dyDescent="0.25">
      <c r="A914" s="89">
        <v>996</v>
      </c>
      <c r="B914" s="92">
        <v>43056</v>
      </c>
      <c r="C914" s="26" t="s">
        <v>91</v>
      </c>
      <c r="D914" s="3">
        <v>4748</v>
      </c>
      <c r="E914" s="92">
        <v>43059</v>
      </c>
      <c r="F914" s="92" t="s">
        <v>28</v>
      </c>
      <c r="G914" s="32">
        <v>43066</v>
      </c>
      <c r="H914" s="27">
        <f t="shared" si="102"/>
        <v>4748</v>
      </c>
      <c r="I914" s="27"/>
      <c r="J914" s="27"/>
      <c r="K914" s="99"/>
      <c r="L914" s="27">
        <v>3704</v>
      </c>
      <c r="M914" s="29">
        <f t="shared" si="103"/>
        <v>1044</v>
      </c>
      <c r="N914" s="29"/>
      <c r="O914" s="44">
        <f t="shared" si="104"/>
        <v>0.21988205560235888</v>
      </c>
    </row>
    <row r="915" spans="1:15" ht="20.100000000000001" customHeight="1" x14ac:dyDescent="0.25">
      <c r="A915" s="89">
        <v>998</v>
      </c>
      <c r="B915" s="92">
        <v>43056</v>
      </c>
      <c r="C915" s="26" t="s">
        <v>77</v>
      </c>
      <c r="D915" s="3">
        <v>1002</v>
      </c>
      <c r="E915" s="92">
        <v>43060</v>
      </c>
      <c r="F915" s="92" t="s">
        <v>28</v>
      </c>
      <c r="G915" s="32">
        <v>43075</v>
      </c>
      <c r="H915" s="27">
        <f t="shared" si="102"/>
        <v>1002</v>
      </c>
      <c r="I915" s="27"/>
      <c r="J915" s="27"/>
      <c r="K915" s="99"/>
      <c r="L915" s="27">
        <v>684</v>
      </c>
      <c r="M915" s="29">
        <f t="shared" si="103"/>
        <v>318</v>
      </c>
      <c r="N915" s="29"/>
      <c r="O915" s="44">
        <f t="shared" si="104"/>
        <v>0.31736526946107785</v>
      </c>
    </row>
    <row r="916" spans="1:15" ht="20.100000000000001" customHeight="1" x14ac:dyDescent="0.25">
      <c r="A916" s="89">
        <v>1004</v>
      </c>
      <c r="B916" s="92">
        <v>43060</v>
      </c>
      <c r="C916" s="26" t="s">
        <v>216</v>
      </c>
      <c r="D916" s="3">
        <v>1399.95</v>
      </c>
      <c r="E916" s="92">
        <v>43061</v>
      </c>
      <c r="F916" s="92" t="s">
        <v>28</v>
      </c>
      <c r="G916" s="32">
        <v>43062</v>
      </c>
      <c r="H916" s="27">
        <f t="shared" si="102"/>
        <v>1399.95</v>
      </c>
      <c r="I916" s="27"/>
      <c r="J916" s="27"/>
      <c r="K916" s="99"/>
      <c r="L916" s="27">
        <v>1193</v>
      </c>
      <c r="M916" s="29">
        <f t="shared" si="103"/>
        <v>206.95000000000005</v>
      </c>
      <c r="N916" s="29"/>
      <c r="O916" s="44">
        <f t="shared" si="104"/>
        <v>0.14782670809671777</v>
      </c>
    </row>
    <row r="917" spans="1:15" ht="20.100000000000001" customHeight="1" x14ac:dyDescent="0.25">
      <c r="A917" s="89">
        <v>1003</v>
      </c>
      <c r="B917" s="92">
        <v>43060</v>
      </c>
      <c r="C917" s="26" t="s">
        <v>209</v>
      </c>
      <c r="D917" s="3">
        <v>3701.75</v>
      </c>
      <c r="E917" s="92">
        <v>43061</v>
      </c>
      <c r="F917" s="92" t="s">
        <v>28</v>
      </c>
      <c r="G917" s="32">
        <v>43061</v>
      </c>
      <c r="H917" s="27">
        <f t="shared" si="102"/>
        <v>3701.75</v>
      </c>
      <c r="I917" s="27"/>
      <c r="J917" s="27"/>
      <c r="K917" s="99"/>
      <c r="L917" s="27">
        <v>3314</v>
      </c>
      <c r="M917" s="29">
        <f t="shared" si="103"/>
        <v>387.75</v>
      </c>
      <c r="N917" s="29"/>
      <c r="O917" s="44">
        <f t="shared" si="104"/>
        <v>0.10474775444046734</v>
      </c>
    </row>
    <row r="918" spans="1:15" ht="20.100000000000001" customHeight="1" x14ac:dyDescent="0.25">
      <c r="A918" s="89">
        <v>995</v>
      </c>
      <c r="B918" s="92">
        <v>43055</v>
      </c>
      <c r="C918" s="26" t="s">
        <v>209</v>
      </c>
      <c r="D918" s="3">
        <v>1769.7</v>
      </c>
      <c r="E918" s="92">
        <v>43061</v>
      </c>
      <c r="F918" s="92" t="s">
        <v>28</v>
      </c>
      <c r="G918" s="32">
        <v>43061</v>
      </c>
      <c r="H918" s="27">
        <f t="shared" si="102"/>
        <v>1769.7</v>
      </c>
      <c r="I918" s="27"/>
      <c r="J918" s="27"/>
      <c r="K918" s="99"/>
      <c r="L918" s="27">
        <v>1624</v>
      </c>
      <c r="M918" s="29">
        <f t="shared" si="103"/>
        <v>145.70000000000005</v>
      </c>
      <c r="N918" s="29"/>
      <c r="O918" s="44">
        <f t="shared" si="104"/>
        <v>8.2330338475447837E-2</v>
      </c>
    </row>
    <row r="919" spans="1:15" ht="20.100000000000001" customHeight="1" x14ac:dyDescent="0.25">
      <c r="A919" s="89">
        <v>1009</v>
      </c>
      <c r="B919" s="92">
        <v>43061</v>
      </c>
      <c r="C919" s="26" t="s">
        <v>209</v>
      </c>
      <c r="D919" s="3">
        <v>6274.7</v>
      </c>
      <c r="E919" s="92">
        <v>43061</v>
      </c>
      <c r="F919" s="92" t="s">
        <v>28</v>
      </c>
      <c r="G919" s="32">
        <v>43061</v>
      </c>
      <c r="H919" s="27">
        <f t="shared" si="102"/>
        <v>6274.7</v>
      </c>
      <c r="I919" s="27"/>
      <c r="J919" s="27"/>
      <c r="K919" s="99"/>
      <c r="L919" s="27">
        <v>5615</v>
      </c>
      <c r="M919" s="29">
        <f t="shared" si="103"/>
        <v>659.69999999999982</v>
      </c>
      <c r="N919" s="29"/>
      <c r="O919" s="44">
        <f t="shared" si="104"/>
        <v>0.10513650054982705</v>
      </c>
    </row>
    <row r="920" spans="1:15" ht="20.100000000000001" customHeight="1" x14ac:dyDescent="0.25">
      <c r="A920" s="89">
        <v>982</v>
      </c>
      <c r="B920" s="92">
        <v>43054</v>
      </c>
      <c r="C920" s="26" t="s">
        <v>66</v>
      </c>
      <c r="D920" s="3">
        <v>71056</v>
      </c>
      <c r="E920" s="92">
        <v>43061</v>
      </c>
      <c r="F920" s="92" t="s">
        <v>28</v>
      </c>
      <c r="G920" s="32">
        <v>43084</v>
      </c>
      <c r="H920" s="27">
        <f t="shared" si="102"/>
        <v>71056</v>
      </c>
      <c r="I920" s="27"/>
      <c r="J920" s="27"/>
      <c r="K920" s="99"/>
      <c r="L920" s="27">
        <v>46897</v>
      </c>
      <c r="M920" s="29">
        <f t="shared" si="103"/>
        <v>24159</v>
      </c>
      <c r="N920" s="29"/>
      <c r="O920" s="44">
        <f t="shared" si="104"/>
        <v>0.33999943706372437</v>
      </c>
    </row>
    <row r="921" spans="1:15" ht="20.100000000000001" customHeight="1" x14ac:dyDescent="0.25">
      <c r="A921" s="89">
        <v>960</v>
      </c>
      <c r="B921" s="4">
        <v>43061</v>
      </c>
      <c r="C921" s="26" t="s">
        <v>302</v>
      </c>
      <c r="D921" s="3">
        <v>30882</v>
      </c>
      <c r="E921" s="92">
        <v>43062</v>
      </c>
      <c r="F921" s="92" t="s">
        <v>28</v>
      </c>
      <c r="G921" s="32">
        <v>43061</v>
      </c>
      <c r="H921" s="27">
        <f t="shared" si="102"/>
        <v>30882</v>
      </c>
      <c r="I921" s="27"/>
      <c r="J921" s="27"/>
      <c r="K921" s="99"/>
      <c r="L921" s="27">
        <v>23160</v>
      </c>
      <c r="M921" s="29">
        <f t="shared" si="103"/>
        <v>7722</v>
      </c>
      <c r="N921" s="29"/>
      <c r="O921" s="44">
        <f t="shared" si="104"/>
        <v>0.2500485719836798</v>
      </c>
    </row>
    <row r="922" spans="1:15" ht="20.100000000000001" customHeight="1" x14ac:dyDescent="0.25">
      <c r="A922" s="89">
        <v>978</v>
      </c>
      <c r="B922" s="4">
        <v>43053</v>
      </c>
      <c r="C922" s="26" t="s">
        <v>175</v>
      </c>
      <c r="D922" s="3">
        <v>19399</v>
      </c>
      <c r="E922" s="92">
        <v>43067</v>
      </c>
      <c r="F922" s="92" t="s">
        <v>28</v>
      </c>
      <c r="G922" s="32">
        <v>43069</v>
      </c>
      <c r="H922" s="27">
        <f t="shared" si="102"/>
        <v>19399</v>
      </c>
      <c r="I922" s="27"/>
      <c r="J922" s="27"/>
      <c r="K922" s="99"/>
      <c r="L922" s="27">
        <v>12753</v>
      </c>
      <c r="M922" s="29">
        <f t="shared" si="103"/>
        <v>6646</v>
      </c>
      <c r="N922" s="29"/>
      <c r="O922" s="44">
        <f t="shared" si="104"/>
        <v>0.3425949791226352</v>
      </c>
    </row>
    <row r="923" spans="1:15" ht="20.100000000000001" customHeight="1" x14ac:dyDescent="0.25">
      <c r="A923" s="89">
        <v>1020</v>
      </c>
      <c r="B923" s="4">
        <v>43066</v>
      </c>
      <c r="C923" s="26" t="s">
        <v>216</v>
      </c>
      <c r="D923" s="3">
        <v>1246.0999999999999</v>
      </c>
      <c r="E923" s="92">
        <v>43067</v>
      </c>
      <c r="F923" s="92" t="s">
        <v>28</v>
      </c>
      <c r="G923" s="32">
        <v>43069</v>
      </c>
      <c r="H923" s="27">
        <f t="shared" si="102"/>
        <v>1246.0999999999999</v>
      </c>
      <c r="I923" s="27"/>
      <c r="J923" s="27"/>
      <c r="K923" s="99"/>
      <c r="L923" s="27">
        <v>1062</v>
      </c>
      <c r="M923" s="29">
        <f t="shared" si="103"/>
        <v>184.09999999999991</v>
      </c>
      <c r="N923" s="29"/>
      <c r="O923" s="44">
        <f t="shared" si="104"/>
        <v>0.14774095176952085</v>
      </c>
    </row>
    <row r="924" spans="1:15" ht="20.100000000000001" customHeight="1" x14ac:dyDescent="0.25">
      <c r="A924" s="89">
        <v>897</v>
      </c>
      <c r="B924" s="4">
        <v>43054</v>
      </c>
      <c r="C924" s="26" t="s">
        <v>13</v>
      </c>
      <c r="D924" s="3">
        <v>9847</v>
      </c>
      <c r="E924" s="92">
        <v>43068</v>
      </c>
      <c r="F924" s="92" t="s">
        <v>28</v>
      </c>
      <c r="G924" s="32">
        <v>43055</v>
      </c>
      <c r="H924" s="27">
        <f t="shared" si="102"/>
        <v>9847</v>
      </c>
      <c r="I924" s="27"/>
      <c r="J924" s="27"/>
      <c r="K924" s="99"/>
      <c r="L924" s="27">
        <v>7682</v>
      </c>
      <c r="M924" s="29">
        <f t="shared" si="103"/>
        <v>2165</v>
      </c>
      <c r="N924" s="29"/>
      <c r="O924" s="44">
        <f t="shared" si="104"/>
        <v>0.21986391794455165</v>
      </c>
    </row>
    <row r="925" spans="1:15" ht="20.100000000000001" customHeight="1" x14ac:dyDescent="0.25">
      <c r="A925" s="89">
        <v>1016</v>
      </c>
      <c r="B925" s="4">
        <v>43066</v>
      </c>
      <c r="C925" s="26" t="s">
        <v>91</v>
      </c>
      <c r="D925" s="3">
        <v>6172</v>
      </c>
      <c r="E925" s="92">
        <v>43068</v>
      </c>
      <c r="F925" s="92" t="s">
        <v>28</v>
      </c>
      <c r="G925" s="32">
        <v>43083</v>
      </c>
      <c r="H925" s="27">
        <f t="shared" si="102"/>
        <v>6172</v>
      </c>
      <c r="I925" s="27"/>
      <c r="J925" s="27"/>
      <c r="K925" s="99"/>
      <c r="L925" s="27">
        <v>4315</v>
      </c>
      <c r="M925" s="29">
        <f t="shared" si="103"/>
        <v>1857</v>
      </c>
      <c r="N925" s="29"/>
      <c r="O925" s="44">
        <f t="shared" si="104"/>
        <v>0.3008749189889825</v>
      </c>
    </row>
    <row r="926" spans="1:15" ht="20.100000000000001" customHeight="1" x14ac:dyDescent="0.25">
      <c r="A926" s="89">
        <v>1023</v>
      </c>
      <c r="B926" s="4">
        <v>43068</v>
      </c>
      <c r="C926" s="26" t="s">
        <v>58</v>
      </c>
      <c r="D926" s="3">
        <v>4842.84</v>
      </c>
      <c r="E926" s="92">
        <v>43069</v>
      </c>
      <c r="F926" s="92" t="s">
        <v>28</v>
      </c>
      <c r="G926" s="32">
        <v>43077</v>
      </c>
      <c r="H926" s="27">
        <f t="shared" si="102"/>
        <v>4842.84</v>
      </c>
      <c r="I926" s="27"/>
      <c r="J926" s="27"/>
      <c r="K926" s="99"/>
      <c r="L926" s="27">
        <v>3463</v>
      </c>
      <c r="M926" s="29">
        <f t="shared" si="103"/>
        <v>1379.8400000000001</v>
      </c>
      <c r="N926" s="29"/>
      <c r="O926" s="44">
        <f t="shared" si="104"/>
        <v>0.28492372244385528</v>
      </c>
    </row>
    <row r="927" spans="1:15" ht="19.5" customHeight="1" x14ac:dyDescent="0.25">
      <c r="A927" s="89"/>
      <c r="B927" s="4"/>
      <c r="C927" s="5"/>
      <c r="D927" s="3"/>
      <c r="E927" s="97">
        <v>55300</v>
      </c>
      <c r="F927" s="98">
        <f>M927*0.17+N927*0.06+8000</f>
        <v>55808.230400000008</v>
      </c>
      <c r="G927" s="21">
        <f>H927*0.05+I927*0.02</f>
        <v>54962.075999999994</v>
      </c>
      <c r="H927" s="16">
        <f t="shared" ref="H927:N927" si="105">SUM(H895:H926)</f>
        <v>1030734.1199999998</v>
      </c>
      <c r="I927" s="16">
        <f t="shared" si="105"/>
        <v>171268.5</v>
      </c>
      <c r="J927" s="16">
        <f t="shared" si="105"/>
        <v>3500</v>
      </c>
      <c r="K927" s="16">
        <f t="shared" si="105"/>
        <v>10800</v>
      </c>
      <c r="L927" s="16">
        <f t="shared" si="105"/>
        <v>748798</v>
      </c>
      <c r="M927" s="16">
        <f t="shared" si="105"/>
        <v>267636.12000000005</v>
      </c>
      <c r="N927" s="16">
        <f t="shared" si="105"/>
        <v>38501.5</v>
      </c>
      <c r="O927" s="44">
        <f t="shared" si="104"/>
        <v>0.25965582666459136</v>
      </c>
    </row>
    <row r="928" spans="1:15" ht="23.25" x14ac:dyDescent="0.35">
      <c r="C928" s="94" t="s">
        <v>646</v>
      </c>
    </row>
    <row r="929" spans="1:15" ht="20.100000000000001" customHeight="1" x14ac:dyDescent="0.25">
      <c r="A929" s="89">
        <v>1014</v>
      </c>
      <c r="B929" s="4">
        <v>43063</v>
      </c>
      <c r="C929" s="26" t="s">
        <v>60</v>
      </c>
      <c r="D929" s="3">
        <v>28091.64</v>
      </c>
      <c r="E929" s="92">
        <v>43070</v>
      </c>
      <c r="F929" s="92" t="s">
        <v>28</v>
      </c>
      <c r="G929" s="32">
        <v>43066</v>
      </c>
      <c r="H929" s="27">
        <f t="shared" ref="H929:H974" si="106">D929</f>
        <v>28091.64</v>
      </c>
      <c r="I929" s="27"/>
      <c r="J929" s="27"/>
      <c r="K929" s="99"/>
      <c r="L929" s="27">
        <v>12890</v>
      </c>
      <c r="M929" s="29">
        <f t="shared" ref="M929:M974" si="107">H929-L929-J929-K929</f>
        <v>15201.64</v>
      </c>
      <c r="N929" s="29"/>
      <c r="O929" s="44">
        <f t="shared" ref="O929:O975" si="108">M929/H929</f>
        <v>0.54114462523369944</v>
      </c>
    </row>
    <row r="930" spans="1:15" ht="20.100000000000001" customHeight="1" x14ac:dyDescent="0.25">
      <c r="A930" s="89">
        <v>761</v>
      </c>
      <c r="B930" s="4">
        <v>43013</v>
      </c>
      <c r="C930" s="26" t="s">
        <v>99</v>
      </c>
      <c r="D930" s="3">
        <v>71886</v>
      </c>
      <c r="E930" s="92">
        <v>43073</v>
      </c>
      <c r="F930" s="92" t="s">
        <v>28</v>
      </c>
      <c r="G930" s="32">
        <v>43013</v>
      </c>
      <c r="H930" s="27">
        <f t="shared" si="106"/>
        <v>71886</v>
      </c>
      <c r="I930" s="27"/>
      <c r="J930" s="27"/>
      <c r="K930" s="99"/>
      <c r="L930" s="27">
        <v>55264</v>
      </c>
      <c r="M930" s="29">
        <f t="shared" si="107"/>
        <v>16622</v>
      </c>
      <c r="N930" s="29"/>
      <c r="O930" s="44">
        <f t="shared" si="108"/>
        <v>0.2312272208775005</v>
      </c>
    </row>
    <row r="931" spans="1:15" ht="20.100000000000001" customHeight="1" x14ac:dyDescent="0.25">
      <c r="A931" s="89">
        <v>841</v>
      </c>
      <c r="B931" s="4">
        <v>43010</v>
      </c>
      <c r="C931" s="26" t="s">
        <v>99</v>
      </c>
      <c r="D931" s="3">
        <v>42547</v>
      </c>
      <c r="E931" s="92">
        <v>43073</v>
      </c>
      <c r="F931" s="92" t="s">
        <v>28</v>
      </c>
      <c r="G931" s="32">
        <v>43013</v>
      </c>
      <c r="H931" s="27">
        <f t="shared" si="106"/>
        <v>42547</v>
      </c>
      <c r="I931" s="27"/>
      <c r="J931" s="27"/>
      <c r="K931" s="99"/>
      <c r="L931" s="27">
        <v>31031</v>
      </c>
      <c r="M931" s="29">
        <f t="shared" si="107"/>
        <v>11516</v>
      </c>
      <c r="N931" s="29"/>
      <c r="O931" s="44">
        <f t="shared" si="108"/>
        <v>0.27066538181305377</v>
      </c>
    </row>
    <row r="932" spans="1:15" ht="20.100000000000001" customHeight="1" x14ac:dyDescent="0.25">
      <c r="A932" s="89">
        <v>859</v>
      </c>
      <c r="B932" s="4">
        <v>43013</v>
      </c>
      <c r="C932" s="26" t="s">
        <v>99</v>
      </c>
      <c r="D932" s="3">
        <v>2500</v>
      </c>
      <c r="E932" s="92">
        <v>43073</v>
      </c>
      <c r="F932" s="92" t="s">
        <v>28</v>
      </c>
      <c r="G932" s="32">
        <v>43013</v>
      </c>
      <c r="H932" s="27">
        <f t="shared" si="106"/>
        <v>2500</v>
      </c>
      <c r="I932" s="27"/>
      <c r="J932" s="27"/>
      <c r="K932" s="99"/>
      <c r="L932" s="27">
        <v>1250</v>
      </c>
      <c r="M932" s="29">
        <f t="shared" si="107"/>
        <v>1250</v>
      </c>
      <c r="N932" s="29"/>
      <c r="O932" s="44">
        <f t="shared" si="108"/>
        <v>0.5</v>
      </c>
    </row>
    <row r="933" spans="1:15" ht="19.5" customHeight="1" x14ac:dyDescent="0.25">
      <c r="A933" s="89">
        <v>841</v>
      </c>
      <c r="B933" s="4">
        <v>43010</v>
      </c>
      <c r="C933" s="26" t="s">
        <v>99</v>
      </c>
      <c r="D933" s="3">
        <v>229537</v>
      </c>
      <c r="E933" s="92">
        <v>43073</v>
      </c>
      <c r="F933" s="92" t="s">
        <v>28</v>
      </c>
      <c r="G933" s="32">
        <v>43026</v>
      </c>
      <c r="H933" s="27">
        <f t="shared" si="106"/>
        <v>229537</v>
      </c>
      <c r="I933" s="27"/>
      <c r="J933" s="27">
        <v>36000</v>
      </c>
      <c r="K933" s="99"/>
      <c r="L933" s="27">
        <v>83476</v>
      </c>
      <c r="M933" s="29">
        <f t="shared" si="107"/>
        <v>110061</v>
      </c>
      <c r="N933" s="29"/>
      <c r="O933" s="44">
        <f t="shared" si="108"/>
        <v>0.47949132383885823</v>
      </c>
    </row>
    <row r="934" spans="1:15" ht="20.100000000000001" customHeight="1" x14ac:dyDescent="0.25">
      <c r="A934" s="89">
        <v>1030</v>
      </c>
      <c r="B934" s="4">
        <v>43070</v>
      </c>
      <c r="C934" s="26" t="s">
        <v>278</v>
      </c>
      <c r="D934" s="3">
        <v>6193</v>
      </c>
      <c r="E934" s="92">
        <v>43073</v>
      </c>
      <c r="F934" s="92" t="s">
        <v>28</v>
      </c>
      <c r="G934" s="32">
        <v>43074</v>
      </c>
      <c r="H934" s="27">
        <f t="shared" si="106"/>
        <v>6193</v>
      </c>
      <c r="I934" s="27"/>
      <c r="J934" s="27"/>
      <c r="K934" s="99"/>
      <c r="L934" s="27">
        <v>4023</v>
      </c>
      <c r="M934" s="29">
        <f t="shared" si="107"/>
        <v>2170</v>
      </c>
      <c r="N934" s="29"/>
      <c r="O934" s="44">
        <f t="shared" si="108"/>
        <v>0.3503956079444534</v>
      </c>
    </row>
    <row r="935" spans="1:15" ht="20.100000000000001" customHeight="1" x14ac:dyDescent="0.25">
      <c r="A935" s="89">
        <v>1032</v>
      </c>
      <c r="B935" s="4">
        <v>43073</v>
      </c>
      <c r="C935" s="26" t="s">
        <v>209</v>
      </c>
      <c r="D935" s="3">
        <v>5915</v>
      </c>
      <c r="E935" s="92">
        <v>43074</v>
      </c>
      <c r="F935" s="92" t="s">
        <v>28</v>
      </c>
      <c r="G935" s="32">
        <v>43073</v>
      </c>
      <c r="H935" s="27">
        <f t="shared" si="106"/>
        <v>5915</v>
      </c>
      <c r="I935" s="27"/>
      <c r="J935" s="27"/>
      <c r="K935" s="99"/>
      <c r="L935" s="27">
        <v>5358</v>
      </c>
      <c r="M935" s="29">
        <f t="shared" si="107"/>
        <v>557</v>
      </c>
      <c r="N935" s="29"/>
      <c r="O935" s="44">
        <f t="shared" si="108"/>
        <v>9.416737109044801E-2</v>
      </c>
    </row>
    <row r="936" spans="1:15" ht="20.100000000000001" customHeight="1" x14ac:dyDescent="0.25">
      <c r="A936" s="89">
        <v>1034</v>
      </c>
      <c r="B936" s="4">
        <v>43073</v>
      </c>
      <c r="C936" s="26" t="s">
        <v>101</v>
      </c>
      <c r="D936" s="3">
        <v>8290</v>
      </c>
      <c r="E936" s="92">
        <v>43074</v>
      </c>
      <c r="F936" s="92" t="s">
        <v>28</v>
      </c>
      <c r="G936" s="32">
        <v>43075</v>
      </c>
      <c r="H936" s="27">
        <f t="shared" si="106"/>
        <v>8290</v>
      </c>
      <c r="I936" s="27"/>
      <c r="J936" s="27"/>
      <c r="K936" s="99"/>
      <c r="L936" s="27">
        <v>6093</v>
      </c>
      <c r="M936" s="29">
        <f t="shared" si="107"/>
        <v>2197</v>
      </c>
      <c r="N936" s="29"/>
      <c r="O936" s="44">
        <f t="shared" si="108"/>
        <v>0.26501809408926419</v>
      </c>
    </row>
    <row r="937" spans="1:15" ht="20.100000000000001" customHeight="1" x14ac:dyDescent="0.25">
      <c r="A937" s="89">
        <v>1007</v>
      </c>
      <c r="B937" s="4">
        <v>43061</v>
      </c>
      <c r="C937" s="26" t="s">
        <v>11</v>
      </c>
      <c r="D937" s="3">
        <v>7095</v>
      </c>
      <c r="E937" s="92">
        <v>43074</v>
      </c>
      <c r="F937" s="92" t="s">
        <v>28</v>
      </c>
      <c r="G937" s="32">
        <v>43076</v>
      </c>
      <c r="H937" s="27">
        <f t="shared" si="106"/>
        <v>7095</v>
      </c>
      <c r="I937" s="27"/>
      <c r="J937" s="27"/>
      <c r="K937" s="99"/>
      <c r="L937" s="27">
        <v>4311</v>
      </c>
      <c r="M937" s="29">
        <f t="shared" si="107"/>
        <v>2784</v>
      </c>
      <c r="N937" s="29"/>
      <c r="O937" s="44">
        <f t="shared" si="108"/>
        <v>0.39238900634249474</v>
      </c>
    </row>
    <row r="938" spans="1:15" ht="20.100000000000001" customHeight="1" x14ac:dyDescent="0.25">
      <c r="A938" s="89">
        <v>1046</v>
      </c>
      <c r="B938" s="92">
        <v>43075</v>
      </c>
      <c r="C938" s="26" t="s">
        <v>101</v>
      </c>
      <c r="D938" s="3">
        <v>1266</v>
      </c>
      <c r="E938" s="92">
        <v>43075</v>
      </c>
      <c r="F938" s="92" t="s">
        <v>28</v>
      </c>
      <c r="G938" s="32">
        <v>43075</v>
      </c>
      <c r="H938" s="27">
        <f t="shared" si="106"/>
        <v>1266</v>
      </c>
      <c r="I938" s="27"/>
      <c r="J938" s="27"/>
      <c r="K938" s="99"/>
      <c r="L938" s="27">
        <v>952</v>
      </c>
      <c r="M938" s="29">
        <f t="shared" si="107"/>
        <v>314</v>
      </c>
      <c r="N938" s="29"/>
      <c r="O938" s="44">
        <f t="shared" si="108"/>
        <v>0.24802527646129541</v>
      </c>
    </row>
    <row r="939" spans="1:15" ht="20.100000000000001" customHeight="1" x14ac:dyDescent="0.25">
      <c r="A939" s="89">
        <v>1041</v>
      </c>
      <c r="B939" s="92">
        <v>43074</v>
      </c>
      <c r="C939" s="5" t="s">
        <v>304</v>
      </c>
      <c r="D939" s="3">
        <v>47790</v>
      </c>
      <c r="E939" s="92">
        <v>43075</v>
      </c>
      <c r="F939" s="92" t="s">
        <v>28</v>
      </c>
      <c r="G939" s="32">
        <v>43076</v>
      </c>
      <c r="H939" s="27">
        <f t="shared" si="106"/>
        <v>47790</v>
      </c>
      <c r="I939" s="27">
        <f>H939</f>
        <v>47790</v>
      </c>
      <c r="J939" s="27"/>
      <c r="K939" s="99"/>
      <c r="L939" s="27">
        <v>36129</v>
      </c>
      <c r="M939" s="29">
        <f t="shared" si="107"/>
        <v>11661</v>
      </c>
      <c r="N939" s="29">
        <f>M939</f>
        <v>11661</v>
      </c>
      <c r="O939" s="44">
        <f t="shared" si="108"/>
        <v>0.24400502197112367</v>
      </c>
    </row>
    <row r="940" spans="1:15" ht="20.100000000000001" customHeight="1" x14ac:dyDescent="0.25">
      <c r="A940" s="89">
        <v>1057</v>
      </c>
      <c r="B940" s="92">
        <v>43077</v>
      </c>
      <c r="C940" s="5" t="s">
        <v>305</v>
      </c>
      <c r="D940" s="3">
        <v>14990</v>
      </c>
      <c r="E940" s="92">
        <v>43077</v>
      </c>
      <c r="F940" s="92" t="s">
        <v>28</v>
      </c>
      <c r="G940" s="32">
        <v>43080</v>
      </c>
      <c r="H940" s="27">
        <f t="shared" si="106"/>
        <v>14990</v>
      </c>
      <c r="I940" s="27">
        <f>H940</f>
        <v>14990</v>
      </c>
      <c r="J940" s="27"/>
      <c r="K940" s="99"/>
      <c r="L940" s="27">
        <v>14483</v>
      </c>
      <c r="M940" s="29">
        <f t="shared" si="107"/>
        <v>507</v>
      </c>
      <c r="N940" s="29">
        <f>M940</f>
        <v>507</v>
      </c>
      <c r="O940" s="44">
        <f t="shared" si="108"/>
        <v>3.3822548365577049E-2</v>
      </c>
    </row>
    <row r="941" spans="1:15" ht="20.100000000000001" customHeight="1" x14ac:dyDescent="0.25">
      <c r="A941" s="89">
        <v>845</v>
      </c>
      <c r="B941" s="92">
        <v>43074</v>
      </c>
      <c r="C941" s="26" t="s">
        <v>30</v>
      </c>
      <c r="D941" s="3">
        <v>4398</v>
      </c>
      <c r="E941" s="92">
        <v>43077</v>
      </c>
      <c r="F941" s="92" t="s">
        <v>28</v>
      </c>
      <c r="G941" s="32">
        <v>43080</v>
      </c>
      <c r="H941" s="27">
        <f t="shared" si="106"/>
        <v>4398</v>
      </c>
      <c r="I941" s="27"/>
      <c r="J941" s="27"/>
      <c r="K941" s="99"/>
      <c r="L941" s="27">
        <v>3186</v>
      </c>
      <c r="M941" s="29">
        <f t="shared" si="107"/>
        <v>1212</v>
      </c>
      <c r="N941" s="29"/>
      <c r="O941" s="44">
        <f t="shared" si="108"/>
        <v>0.27557980900409279</v>
      </c>
    </row>
    <row r="942" spans="1:15" ht="20.100000000000001" customHeight="1" x14ac:dyDescent="0.25">
      <c r="A942" s="89">
        <v>1027</v>
      </c>
      <c r="B942" s="92">
        <v>43069</v>
      </c>
      <c r="C942" s="26" t="s">
        <v>15</v>
      </c>
      <c r="D942" s="3">
        <v>4163.04</v>
      </c>
      <c r="E942" s="92">
        <v>43077</v>
      </c>
      <c r="F942" s="92" t="s">
        <v>28</v>
      </c>
      <c r="G942" s="32">
        <v>43084</v>
      </c>
      <c r="H942" s="27">
        <f t="shared" si="106"/>
        <v>4163.04</v>
      </c>
      <c r="I942" s="27"/>
      <c r="J942" s="27"/>
      <c r="K942" s="99"/>
      <c r="L942" s="27">
        <v>3248</v>
      </c>
      <c r="M942" s="29">
        <f t="shared" si="107"/>
        <v>915.04</v>
      </c>
      <c r="N942" s="29"/>
      <c r="O942" s="44">
        <f t="shared" si="108"/>
        <v>0.21980091471616894</v>
      </c>
    </row>
    <row r="943" spans="1:15" ht="20.100000000000001" customHeight="1" x14ac:dyDescent="0.25">
      <c r="A943" s="89">
        <v>1061</v>
      </c>
      <c r="B943" s="92">
        <v>43080</v>
      </c>
      <c r="C943" s="5" t="s">
        <v>305</v>
      </c>
      <c r="D943" s="3">
        <v>14990</v>
      </c>
      <c r="E943" s="92">
        <v>43080</v>
      </c>
      <c r="F943" s="92" t="s">
        <v>28</v>
      </c>
      <c r="G943" s="32">
        <v>43081</v>
      </c>
      <c r="H943" s="27">
        <f t="shared" si="106"/>
        <v>14990</v>
      </c>
      <c r="I943" s="27">
        <f>H943</f>
        <v>14990</v>
      </c>
      <c r="J943" s="27"/>
      <c r="K943" s="99"/>
      <c r="L943" s="27">
        <v>12592</v>
      </c>
      <c r="M943" s="29">
        <f t="shared" si="107"/>
        <v>2398</v>
      </c>
      <c r="N943" s="29">
        <f>M943</f>
        <v>2398</v>
      </c>
      <c r="O943" s="44">
        <f t="shared" si="108"/>
        <v>0.15997331554369579</v>
      </c>
    </row>
    <row r="944" spans="1:15" ht="20.100000000000001" customHeight="1" x14ac:dyDescent="0.25">
      <c r="A944" s="89">
        <v>1012</v>
      </c>
      <c r="B944" s="4">
        <v>43062</v>
      </c>
      <c r="C944" s="26" t="s">
        <v>209</v>
      </c>
      <c r="D944" s="3">
        <v>7701</v>
      </c>
      <c r="E944" s="92">
        <v>43080</v>
      </c>
      <c r="F944" s="92" t="s">
        <v>28</v>
      </c>
      <c r="G944" s="32">
        <v>43075</v>
      </c>
      <c r="H944" s="27">
        <f t="shared" si="106"/>
        <v>7701</v>
      </c>
      <c r="I944" s="27"/>
      <c r="J944" s="27"/>
      <c r="K944" s="99"/>
      <c r="L944" s="27">
        <v>3100</v>
      </c>
      <c r="M944" s="29">
        <f t="shared" si="107"/>
        <v>4601</v>
      </c>
      <c r="N944" s="29"/>
      <c r="O944" s="44">
        <f t="shared" si="108"/>
        <v>0.59745487599013114</v>
      </c>
    </row>
    <row r="945" spans="1:15" ht="20.100000000000001" customHeight="1" x14ac:dyDescent="0.25">
      <c r="A945" s="89">
        <v>1033</v>
      </c>
      <c r="B945" s="4">
        <v>43073</v>
      </c>
      <c r="C945" s="26" t="s">
        <v>209</v>
      </c>
      <c r="D945" s="3">
        <v>1575</v>
      </c>
      <c r="E945" s="92">
        <v>43080</v>
      </c>
      <c r="F945" s="92" t="s">
        <v>28</v>
      </c>
      <c r="G945" s="32">
        <v>43087</v>
      </c>
      <c r="H945" s="27">
        <f t="shared" si="106"/>
        <v>1575</v>
      </c>
      <c r="I945" s="27"/>
      <c r="J945" s="27"/>
      <c r="K945" s="99"/>
      <c r="L945" s="27">
        <v>1446</v>
      </c>
      <c r="M945" s="29">
        <f t="shared" si="107"/>
        <v>129</v>
      </c>
      <c r="N945" s="29"/>
      <c r="O945" s="44">
        <f t="shared" si="108"/>
        <v>8.1904761904761911E-2</v>
      </c>
    </row>
    <row r="946" spans="1:15" ht="20.100000000000001" customHeight="1" x14ac:dyDescent="0.25">
      <c r="A946" s="89">
        <v>1040</v>
      </c>
      <c r="B946" s="4">
        <v>43074</v>
      </c>
      <c r="C946" s="26" t="s">
        <v>175</v>
      </c>
      <c r="D946" s="3">
        <v>7307.4</v>
      </c>
      <c r="E946" s="92">
        <v>43081</v>
      </c>
      <c r="F946" s="92" t="s">
        <v>28</v>
      </c>
      <c r="G946" s="32">
        <v>43087</v>
      </c>
      <c r="H946" s="27">
        <f t="shared" si="106"/>
        <v>7307.4</v>
      </c>
      <c r="I946" s="27"/>
      <c r="J946" s="27"/>
      <c r="K946" s="99"/>
      <c r="L946" s="27">
        <v>5786</v>
      </c>
      <c r="M946" s="29">
        <f t="shared" si="107"/>
        <v>1521.3999999999996</v>
      </c>
      <c r="N946" s="29"/>
      <c r="O946" s="44">
        <f t="shared" si="108"/>
        <v>0.20819990694364612</v>
      </c>
    </row>
    <row r="947" spans="1:15" ht="20.100000000000001" customHeight="1" x14ac:dyDescent="0.25">
      <c r="A947" s="89">
        <v>1051</v>
      </c>
      <c r="B947" s="4">
        <v>43076</v>
      </c>
      <c r="C947" s="26" t="s">
        <v>77</v>
      </c>
      <c r="D947" s="3">
        <v>1466</v>
      </c>
      <c r="E947" s="92">
        <v>43081</v>
      </c>
      <c r="F947" s="92" t="s">
        <v>28</v>
      </c>
      <c r="G947" s="32">
        <v>43081</v>
      </c>
      <c r="H947" s="27">
        <f t="shared" si="106"/>
        <v>1466</v>
      </c>
      <c r="I947" s="27"/>
      <c r="J947" s="27"/>
      <c r="K947" s="99"/>
      <c r="L947" s="27">
        <v>1193</v>
      </c>
      <c r="M947" s="29">
        <f t="shared" si="107"/>
        <v>273</v>
      </c>
      <c r="N947" s="29"/>
      <c r="O947" s="44">
        <f t="shared" si="108"/>
        <v>0.18622100954979537</v>
      </c>
    </row>
    <row r="948" spans="1:15" ht="20.100000000000001" customHeight="1" x14ac:dyDescent="0.25">
      <c r="A948" s="89">
        <v>1064</v>
      </c>
      <c r="B948" s="4">
        <v>43080</v>
      </c>
      <c r="C948" s="26" t="s">
        <v>77</v>
      </c>
      <c r="D948" s="3">
        <v>1647</v>
      </c>
      <c r="E948" s="92">
        <v>43081</v>
      </c>
      <c r="F948" s="92" t="s">
        <v>28</v>
      </c>
      <c r="G948" s="32">
        <v>43082</v>
      </c>
      <c r="H948" s="27">
        <f t="shared" si="106"/>
        <v>1647</v>
      </c>
      <c r="I948" s="27"/>
      <c r="J948" s="27"/>
      <c r="K948" s="99"/>
      <c r="L948" s="27">
        <v>1062</v>
      </c>
      <c r="M948" s="29">
        <f t="shared" si="107"/>
        <v>585</v>
      </c>
      <c r="N948" s="29"/>
      <c r="O948" s="44">
        <f t="shared" si="108"/>
        <v>0.3551912568306011</v>
      </c>
    </row>
    <row r="949" spans="1:15" ht="20.100000000000001" customHeight="1" x14ac:dyDescent="0.25">
      <c r="A949" s="89">
        <v>1029</v>
      </c>
      <c r="B949" s="4">
        <v>43070</v>
      </c>
      <c r="C949" s="26" t="s">
        <v>228</v>
      </c>
      <c r="D949" s="3">
        <v>4552.92</v>
      </c>
      <c r="E949" s="92">
        <v>43081</v>
      </c>
      <c r="F949" s="92" t="s">
        <v>28</v>
      </c>
      <c r="G949" s="32">
        <v>43098</v>
      </c>
      <c r="H949" s="27">
        <f t="shared" si="106"/>
        <v>4552.92</v>
      </c>
      <c r="I949" s="27"/>
      <c r="J949" s="27"/>
      <c r="K949" s="99"/>
      <c r="L949" s="27">
        <v>3004</v>
      </c>
      <c r="M949" s="29">
        <f t="shared" si="107"/>
        <v>1548.92</v>
      </c>
      <c r="N949" s="29"/>
      <c r="O949" s="44">
        <f t="shared" si="108"/>
        <v>0.3402036495260185</v>
      </c>
    </row>
    <row r="950" spans="1:15" ht="20.100000000000001" customHeight="1" x14ac:dyDescent="0.25">
      <c r="A950" s="89">
        <v>1039</v>
      </c>
      <c r="B950" s="4">
        <v>43074</v>
      </c>
      <c r="C950" s="26" t="s">
        <v>175</v>
      </c>
      <c r="D950" s="3">
        <v>16497.7</v>
      </c>
      <c r="E950" s="92">
        <v>43082</v>
      </c>
      <c r="F950" s="92" t="s">
        <v>28</v>
      </c>
      <c r="G950" s="32">
        <v>43087</v>
      </c>
      <c r="H950" s="27">
        <f t="shared" si="106"/>
        <v>16497.7</v>
      </c>
      <c r="I950" s="27"/>
      <c r="J950" s="27"/>
      <c r="K950" s="99"/>
      <c r="L950" s="27">
        <v>13488</v>
      </c>
      <c r="M950" s="29">
        <f t="shared" si="107"/>
        <v>3009.7000000000007</v>
      </c>
      <c r="N950" s="29"/>
      <c r="O950" s="44">
        <f t="shared" si="108"/>
        <v>0.182431490450184</v>
      </c>
    </row>
    <row r="951" spans="1:15" ht="20.100000000000001" customHeight="1" x14ac:dyDescent="0.25">
      <c r="A951" s="89">
        <v>1065</v>
      </c>
      <c r="B951" s="4">
        <v>43080</v>
      </c>
      <c r="C951" s="5" t="s">
        <v>307</v>
      </c>
      <c r="D951" s="3">
        <v>19232</v>
      </c>
      <c r="E951" s="92">
        <v>43082</v>
      </c>
      <c r="F951" s="92" t="s">
        <v>28</v>
      </c>
      <c r="G951" s="32">
        <v>43083</v>
      </c>
      <c r="H951" s="27">
        <f t="shared" si="106"/>
        <v>19232</v>
      </c>
      <c r="I951" s="27">
        <f>H951</f>
        <v>19232</v>
      </c>
      <c r="J951" s="27"/>
      <c r="K951" s="99"/>
      <c r="L951" s="27">
        <v>14223</v>
      </c>
      <c r="M951" s="29">
        <f t="shared" si="107"/>
        <v>5009</v>
      </c>
      <c r="N951" s="29">
        <f>M951</f>
        <v>5009</v>
      </c>
      <c r="O951" s="44">
        <f t="shared" si="108"/>
        <v>0.26045133111480867</v>
      </c>
    </row>
    <row r="952" spans="1:15" ht="20.100000000000001" customHeight="1" x14ac:dyDescent="0.25">
      <c r="A952" s="89">
        <v>1083</v>
      </c>
      <c r="B952" s="4">
        <v>43083</v>
      </c>
      <c r="C952" s="26" t="s">
        <v>303</v>
      </c>
      <c r="D952" s="3">
        <v>25330</v>
      </c>
      <c r="E952" s="92">
        <v>43083</v>
      </c>
      <c r="F952" s="92" t="s">
        <v>28</v>
      </c>
      <c r="G952" s="32">
        <v>43083</v>
      </c>
      <c r="H952" s="27">
        <f t="shared" si="106"/>
        <v>25330</v>
      </c>
      <c r="I952" s="27"/>
      <c r="J952" s="27"/>
      <c r="K952" s="99"/>
      <c r="L952" s="27">
        <v>14800</v>
      </c>
      <c r="M952" s="29">
        <f t="shared" si="107"/>
        <v>10530</v>
      </c>
      <c r="N952" s="29"/>
      <c r="O952" s="44">
        <f t="shared" si="108"/>
        <v>0.41571259376233716</v>
      </c>
    </row>
    <row r="953" spans="1:15" ht="20.100000000000001" customHeight="1" x14ac:dyDescent="0.25">
      <c r="A953" s="89">
        <v>1050</v>
      </c>
      <c r="B953" s="4">
        <v>43076</v>
      </c>
      <c r="C953" s="26" t="s">
        <v>180</v>
      </c>
      <c r="D953" s="3">
        <v>40646</v>
      </c>
      <c r="E953" s="92">
        <v>43083</v>
      </c>
      <c r="F953" s="92" t="s">
        <v>28</v>
      </c>
      <c r="G953" s="32">
        <v>43098</v>
      </c>
      <c r="H953" s="27">
        <f t="shared" si="106"/>
        <v>40646</v>
      </c>
      <c r="I953" s="27"/>
      <c r="J953" s="27"/>
      <c r="K953" s="99">
        <f>2*1200</f>
        <v>2400</v>
      </c>
      <c r="L953" s="27">
        <v>20468</v>
      </c>
      <c r="M953" s="29">
        <f t="shared" si="107"/>
        <v>17778</v>
      </c>
      <c r="N953" s="29"/>
      <c r="O953" s="44">
        <f t="shared" si="108"/>
        <v>0.43738621266545291</v>
      </c>
    </row>
    <row r="954" spans="1:15" ht="20.100000000000001" customHeight="1" x14ac:dyDescent="0.25">
      <c r="A954" s="89">
        <v>1024</v>
      </c>
      <c r="B954" s="4">
        <v>43077</v>
      </c>
      <c r="C954" s="26" t="s">
        <v>65</v>
      </c>
      <c r="D954" s="3">
        <v>95140</v>
      </c>
      <c r="E954" s="92">
        <v>43083</v>
      </c>
      <c r="F954" s="92" t="s">
        <v>28</v>
      </c>
      <c r="G954" s="32">
        <v>43151</v>
      </c>
      <c r="H954" s="27">
        <f t="shared" si="106"/>
        <v>95140</v>
      </c>
      <c r="I954" s="27"/>
      <c r="J954" s="27"/>
      <c r="K954" s="99">
        <f>16*1200</f>
        <v>19200</v>
      </c>
      <c r="L954" s="27">
        <v>37174</v>
      </c>
      <c r="M954" s="29">
        <f t="shared" si="107"/>
        <v>38766</v>
      </c>
      <c r="N954" s="29"/>
      <c r="O954" s="44">
        <f t="shared" si="108"/>
        <v>0.40746268656716417</v>
      </c>
    </row>
    <row r="955" spans="1:15" ht="20.100000000000001" customHeight="1" x14ac:dyDescent="0.25">
      <c r="A955" s="89">
        <v>1090</v>
      </c>
      <c r="B955" s="4">
        <v>43084</v>
      </c>
      <c r="C955" s="5" t="s">
        <v>308</v>
      </c>
      <c r="D955" s="3">
        <v>2215</v>
      </c>
      <c r="E955" s="92">
        <v>43087</v>
      </c>
      <c r="F955" s="92" t="s">
        <v>28</v>
      </c>
      <c r="G955" s="32">
        <v>43089</v>
      </c>
      <c r="H955" s="27">
        <f t="shared" si="106"/>
        <v>2215</v>
      </c>
      <c r="I955" s="27">
        <f>H955</f>
        <v>2215</v>
      </c>
      <c r="J955" s="27"/>
      <c r="K955" s="99"/>
      <c r="L955" s="27">
        <v>1728</v>
      </c>
      <c r="M955" s="29">
        <f t="shared" si="107"/>
        <v>487</v>
      </c>
      <c r="N955" s="29">
        <f>M955</f>
        <v>487</v>
      </c>
      <c r="O955" s="44">
        <f t="shared" si="108"/>
        <v>0.21986455981941308</v>
      </c>
    </row>
    <row r="956" spans="1:15" ht="20.100000000000001" customHeight="1" x14ac:dyDescent="0.25">
      <c r="A956" s="89">
        <v>926</v>
      </c>
      <c r="B956" s="4">
        <v>43034</v>
      </c>
      <c r="C956" s="26" t="s">
        <v>56</v>
      </c>
      <c r="D956" s="3">
        <v>155542.17000000001</v>
      </c>
      <c r="E956" s="92">
        <v>43088</v>
      </c>
      <c r="F956" s="92" t="s">
        <v>28</v>
      </c>
      <c r="G956" s="32">
        <v>43074</v>
      </c>
      <c r="H956" s="27">
        <f t="shared" si="106"/>
        <v>155542.17000000001</v>
      </c>
      <c r="I956" s="27"/>
      <c r="J956" s="27"/>
      <c r="K956" s="99"/>
      <c r="L956" s="27">
        <v>114399</v>
      </c>
      <c r="M956" s="29">
        <f t="shared" si="107"/>
        <v>41143.170000000013</v>
      </c>
      <c r="N956" s="29"/>
      <c r="O956" s="44">
        <f t="shared" si="108"/>
        <v>0.26451456862148709</v>
      </c>
    </row>
    <row r="957" spans="1:15" ht="20.100000000000001" customHeight="1" x14ac:dyDescent="0.25">
      <c r="A957" s="89">
        <v>1089</v>
      </c>
      <c r="B957" s="4">
        <v>43084</v>
      </c>
      <c r="C957" s="26" t="s">
        <v>30</v>
      </c>
      <c r="D957" s="3">
        <v>2072</v>
      </c>
      <c r="E957" s="92">
        <v>43088</v>
      </c>
      <c r="F957" s="92" t="s">
        <v>28</v>
      </c>
      <c r="G957" s="32">
        <v>43089</v>
      </c>
      <c r="H957" s="27">
        <f t="shared" si="106"/>
        <v>2072</v>
      </c>
      <c r="I957" s="27"/>
      <c r="J957" s="27"/>
      <c r="K957" s="99"/>
      <c r="L957" s="27">
        <v>1500</v>
      </c>
      <c r="M957" s="29">
        <f t="shared" si="107"/>
        <v>572</v>
      </c>
      <c r="N957" s="29"/>
      <c r="O957" s="44">
        <f t="shared" si="108"/>
        <v>0.27606177606177607</v>
      </c>
    </row>
    <row r="958" spans="1:15" ht="20.100000000000001" customHeight="1" x14ac:dyDescent="0.25">
      <c r="A958" s="89">
        <v>1066</v>
      </c>
      <c r="B958" s="4">
        <v>43080</v>
      </c>
      <c r="C958" s="26" t="s">
        <v>50</v>
      </c>
      <c r="D958" s="3">
        <v>14246</v>
      </c>
      <c r="E958" s="92">
        <v>43089</v>
      </c>
      <c r="F958" s="92" t="s">
        <v>28</v>
      </c>
      <c r="G958" s="32">
        <v>43186</v>
      </c>
      <c r="H958" s="27">
        <f t="shared" si="106"/>
        <v>14246</v>
      </c>
      <c r="I958" s="27"/>
      <c r="J958" s="27"/>
      <c r="K958" s="99"/>
      <c r="L958" s="27">
        <v>11112</v>
      </c>
      <c r="M958" s="29">
        <f t="shared" si="107"/>
        <v>3134</v>
      </c>
      <c r="N958" s="29"/>
      <c r="O958" s="44">
        <f t="shared" si="108"/>
        <v>0.21999157658290047</v>
      </c>
    </row>
    <row r="959" spans="1:15" ht="20.100000000000001" customHeight="1" x14ac:dyDescent="0.25">
      <c r="A959" s="89">
        <v>1098</v>
      </c>
      <c r="B959" s="4">
        <v>43088</v>
      </c>
      <c r="C959" s="26" t="s">
        <v>278</v>
      </c>
      <c r="D959" s="3">
        <v>3083</v>
      </c>
      <c r="E959" s="92">
        <v>43089</v>
      </c>
      <c r="F959" s="92" t="s">
        <v>28</v>
      </c>
      <c r="G959" s="32">
        <v>43123</v>
      </c>
      <c r="H959" s="27">
        <f t="shared" si="106"/>
        <v>3083</v>
      </c>
      <c r="I959" s="27"/>
      <c r="J959" s="27"/>
      <c r="K959" s="99"/>
      <c r="L959" s="27">
        <v>2035</v>
      </c>
      <c r="M959" s="29">
        <f t="shared" si="107"/>
        <v>1048</v>
      </c>
      <c r="N959" s="29"/>
      <c r="O959" s="44">
        <f t="shared" si="108"/>
        <v>0.33992864093415504</v>
      </c>
    </row>
    <row r="960" spans="1:15" ht="20.100000000000001" customHeight="1" x14ac:dyDescent="0.25">
      <c r="A960" s="89">
        <v>1091</v>
      </c>
      <c r="B960" s="4">
        <v>43087</v>
      </c>
      <c r="C960" s="26" t="s">
        <v>216</v>
      </c>
      <c r="D960" s="3">
        <v>1197.6600000000001</v>
      </c>
      <c r="E960" s="92">
        <v>43089</v>
      </c>
      <c r="F960" s="92" t="s">
        <v>28</v>
      </c>
      <c r="G960" s="32">
        <v>43189</v>
      </c>
      <c r="H960" s="27">
        <f t="shared" si="106"/>
        <v>1197.6600000000001</v>
      </c>
      <c r="I960" s="27"/>
      <c r="J960" s="27"/>
      <c r="K960" s="99"/>
      <c r="L960" s="27">
        <v>930</v>
      </c>
      <c r="M960" s="29">
        <f t="shared" si="107"/>
        <v>267.66000000000008</v>
      </c>
      <c r="N960" s="29"/>
      <c r="O960" s="44">
        <f t="shared" si="108"/>
        <v>0.2234857973047443</v>
      </c>
    </row>
    <row r="961" spans="1:15" ht="20.100000000000001" customHeight="1" x14ac:dyDescent="0.25">
      <c r="A961" s="89">
        <v>911</v>
      </c>
      <c r="B961" s="4">
        <v>43031</v>
      </c>
      <c r="C961" s="5" t="s">
        <v>309</v>
      </c>
      <c r="D961" s="3">
        <v>5686</v>
      </c>
      <c r="E961" s="92">
        <v>43090</v>
      </c>
      <c r="F961" s="92" t="s">
        <v>28</v>
      </c>
      <c r="G961" s="32">
        <v>43091</v>
      </c>
      <c r="H961" s="27">
        <f t="shared" si="106"/>
        <v>5686</v>
      </c>
      <c r="I961" s="27">
        <f>H961</f>
        <v>5686</v>
      </c>
      <c r="J961" s="27"/>
      <c r="K961" s="99"/>
      <c r="L961" s="27">
        <v>4302</v>
      </c>
      <c r="M961" s="29">
        <f t="shared" si="107"/>
        <v>1384</v>
      </c>
      <c r="N961" s="29">
        <f>M961</f>
        <v>1384</v>
      </c>
      <c r="O961" s="44">
        <f t="shared" si="108"/>
        <v>0.24340485402743581</v>
      </c>
    </row>
    <row r="962" spans="1:15" ht="20.100000000000001" customHeight="1" x14ac:dyDescent="0.25">
      <c r="A962" s="89">
        <v>1076</v>
      </c>
      <c r="B962" s="4">
        <v>43082</v>
      </c>
      <c r="C962" s="26" t="s">
        <v>301</v>
      </c>
      <c r="D962" s="3">
        <v>1036</v>
      </c>
      <c r="E962" s="92">
        <v>43090</v>
      </c>
      <c r="F962" s="92" t="s">
        <v>28</v>
      </c>
      <c r="G962" s="32">
        <v>43091</v>
      </c>
      <c r="H962" s="27">
        <f t="shared" si="106"/>
        <v>1036</v>
      </c>
      <c r="I962" s="27"/>
      <c r="J962" s="27"/>
      <c r="K962" s="99"/>
      <c r="L962" s="27">
        <v>742</v>
      </c>
      <c r="M962" s="29">
        <f t="shared" si="107"/>
        <v>294</v>
      </c>
      <c r="N962" s="29"/>
      <c r="O962" s="44">
        <f t="shared" si="108"/>
        <v>0.28378378378378377</v>
      </c>
    </row>
    <row r="963" spans="1:15" ht="20.100000000000001" customHeight="1" x14ac:dyDescent="0.25">
      <c r="A963" s="89">
        <v>1099</v>
      </c>
      <c r="B963" s="4">
        <v>43089</v>
      </c>
      <c r="C963" s="26" t="s">
        <v>255</v>
      </c>
      <c r="D963" s="3">
        <v>2230</v>
      </c>
      <c r="E963" s="92">
        <v>43091</v>
      </c>
      <c r="F963" s="92" t="s">
        <v>28</v>
      </c>
      <c r="G963" s="32">
        <v>43095</v>
      </c>
      <c r="H963" s="27">
        <f t="shared" si="106"/>
        <v>2230</v>
      </c>
      <c r="I963" s="27"/>
      <c r="J963" s="27"/>
      <c r="K963" s="99"/>
      <c r="L963" s="27">
        <v>1615</v>
      </c>
      <c r="M963" s="29">
        <f t="shared" si="107"/>
        <v>615</v>
      </c>
      <c r="N963" s="29"/>
      <c r="O963" s="44">
        <f t="shared" si="108"/>
        <v>0.27578475336322872</v>
      </c>
    </row>
    <row r="964" spans="1:15" ht="20.100000000000001" customHeight="1" x14ac:dyDescent="0.25">
      <c r="A964" s="89">
        <v>841</v>
      </c>
      <c r="B964" s="4">
        <v>43026</v>
      </c>
      <c r="C964" s="26" t="s">
        <v>99</v>
      </c>
      <c r="D964" s="3">
        <v>13401</v>
      </c>
      <c r="E964" s="92">
        <v>43094</v>
      </c>
      <c r="F964" s="92" t="s">
        <v>28</v>
      </c>
      <c r="G964" s="32">
        <v>43047</v>
      </c>
      <c r="H964" s="27">
        <f t="shared" si="106"/>
        <v>13401</v>
      </c>
      <c r="I964" s="27"/>
      <c r="J964" s="27"/>
      <c r="K964" s="99"/>
      <c r="L964" s="27">
        <v>10452</v>
      </c>
      <c r="M964" s="29">
        <f t="shared" si="107"/>
        <v>2949</v>
      </c>
      <c r="N964" s="29"/>
      <c r="O964" s="44">
        <f t="shared" si="108"/>
        <v>0.22005820461159614</v>
      </c>
    </row>
    <row r="965" spans="1:15" ht="20.100000000000001" customHeight="1" x14ac:dyDescent="0.25">
      <c r="A965" s="89">
        <v>953</v>
      </c>
      <c r="B965" s="4">
        <v>43046</v>
      </c>
      <c r="C965" s="26" t="s">
        <v>99</v>
      </c>
      <c r="D965" s="3">
        <v>124562</v>
      </c>
      <c r="E965" s="92">
        <v>43094</v>
      </c>
      <c r="F965" s="92" t="s">
        <v>28</v>
      </c>
      <c r="G965" s="32">
        <v>43047</v>
      </c>
      <c r="H965" s="27">
        <f t="shared" si="106"/>
        <v>124562</v>
      </c>
      <c r="I965" s="27"/>
      <c r="J965" s="27"/>
      <c r="K965" s="99"/>
      <c r="L965" s="27">
        <v>93833</v>
      </c>
      <c r="M965" s="29">
        <f t="shared" si="107"/>
        <v>30729</v>
      </c>
      <c r="N965" s="29"/>
      <c r="O965" s="44">
        <f t="shared" si="108"/>
        <v>0.24669642427064434</v>
      </c>
    </row>
    <row r="966" spans="1:15" ht="20.100000000000001" customHeight="1" x14ac:dyDescent="0.25">
      <c r="A966" s="89">
        <v>848</v>
      </c>
      <c r="B966" s="4">
        <v>43011</v>
      </c>
      <c r="C966" s="26" t="s">
        <v>99</v>
      </c>
      <c r="D966" s="3">
        <v>20044</v>
      </c>
      <c r="E966" s="92">
        <v>43094</v>
      </c>
      <c r="F966" s="92" t="s">
        <v>28</v>
      </c>
      <c r="G966" s="32">
        <v>43056</v>
      </c>
      <c r="H966" s="27">
        <f t="shared" si="106"/>
        <v>20044</v>
      </c>
      <c r="I966" s="27"/>
      <c r="J966" s="27"/>
      <c r="K966" s="99"/>
      <c r="L966" s="27">
        <v>15634</v>
      </c>
      <c r="M966" s="29">
        <f t="shared" si="107"/>
        <v>4410</v>
      </c>
      <c r="N966" s="29"/>
      <c r="O966" s="44">
        <f t="shared" si="108"/>
        <v>0.22001596487727001</v>
      </c>
    </row>
    <row r="967" spans="1:15" ht="20.100000000000001" customHeight="1" x14ac:dyDescent="0.25">
      <c r="A967" s="89">
        <v>953</v>
      </c>
      <c r="B967" s="4">
        <v>43046</v>
      </c>
      <c r="C967" s="26" t="s">
        <v>99</v>
      </c>
      <c r="D967" s="3">
        <v>102898</v>
      </c>
      <c r="E967" s="92">
        <v>43094</v>
      </c>
      <c r="F967" s="92" t="s">
        <v>28</v>
      </c>
      <c r="G967" s="32">
        <v>43059</v>
      </c>
      <c r="H967" s="27">
        <f t="shared" si="106"/>
        <v>102898</v>
      </c>
      <c r="I967" s="27"/>
      <c r="J967" s="27"/>
      <c r="K967" s="99"/>
      <c r="L967" s="27">
        <v>80212</v>
      </c>
      <c r="M967" s="29">
        <f t="shared" si="107"/>
        <v>22686</v>
      </c>
      <c r="N967" s="29"/>
      <c r="O967" s="44">
        <f t="shared" si="108"/>
        <v>0.22047075744912437</v>
      </c>
    </row>
    <row r="968" spans="1:15" ht="20.100000000000001" customHeight="1" x14ac:dyDescent="0.25">
      <c r="A968" s="89">
        <v>953</v>
      </c>
      <c r="B968" s="4">
        <v>43046</v>
      </c>
      <c r="C968" s="26" t="s">
        <v>99</v>
      </c>
      <c r="D968" s="3">
        <v>201144</v>
      </c>
      <c r="E968" s="92">
        <v>43094</v>
      </c>
      <c r="F968" s="92" t="s">
        <v>28</v>
      </c>
      <c r="G968" s="32">
        <v>43067</v>
      </c>
      <c r="H968" s="27">
        <f t="shared" si="106"/>
        <v>201144</v>
      </c>
      <c r="I968" s="27"/>
      <c r="J968" s="27">
        <f>17*3000</f>
        <v>51000</v>
      </c>
      <c r="K968" s="99"/>
      <c r="L968" s="27">
        <v>21456.799999999999</v>
      </c>
      <c r="M968" s="29">
        <f t="shared" si="107"/>
        <v>128687.20000000001</v>
      </c>
      <c r="N968" s="29"/>
      <c r="O968" s="44">
        <f t="shared" si="108"/>
        <v>0.63977647854273556</v>
      </c>
    </row>
    <row r="969" spans="1:15" ht="20.100000000000001" customHeight="1" x14ac:dyDescent="0.25">
      <c r="A969" s="89">
        <v>1062</v>
      </c>
      <c r="B969" s="4">
        <v>43080</v>
      </c>
      <c r="C969" s="26" t="s">
        <v>11</v>
      </c>
      <c r="D969" s="3">
        <v>1906</v>
      </c>
      <c r="E969" s="92">
        <v>43095</v>
      </c>
      <c r="F969" s="92" t="s">
        <v>28</v>
      </c>
      <c r="G969" s="32">
        <v>43097</v>
      </c>
      <c r="H969" s="27">
        <f t="shared" si="106"/>
        <v>1906</v>
      </c>
      <c r="I969" s="27"/>
      <c r="J969" s="27"/>
      <c r="K969" s="99"/>
      <c r="L969" s="27">
        <v>1156</v>
      </c>
      <c r="M969" s="29">
        <f t="shared" si="107"/>
        <v>750</v>
      </c>
      <c r="N969" s="29"/>
      <c r="O969" s="44">
        <f t="shared" si="108"/>
        <v>0.39349422875131163</v>
      </c>
    </row>
    <row r="970" spans="1:15" ht="20.100000000000001" customHeight="1" x14ac:dyDescent="0.25">
      <c r="A970" s="89">
        <v>1108</v>
      </c>
      <c r="B970" s="4">
        <v>43095</v>
      </c>
      <c r="C970" s="26" t="s">
        <v>211</v>
      </c>
      <c r="D970" s="3">
        <v>14571</v>
      </c>
      <c r="E970" s="92">
        <v>43095</v>
      </c>
      <c r="F970" s="92" t="s">
        <v>28</v>
      </c>
      <c r="G970" s="32">
        <v>43096</v>
      </c>
      <c r="H970" s="27">
        <f t="shared" si="106"/>
        <v>14571</v>
      </c>
      <c r="I970" s="27"/>
      <c r="J970" s="27"/>
      <c r="K970" s="99"/>
      <c r="L970" s="27">
        <v>11065</v>
      </c>
      <c r="M970" s="29">
        <f t="shared" si="107"/>
        <v>3506</v>
      </c>
      <c r="N970" s="29"/>
      <c r="O970" s="44">
        <f t="shared" si="108"/>
        <v>0.24061492004666804</v>
      </c>
    </row>
    <row r="971" spans="1:15" ht="20.100000000000001" customHeight="1" x14ac:dyDescent="0.25">
      <c r="A971" s="89">
        <v>945</v>
      </c>
      <c r="B971" s="4">
        <v>43040</v>
      </c>
      <c r="C971" s="26" t="s">
        <v>13</v>
      </c>
      <c r="D971" s="3">
        <v>10210</v>
      </c>
      <c r="E971" s="92">
        <v>43095</v>
      </c>
      <c r="F971" s="92" t="s">
        <v>28</v>
      </c>
      <c r="G971" s="32">
        <v>43084</v>
      </c>
      <c r="H971" s="27">
        <f t="shared" si="106"/>
        <v>10210</v>
      </c>
      <c r="I971" s="27"/>
      <c r="J971" s="27"/>
      <c r="K971" s="99"/>
      <c r="L971" s="27">
        <v>6738</v>
      </c>
      <c r="M971" s="29">
        <f t="shared" si="107"/>
        <v>3472</v>
      </c>
      <c r="N971" s="29"/>
      <c r="O971" s="44">
        <f t="shared" si="108"/>
        <v>0.34005876591576883</v>
      </c>
    </row>
    <row r="972" spans="1:15" ht="20.100000000000001" customHeight="1" x14ac:dyDescent="0.25">
      <c r="A972" s="89">
        <v>1059</v>
      </c>
      <c r="B972" s="4">
        <v>43077</v>
      </c>
      <c r="C972" s="26" t="s">
        <v>213</v>
      </c>
      <c r="D972" s="3">
        <v>12999</v>
      </c>
      <c r="E972" s="92">
        <v>43096</v>
      </c>
      <c r="F972" s="92" t="s">
        <v>28</v>
      </c>
      <c r="G972" s="32">
        <v>43111</v>
      </c>
      <c r="H972" s="27">
        <f t="shared" si="106"/>
        <v>12999</v>
      </c>
      <c r="I972" s="27"/>
      <c r="J972" s="27"/>
      <c r="K972" s="99"/>
      <c r="L972" s="27">
        <v>8813</v>
      </c>
      <c r="M972" s="29">
        <f t="shared" si="107"/>
        <v>4186</v>
      </c>
      <c r="N972" s="29"/>
      <c r="O972" s="44">
        <f t="shared" si="108"/>
        <v>0.32202477113624123</v>
      </c>
    </row>
    <row r="973" spans="1:15" ht="20.100000000000001" customHeight="1" x14ac:dyDescent="0.25">
      <c r="A973" s="89">
        <v>1100</v>
      </c>
      <c r="B973" s="4">
        <v>43089</v>
      </c>
      <c r="C973" s="26" t="s">
        <v>228</v>
      </c>
      <c r="D973" s="3">
        <v>35913</v>
      </c>
      <c r="E973" s="92">
        <v>43096</v>
      </c>
      <c r="F973" s="92" t="s">
        <v>28</v>
      </c>
      <c r="G973" s="32">
        <v>43133</v>
      </c>
      <c r="H973" s="27">
        <f t="shared" si="106"/>
        <v>35913</v>
      </c>
      <c r="I973" s="27"/>
      <c r="J973" s="27"/>
      <c r="K973" s="99">
        <v>1200</v>
      </c>
      <c r="L973" s="27">
        <v>23732</v>
      </c>
      <c r="M973" s="29">
        <f t="shared" si="107"/>
        <v>10981</v>
      </c>
      <c r="N973" s="29"/>
      <c r="O973" s="44">
        <f t="shared" si="108"/>
        <v>0.3057667140032857</v>
      </c>
    </row>
    <row r="974" spans="1:15" ht="20.100000000000001" customHeight="1" x14ac:dyDescent="0.25">
      <c r="A974" s="89">
        <v>1087</v>
      </c>
      <c r="B974" s="4">
        <v>43084</v>
      </c>
      <c r="C974" s="26" t="s">
        <v>65</v>
      </c>
      <c r="D974" s="3">
        <v>25250</v>
      </c>
      <c r="E974" s="92">
        <v>43097</v>
      </c>
      <c r="F974" s="92" t="s">
        <v>28</v>
      </c>
      <c r="G974" s="32">
        <v>43151</v>
      </c>
      <c r="H974" s="27">
        <f t="shared" si="106"/>
        <v>25250</v>
      </c>
      <c r="I974" s="27"/>
      <c r="J974" s="27"/>
      <c r="K974" s="99">
        <f>5*1200</f>
        <v>6000</v>
      </c>
      <c r="L974" s="27">
        <v>8740</v>
      </c>
      <c r="M974" s="29">
        <f t="shared" si="107"/>
        <v>10510</v>
      </c>
      <c r="N974" s="29"/>
      <c r="O974" s="44">
        <f t="shared" si="108"/>
        <v>0.41623762376237622</v>
      </c>
    </row>
    <row r="975" spans="1:15" ht="19.5" customHeight="1" x14ac:dyDescent="0.25">
      <c r="A975" s="89"/>
      <c r="B975" s="4"/>
      <c r="C975" s="5"/>
      <c r="D975" s="3"/>
      <c r="E975" s="97">
        <v>100100</v>
      </c>
      <c r="F975" s="98">
        <f>M975*0.17+N975*0.06+8000</f>
        <v>100224.47410000002</v>
      </c>
      <c r="G975" s="21">
        <f>H975*0.05+I975*0.02</f>
        <v>75145.686499999996</v>
      </c>
      <c r="H975" s="16">
        <f t="shared" ref="H975:N975" si="109">SUM(H929:H974)</f>
        <v>1460952.53</v>
      </c>
      <c r="I975" s="16">
        <f t="shared" si="109"/>
        <v>104903</v>
      </c>
      <c r="J975" s="16">
        <f t="shared" si="109"/>
        <v>87000</v>
      </c>
      <c r="K975" s="16">
        <f t="shared" si="109"/>
        <v>28800</v>
      </c>
      <c r="L975" s="16">
        <f t="shared" si="109"/>
        <v>810224.8</v>
      </c>
      <c r="M975" s="16">
        <f t="shared" si="109"/>
        <v>534927.7300000001</v>
      </c>
      <c r="N975" s="16">
        <f t="shared" si="109"/>
        <v>21446</v>
      </c>
      <c r="O975" s="44">
        <f t="shared" si="108"/>
        <v>0.36614997340125766</v>
      </c>
    </row>
    <row r="976" spans="1:15" ht="23.25" x14ac:dyDescent="0.35">
      <c r="B976" s="94">
        <v>2018</v>
      </c>
      <c r="C976" s="94" t="s">
        <v>647</v>
      </c>
    </row>
    <row r="977" spans="1:15" ht="20.100000000000001" customHeight="1" x14ac:dyDescent="0.25">
      <c r="A977" s="89">
        <v>1014</v>
      </c>
      <c r="B977" s="4">
        <v>43063</v>
      </c>
      <c r="C977" s="26" t="s">
        <v>60</v>
      </c>
      <c r="D977" s="3">
        <v>4095</v>
      </c>
      <c r="E977" s="92">
        <v>43109</v>
      </c>
      <c r="F977" s="92" t="s">
        <v>28</v>
      </c>
      <c r="G977" s="32">
        <v>43084</v>
      </c>
      <c r="H977" s="27">
        <f t="shared" ref="H977:H983" si="110">D977</f>
        <v>4095</v>
      </c>
      <c r="I977" s="27"/>
      <c r="J977" s="27"/>
      <c r="K977" s="99"/>
      <c r="L977" s="27">
        <v>3192</v>
      </c>
      <c r="M977" s="29">
        <f t="shared" ref="M977:M997" si="111">H977-L977-J977-K977</f>
        <v>903</v>
      </c>
      <c r="N977" s="29"/>
      <c r="O977" s="44">
        <f t="shared" ref="O977:O998" si="112">M977/H977</f>
        <v>0.22051282051282051</v>
      </c>
    </row>
    <row r="978" spans="1:15" ht="20.100000000000001" customHeight="1" x14ac:dyDescent="0.25">
      <c r="A978" s="89">
        <v>4</v>
      </c>
      <c r="B978" s="4">
        <v>43110</v>
      </c>
      <c r="C978" s="26" t="s">
        <v>175</v>
      </c>
      <c r="D978" s="3">
        <v>25463.8</v>
      </c>
      <c r="E978" s="92">
        <v>43115</v>
      </c>
      <c r="F978" s="92" t="s">
        <v>28</v>
      </c>
      <c r="G978" s="32">
        <v>43115</v>
      </c>
      <c r="H978" s="27">
        <f t="shared" si="110"/>
        <v>25463.8</v>
      </c>
      <c r="I978" s="27"/>
      <c r="J978" s="27"/>
      <c r="K978" s="99"/>
      <c r="L978" s="27">
        <v>20816</v>
      </c>
      <c r="M978" s="29">
        <f t="shared" si="111"/>
        <v>4647.7999999999993</v>
      </c>
      <c r="N978" s="29"/>
      <c r="O978" s="44">
        <f t="shared" si="112"/>
        <v>0.18252578169793979</v>
      </c>
    </row>
    <row r="979" spans="1:15" ht="20.100000000000001" customHeight="1" x14ac:dyDescent="0.25">
      <c r="A979" s="89">
        <v>16</v>
      </c>
      <c r="B979" s="4">
        <v>43112</v>
      </c>
      <c r="C979" s="26" t="s">
        <v>236</v>
      </c>
      <c r="D979" s="3">
        <v>12250</v>
      </c>
      <c r="E979" s="92">
        <v>43115</v>
      </c>
      <c r="F979" s="92" t="s">
        <v>28</v>
      </c>
      <c r="G979" s="32">
        <v>43129</v>
      </c>
      <c r="H979" s="27">
        <f t="shared" si="110"/>
        <v>12250</v>
      </c>
      <c r="I979" s="27"/>
      <c r="J979" s="27"/>
      <c r="K979" s="99"/>
      <c r="L979" s="27">
        <v>10915</v>
      </c>
      <c r="M979" s="29">
        <f t="shared" si="111"/>
        <v>1335</v>
      </c>
      <c r="N979" s="29"/>
      <c r="O979" s="44">
        <f t="shared" si="112"/>
        <v>0.1089795918367347</v>
      </c>
    </row>
    <row r="980" spans="1:15" ht="20.100000000000001" customHeight="1" x14ac:dyDescent="0.25">
      <c r="A980" s="89">
        <v>10</v>
      </c>
      <c r="B980" s="4">
        <v>43111</v>
      </c>
      <c r="C980" s="26" t="s">
        <v>275</v>
      </c>
      <c r="D980" s="3">
        <v>13047</v>
      </c>
      <c r="E980" s="92">
        <v>43116</v>
      </c>
      <c r="F980" s="92" t="s">
        <v>28</v>
      </c>
      <c r="G980" s="32">
        <v>43131</v>
      </c>
      <c r="H980" s="27">
        <f t="shared" si="110"/>
        <v>13047</v>
      </c>
      <c r="I980" s="27"/>
      <c r="J980" s="27"/>
      <c r="K980" s="99"/>
      <c r="L980" s="27">
        <v>6884</v>
      </c>
      <c r="M980" s="29">
        <f t="shared" si="111"/>
        <v>6163</v>
      </c>
      <c r="N980" s="29"/>
      <c r="O980" s="44">
        <f t="shared" si="112"/>
        <v>0.47236912700237604</v>
      </c>
    </row>
    <row r="981" spans="1:15" ht="20.100000000000001" customHeight="1" x14ac:dyDescent="0.25">
      <c r="A981" s="89">
        <v>1082</v>
      </c>
      <c r="B981" s="4">
        <v>43082</v>
      </c>
      <c r="C981" s="26" t="s">
        <v>304</v>
      </c>
      <c r="D981" s="3">
        <v>24371</v>
      </c>
      <c r="E981" s="92">
        <v>43116</v>
      </c>
      <c r="F981" s="92" t="s">
        <v>28</v>
      </c>
      <c r="G981" s="32">
        <v>43186</v>
      </c>
      <c r="H981" s="27">
        <f t="shared" si="110"/>
        <v>24371</v>
      </c>
      <c r="I981" s="27"/>
      <c r="J981" s="27"/>
      <c r="K981" s="99"/>
      <c r="L981" s="27">
        <v>16757.3</v>
      </c>
      <c r="M981" s="29">
        <f t="shared" si="111"/>
        <v>7613.7000000000007</v>
      </c>
      <c r="N981" s="29"/>
      <c r="O981" s="44">
        <f t="shared" si="112"/>
        <v>0.31240819006195891</v>
      </c>
    </row>
    <row r="982" spans="1:15" ht="20.100000000000001" customHeight="1" x14ac:dyDescent="0.25">
      <c r="A982" s="89">
        <v>1086</v>
      </c>
      <c r="B982" s="4">
        <v>43083</v>
      </c>
      <c r="C982" s="26" t="s">
        <v>56</v>
      </c>
      <c r="D982" s="3">
        <v>5049</v>
      </c>
      <c r="E982" s="92">
        <v>43117</v>
      </c>
      <c r="F982" s="92" t="s">
        <v>28</v>
      </c>
      <c r="G982" s="32">
        <v>43094</v>
      </c>
      <c r="H982" s="27">
        <f t="shared" si="110"/>
        <v>5049</v>
      </c>
      <c r="I982" s="27"/>
      <c r="J982" s="27"/>
      <c r="K982" s="99"/>
      <c r="L982" s="27">
        <v>3332</v>
      </c>
      <c r="M982" s="29">
        <f t="shared" si="111"/>
        <v>1717</v>
      </c>
      <c r="N982" s="29"/>
      <c r="O982" s="44">
        <f t="shared" si="112"/>
        <v>0.34006734006734007</v>
      </c>
    </row>
    <row r="983" spans="1:15" ht="20.100000000000001" customHeight="1" x14ac:dyDescent="0.25">
      <c r="A983" s="89">
        <v>1107</v>
      </c>
      <c r="B983" s="4">
        <v>43097</v>
      </c>
      <c r="C983" s="26" t="s">
        <v>56</v>
      </c>
      <c r="D983" s="3">
        <v>10012</v>
      </c>
      <c r="E983" s="92">
        <v>43117</v>
      </c>
      <c r="F983" s="92" t="s">
        <v>28</v>
      </c>
      <c r="G983" s="32">
        <v>43097</v>
      </c>
      <c r="H983" s="27">
        <f t="shared" si="110"/>
        <v>10012</v>
      </c>
      <c r="I983" s="27"/>
      <c r="J983" s="27"/>
      <c r="K983" s="99"/>
      <c r="L983" s="27">
        <v>6987</v>
      </c>
      <c r="M983" s="29">
        <f t="shared" si="111"/>
        <v>3025</v>
      </c>
      <c r="N983" s="29"/>
      <c r="O983" s="44">
        <f t="shared" si="112"/>
        <v>0.30213743507790652</v>
      </c>
    </row>
    <row r="984" spans="1:15" ht="20.100000000000001" customHeight="1" x14ac:dyDescent="0.25">
      <c r="A984" s="89">
        <v>45</v>
      </c>
      <c r="B984" s="4">
        <v>43119</v>
      </c>
      <c r="C984" s="5" t="s">
        <v>312</v>
      </c>
      <c r="D984" s="3">
        <v>24752</v>
      </c>
      <c r="E984" s="92">
        <v>43117</v>
      </c>
      <c r="F984" s="92" t="s">
        <v>28</v>
      </c>
      <c r="G984" s="32">
        <v>43126</v>
      </c>
      <c r="H984" s="27">
        <v>20664</v>
      </c>
      <c r="I984" s="27">
        <f>H984</f>
        <v>20664</v>
      </c>
      <c r="J984" s="27"/>
      <c r="K984" s="99"/>
      <c r="L984" s="27">
        <v>12777</v>
      </c>
      <c r="M984" s="29">
        <f t="shared" si="111"/>
        <v>7887</v>
      </c>
      <c r="N984" s="29">
        <f>M984</f>
        <v>7887</v>
      </c>
      <c r="O984" s="44">
        <f t="shared" si="112"/>
        <v>0.38167828106852497</v>
      </c>
    </row>
    <row r="985" spans="1:15" ht="20.100000000000001" customHeight="1" x14ac:dyDescent="0.25">
      <c r="A985" s="89">
        <v>36</v>
      </c>
      <c r="B985" s="4">
        <v>43117</v>
      </c>
      <c r="C985" s="26" t="s">
        <v>216</v>
      </c>
      <c r="D985" s="3">
        <v>2492.1999999999998</v>
      </c>
      <c r="E985" s="92">
        <v>43118</v>
      </c>
      <c r="F985" s="92" t="s">
        <v>28</v>
      </c>
      <c r="G985" s="32">
        <v>43122</v>
      </c>
      <c r="H985" s="27">
        <f t="shared" ref="H985:H991" si="113">D985</f>
        <v>2492.1999999999998</v>
      </c>
      <c r="I985" s="27"/>
      <c r="J985" s="27"/>
      <c r="K985" s="99"/>
      <c r="L985" s="27">
        <v>2124</v>
      </c>
      <c r="M985" s="29">
        <f t="shared" si="111"/>
        <v>368.19999999999982</v>
      </c>
      <c r="N985" s="29"/>
      <c r="O985" s="44">
        <f t="shared" si="112"/>
        <v>0.14774095176952085</v>
      </c>
    </row>
    <row r="986" spans="1:15" ht="20.100000000000001" customHeight="1" x14ac:dyDescent="0.25">
      <c r="A986" s="89">
        <v>42</v>
      </c>
      <c r="B986" s="4">
        <v>43117</v>
      </c>
      <c r="C986" s="26" t="s">
        <v>16</v>
      </c>
      <c r="D986" s="3">
        <v>24460</v>
      </c>
      <c r="E986" s="92">
        <v>43119</v>
      </c>
      <c r="F986" s="92" t="s">
        <v>28</v>
      </c>
      <c r="G986" s="32">
        <v>43123</v>
      </c>
      <c r="H986" s="27">
        <f t="shared" si="113"/>
        <v>24460</v>
      </c>
      <c r="I986" s="27"/>
      <c r="J986" s="27"/>
      <c r="K986" s="99"/>
      <c r="L986" s="27">
        <v>17847</v>
      </c>
      <c r="M986" s="29">
        <f t="shared" si="111"/>
        <v>6613</v>
      </c>
      <c r="N986" s="29"/>
      <c r="O986" s="44">
        <f t="shared" si="112"/>
        <v>0.27035977105478332</v>
      </c>
    </row>
    <row r="987" spans="1:15" ht="20.100000000000001" customHeight="1" x14ac:dyDescent="0.25">
      <c r="A987" s="89">
        <v>46</v>
      </c>
      <c r="B987" s="4">
        <v>43119</v>
      </c>
      <c r="C987" s="5" t="s">
        <v>313</v>
      </c>
      <c r="D987" s="3">
        <v>110000</v>
      </c>
      <c r="E987" s="92">
        <v>43122</v>
      </c>
      <c r="F987" s="92" t="s">
        <v>28</v>
      </c>
      <c r="G987" s="32">
        <v>43122</v>
      </c>
      <c r="H987" s="27">
        <f t="shared" si="113"/>
        <v>110000</v>
      </c>
      <c r="I987" s="27">
        <f>H987</f>
        <v>110000</v>
      </c>
      <c r="J987" s="27"/>
      <c r="K987" s="99"/>
      <c r="L987" s="27">
        <v>80000</v>
      </c>
      <c r="M987" s="29">
        <f t="shared" si="111"/>
        <v>30000</v>
      </c>
      <c r="N987" s="29">
        <f>M987</f>
        <v>30000</v>
      </c>
      <c r="O987" s="44">
        <f t="shared" si="112"/>
        <v>0.27272727272727271</v>
      </c>
    </row>
    <row r="988" spans="1:15" ht="20.100000000000001" customHeight="1" x14ac:dyDescent="0.25">
      <c r="A988" s="89">
        <v>52</v>
      </c>
      <c r="B988" s="4">
        <v>43122</v>
      </c>
      <c r="C988" s="26" t="s">
        <v>301</v>
      </c>
      <c r="D988" s="3">
        <v>5180</v>
      </c>
      <c r="E988" s="92">
        <v>43123</v>
      </c>
      <c r="F988" s="92" t="s">
        <v>28</v>
      </c>
      <c r="G988" s="32">
        <v>43186</v>
      </c>
      <c r="H988" s="27">
        <f t="shared" si="113"/>
        <v>5180</v>
      </c>
      <c r="I988" s="27"/>
      <c r="J988" s="27"/>
      <c r="K988" s="99"/>
      <c r="L988" s="27">
        <v>3710</v>
      </c>
      <c r="M988" s="29">
        <f t="shared" si="111"/>
        <v>1470</v>
      </c>
      <c r="N988" s="29"/>
      <c r="O988" s="44">
        <f t="shared" si="112"/>
        <v>0.28378378378378377</v>
      </c>
    </row>
    <row r="989" spans="1:15" ht="20.100000000000001" customHeight="1" x14ac:dyDescent="0.25">
      <c r="A989" s="89">
        <v>1073</v>
      </c>
      <c r="B989" s="4">
        <v>43081</v>
      </c>
      <c r="C989" s="26" t="s">
        <v>66</v>
      </c>
      <c r="D989" s="3">
        <v>240815.5</v>
      </c>
      <c r="E989" s="92">
        <v>43123</v>
      </c>
      <c r="F989" s="92" t="s">
        <v>28</v>
      </c>
      <c r="G989" s="32">
        <v>43124</v>
      </c>
      <c r="H989" s="27">
        <f t="shared" si="113"/>
        <v>240815.5</v>
      </c>
      <c r="I989" s="27"/>
      <c r="J989" s="27"/>
      <c r="K989" s="99"/>
      <c r="L989" s="27">
        <v>191638</v>
      </c>
      <c r="M989" s="29">
        <f t="shared" si="111"/>
        <v>49177.5</v>
      </c>
      <c r="N989" s="29"/>
      <c r="O989" s="44">
        <f t="shared" si="112"/>
        <v>0.2042123534407046</v>
      </c>
    </row>
    <row r="990" spans="1:15" ht="20.100000000000001" customHeight="1" x14ac:dyDescent="0.25">
      <c r="A990" s="89">
        <v>35</v>
      </c>
      <c r="B990" s="4">
        <v>43117</v>
      </c>
      <c r="C990" s="26" t="s">
        <v>13</v>
      </c>
      <c r="D990" s="3">
        <v>7125</v>
      </c>
      <c r="E990" s="92">
        <v>43123</v>
      </c>
      <c r="F990" s="92" t="s">
        <v>28</v>
      </c>
      <c r="G990" s="32">
        <v>43118</v>
      </c>
      <c r="H990" s="27">
        <f t="shared" si="113"/>
        <v>7125</v>
      </c>
      <c r="I990" s="27"/>
      <c r="J990" s="27"/>
      <c r="K990" s="99"/>
      <c r="L990" s="27">
        <v>5556</v>
      </c>
      <c r="M990" s="29">
        <f t="shared" si="111"/>
        <v>1569</v>
      </c>
      <c r="N990" s="29"/>
      <c r="O990" s="44">
        <f t="shared" si="112"/>
        <v>0.22021052631578947</v>
      </c>
    </row>
    <row r="991" spans="1:15" ht="20.100000000000001" customHeight="1" x14ac:dyDescent="0.25">
      <c r="A991" s="89">
        <v>39</v>
      </c>
      <c r="B991" s="4">
        <v>43117</v>
      </c>
      <c r="C991" s="26" t="s">
        <v>217</v>
      </c>
      <c r="D991" s="3">
        <v>26212</v>
      </c>
      <c r="E991" s="92">
        <v>43124</v>
      </c>
      <c r="F991" s="92" t="s">
        <v>28</v>
      </c>
      <c r="G991" s="32">
        <v>43186</v>
      </c>
      <c r="H991" s="27">
        <f t="shared" si="113"/>
        <v>26212</v>
      </c>
      <c r="I991" s="27"/>
      <c r="J991" s="27"/>
      <c r="K991" s="99"/>
      <c r="L991" s="27">
        <v>20445.28</v>
      </c>
      <c r="M991" s="29">
        <f t="shared" si="111"/>
        <v>5766.7200000000012</v>
      </c>
      <c r="N991" s="29"/>
      <c r="O991" s="44">
        <f t="shared" si="112"/>
        <v>0.22000305203723489</v>
      </c>
    </row>
    <row r="992" spans="1:15" ht="20.100000000000001" customHeight="1" x14ac:dyDescent="0.25">
      <c r="A992" s="89">
        <v>45</v>
      </c>
      <c r="B992" s="4">
        <v>43119</v>
      </c>
      <c r="C992" s="5" t="s">
        <v>312</v>
      </c>
      <c r="D992" s="3">
        <v>24752</v>
      </c>
      <c r="E992" s="92">
        <v>43125</v>
      </c>
      <c r="F992" s="92" t="s">
        <v>28</v>
      </c>
      <c r="G992" s="32">
        <v>43126</v>
      </c>
      <c r="H992" s="27">
        <v>4088</v>
      </c>
      <c r="I992" s="27">
        <f>H992</f>
        <v>4088</v>
      </c>
      <c r="J992" s="27"/>
      <c r="K992" s="99">
        <v>600</v>
      </c>
      <c r="L992" s="27">
        <v>1249</v>
      </c>
      <c r="M992" s="29">
        <f t="shared" si="111"/>
        <v>2239</v>
      </c>
      <c r="N992" s="29">
        <f>M992</f>
        <v>2239</v>
      </c>
      <c r="O992" s="44">
        <f t="shared" si="112"/>
        <v>0.5477005870841487</v>
      </c>
    </row>
    <row r="993" spans="1:15" ht="20.100000000000001" customHeight="1" x14ac:dyDescent="0.25">
      <c r="A993" s="89">
        <v>997</v>
      </c>
      <c r="B993" s="4">
        <v>43420</v>
      </c>
      <c r="C993" s="5" t="s">
        <v>312</v>
      </c>
      <c r="D993" s="3">
        <v>777</v>
      </c>
      <c r="E993" s="92">
        <v>43125</v>
      </c>
      <c r="F993" s="92" t="s">
        <v>28</v>
      </c>
      <c r="G993" s="4"/>
      <c r="H993" s="27">
        <f>D993</f>
        <v>777</v>
      </c>
      <c r="I993" s="27">
        <f>H993</f>
        <v>777</v>
      </c>
      <c r="J993" s="27"/>
      <c r="K993" s="99"/>
      <c r="L993" s="27">
        <v>475</v>
      </c>
      <c r="M993" s="29">
        <f t="shared" si="111"/>
        <v>302</v>
      </c>
      <c r="N993" s="29">
        <f>M993</f>
        <v>302</v>
      </c>
      <c r="O993" s="44">
        <f t="shared" si="112"/>
        <v>0.38867438867438869</v>
      </c>
    </row>
    <row r="994" spans="1:15" ht="20.100000000000001" customHeight="1" x14ac:dyDescent="0.25">
      <c r="A994" s="89">
        <v>9</v>
      </c>
      <c r="B994" s="4">
        <v>43111</v>
      </c>
      <c r="C994" s="26" t="s">
        <v>175</v>
      </c>
      <c r="D994" s="3">
        <v>26908</v>
      </c>
      <c r="E994" s="92">
        <v>43126</v>
      </c>
      <c r="F994" s="92" t="s">
        <v>28</v>
      </c>
      <c r="G994" s="32">
        <v>43186</v>
      </c>
      <c r="H994" s="27">
        <f>D994</f>
        <v>26908</v>
      </c>
      <c r="I994" s="27"/>
      <c r="J994" s="27"/>
      <c r="K994" s="99"/>
      <c r="L994" s="27">
        <v>17722.7</v>
      </c>
      <c r="M994" s="29">
        <f t="shared" si="111"/>
        <v>9185.2999999999993</v>
      </c>
      <c r="N994" s="29"/>
      <c r="O994" s="44">
        <f t="shared" si="112"/>
        <v>0.34135944700460824</v>
      </c>
    </row>
    <row r="995" spans="1:15" ht="20.100000000000001" customHeight="1" x14ac:dyDescent="0.25">
      <c r="A995" s="89">
        <v>54</v>
      </c>
      <c r="B995" s="4">
        <v>43126</v>
      </c>
      <c r="C995" s="26" t="s">
        <v>71</v>
      </c>
      <c r="D995" s="3">
        <v>19968</v>
      </c>
      <c r="E995" s="92">
        <v>43130</v>
      </c>
      <c r="F995" s="92" t="s">
        <v>28</v>
      </c>
      <c r="G995" s="32">
        <v>43132</v>
      </c>
      <c r="H995" s="27">
        <f>D995</f>
        <v>19968</v>
      </c>
      <c r="I995" s="27"/>
      <c r="J995" s="27"/>
      <c r="K995" s="99"/>
      <c r="L995" s="27">
        <v>14509</v>
      </c>
      <c r="M995" s="29">
        <f t="shared" si="111"/>
        <v>5459</v>
      </c>
      <c r="N995" s="29"/>
      <c r="O995" s="44">
        <f t="shared" si="112"/>
        <v>0.27338741987179488</v>
      </c>
    </row>
    <row r="996" spans="1:15" ht="20.100000000000001" customHeight="1" x14ac:dyDescent="0.25">
      <c r="A996" s="89">
        <v>67</v>
      </c>
      <c r="B996" s="4">
        <v>43130</v>
      </c>
      <c r="C996" s="26" t="s">
        <v>236</v>
      </c>
      <c r="D996" s="3">
        <v>5643</v>
      </c>
      <c r="E996" s="92">
        <v>43130</v>
      </c>
      <c r="F996" s="92" t="s">
        <v>28</v>
      </c>
      <c r="G996" s="32">
        <v>43152</v>
      </c>
      <c r="H996" s="27">
        <f>D996</f>
        <v>5643</v>
      </c>
      <c r="I996" s="27"/>
      <c r="J996" s="27"/>
      <c r="K996" s="99"/>
      <c r="L996" s="27">
        <v>4402</v>
      </c>
      <c r="M996" s="29">
        <f t="shared" si="111"/>
        <v>1241</v>
      </c>
      <c r="N996" s="29"/>
      <c r="O996" s="44">
        <f t="shared" si="112"/>
        <v>0.21991848307637782</v>
      </c>
    </row>
    <row r="997" spans="1:15" ht="20.100000000000001" customHeight="1" x14ac:dyDescent="0.25">
      <c r="A997" s="89">
        <v>887</v>
      </c>
      <c r="B997" s="4">
        <v>43077</v>
      </c>
      <c r="C997" s="26" t="s">
        <v>38</v>
      </c>
      <c r="D997" s="3">
        <v>134299</v>
      </c>
      <c r="E997" s="92">
        <v>43131</v>
      </c>
      <c r="F997" s="92" t="s">
        <v>28</v>
      </c>
      <c r="G997" s="32">
        <v>43094</v>
      </c>
      <c r="H997" s="27">
        <f>D997</f>
        <v>134299</v>
      </c>
      <c r="I997" s="27"/>
      <c r="J997" s="27"/>
      <c r="K997" s="99"/>
      <c r="L997" s="27">
        <v>101530</v>
      </c>
      <c r="M997" s="29">
        <f t="shared" si="111"/>
        <v>32769</v>
      </c>
      <c r="N997" s="29"/>
      <c r="O997" s="44">
        <f t="shared" si="112"/>
        <v>0.24400032762716029</v>
      </c>
    </row>
    <row r="998" spans="1:15" ht="19.5" customHeight="1" x14ac:dyDescent="0.25">
      <c r="A998" s="89"/>
      <c r="B998" s="4"/>
      <c r="C998" s="5"/>
      <c r="D998" s="3"/>
      <c r="E998" s="97">
        <v>23800</v>
      </c>
      <c r="F998" s="98">
        <f>M998*0.12+N998*0.06</f>
        <v>23959.826399999998</v>
      </c>
      <c r="G998" s="21">
        <f>H998*0.02+I998*0.02</f>
        <v>17168.97</v>
      </c>
      <c r="H998" s="16">
        <f t="shared" ref="H998:N998" si="114">SUM(H977:H997)</f>
        <v>722919.5</v>
      </c>
      <c r="I998" s="16">
        <f t="shared" si="114"/>
        <v>135529</v>
      </c>
      <c r="J998" s="16">
        <f t="shared" si="114"/>
        <v>0</v>
      </c>
      <c r="K998" s="16">
        <f t="shared" si="114"/>
        <v>600</v>
      </c>
      <c r="L998" s="16">
        <f t="shared" si="114"/>
        <v>542868.28</v>
      </c>
      <c r="M998" s="16">
        <f t="shared" si="114"/>
        <v>179451.22</v>
      </c>
      <c r="N998" s="16">
        <f t="shared" si="114"/>
        <v>40428</v>
      </c>
      <c r="O998" s="44">
        <f t="shared" si="112"/>
        <v>0.2482312622636407</v>
      </c>
    </row>
    <row r="999" spans="1:15" ht="23.25" x14ac:dyDescent="0.35">
      <c r="C999" s="94" t="s">
        <v>648</v>
      </c>
    </row>
    <row r="1000" spans="1:15" ht="20.100000000000001" customHeight="1" x14ac:dyDescent="0.25">
      <c r="A1000" s="89">
        <v>80</v>
      </c>
      <c r="B1000" s="4">
        <v>43132</v>
      </c>
      <c r="C1000" s="26" t="s">
        <v>314</v>
      </c>
      <c r="D1000" s="3">
        <v>12000</v>
      </c>
      <c r="E1000" s="92">
        <v>43132</v>
      </c>
      <c r="F1000" s="92" t="s">
        <v>28</v>
      </c>
      <c r="G1000" s="32">
        <v>43133</v>
      </c>
      <c r="H1000" s="27">
        <f t="shared" ref="H1000:H1028" si="115">D1000</f>
        <v>12000</v>
      </c>
      <c r="I1000" s="27"/>
      <c r="J1000" s="27"/>
      <c r="K1000" s="99">
        <f>600*3</f>
        <v>1800</v>
      </c>
      <c r="L1000" s="27">
        <v>3921</v>
      </c>
      <c r="M1000" s="29">
        <f t="shared" ref="M1000:M1028" si="116">H1000-L1000-J1000-K1000</f>
        <v>6279</v>
      </c>
      <c r="N1000" s="29"/>
      <c r="O1000" s="44">
        <f t="shared" ref="O1000:O1029" si="117">M1000/H1000</f>
        <v>0.52324999999999999</v>
      </c>
    </row>
    <row r="1001" spans="1:15" ht="20.100000000000001" customHeight="1" x14ac:dyDescent="0.25">
      <c r="A1001" s="89">
        <v>7</v>
      </c>
      <c r="B1001" s="4">
        <v>43115</v>
      </c>
      <c r="C1001" s="26" t="s">
        <v>56</v>
      </c>
      <c r="D1001" s="3">
        <v>8848</v>
      </c>
      <c r="E1001" s="92">
        <v>43136</v>
      </c>
      <c r="F1001" s="92" t="s">
        <v>28</v>
      </c>
      <c r="G1001" s="32">
        <v>43123</v>
      </c>
      <c r="H1001" s="27">
        <f t="shared" si="115"/>
        <v>8848</v>
      </c>
      <c r="I1001" s="27"/>
      <c r="J1001" s="27"/>
      <c r="K1001" s="99"/>
      <c r="L1001" s="27">
        <v>6902</v>
      </c>
      <c r="M1001" s="29">
        <f t="shared" si="116"/>
        <v>1946</v>
      </c>
      <c r="N1001" s="29"/>
      <c r="O1001" s="44">
        <f t="shared" si="117"/>
        <v>0.2199367088607595</v>
      </c>
    </row>
    <row r="1002" spans="1:15" ht="20.100000000000001" customHeight="1" x14ac:dyDescent="0.25">
      <c r="A1002" s="89">
        <v>89</v>
      </c>
      <c r="B1002" s="4">
        <v>43136</v>
      </c>
      <c r="C1002" s="26" t="s">
        <v>216</v>
      </c>
      <c r="D1002" s="3">
        <v>112.2</v>
      </c>
      <c r="E1002" s="92">
        <v>43138</v>
      </c>
      <c r="F1002" s="92" t="s">
        <v>28</v>
      </c>
      <c r="G1002" s="32">
        <v>43206</v>
      </c>
      <c r="H1002" s="27">
        <f t="shared" si="115"/>
        <v>112.2</v>
      </c>
      <c r="I1002" s="27"/>
      <c r="J1002" s="27"/>
      <c r="K1002" s="99"/>
      <c r="L1002" s="27">
        <v>88</v>
      </c>
      <c r="M1002" s="29">
        <f t="shared" si="116"/>
        <v>24.200000000000003</v>
      </c>
      <c r="N1002" s="29"/>
      <c r="O1002" s="44">
        <f t="shared" si="117"/>
        <v>0.21568627450980393</v>
      </c>
    </row>
    <row r="1003" spans="1:15" ht="20.100000000000001" customHeight="1" x14ac:dyDescent="0.25">
      <c r="A1003" s="89">
        <v>77</v>
      </c>
      <c r="B1003" s="4">
        <v>43131</v>
      </c>
      <c r="C1003" s="26" t="s">
        <v>66</v>
      </c>
      <c r="D1003" s="3">
        <v>3890</v>
      </c>
      <c r="E1003" s="92">
        <v>43139</v>
      </c>
      <c r="F1003" s="92" t="s">
        <v>28</v>
      </c>
      <c r="G1003" s="32">
        <v>43186</v>
      </c>
      <c r="H1003" s="27">
        <f t="shared" si="115"/>
        <v>3890</v>
      </c>
      <c r="I1003" s="27"/>
      <c r="J1003" s="27"/>
      <c r="K1003" s="99"/>
      <c r="L1003" s="27">
        <v>2859</v>
      </c>
      <c r="M1003" s="29">
        <f t="shared" si="116"/>
        <v>1031</v>
      </c>
      <c r="N1003" s="29"/>
      <c r="O1003" s="44">
        <f t="shared" si="117"/>
        <v>0.26503856041131107</v>
      </c>
    </row>
    <row r="1004" spans="1:15" ht="20.100000000000001" customHeight="1" x14ac:dyDescent="0.25">
      <c r="A1004" s="89">
        <v>21</v>
      </c>
      <c r="B1004" s="4">
        <v>43112</v>
      </c>
      <c r="C1004" s="5" t="s">
        <v>311</v>
      </c>
      <c r="D1004" s="3">
        <v>23106</v>
      </c>
      <c r="E1004" s="92">
        <v>43140</v>
      </c>
      <c r="F1004" s="92" t="s">
        <v>28</v>
      </c>
      <c r="G1004" s="32">
        <v>43129</v>
      </c>
      <c r="H1004" s="27">
        <f t="shared" si="115"/>
        <v>23106</v>
      </c>
      <c r="I1004" s="27">
        <f>H1004</f>
        <v>23106</v>
      </c>
      <c r="J1004" s="27"/>
      <c r="K1004" s="99"/>
      <c r="L1004" s="27">
        <v>18364</v>
      </c>
      <c r="M1004" s="29">
        <f t="shared" si="116"/>
        <v>4742</v>
      </c>
      <c r="N1004" s="29">
        <f>M1004</f>
        <v>4742</v>
      </c>
      <c r="O1004" s="44">
        <f t="shared" si="117"/>
        <v>0.20522807928676534</v>
      </c>
    </row>
    <row r="1005" spans="1:15" ht="20.100000000000001" customHeight="1" x14ac:dyDescent="0.25">
      <c r="A1005" s="89">
        <v>109</v>
      </c>
      <c r="B1005" s="4">
        <v>43143</v>
      </c>
      <c r="C1005" s="26" t="s">
        <v>118</v>
      </c>
      <c r="D1005" s="3">
        <v>3170.5</v>
      </c>
      <c r="E1005" s="92">
        <v>43143</v>
      </c>
      <c r="F1005" s="92" t="s">
        <v>28</v>
      </c>
      <c r="G1005" s="32">
        <v>43144</v>
      </c>
      <c r="H1005" s="27">
        <f t="shared" si="115"/>
        <v>3170.5</v>
      </c>
      <c r="I1005" s="27"/>
      <c r="J1005" s="27"/>
      <c r="K1005" s="99"/>
      <c r="L1005" s="27">
        <v>2872</v>
      </c>
      <c r="M1005" s="29">
        <f t="shared" si="116"/>
        <v>298.5</v>
      </c>
      <c r="N1005" s="29"/>
      <c r="O1005" s="44">
        <f t="shared" si="117"/>
        <v>9.4149187825264158E-2</v>
      </c>
    </row>
    <row r="1006" spans="1:15" ht="20.100000000000001" customHeight="1" x14ac:dyDescent="0.25">
      <c r="A1006" s="89">
        <v>106</v>
      </c>
      <c r="B1006" s="4">
        <v>43143</v>
      </c>
      <c r="C1006" s="26" t="s">
        <v>220</v>
      </c>
      <c r="D1006" s="3">
        <v>2072</v>
      </c>
      <c r="E1006" s="92">
        <v>43143</v>
      </c>
      <c r="F1006" s="92" t="s">
        <v>28</v>
      </c>
      <c r="G1006" s="32">
        <v>43186</v>
      </c>
      <c r="H1006" s="27">
        <f t="shared" si="115"/>
        <v>2072</v>
      </c>
      <c r="I1006" s="27"/>
      <c r="J1006" s="27"/>
      <c r="K1006" s="99"/>
      <c r="L1006" s="27">
        <v>1596</v>
      </c>
      <c r="M1006" s="29">
        <f t="shared" si="116"/>
        <v>476</v>
      </c>
      <c r="N1006" s="29"/>
      <c r="O1006" s="44">
        <f t="shared" si="117"/>
        <v>0.22972972972972974</v>
      </c>
    </row>
    <row r="1007" spans="1:15" ht="20.100000000000001" customHeight="1" x14ac:dyDescent="0.25">
      <c r="A1007" s="89">
        <v>93</v>
      </c>
      <c r="B1007" s="4">
        <v>43138</v>
      </c>
      <c r="C1007" s="5" t="s">
        <v>306</v>
      </c>
      <c r="D1007" s="3">
        <v>5513</v>
      </c>
      <c r="E1007" s="92">
        <v>43144</v>
      </c>
      <c r="F1007" s="92" t="s">
        <v>28</v>
      </c>
      <c r="G1007" s="32">
        <v>43138</v>
      </c>
      <c r="H1007" s="27">
        <f t="shared" si="115"/>
        <v>5513</v>
      </c>
      <c r="I1007" s="27">
        <f>H1007</f>
        <v>5513</v>
      </c>
      <c r="J1007" s="27"/>
      <c r="K1007" s="99"/>
      <c r="L1007" s="27">
        <v>3133</v>
      </c>
      <c r="M1007" s="29">
        <f t="shared" si="116"/>
        <v>2380</v>
      </c>
      <c r="N1007" s="29">
        <f>M1007</f>
        <v>2380</v>
      </c>
      <c r="O1007" s="44">
        <f t="shared" si="117"/>
        <v>0.43170687465989477</v>
      </c>
    </row>
    <row r="1008" spans="1:15" ht="20.100000000000001" customHeight="1" x14ac:dyDescent="0.25">
      <c r="A1008" s="89">
        <v>17</v>
      </c>
      <c r="B1008" s="4">
        <v>43112</v>
      </c>
      <c r="C1008" s="26" t="s">
        <v>60</v>
      </c>
      <c r="D1008" s="3">
        <v>4440</v>
      </c>
      <c r="E1008" s="92">
        <v>43144</v>
      </c>
      <c r="F1008" s="92" t="s">
        <v>28</v>
      </c>
      <c r="G1008" s="32">
        <v>43131</v>
      </c>
      <c r="H1008" s="27">
        <f t="shared" si="115"/>
        <v>4440</v>
      </c>
      <c r="I1008" s="27"/>
      <c r="J1008" s="27"/>
      <c r="K1008" s="99"/>
      <c r="L1008" s="27">
        <v>2930</v>
      </c>
      <c r="M1008" s="29">
        <f t="shared" si="116"/>
        <v>1510</v>
      </c>
      <c r="N1008" s="29"/>
      <c r="O1008" s="44">
        <f t="shared" si="117"/>
        <v>0.34009009009009011</v>
      </c>
    </row>
    <row r="1009" spans="1:15" ht="20.100000000000001" customHeight="1" x14ac:dyDescent="0.25">
      <c r="A1009" s="89">
        <v>83</v>
      </c>
      <c r="B1009" s="4">
        <v>43145</v>
      </c>
      <c r="C1009" s="5" t="s">
        <v>315</v>
      </c>
      <c r="D1009" s="3">
        <v>11035</v>
      </c>
      <c r="E1009" s="92">
        <v>43145</v>
      </c>
      <c r="F1009" s="92" t="s">
        <v>28</v>
      </c>
      <c r="G1009" s="32">
        <v>43147</v>
      </c>
      <c r="H1009" s="27">
        <f t="shared" si="115"/>
        <v>11035</v>
      </c>
      <c r="I1009" s="27">
        <f>H1009</f>
        <v>11035</v>
      </c>
      <c r="J1009" s="27"/>
      <c r="K1009" s="99"/>
      <c r="L1009" s="27">
        <v>7504</v>
      </c>
      <c r="M1009" s="29">
        <f t="shared" si="116"/>
        <v>3531</v>
      </c>
      <c r="N1009" s="29">
        <f>M1009</f>
        <v>3531</v>
      </c>
      <c r="O1009" s="44">
        <f t="shared" si="117"/>
        <v>0.31998187584956955</v>
      </c>
    </row>
    <row r="1010" spans="1:15" ht="20.100000000000001" customHeight="1" x14ac:dyDescent="0.25">
      <c r="A1010" s="89">
        <v>87</v>
      </c>
      <c r="B1010" s="4">
        <v>43136</v>
      </c>
      <c r="C1010" s="26" t="s">
        <v>65</v>
      </c>
      <c r="D1010" s="3">
        <v>4900</v>
      </c>
      <c r="E1010" s="92">
        <v>43146</v>
      </c>
      <c r="F1010" s="92" t="s">
        <v>28</v>
      </c>
      <c r="G1010" s="32">
        <v>43151</v>
      </c>
      <c r="H1010" s="27">
        <f t="shared" si="115"/>
        <v>4900</v>
      </c>
      <c r="I1010" s="27"/>
      <c r="J1010" s="27"/>
      <c r="K1010" s="99"/>
      <c r="L1010" s="27">
        <v>4364</v>
      </c>
      <c r="M1010" s="29">
        <f t="shared" si="116"/>
        <v>536</v>
      </c>
      <c r="N1010" s="29"/>
      <c r="O1010" s="44">
        <f t="shared" si="117"/>
        <v>0.10938775510204081</v>
      </c>
    </row>
    <row r="1011" spans="1:15" ht="20.100000000000001" customHeight="1" x14ac:dyDescent="0.25">
      <c r="A1011" s="89">
        <v>94</v>
      </c>
      <c r="B1011" s="4">
        <v>43137</v>
      </c>
      <c r="C1011" s="26" t="s">
        <v>65</v>
      </c>
      <c r="D1011" s="3">
        <v>2450</v>
      </c>
      <c r="E1011" s="92">
        <v>43146</v>
      </c>
      <c r="F1011" s="92" t="s">
        <v>28</v>
      </c>
      <c r="G1011" s="32">
        <v>43151</v>
      </c>
      <c r="H1011" s="27">
        <f t="shared" si="115"/>
        <v>2450</v>
      </c>
      <c r="I1011" s="27"/>
      <c r="J1011" s="27"/>
      <c r="K1011" s="99"/>
      <c r="L1011" s="27">
        <v>2182</v>
      </c>
      <c r="M1011" s="29">
        <f t="shared" si="116"/>
        <v>268</v>
      </c>
      <c r="N1011" s="29"/>
      <c r="O1011" s="44">
        <f t="shared" si="117"/>
        <v>0.10938775510204081</v>
      </c>
    </row>
    <row r="1012" spans="1:15" ht="20.100000000000001" customHeight="1" x14ac:dyDescent="0.25">
      <c r="A1012" s="89">
        <v>81</v>
      </c>
      <c r="B1012" s="4">
        <v>43132</v>
      </c>
      <c r="C1012" s="26" t="s">
        <v>66</v>
      </c>
      <c r="D1012" s="3">
        <v>12340</v>
      </c>
      <c r="E1012" s="92">
        <v>43147</v>
      </c>
      <c r="F1012" s="92" t="s">
        <v>28</v>
      </c>
      <c r="G1012" s="32">
        <v>43150</v>
      </c>
      <c r="H1012" s="27">
        <f t="shared" si="115"/>
        <v>12340</v>
      </c>
      <c r="I1012" s="27"/>
      <c r="J1012" s="27"/>
      <c r="K1012" s="99"/>
      <c r="L1012" s="27">
        <v>8650</v>
      </c>
      <c r="M1012" s="29">
        <f t="shared" si="116"/>
        <v>3690</v>
      </c>
      <c r="N1012" s="29"/>
      <c r="O1012" s="44">
        <f t="shared" si="117"/>
        <v>0.29902755267423015</v>
      </c>
    </row>
    <row r="1013" spans="1:15" ht="20.100000000000001" customHeight="1" x14ac:dyDescent="0.25">
      <c r="A1013" s="89">
        <v>114</v>
      </c>
      <c r="B1013" s="4">
        <v>43144</v>
      </c>
      <c r="C1013" s="26" t="s">
        <v>109</v>
      </c>
      <c r="D1013" s="3">
        <v>4900</v>
      </c>
      <c r="E1013" s="92">
        <v>43150</v>
      </c>
      <c r="F1013" s="92" t="s">
        <v>28</v>
      </c>
      <c r="G1013" s="32">
        <v>43144</v>
      </c>
      <c r="H1013" s="27">
        <f t="shared" si="115"/>
        <v>4900</v>
      </c>
      <c r="I1013" s="27"/>
      <c r="J1013" s="27"/>
      <c r="K1013" s="99"/>
      <c r="L1013" s="27">
        <v>4364</v>
      </c>
      <c r="M1013" s="29">
        <f t="shared" si="116"/>
        <v>536</v>
      </c>
      <c r="N1013" s="29"/>
      <c r="O1013" s="44">
        <f t="shared" si="117"/>
        <v>0.10938775510204081</v>
      </c>
    </row>
    <row r="1014" spans="1:15" ht="20.100000000000001" customHeight="1" x14ac:dyDescent="0.25">
      <c r="A1014" s="89">
        <v>1116</v>
      </c>
      <c r="B1014" s="4">
        <v>43096</v>
      </c>
      <c r="C1014" s="5" t="s">
        <v>310</v>
      </c>
      <c r="D1014" s="3">
        <v>10000</v>
      </c>
      <c r="E1014" s="92">
        <v>43150</v>
      </c>
      <c r="F1014" s="92" t="s">
        <v>28</v>
      </c>
      <c r="G1014" s="32">
        <v>43098</v>
      </c>
      <c r="H1014" s="27">
        <f t="shared" si="115"/>
        <v>10000</v>
      </c>
      <c r="I1014" s="27">
        <f>H1014</f>
        <v>10000</v>
      </c>
      <c r="J1014" s="27"/>
      <c r="K1014" s="99"/>
      <c r="L1014" s="27">
        <v>2287</v>
      </c>
      <c r="M1014" s="29">
        <f t="shared" si="116"/>
        <v>7713</v>
      </c>
      <c r="N1014" s="29">
        <f>M1014</f>
        <v>7713</v>
      </c>
      <c r="O1014" s="44">
        <f t="shared" si="117"/>
        <v>0.77129999999999999</v>
      </c>
    </row>
    <row r="1015" spans="1:15" ht="20.100000000000001" customHeight="1" x14ac:dyDescent="0.25">
      <c r="A1015" s="89">
        <v>100</v>
      </c>
      <c r="B1015" s="4">
        <v>43140</v>
      </c>
      <c r="C1015" s="26" t="s">
        <v>175</v>
      </c>
      <c r="D1015" s="3">
        <v>16780.8</v>
      </c>
      <c r="E1015" s="92">
        <v>43150</v>
      </c>
      <c r="F1015" s="92" t="s">
        <v>28</v>
      </c>
      <c r="G1015" s="32">
        <v>43186</v>
      </c>
      <c r="H1015" s="27">
        <f t="shared" si="115"/>
        <v>16780.8</v>
      </c>
      <c r="I1015" s="27"/>
      <c r="J1015" s="27"/>
      <c r="K1015" s="99"/>
      <c r="L1015" s="27">
        <v>13584</v>
      </c>
      <c r="M1015" s="29">
        <f t="shared" si="116"/>
        <v>3196.7999999999993</v>
      </c>
      <c r="N1015" s="29"/>
      <c r="O1015" s="44">
        <f t="shared" si="117"/>
        <v>0.19050343249427915</v>
      </c>
    </row>
    <row r="1016" spans="1:15" ht="20.100000000000001" customHeight="1" x14ac:dyDescent="0.25">
      <c r="A1016" s="89">
        <v>99</v>
      </c>
      <c r="B1016" s="4">
        <v>43140</v>
      </c>
      <c r="C1016" s="26" t="s">
        <v>175</v>
      </c>
      <c r="D1016" s="3">
        <v>19984.2</v>
      </c>
      <c r="E1016" s="92">
        <v>43152</v>
      </c>
      <c r="F1016" s="92" t="s">
        <v>28</v>
      </c>
      <c r="G1016" s="32">
        <v>43153</v>
      </c>
      <c r="H1016" s="27">
        <f t="shared" si="115"/>
        <v>19984.2</v>
      </c>
      <c r="I1016" s="27"/>
      <c r="J1016" s="27"/>
      <c r="K1016" s="99"/>
      <c r="L1016" s="27">
        <v>13476</v>
      </c>
      <c r="M1016" s="29">
        <f t="shared" si="116"/>
        <v>6508.2000000000007</v>
      </c>
      <c r="N1016" s="29"/>
      <c r="O1016" s="44">
        <f t="shared" si="117"/>
        <v>0.32566727714894772</v>
      </c>
    </row>
    <row r="1017" spans="1:15" ht="20.100000000000001" customHeight="1" x14ac:dyDescent="0.25">
      <c r="A1017" s="89">
        <v>63</v>
      </c>
      <c r="B1017" s="4">
        <v>43129</v>
      </c>
      <c r="C1017" s="26" t="s">
        <v>248</v>
      </c>
      <c r="D1017" s="3">
        <v>10032</v>
      </c>
      <c r="E1017" s="92">
        <v>43152</v>
      </c>
      <c r="F1017" s="92" t="s">
        <v>28</v>
      </c>
      <c r="G1017" s="32">
        <v>43129</v>
      </c>
      <c r="H1017" s="27">
        <f t="shared" si="115"/>
        <v>10032</v>
      </c>
      <c r="I1017" s="27"/>
      <c r="J1017" s="27"/>
      <c r="K1017" s="99"/>
      <c r="L1017" s="27">
        <v>7769</v>
      </c>
      <c r="M1017" s="29">
        <f t="shared" si="116"/>
        <v>2263</v>
      </c>
      <c r="N1017" s="29"/>
      <c r="O1017" s="44">
        <f t="shared" si="117"/>
        <v>0.22557814992025518</v>
      </c>
    </row>
    <row r="1018" spans="1:15" ht="20.100000000000001" customHeight="1" x14ac:dyDescent="0.25">
      <c r="A1018" s="89">
        <v>122</v>
      </c>
      <c r="B1018" s="4">
        <v>43147</v>
      </c>
      <c r="C1018" s="26" t="s">
        <v>275</v>
      </c>
      <c r="D1018" s="3">
        <v>6881</v>
      </c>
      <c r="E1018" s="92">
        <v>43152</v>
      </c>
      <c r="F1018" s="92" t="s">
        <v>28</v>
      </c>
      <c r="G1018" s="32">
        <v>43165</v>
      </c>
      <c r="H1018" s="27">
        <f t="shared" si="115"/>
        <v>6881</v>
      </c>
      <c r="I1018" s="27"/>
      <c r="J1018" s="27"/>
      <c r="K1018" s="99"/>
      <c r="L1018" s="27">
        <v>4984</v>
      </c>
      <c r="M1018" s="29">
        <f t="shared" si="116"/>
        <v>1897</v>
      </c>
      <c r="N1018" s="29"/>
      <c r="O1018" s="44">
        <f t="shared" si="117"/>
        <v>0.27568667344862663</v>
      </c>
    </row>
    <row r="1019" spans="1:15" ht="20.100000000000001" customHeight="1" x14ac:dyDescent="0.25">
      <c r="A1019" s="89">
        <v>125</v>
      </c>
      <c r="B1019" s="4">
        <v>43150</v>
      </c>
      <c r="C1019" s="26" t="s">
        <v>139</v>
      </c>
      <c r="D1019" s="3">
        <v>18532</v>
      </c>
      <c r="E1019" s="92">
        <v>43152</v>
      </c>
      <c r="F1019" s="92" t="s">
        <v>28</v>
      </c>
      <c r="G1019" s="32">
        <v>43187</v>
      </c>
      <c r="H1019" s="27">
        <f t="shared" si="115"/>
        <v>18532</v>
      </c>
      <c r="I1019" s="27"/>
      <c r="J1019" s="27"/>
      <c r="K1019" s="99"/>
      <c r="L1019" s="27">
        <v>13778</v>
      </c>
      <c r="M1019" s="29">
        <f t="shared" si="116"/>
        <v>4754</v>
      </c>
      <c r="N1019" s="29"/>
      <c r="O1019" s="44">
        <f t="shared" si="117"/>
        <v>0.25652924670839627</v>
      </c>
    </row>
    <row r="1020" spans="1:15" ht="20.100000000000001" customHeight="1" x14ac:dyDescent="0.25">
      <c r="A1020" s="89">
        <v>132</v>
      </c>
      <c r="B1020" s="4">
        <v>43152</v>
      </c>
      <c r="C1020" s="26" t="s">
        <v>16</v>
      </c>
      <c r="D1020" s="3">
        <v>2728</v>
      </c>
      <c r="E1020" s="92">
        <v>43152</v>
      </c>
      <c r="F1020" s="92" t="s">
        <v>28</v>
      </c>
      <c r="G1020" s="32">
        <v>43158</v>
      </c>
      <c r="H1020" s="27">
        <f t="shared" si="115"/>
        <v>2728</v>
      </c>
      <c r="I1020" s="27"/>
      <c r="J1020" s="27"/>
      <c r="K1020" s="99"/>
      <c r="L1020" s="27">
        <v>1678</v>
      </c>
      <c r="M1020" s="29">
        <f t="shared" si="116"/>
        <v>1050</v>
      </c>
      <c r="N1020" s="29"/>
      <c r="O1020" s="44">
        <f t="shared" si="117"/>
        <v>0.38489736070381231</v>
      </c>
    </row>
    <row r="1021" spans="1:15" ht="20.100000000000001" customHeight="1" x14ac:dyDescent="0.25">
      <c r="A1021" s="89">
        <v>129</v>
      </c>
      <c r="B1021" s="4">
        <v>43151</v>
      </c>
      <c r="C1021" s="26" t="s">
        <v>287</v>
      </c>
      <c r="D1021" s="3">
        <v>3209</v>
      </c>
      <c r="E1021" s="92">
        <v>43152</v>
      </c>
      <c r="F1021" s="92" t="s">
        <v>28</v>
      </c>
      <c r="G1021" s="32">
        <v>43186</v>
      </c>
      <c r="H1021" s="27">
        <f t="shared" si="115"/>
        <v>3209</v>
      </c>
      <c r="I1021" s="27"/>
      <c r="J1021" s="27"/>
      <c r="K1021" s="99"/>
      <c r="L1021" s="27">
        <v>2503</v>
      </c>
      <c r="M1021" s="29">
        <f t="shared" si="116"/>
        <v>706</v>
      </c>
      <c r="N1021" s="29"/>
      <c r="O1021" s="44">
        <f t="shared" si="117"/>
        <v>0.22000623247117482</v>
      </c>
    </row>
    <row r="1022" spans="1:15" ht="20.100000000000001" customHeight="1" x14ac:dyDescent="0.25">
      <c r="A1022" s="89">
        <v>101</v>
      </c>
      <c r="B1022" s="4">
        <v>43140</v>
      </c>
      <c r="C1022" s="26" t="s">
        <v>175</v>
      </c>
      <c r="D1022" s="3">
        <v>29117.5</v>
      </c>
      <c r="E1022" s="92">
        <v>43153</v>
      </c>
      <c r="F1022" s="92" t="s">
        <v>28</v>
      </c>
      <c r="G1022" s="32">
        <v>43186</v>
      </c>
      <c r="H1022" s="27">
        <f t="shared" si="115"/>
        <v>29117.5</v>
      </c>
      <c r="I1022" s="27"/>
      <c r="J1022" s="27"/>
      <c r="K1022" s="99"/>
      <c r="L1022" s="27">
        <v>23816</v>
      </c>
      <c r="M1022" s="29">
        <f t="shared" si="116"/>
        <v>5301.5</v>
      </c>
      <c r="N1022" s="29"/>
      <c r="O1022" s="44">
        <f t="shared" si="117"/>
        <v>0.18207263673048854</v>
      </c>
    </row>
    <row r="1023" spans="1:15" ht="20.100000000000001" customHeight="1" x14ac:dyDescent="0.25">
      <c r="A1023" s="89">
        <v>131</v>
      </c>
      <c r="B1023" s="4">
        <v>43152</v>
      </c>
      <c r="C1023" s="26" t="s">
        <v>177</v>
      </c>
      <c r="D1023" s="3">
        <v>4090</v>
      </c>
      <c r="E1023" s="92">
        <v>43153</v>
      </c>
      <c r="F1023" s="92" t="s">
        <v>28</v>
      </c>
      <c r="G1023" s="32">
        <v>43158</v>
      </c>
      <c r="H1023" s="27">
        <f t="shared" si="115"/>
        <v>4090</v>
      </c>
      <c r="I1023" s="27"/>
      <c r="J1023" s="27"/>
      <c r="K1023" s="99"/>
      <c r="L1023" s="27">
        <v>2808</v>
      </c>
      <c r="M1023" s="29">
        <f t="shared" si="116"/>
        <v>1282</v>
      </c>
      <c r="N1023" s="29"/>
      <c r="O1023" s="44">
        <f t="shared" si="117"/>
        <v>0.31344743276283621</v>
      </c>
    </row>
    <row r="1024" spans="1:15" ht="20.100000000000001" customHeight="1" x14ac:dyDescent="0.25">
      <c r="A1024" s="89">
        <v>120</v>
      </c>
      <c r="B1024" s="4">
        <v>43147</v>
      </c>
      <c r="C1024" s="26" t="s">
        <v>65</v>
      </c>
      <c r="D1024" s="3">
        <v>65650</v>
      </c>
      <c r="E1024" s="92">
        <v>43153</v>
      </c>
      <c r="F1024" s="92" t="s">
        <v>28</v>
      </c>
      <c r="G1024" s="32">
        <v>43186</v>
      </c>
      <c r="H1024" s="27">
        <f t="shared" si="115"/>
        <v>65650</v>
      </c>
      <c r="I1024" s="27"/>
      <c r="J1024" s="27"/>
      <c r="K1024" s="99">
        <v>15600</v>
      </c>
      <c r="L1024" s="27">
        <v>22724</v>
      </c>
      <c r="M1024" s="29">
        <f t="shared" si="116"/>
        <v>27326</v>
      </c>
      <c r="N1024" s="29"/>
      <c r="O1024" s="44">
        <f t="shared" si="117"/>
        <v>0.41623762376237622</v>
      </c>
    </row>
    <row r="1025" spans="1:15" ht="20.100000000000001" customHeight="1" x14ac:dyDescent="0.25">
      <c r="A1025" s="89">
        <v>124</v>
      </c>
      <c r="B1025" s="4">
        <v>43150</v>
      </c>
      <c r="C1025" s="26" t="s">
        <v>284</v>
      </c>
      <c r="D1025" s="3">
        <v>5650</v>
      </c>
      <c r="E1025" s="92">
        <v>43153</v>
      </c>
      <c r="F1025" s="92" t="s">
        <v>28</v>
      </c>
      <c r="G1025" s="32">
        <v>43165</v>
      </c>
      <c r="H1025" s="27">
        <f t="shared" si="115"/>
        <v>5650</v>
      </c>
      <c r="I1025" s="27"/>
      <c r="J1025" s="27"/>
      <c r="K1025" s="99"/>
      <c r="L1025" s="27">
        <v>3630</v>
      </c>
      <c r="M1025" s="29">
        <f t="shared" si="116"/>
        <v>2020</v>
      </c>
      <c r="N1025" s="29"/>
      <c r="O1025" s="44">
        <f t="shared" si="117"/>
        <v>0.35752212389380533</v>
      </c>
    </row>
    <row r="1026" spans="1:15" ht="20.100000000000001" customHeight="1" x14ac:dyDescent="0.25">
      <c r="A1026" s="89">
        <v>119</v>
      </c>
      <c r="B1026" s="4">
        <v>43147</v>
      </c>
      <c r="C1026" s="26" t="s">
        <v>11</v>
      </c>
      <c r="D1026" s="3">
        <v>4847</v>
      </c>
      <c r="E1026" s="92">
        <v>43157</v>
      </c>
      <c r="F1026" s="92" t="s">
        <v>28</v>
      </c>
      <c r="G1026" s="32">
        <v>43160</v>
      </c>
      <c r="H1026" s="27">
        <f t="shared" si="115"/>
        <v>4847</v>
      </c>
      <c r="I1026" s="27"/>
      <c r="J1026" s="27"/>
      <c r="K1026" s="99"/>
      <c r="L1026" s="27">
        <v>2790</v>
      </c>
      <c r="M1026" s="29">
        <f t="shared" si="116"/>
        <v>2057</v>
      </c>
      <c r="N1026" s="29"/>
      <c r="O1026" s="44">
        <f t="shared" si="117"/>
        <v>0.42438621827934803</v>
      </c>
    </row>
    <row r="1027" spans="1:15" ht="20.100000000000001" customHeight="1" x14ac:dyDescent="0.25">
      <c r="A1027" s="89">
        <v>60</v>
      </c>
      <c r="B1027" s="4">
        <v>43132</v>
      </c>
      <c r="C1027" s="26" t="s">
        <v>56</v>
      </c>
      <c r="D1027" s="3">
        <v>10179</v>
      </c>
      <c r="E1027" s="92">
        <v>43157</v>
      </c>
      <c r="F1027" s="92" t="s">
        <v>28</v>
      </c>
      <c r="G1027" s="32">
        <v>43146</v>
      </c>
      <c r="H1027" s="27">
        <f t="shared" si="115"/>
        <v>10179</v>
      </c>
      <c r="I1027" s="27"/>
      <c r="J1027" s="27"/>
      <c r="K1027" s="99"/>
      <c r="L1027" s="27">
        <v>6926</v>
      </c>
      <c r="M1027" s="29">
        <f t="shared" si="116"/>
        <v>3253</v>
      </c>
      <c r="N1027" s="29"/>
      <c r="O1027" s="44">
        <f t="shared" si="117"/>
        <v>0.31957952647607818</v>
      </c>
    </row>
    <row r="1028" spans="1:15" ht="20.100000000000001" customHeight="1" x14ac:dyDescent="0.25">
      <c r="A1028" s="89">
        <v>133</v>
      </c>
      <c r="B1028" s="4">
        <v>43153</v>
      </c>
      <c r="C1028" s="26" t="s">
        <v>91</v>
      </c>
      <c r="D1028" s="3">
        <v>4750</v>
      </c>
      <c r="E1028" s="92">
        <v>43158</v>
      </c>
      <c r="F1028" s="92" t="s">
        <v>28</v>
      </c>
      <c r="G1028" s="32">
        <v>43161</v>
      </c>
      <c r="H1028" s="27">
        <f t="shared" si="115"/>
        <v>4750</v>
      </c>
      <c r="I1028" s="27"/>
      <c r="J1028" s="27"/>
      <c r="K1028" s="99"/>
      <c r="L1028" s="27">
        <v>3704</v>
      </c>
      <c r="M1028" s="29">
        <f t="shared" si="116"/>
        <v>1046</v>
      </c>
      <c r="N1028" s="29"/>
      <c r="O1028" s="44">
        <f t="shared" si="117"/>
        <v>0.22021052631578947</v>
      </c>
    </row>
    <row r="1029" spans="1:15" ht="19.5" customHeight="1" x14ac:dyDescent="0.25">
      <c r="A1029" s="89"/>
      <c r="B1029" s="4"/>
      <c r="C1029" s="5"/>
      <c r="D1029" s="3"/>
      <c r="E1029" s="97">
        <v>6300</v>
      </c>
      <c r="F1029" s="98">
        <f>M1029*0.05+N1029*0.06</f>
        <v>5983.02</v>
      </c>
      <c r="G1029" s="21">
        <f>H1029*0.02+I1029*0.02</f>
        <v>7217.2240000000002</v>
      </c>
      <c r="H1029" s="16">
        <f t="shared" ref="H1029:N1029" si="118">SUM(H1000:H1028)</f>
        <v>311207.2</v>
      </c>
      <c r="I1029" s="16">
        <f t="shared" si="118"/>
        <v>49654</v>
      </c>
      <c r="J1029" s="16">
        <f t="shared" si="118"/>
        <v>0</v>
      </c>
      <c r="K1029" s="16">
        <f t="shared" si="118"/>
        <v>17400</v>
      </c>
      <c r="L1029" s="16">
        <f t="shared" si="118"/>
        <v>196186</v>
      </c>
      <c r="M1029" s="16">
        <f t="shared" si="118"/>
        <v>97621.2</v>
      </c>
      <c r="N1029" s="16">
        <f t="shared" si="118"/>
        <v>18366</v>
      </c>
      <c r="O1029" s="44">
        <f t="shared" si="117"/>
        <v>0.31368554455038311</v>
      </c>
    </row>
    <row r="1030" spans="1:15" ht="23.25" x14ac:dyDescent="0.35">
      <c r="C1030" s="94" t="s">
        <v>637</v>
      </c>
    </row>
    <row r="1031" spans="1:15" ht="20.100000000000001" customHeight="1" x14ac:dyDescent="0.25">
      <c r="A1031" s="89">
        <v>146</v>
      </c>
      <c r="B1031" s="4">
        <v>43160</v>
      </c>
      <c r="C1031" s="26" t="s">
        <v>281</v>
      </c>
      <c r="D1031" s="3">
        <v>1036</v>
      </c>
      <c r="E1031" s="4">
        <v>43160</v>
      </c>
      <c r="F1031" s="92" t="s">
        <v>28</v>
      </c>
      <c r="G1031" s="32">
        <v>43160</v>
      </c>
      <c r="H1031" s="27">
        <f t="shared" ref="H1031:H1050" si="119">D1031</f>
        <v>1036</v>
      </c>
      <c r="I1031" s="27"/>
      <c r="J1031" s="27"/>
      <c r="K1031" s="99"/>
      <c r="L1031" s="27">
        <v>808</v>
      </c>
      <c r="M1031" s="29">
        <f t="shared" ref="M1031:M1050" si="120">H1031-L1031-J1031-K1031</f>
        <v>228</v>
      </c>
      <c r="N1031" s="29"/>
      <c r="O1031" s="44">
        <f t="shared" ref="O1031:O1051" si="121">M1031/H1031</f>
        <v>0.22007722007722008</v>
      </c>
    </row>
    <row r="1032" spans="1:15" ht="20.100000000000001" customHeight="1" x14ac:dyDescent="0.25">
      <c r="A1032" s="89">
        <v>118</v>
      </c>
      <c r="B1032" s="4">
        <v>43147</v>
      </c>
      <c r="C1032" s="26" t="s">
        <v>60</v>
      </c>
      <c r="D1032" s="3">
        <v>6749</v>
      </c>
      <c r="E1032" s="4">
        <v>43160</v>
      </c>
      <c r="F1032" s="92" t="s">
        <v>28</v>
      </c>
      <c r="G1032" s="32">
        <v>43152</v>
      </c>
      <c r="H1032" s="27">
        <f t="shared" si="119"/>
        <v>6749</v>
      </c>
      <c r="I1032" s="27"/>
      <c r="J1032" s="27"/>
      <c r="K1032" s="99"/>
      <c r="L1032" s="27">
        <v>3452</v>
      </c>
      <c r="M1032" s="29">
        <f t="shared" si="120"/>
        <v>3297</v>
      </c>
      <c r="N1032" s="29"/>
      <c r="O1032" s="44">
        <f t="shared" si="121"/>
        <v>0.48851681730626761</v>
      </c>
    </row>
    <row r="1033" spans="1:15" ht="20.100000000000001" customHeight="1" x14ac:dyDescent="0.25">
      <c r="A1033" s="89">
        <v>130</v>
      </c>
      <c r="B1033" s="4">
        <v>43152</v>
      </c>
      <c r="C1033" s="26" t="s">
        <v>91</v>
      </c>
      <c r="D1033" s="3">
        <v>10502</v>
      </c>
      <c r="E1033" s="4">
        <v>43160</v>
      </c>
      <c r="F1033" s="92" t="s">
        <v>28</v>
      </c>
      <c r="G1033" s="32">
        <v>43161</v>
      </c>
      <c r="H1033" s="27">
        <f t="shared" si="119"/>
        <v>10502</v>
      </c>
      <c r="I1033" s="27"/>
      <c r="J1033" s="27"/>
      <c r="K1033" s="99"/>
      <c r="L1033" s="27">
        <v>5564</v>
      </c>
      <c r="M1033" s="29">
        <f t="shared" si="120"/>
        <v>4938</v>
      </c>
      <c r="N1033" s="29"/>
      <c r="O1033" s="44">
        <f t="shared" si="121"/>
        <v>0.47019615311369262</v>
      </c>
    </row>
    <row r="1034" spans="1:15" ht="20.100000000000001" customHeight="1" x14ac:dyDescent="0.25">
      <c r="A1034" s="89">
        <v>107</v>
      </c>
      <c r="B1034" s="4">
        <v>43143</v>
      </c>
      <c r="C1034" s="26" t="s">
        <v>175</v>
      </c>
      <c r="D1034" s="3">
        <v>44500</v>
      </c>
      <c r="E1034" s="4">
        <v>43161</v>
      </c>
      <c r="F1034" s="92" t="s">
        <v>28</v>
      </c>
      <c r="G1034" s="32">
        <v>43161</v>
      </c>
      <c r="H1034" s="27">
        <f t="shared" si="119"/>
        <v>44500</v>
      </c>
      <c r="I1034" s="27"/>
      <c r="J1034" s="27"/>
      <c r="K1034" s="99">
        <f>600*10</f>
        <v>6000</v>
      </c>
      <c r="L1034" s="27">
        <v>36129</v>
      </c>
      <c r="M1034" s="29">
        <f t="shared" si="120"/>
        <v>2371</v>
      </c>
      <c r="N1034" s="29"/>
      <c r="O1034" s="44">
        <f t="shared" si="121"/>
        <v>5.3280898876404498E-2</v>
      </c>
    </row>
    <row r="1035" spans="1:15" ht="20.100000000000001" customHeight="1" x14ac:dyDescent="0.25">
      <c r="A1035" s="89">
        <v>156</v>
      </c>
      <c r="B1035" s="4">
        <v>43164</v>
      </c>
      <c r="C1035" s="26" t="s">
        <v>144</v>
      </c>
      <c r="D1035" s="3">
        <v>12999</v>
      </c>
      <c r="E1035" s="4">
        <v>43164</v>
      </c>
      <c r="F1035" s="92" t="s">
        <v>28</v>
      </c>
      <c r="G1035" s="32">
        <v>43165</v>
      </c>
      <c r="H1035" s="27">
        <f t="shared" si="119"/>
        <v>12999</v>
      </c>
      <c r="I1035" s="27"/>
      <c r="J1035" s="27"/>
      <c r="K1035" s="99"/>
      <c r="L1035" s="27">
        <v>9554</v>
      </c>
      <c r="M1035" s="29">
        <f t="shared" si="120"/>
        <v>3445</v>
      </c>
      <c r="N1035" s="29"/>
      <c r="O1035" s="44">
        <f t="shared" si="121"/>
        <v>0.26502038618355256</v>
      </c>
    </row>
    <row r="1036" spans="1:15" ht="20.100000000000001" customHeight="1" x14ac:dyDescent="0.25">
      <c r="A1036" s="89">
        <v>153</v>
      </c>
      <c r="B1036" s="4">
        <v>43161</v>
      </c>
      <c r="C1036" s="26" t="s">
        <v>16</v>
      </c>
      <c r="D1036" s="3">
        <v>2565</v>
      </c>
      <c r="E1036" s="4">
        <v>43164</v>
      </c>
      <c r="F1036" s="92" t="s">
        <v>28</v>
      </c>
      <c r="G1036" s="32">
        <v>43166</v>
      </c>
      <c r="H1036" s="27">
        <f t="shared" si="119"/>
        <v>2565</v>
      </c>
      <c r="I1036" s="27"/>
      <c r="J1036" s="27"/>
      <c r="K1036" s="99"/>
      <c r="L1036" s="27">
        <v>2706</v>
      </c>
      <c r="M1036" s="29">
        <f t="shared" si="120"/>
        <v>-141</v>
      </c>
      <c r="N1036" s="29"/>
      <c r="O1036" s="44">
        <f t="shared" si="121"/>
        <v>-5.4970760233918128E-2</v>
      </c>
    </row>
    <row r="1037" spans="1:15" ht="20.100000000000001" customHeight="1" x14ac:dyDescent="0.25">
      <c r="A1037" s="89">
        <v>91</v>
      </c>
      <c r="B1037" s="4">
        <v>43136</v>
      </c>
      <c r="C1037" s="26" t="s">
        <v>101</v>
      </c>
      <c r="D1037" s="3">
        <v>6461</v>
      </c>
      <c r="E1037" s="4">
        <v>43166</v>
      </c>
      <c r="F1037" s="92" t="s">
        <v>28</v>
      </c>
      <c r="G1037" s="32">
        <v>43188</v>
      </c>
      <c r="H1037" s="27">
        <f t="shared" si="119"/>
        <v>6461</v>
      </c>
      <c r="I1037" s="27"/>
      <c r="J1037" s="27"/>
      <c r="K1037" s="99"/>
      <c r="L1037" s="27">
        <v>2558</v>
      </c>
      <c r="M1037" s="29">
        <f t="shared" si="120"/>
        <v>3903</v>
      </c>
      <c r="N1037" s="29"/>
      <c r="O1037" s="44">
        <f t="shared" si="121"/>
        <v>0.6040860547902801</v>
      </c>
    </row>
    <row r="1038" spans="1:15" ht="20.100000000000001" customHeight="1" x14ac:dyDescent="0.25">
      <c r="A1038" s="89">
        <v>152</v>
      </c>
      <c r="B1038" s="4">
        <v>43161</v>
      </c>
      <c r="C1038" s="26" t="s">
        <v>209</v>
      </c>
      <c r="D1038" s="3">
        <v>4515.5</v>
      </c>
      <c r="E1038" s="4">
        <v>43172</v>
      </c>
      <c r="F1038" s="92" t="s">
        <v>28</v>
      </c>
      <c r="G1038" s="32">
        <v>43194</v>
      </c>
      <c r="H1038" s="27">
        <f t="shared" si="119"/>
        <v>4515.5</v>
      </c>
      <c r="I1038" s="27"/>
      <c r="J1038" s="27"/>
      <c r="K1038" s="99"/>
      <c r="L1038" s="27">
        <v>3142</v>
      </c>
      <c r="M1038" s="29">
        <f t="shared" si="120"/>
        <v>1373.5</v>
      </c>
      <c r="N1038" s="29"/>
      <c r="O1038" s="44">
        <f t="shared" si="121"/>
        <v>0.30417451002103862</v>
      </c>
    </row>
    <row r="1039" spans="1:15" ht="20.100000000000001" customHeight="1" x14ac:dyDescent="0.25">
      <c r="A1039" s="89">
        <v>145</v>
      </c>
      <c r="B1039" s="4">
        <v>43159</v>
      </c>
      <c r="C1039" s="26" t="s">
        <v>60</v>
      </c>
      <c r="D1039" s="3">
        <v>9681</v>
      </c>
      <c r="E1039" s="4">
        <v>43174</v>
      </c>
      <c r="F1039" s="92" t="s">
        <v>28</v>
      </c>
      <c r="G1039" s="32">
        <v>43164</v>
      </c>
      <c r="H1039" s="27">
        <f t="shared" si="119"/>
        <v>9681</v>
      </c>
      <c r="I1039" s="27"/>
      <c r="J1039" s="27"/>
      <c r="K1039" s="99"/>
      <c r="L1039" s="27">
        <v>7448</v>
      </c>
      <c r="M1039" s="29">
        <f t="shared" si="120"/>
        <v>2233</v>
      </c>
      <c r="N1039" s="29"/>
      <c r="O1039" s="44">
        <f t="shared" si="121"/>
        <v>0.23065798987707881</v>
      </c>
    </row>
    <row r="1040" spans="1:15" ht="20.100000000000001" customHeight="1" x14ac:dyDescent="0.25">
      <c r="A1040" s="89">
        <v>166</v>
      </c>
      <c r="B1040" s="4">
        <v>43173</v>
      </c>
      <c r="C1040" s="5" t="s">
        <v>316</v>
      </c>
      <c r="D1040" s="3">
        <v>23790</v>
      </c>
      <c r="E1040" s="4">
        <v>43178</v>
      </c>
      <c r="F1040" s="92" t="s">
        <v>28</v>
      </c>
      <c r="G1040" s="32">
        <v>43182</v>
      </c>
      <c r="H1040" s="27">
        <f t="shared" si="119"/>
        <v>23790</v>
      </c>
      <c r="I1040" s="27">
        <f>H1040</f>
        <v>23790</v>
      </c>
      <c r="J1040" s="27"/>
      <c r="K1040" s="99"/>
      <c r="L1040" s="27">
        <v>17154</v>
      </c>
      <c r="M1040" s="29">
        <f t="shared" si="120"/>
        <v>6636</v>
      </c>
      <c r="N1040" s="29">
        <f>M1040</f>
        <v>6636</v>
      </c>
      <c r="O1040" s="44">
        <f t="shared" si="121"/>
        <v>0.27894073139974779</v>
      </c>
    </row>
    <row r="1041" spans="1:15" ht="20.100000000000001" customHeight="1" x14ac:dyDescent="0.25">
      <c r="A1041" s="89">
        <v>177</v>
      </c>
      <c r="B1041" s="4">
        <v>43179</v>
      </c>
      <c r="C1041" s="5" t="s">
        <v>317</v>
      </c>
      <c r="D1041" s="3">
        <v>13190</v>
      </c>
      <c r="E1041" s="4">
        <v>43179</v>
      </c>
      <c r="F1041" s="92" t="s">
        <v>28</v>
      </c>
      <c r="G1041" s="32">
        <v>43185</v>
      </c>
      <c r="H1041" s="27">
        <f t="shared" si="119"/>
        <v>13190</v>
      </c>
      <c r="I1041" s="27">
        <f>H1041</f>
        <v>13190</v>
      </c>
      <c r="J1041" s="27"/>
      <c r="K1041" s="99"/>
      <c r="L1041" s="27">
        <v>9972</v>
      </c>
      <c r="M1041" s="29">
        <f t="shared" si="120"/>
        <v>3218</v>
      </c>
      <c r="N1041" s="29">
        <f>M1041</f>
        <v>3218</v>
      </c>
      <c r="O1041" s="44">
        <f t="shared" si="121"/>
        <v>0.243972706595906</v>
      </c>
    </row>
    <row r="1042" spans="1:15" ht="20.100000000000001" customHeight="1" x14ac:dyDescent="0.25">
      <c r="A1042" s="89">
        <v>180</v>
      </c>
      <c r="B1042" s="4">
        <v>43179</v>
      </c>
      <c r="C1042" s="5" t="s">
        <v>318</v>
      </c>
      <c r="D1042" s="3">
        <v>35690</v>
      </c>
      <c r="E1042" s="4">
        <v>43180</v>
      </c>
      <c r="F1042" s="92" t="s">
        <v>28</v>
      </c>
      <c r="G1042" s="32">
        <v>43186</v>
      </c>
      <c r="H1042" s="27">
        <f t="shared" si="119"/>
        <v>35690</v>
      </c>
      <c r="I1042" s="27">
        <f>H1042</f>
        <v>35690</v>
      </c>
      <c r="J1042" s="27"/>
      <c r="K1042" s="99"/>
      <c r="L1042" s="27">
        <v>26892</v>
      </c>
      <c r="M1042" s="29">
        <f t="shared" si="120"/>
        <v>8798</v>
      </c>
      <c r="N1042" s="29">
        <f>M1042</f>
        <v>8798</v>
      </c>
      <c r="O1042" s="44">
        <f t="shared" si="121"/>
        <v>0.24651162790697675</v>
      </c>
    </row>
    <row r="1043" spans="1:15" ht="20.100000000000001" customHeight="1" x14ac:dyDescent="0.25">
      <c r="A1043" s="89">
        <v>182</v>
      </c>
      <c r="B1043" s="4">
        <v>43179</v>
      </c>
      <c r="C1043" s="26" t="s">
        <v>319</v>
      </c>
      <c r="D1043" s="3">
        <v>4936</v>
      </c>
      <c r="E1043" s="4">
        <v>43180</v>
      </c>
      <c r="F1043" s="92" t="s">
        <v>28</v>
      </c>
      <c r="G1043" s="32">
        <v>43181</v>
      </c>
      <c r="H1043" s="27">
        <f t="shared" si="119"/>
        <v>4936</v>
      </c>
      <c r="I1043" s="27"/>
      <c r="J1043" s="27"/>
      <c r="K1043" s="99"/>
      <c r="L1043" s="27">
        <v>3446</v>
      </c>
      <c r="M1043" s="29">
        <f t="shared" si="120"/>
        <v>1490</v>
      </c>
      <c r="N1043" s="29"/>
      <c r="O1043" s="44">
        <f t="shared" si="121"/>
        <v>0.3018638573743922</v>
      </c>
    </row>
    <row r="1044" spans="1:15" ht="20.100000000000001" customHeight="1" x14ac:dyDescent="0.25">
      <c r="A1044" s="89">
        <v>173</v>
      </c>
      <c r="B1044" s="4">
        <v>43178</v>
      </c>
      <c r="C1044" s="26" t="s">
        <v>94</v>
      </c>
      <c r="D1044" s="3">
        <v>2215</v>
      </c>
      <c r="E1044" s="4">
        <v>43182</v>
      </c>
      <c r="F1044" s="92" t="s">
        <v>28</v>
      </c>
      <c r="G1044" s="32">
        <v>43178</v>
      </c>
      <c r="H1044" s="27">
        <f t="shared" si="119"/>
        <v>2215</v>
      </c>
      <c r="I1044" s="27"/>
      <c r="J1044" s="27"/>
      <c r="K1044" s="99"/>
      <c r="L1044" s="27">
        <v>1728</v>
      </c>
      <c r="M1044" s="29">
        <f t="shared" si="120"/>
        <v>487</v>
      </c>
      <c r="N1044" s="29"/>
      <c r="O1044" s="44">
        <f t="shared" si="121"/>
        <v>0.21986455981941308</v>
      </c>
    </row>
    <row r="1045" spans="1:15" ht="20.100000000000001" customHeight="1" x14ac:dyDescent="0.25">
      <c r="A1045" s="89">
        <v>187</v>
      </c>
      <c r="B1045" s="4">
        <v>43181</v>
      </c>
      <c r="C1045" s="26" t="s">
        <v>109</v>
      </c>
      <c r="D1045" s="3">
        <v>4568</v>
      </c>
      <c r="E1045" s="4">
        <v>43186</v>
      </c>
      <c r="F1045" s="92" t="s">
        <v>28</v>
      </c>
      <c r="G1045" s="32">
        <v>43181</v>
      </c>
      <c r="H1045" s="27">
        <f t="shared" si="119"/>
        <v>4568</v>
      </c>
      <c r="I1045" s="27"/>
      <c r="J1045" s="27"/>
      <c r="K1045" s="99">
        <v>600</v>
      </c>
      <c r="L1045" s="27">
        <v>1729</v>
      </c>
      <c r="M1045" s="29">
        <f t="shared" si="120"/>
        <v>2239</v>
      </c>
      <c r="N1045" s="29"/>
      <c r="O1045" s="44">
        <f t="shared" si="121"/>
        <v>0.49014886164623467</v>
      </c>
    </row>
    <row r="1046" spans="1:15" ht="20.100000000000001" customHeight="1" x14ac:dyDescent="0.25">
      <c r="A1046" s="89">
        <v>186</v>
      </c>
      <c r="B1046" s="4">
        <v>43181</v>
      </c>
      <c r="C1046" s="26" t="s">
        <v>77</v>
      </c>
      <c r="D1046" s="3">
        <v>1466</v>
      </c>
      <c r="E1046" s="4">
        <v>43186</v>
      </c>
      <c r="F1046" s="92" t="s">
        <v>28</v>
      </c>
      <c r="G1046" s="32">
        <v>43187</v>
      </c>
      <c r="H1046" s="27">
        <f t="shared" si="119"/>
        <v>1466</v>
      </c>
      <c r="I1046" s="27"/>
      <c r="J1046" s="27"/>
      <c r="K1046" s="99"/>
      <c r="L1046" s="27">
        <v>1062</v>
      </c>
      <c r="M1046" s="29">
        <f t="shared" si="120"/>
        <v>404</v>
      </c>
      <c r="N1046" s="29"/>
      <c r="O1046" s="44">
        <f t="shared" si="121"/>
        <v>0.27557980900409279</v>
      </c>
    </row>
    <row r="1047" spans="1:15" ht="20.100000000000001" customHeight="1" x14ac:dyDescent="0.25">
      <c r="A1047" s="89">
        <v>167</v>
      </c>
      <c r="B1047" s="4">
        <v>43175</v>
      </c>
      <c r="C1047" s="26" t="s">
        <v>13</v>
      </c>
      <c r="D1047" s="3">
        <v>7125</v>
      </c>
      <c r="E1047" s="4">
        <v>43187</v>
      </c>
      <c r="F1047" s="92" t="s">
        <v>28</v>
      </c>
      <c r="G1047" s="32">
        <v>43179</v>
      </c>
      <c r="H1047" s="27">
        <f t="shared" si="119"/>
        <v>7125</v>
      </c>
      <c r="I1047" s="27"/>
      <c r="J1047" s="27"/>
      <c r="K1047" s="99"/>
      <c r="L1047" s="27">
        <v>5556</v>
      </c>
      <c r="M1047" s="29">
        <f t="shared" si="120"/>
        <v>1569</v>
      </c>
      <c r="N1047" s="29"/>
      <c r="O1047" s="44">
        <f t="shared" si="121"/>
        <v>0.22021052631578947</v>
      </c>
    </row>
    <row r="1048" spans="1:15" ht="20.100000000000001" customHeight="1" x14ac:dyDescent="0.25">
      <c r="A1048" s="89">
        <v>181</v>
      </c>
      <c r="B1048" s="4">
        <v>43179</v>
      </c>
      <c r="C1048" s="26" t="s">
        <v>216</v>
      </c>
      <c r="D1048" s="3">
        <v>2230</v>
      </c>
      <c r="E1048" s="4">
        <v>43189</v>
      </c>
      <c r="F1048" s="92" t="s">
        <v>28</v>
      </c>
      <c r="G1048" s="32">
        <v>43189</v>
      </c>
      <c r="H1048" s="27">
        <f t="shared" si="119"/>
        <v>2230</v>
      </c>
      <c r="I1048" s="27"/>
      <c r="J1048" s="27"/>
      <c r="K1048" s="99"/>
      <c r="L1048" s="27">
        <v>1740</v>
      </c>
      <c r="M1048" s="29">
        <f t="shared" si="120"/>
        <v>490</v>
      </c>
      <c r="N1048" s="29"/>
      <c r="O1048" s="44">
        <f t="shared" si="121"/>
        <v>0.21973094170403587</v>
      </c>
    </row>
    <row r="1049" spans="1:15" ht="20.100000000000001" customHeight="1" x14ac:dyDescent="0.25">
      <c r="A1049" s="89">
        <v>40</v>
      </c>
      <c r="B1049" s="4">
        <v>43186</v>
      </c>
      <c r="C1049" s="26" t="s">
        <v>56</v>
      </c>
      <c r="D1049" s="3">
        <v>138060</v>
      </c>
      <c r="E1049" s="4">
        <v>43189</v>
      </c>
      <c r="F1049" s="92" t="s">
        <v>28</v>
      </c>
      <c r="G1049" s="32">
        <v>43186</v>
      </c>
      <c r="H1049" s="27">
        <f t="shared" si="119"/>
        <v>138060</v>
      </c>
      <c r="I1049" s="27"/>
      <c r="J1049" s="27"/>
      <c r="K1049" s="99"/>
      <c r="L1049" s="27">
        <v>105832</v>
      </c>
      <c r="M1049" s="29">
        <f t="shared" si="120"/>
        <v>32228</v>
      </c>
      <c r="N1049" s="29"/>
      <c r="O1049" s="44">
        <f t="shared" si="121"/>
        <v>0.23343473851948429</v>
      </c>
    </row>
    <row r="1050" spans="1:15" ht="20.100000000000001" customHeight="1" x14ac:dyDescent="0.25">
      <c r="A1050" s="89">
        <v>184</v>
      </c>
      <c r="B1050" s="4">
        <v>43180</v>
      </c>
      <c r="C1050" s="26" t="s">
        <v>66</v>
      </c>
      <c r="D1050" s="3">
        <v>48891</v>
      </c>
      <c r="E1050" s="4">
        <v>43189</v>
      </c>
      <c r="F1050" s="92" t="s">
        <v>28</v>
      </c>
      <c r="G1050" s="32">
        <v>43207</v>
      </c>
      <c r="H1050" s="27">
        <f t="shared" si="119"/>
        <v>48891</v>
      </c>
      <c r="I1050" s="27"/>
      <c r="J1050" s="27"/>
      <c r="K1050" s="99">
        <f>3*1200</f>
        <v>3600</v>
      </c>
      <c r="L1050" s="27">
        <v>22904.639999999999</v>
      </c>
      <c r="M1050" s="29">
        <f t="shared" si="120"/>
        <v>22386.36</v>
      </c>
      <c r="N1050" s="29"/>
      <c r="O1050" s="44">
        <f t="shared" si="121"/>
        <v>0.45788304595937906</v>
      </c>
    </row>
    <row r="1051" spans="1:15" ht="19.5" customHeight="1" x14ac:dyDescent="0.25">
      <c r="A1051" s="89"/>
      <c r="B1051" s="4"/>
      <c r="C1051" s="5"/>
      <c r="D1051" s="3"/>
      <c r="E1051" s="97">
        <v>13000</v>
      </c>
      <c r="F1051" s="98">
        <f>M1051*0.12+N1051*0.06</f>
        <v>13310.263200000001</v>
      </c>
      <c r="G1051" s="21">
        <f>H1051*0.02+I1051*0.02</f>
        <v>9076.7900000000009</v>
      </c>
      <c r="H1051" s="16">
        <f t="shared" ref="H1051:N1051" si="122">SUM(H1031:H1050)</f>
        <v>381169.5</v>
      </c>
      <c r="I1051" s="16">
        <f t="shared" si="122"/>
        <v>72670</v>
      </c>
      <c r="J1051" s="16">
        <f t="shared" si="122"/>
        <v>0</v>
      </c>
      <c r="K1051" s="16">
        <f t="shared" si="122"/>
        <v>10200</v>
      </c>
      <c r="L1051" s="16">
        <f t="shared" si="122"/>
        <v>269376.64000000001</v>
      </c>
      <c r="M1051" s="16">
        <f t="shared" si="122"/>
        <v>101592.86</v>
      </c>
      <c r="N1051" s="16">
        <f t="shared" si="122"/>
        <v>18652</v>
      </c>
      <c r="O1051" s="44">
        <f t="shared" si="121"/>
        <v>0.26652935242720105</v>
      </c>
    </row>
    <row r="1052" spans="1:15" ht="23.25" x14ac:dyDescent="0.35">
      <c r="C1052" s="94" t="s">
        <v>638</v>
      </c>
    </row>
    <row r="1053" spans="1:15" ht="20.100000000000001" customHeight="1" x14ac:dyDescent="0.25">
      <c r="A1053" s="89">
        <v>188</v>
      </c>
      <c r="B1053" s="4">
        <v>43181</v>
      </c>
      <c r="C1053" s="26" t="s">
        <v>186</v>
      </c>
      <c r="D1053" s="3">
        <v>31957</v>
      </c>
      <c r="E1053" s="4">
        <v>43192</v>
      </c>
      <c r="F1053" s="92" t="s">
        <v>28</v>
      </c>
      <c r="G1053" s="32">
        <v>43236</v>
      </c>
      <c r="H1053" s="27">
        <f t="shared" ref="H1053:H1080" si="123">D1053</f>
        <v>31957</v>
      </c>
      <c r="I1053" s="27"/>
      <c r="J1053" s="27"/>
      <c r="K1053" s="99"/>
      <c r="L1053" s="27">
        <v>24503</v>
      </c>
      <c r="M1053" s="29">
        <f t="shared" ref="M1053:M1084" si="124">H1053-L1053-J1053-K1053</f>
        <v>7454</v>
      </c>
      <c r="N1053" s="29"/>
      <c r="O1053" s="44">
        <f t="shared" ref="O1053:O1085" si="125">M1053/H1053</f>
        <v>0.23325093093844854</v>
      </c>
    </row>
    <row r="1054" spans="1:15" ht="20.100000000000001" customHeight="1" x14ac:dyDescent="0.25">
      <c r="A1054" s="89">
        <v>27</v>
      </c>
      <c r="B1054" s="4">
        <v>43116</v>
      </c>
      <c r="C1054" s="26" t="s">
        <v>228</v>
      </c>
      <c r="D1054" s="3">
        <v>72790</v>
      </c>
      <c r="E1054" s="4">
        <v>43193</v>
      </c>
      <c r="F1054" s="92" t="s">
        <v>28</v>
      </c>
      <c r="G1054" s="32">
        <v>43201</v>
      </c>
      <c r="H1054" s="27">
        <f t="shared" si="123"/>
        <v>72790</v>
      </c>
      <c r="I1054" s="27"/>
      <c r="J1054" s="27"/>
      <c r="K1054" s="99"/>
      <c r="L1054" s="27">
        <v>47416</v>
      </c>
      <c r="M1054" s="29">
        <f t="shared" si="124"/>
        <v>25374</v>
      </c>
      <c r="N1054" s="29"/>
      <c r="O1054" s="44">
        <f t="shared" si="125"/>
        <v>0.34859183953839812</v>
      </c>
    </row>
    <row r="1055" spans="1:15" ht="20.100000000000001" customHeight="1" x14ac:dyDescent="0.25">
      <c r="A1055" s="89">
        <v>175</v>
      </c>
      <c r="B1055" s="4">
        <v>43178</v>
      </c>
      <c r="C1055" s="26" t="s">
        <v>315</v>
      </c>
      <c r="D1055" s="3">
        <v>7910</v>
      </c>
      <c r="E1055" s="4">
        <v>43193</v>
      </c>
      <c r="F1055" s="92" t="s">
        <v>28</v>
      </c>
      <c r="G1055" s="32">
        <v>43235</v>
      </c>
      <c r="H1055" s="27">
        <f t="shared" si="123"/>
        <v>7910</v>
      </c>
      <c r="I1055" s="27"/>
      <c r="J1055" s="27"/>
      <c r="K1055" s="99"/>
      <c r="L1055" s="27">
        <v>4862</v>
      </c>
      <c r="M1055" s="29">
        <f t="shared" si="124"/>
        <v>3048</v>
      </c>
      <c r="N1055" s="29"/>
      <c r="O1055" s="44">
        <f t="shared" si="125"/>
        <v>0.38533501896333755</v>
      </c>
    </row>
    <row r="1056" spans="1:15" ht="20.100000000000001" customHeight="1" x14ac:dyDescent="0.25">
      <c r="A1056" s="89">
        <v>214</v>
      </c>
      <c r="B1056" s="4">
        <v>43194</v>
      </c>
      <c r="C1056" s="26" t="s">
        <v>320</v>
      </c>
      <c r="D1056" s="3">
        <v>15185</v>
      </c>
      <c r="E1056" s="4">
        <v>43194</v>
      </c>
      <c r="F1056" s="92" t="s">
        <v>28</v>
      </c>
      <c r="G1056" s="32">
        <v>43206</v>
      </c>
      <c r="H1056" s="27">
        <f t="shared" si="123"/>
        <v>15185</v>
      </c>
      <c r="I1056" s="27"/>
      <c r="J1056" s="27"/>
      <c r="K1056" s="99"/>
      <c r="L1056" s="27">
        <v>10165</v>
      </c>
      <c r="M1056" s="29">
        <f t="shared" si="124"/>
        <v>5020</v>
      </c>
      <c r="N1056" s="29"/>
      <c r="O1056" s="44">
        <f t="shared" si="125"/>
        <v>0.33058939743167598</v>
      </c>
    </row>
    <row r="1057" spans="1:15" ht="20.100000000000001" customHeight="1" x14ac:dyDescent="0.25">
      <c r="A1057" s="89">
        <v>221</v>
      </c>
      <c r="B1057" s="4">
        <v>43192</v>
      </c>
      <c r="C1057" s="26" t="s">
        <v>16</v>
      </c>
      <c r="D1057" s="3">
        <v>1907</v>
      </c>
      <c r="E1057" s="4">
        <v>43194</v>
      </c>
      <c r="F1057" s="92" t="s">
        <v>28</v>
      </c>
      <c r="G1057" s="32">
        <v>43209</v>
      </c>
      <c r="H1057" s="27">
        <f t="shared" si="123"/>
        <v>1907</v>
      </c>
      <c r="I1057" s="27"/>
      <c r="J1057" s="27"/>
      <c r="K1057" s="99"/>
      <c r="L1057" s="27">
        <v>1509</v>
      </c>
      <c r="M1057" s="29">
        <f t="shared" si="124"/>
        <v>398</v>
      </c>
      <c r="N1057" s="29"/>
      <c r="O1057" s="44">
        <f t="shared" si="125"/>
        <v>0.20870477189302569</v>
      </c>
    </row>
    <row r="1058" spans="1:15" ht="20.100000000000001" customHeight="1" x14ac:dyDescent="0.25">
      <c r="A1058" s="89">
        <v>162</v>
      </c>
      <c r="B1058" s="4">
        <v>43172</v>
      </c>
      <c r="C1058" s="26" t="s">
        <v>38</v>
      </c>
      <c r="D1058" s="3">
        <v>859118</v>
      </c>
      <c r="E1058" s="4">
        <v>43195</v>
      </c>
      <c r="F1058" s="92" t="s">
        <v>28</v>
      </c>
      <c r="G1058" s="32">
        <v>43173</v>
      </c>
      <c r="H1058" s="27">
        <f t="shared" si="123"/>
        <v>859118</v>
      </c>
      <c r="I1058" s="27"/>
      <c r="J1058" s="27">
        <v>50000</v>
      </c>
      <c r="K1058" s="99"/>
      <c r="L1058" s="27">
        <v>647823</v>
      </c>
      <c r="M1058" s="29">
        <f t="shared" si="124"/>
        <v>161295</v>
      </c>
      <c r="N1058" s="29"/>
      <c r="O1058" s="44">
        <f t="shared" si="125"/>
        <v>0.18774487323045264</v>
      </c>
    </row>
    <row r="1059" spans="1:15" ht="20.100000000000001" customHeight="1" x14ac:dyDescent="0.25">
      <c r="A1059" s="89">
        <v>197</v>
      </c>
      <c r="B1059" s="4">
        <v>43185</v>
      </c>
      <c r="C1059" s="26" t="s">
        <v>216</v>
      </c>
      <c r="D1059" s="3">
        <v>5064.3</v>
      </c>
      <c r="E1059" s="4">
        <v>43195</v>
      </c>
      <c r="F1059" s="92" t="s">
        <v>28</v>
      </c>
      <c r="G1059" s="32">
        <v>43248</v>
      </c>
      <c r="H1059" s="27">
        <f t="shared" si="123"/>
        <v>5064.3</v>
      </c>
      <c r="I1059" s="27"/>
      <c r="J1059" s="27"/>
      <c r="K1059" s="99"/>
      <c r="L1059" s="27">
        <v>4122</v>
      </c>
      <c r="M1059" s="29">
        <f t="shared" si="124"/>
        <v>942.30000000000018</v>
      </c>
      <c r="N1059" s="29"/>
      <c r="O1059" s="44">
        <f t="shared" si="125"/>
        <v>0.18606717611515908</v>
      </c>
    </row>
    <row r="1060" spans="1:15" ht="20.100000000000001" customHeight="1" x14ac:dyDescent="0.25">
      <c r="A1060" s="89">
        <v>228</v>
      </c>
      <c r="B1060" s="4">
        <v>43195</v>
      </c>
      <c r="C1060" s="26" t="s">
        <v>211</v>
      </c>
      <c r="D1060" s="3">
        <v>3153</v>
      </c>
      <c r="E1060" s="4">
        <v>43196</v>
      </c>
      <c r="F1060" s="92" t="s">
        <v>28</v>
      </c>
      <c r="G1060" s="32">
        <v>43199</v>
      </c>
      <c r="H1060" s="27">
        <f t="shared" si="123"/>
        <v>3153</v>
      </c>
      <c r="I1060" s="27"/>
      <c r="J1060" s="27"/>
      <c r="K1060" s="99"/>
      <c r="L1060" s="27">
        <v>2424</v>
      </c>
      <c r="M1060" s="29">
        <f t="shared" si="124"/>
        <v>729</v>
      </c>
      <c r="N1060" s="29"/>
      <c r="O1060" s="44">
        <f t="shared" si="125"/>
        <v>0.23120837297811608</v>
      </c>
    </row>
    <row r="1061" spans="1:15" ht="20.100000000000001" customHeight="1" x14ac:dyDescent="0.25">
      <c r="A1061" s="89">
        <v>143</v>
      </c>
      <c r="B1061" s="4">
        <v>43186</v>
      </c>
      <c r="C1061" s="26" t="s">
        <v>56</v>
      </c>
      <c r="D1061" s="3">
        <v>17694</v>
      </c>
      <c r="E1061" s="4">
        <v>43199</v>
      </c>
      <c r="F1061" s="92" t="s">
        <v>28</v>
      </c>
      <c r="G1061" s="32">
        <v>43186</v>
      </c>
      <c r="H1061" s="27">
        <f t="shared" si="123"/>
        <v>17694</v>
      </c>
      <c r="I1061" s="27"/>
      <c r="J1061" s="27"/>
      <c r="K1061" s="99"/>
      <c r="L1061" s="27">
        <v>13804</v>
      </c>
      <c r="M1061" s="29">
        <f t="shared" si="124"/>
        <v>3890</v>
      </c>
      <c r="N1061" s="29"/>
      <c r="O1061" s="44">
        <f t="shared" si="125"/>
        <v>0.21984853622696959</v>
      </c>
    </row>
    <row r="1062" spans="1:15" ht="20.100000000000001" customHeight="1" x14ac:dyDescent="0.25">
      <c r="A1062" s="89">
        <v>149</v>
      </c>
      <c r="B1062" s="4">
        <v>43179</v>
      </c>
      <c r="C1062" s="26" t="s">
        <v>56</v>
      </c>
      <c r="D1062" s="3">
        <v>42939</v>
      </c>
      <c r="E1062" s="4">
        <v>43199</v>
      </c>
      <c r="F1062" s="92" t="s">
        <v>28</v>
      </c>
      <c r="G1062" s="32">
        <v>43186</v>
      </c>
      <c r="H1062" s="27">
        <f t="shared" si="123"/>
        <v>42939</v>
      </c>
      <c r="I1062" s="27"/>
      <c r="J1062" s="27"/>
      <c r="K1062" s="99"/>
      <c r="L1062" s="27">
        <v>29529</v>
      </c>
      <c r="M1062" s="29">
        <f t="shared" si="124"/>
        <v>13410</v>
      </c>
      <c r="N1062" s="29"/>
      <c r="O1062" s="44">
        <f t="shared" si="125"/>
        <v>0.31230350031439952</v>
      </c>
    </row>
    <row r="1063" spans="1:15" ht="20.100000000000001" customHeight="1" x14ac:dyDescent="0.25">
      <c r="A1063" s="89">
        <v>217</v>
      </c>
      <c r="B1063" s="4">
        <v>43192</v>
      </c>
      <c r="C1063" s="26" t="s">
        <v>294</v>
      </c>
      <c r="D1063" s="3">
        <v>2439</v>
      </c>
      <c r="E1063" s="4">
        <v>43199</v>
      </c>
      <c r="F1063" s="92" t="s">
        <v>28</v>
      </c>
      <c r="G1063" s="32">
        <v>43203</v>
      </c>
      <c r="H1063" s="27">
        <f t="shared" si="123"/>
        <v>2439</v>
      </c>
      <c r="I1063" s="27"/>
      <c r="J1063" s="27"/>
      <c r="K1063" s="99"/>
      <c r="L1063" s="27">
        <v>1898</v>
      </c>
      <c r="M1063" s="29">
        <f t="shared" si="124"/>
        <v>541</v>
      </c>
      <c r="N1063" s="29"/>
      <c r="O1063" s="44">
        <f t="shared" si="125"/>
        <v>0.22181221812218122</v>
      </c>
    </row>
    <row r="1064" spans="1:15" ht="20.100000000000001" customHeight="1" x14ac:dyDescent="0.25">
      <c r="A1064" s="89">
        <v>157</v>
      </c>
      <c r="B1064" s="4">
        <v>43165</v>
      </c>
      <c r="C1064" s="26" t="s">
        <v>238</v>
      </c>
      <c r="D1064" s="3">
        <v>12999</v>
      </c>
      <c r="E1064" s="4">
        <v>43199</v>
      </c>
      <c r="F1064" s="92" t="s">
        <v>28</v>
      </c>
      <c r="G1064" s="32">
        <v>43201</v>
      </c>
      <c r="H1064" s="27">
        <f t="shared" si="123"/>
        <v>12999</v>
      </c>
      <c r="I1064" s="27"/>
      <c r="J1064" s="27"/>
      <c r="K1064" s="99"/>
      <c r="L1064" s="27">
        <v>9554</v>
      </c>
      <c r="M1064" s="29">
        <f t="shared" si="124"/>
        <v>3445</v>
      </c>
      <c r="N1064" s="29"/>
      <c r="O1064" s="44">
        <f t="shared" si="125"/>
        <v>0.26502038618355256</v>
      </c>
    </row>
    <row r="1065" spans="1:15" ht="20.100000000000001" customHeight="1" x14ac:dyDescent="0.25">
      <c r="A1065" s="89">
        <v>199</v>
      </c>
      <c r="B1065" s="4">
        <v>43186</v>
      </c>
      <c r="C1065" s="26" t="s">
        <v>238</v>
      </c>
      <c r="D1065" s="3">
        <v>838</v>
      </c>
      <c r="E1065" s="4">
        <v>43199</v>
      </c>
      <c r="F1065" s="92" t="s">
        <v>28</v>
      </c>
      <c r="G1065" s="32">
        <v>43201</v>
      </c>
      <c r="H1065" s="27">
        <f t="shared" si="123"/>
        <v>838</v>
      </c>
      <c r="I1065" s="27"/>
      <c r="J1065" s="27"/>
      <c r="K1065" s="99"/>
      <c r="L1065" s="27">
        <v>653</v>
      </c>
      <c r="M1065" s="29">
        <f t="shared" si="124"/>
        <v>185</v>
      </c>
      <c r="N1065" s="29"/>
      <c r="O1065" s="44">
        <f t="shared" si="125"/>
        <v>0.220763723150358</v>
      </c>
    </row>
    <row r="1066" spans="1:15" ht="20.100000000000001" customHeight="1" x14ac:dyDescent="0.25">
      <c r="A1066" s="89">
        <v>216</v>
      </c>
      <c r="B1066" s="4">
        <v>43189</v>
      </c>
      <c r="C1066" s="26" t="s">
        <v>60</v>
      </c>
      <c r="D1066" s="3">
        <v>1065</v>
      </c>
      <c r="E1066" s="4">
        <v>43201</v>
      </c>
      <c r="F1066" s="92" t="s">
        <v>28</v>
      </c>
      <c r="G1066" s="32">
        <v>43193</v>
      </c>
      <c r="H1066" s="27">
        <f t="shared" si="123"/>
        <v>1065</v>
      </c>
      <c r="I1066" s="27"/>
      <c r="J1066" s="27"/>
      <c r="K1066" s="99"/>
      <c r="L1066" s="27">
        <v>620</v>
      </c>
      <c r="M1066" s="29">
        <f t="shared" si="124"/>
        <v>445</v>
      </c>
      <c r="N1066" s="29"/>
      <c r="O1066" s="44">
        <f t="shared" si="125"/>
        <v>0.41784037558685444</v>
      </c>
    </row>
    <row r="1067" spans="1:15" ht="20.100000000000001" customHeight="1" x14ac:dyDescent="0.25">
      <c r="A1067" s="89">
        <v>239</v>
      </c>
      <c r="B1067" s="4">
        <v>43196</v>
      </c>
      <c r="C1067" s="26" t="s">
        <v>318</v>
      </c>
      <c r="D1067" s="3">
        <v>22689</v>
      </c>
      <c r="E1067" s="4">
        <v>43201</v>
      </c>
      <c r="F1067" s="92" t="s">
        <v>28</v>
      </c>
      <c r="G1067" s="32">
        <v>43211</v>
      </c>
      <c r="H1067" s="27">
        <f t="shared" si="123"/>
        <v>22689</v>
      </c>
      <c r="I1067" s="27"/>
      <c r="J1067" s="27"/>
      <c r="K1067" s="99"/>
      <c r="L1067" s="27">
        <v>15614.11</v>
      </c>
      <c r="M1067" s="29">
        <f t="shared" si="124"/>
        <v>7074.8899999999994</v>
      </c>
      <c r="N1067" s="29"/>
      <c r="O1067" s="44">
        <f t="shared" si="125"/>
        <v>0.31182026532681034</v>
      </c>
    </row>
    <row r="1068" spans="1:15" ht="20.100000000000001" customHeight="1" x14ac:dyDescent="0.25">
      <c r="A1068" s="89">
        <v>1070</v>
      </c>
      <c r="B1068" s="4">
        <v>43081</v>
      </c>
      <c r="C1068" s="26" t="s">
        <v>99</v>
      </c>
      <c r="D1068" s="3">
        <v>12885</v>
      </c>
      <c r="E1068" s="4">
        <v>43446</v>
      </c>
      <c r="F1068" s="92" t="s">
        <v>28</v>
      </c>
      <c r="G1068" s="32">
        <v>43088</v>
      </c>
      <c r="H1068" s="27">
        <f t="shared" si="123"/>
        <v>12885</v>
      </c>
      <c r="I1068" s="27"/>
      <c r="J1068" s="27"/>
      <c r="K1068" s="99"/>
      <c r="L1068" s="27">
        <v>10050</v>
      </c>
      <c r="M1068" s="29">
        <f t="shared" si="124"/>
        <v>2835</v>
      </c>
      <c r="N1068" s="29"/>
      <c r="O1068" s="44">
        <f t="shared" si="125"/>
        <v>0.22002328288707801</v>
      </c>
    </row>
    <row r="1069" spans="1:15" ht="20.100000000000001" customHeight="1" x14ac:dyDescent="0.25">
      <c r="A1069" s="89">
        <v>148</v>
      </c>
      <c r="B1069" s="4">
        <v>43160</v>
      </c>
      <c r="C1069" s="26" t="s">
        <v>99</v>
      </c>
      <c r="D1069" s="3">
        <v>12396</v>
      </c>
      <c r="E1069" s="4">
        <v>43446</v>
      </c>
      <c r="F1069" s="92" t="s">
        <v>28</v>
      </c>
      <c r="G1069" s="32">
        <v>43160</v>
      </c>
      <c r="H1069" s="27">
        <f t="shared" si="123"/>
        <v>12396</v>
      </c>
      <c r="I1069" s="27"/>
      <c r="J1069" s="27"/>
      <c r="K1069" s="99"/>
      <c r="L1069" s="27">
        <v>9214</v>
      </c>
      <c r="M1069" s="29">
        <f t="shared" si="124"/>
        <v>3182</v>
      </c>
      <c r="N1069" s="29"/>
      <c r="O1069" s="44">
        <f t="shared" si="125"/>
        <v>0.25669570829299776</v>
      </c>
    </row>
    <row r="1070" spans="1:15" ht="20.100000000000001" customHeight="1" x14ac:dyDescent="0.25">
      <c r="A1070" s="89">
        <v>76</v>
      </c>
      <c r="B1070" s="4">
        <v>43158</v>
      </c>
      <c r="C1070" s="26" t="s">
        <v>99</v>
      </c>
      <c r="D1070" s="3">
        <v>123255</v>
      </c>
      <c r="E1070" s="4">
        <v>43446</v>
      </c>
      <c r="F1070" s="92" t="s">
        <v>28</v>
      </c>
      <c r="G1070" s="32">
        <v>43158</v>
      </c>
      <c r="H1070" s="27">
        <f t="shared" si="123"/>
        <v>123255</v>
      </c>
      <c r="I1070" s="27"/>
      <c r="J1070" s="27"/>
      <c r="K1070" s="99">
        <v>12000</v>
      </c>
      <c r="L1070" s="27">
        <v>89494</v>
      </c>
      <c r="M1070" s="29">
        <f t="shared" si="124"/>
        <v>21761</v>
      </c>
      <c r="N1070" s="29"/>
      <c r="O1070" s="44">
        <f t="shared" si="125"/>
        <v>0.17655267534785607</v>
      </c>
    </row>
    <row r="1071" spans="1:15" ht="20.100000000000001" customHeight="1" x14ac:dyDescent="0.25">
      <c r="A1071" s="89">
        <v>172</v>
      </c>
      <c r="B1071" s="4">
        <v>43202</v>
      </c>
      <c r="C1071" s="26" t="s">
        <v>162</v>
      </c>
      <c r="D1071" s="3">
        <v>45990</v>
      </c>
      <c r="E1071" s="4">
        <v>43446</v>
      </c>
      <c r="F1071" s="92" t="s">
        <v>28</v>
      </c>
      <c r="G1071" s="32">
        <v>43203</v>
      </c>
      <c r="H1071" s="27">
        <f t="shared" si="123"/>
        <v>45990</v>
      </c>
      <c r="I1071" s="27"/>
      <c r="J1071" s="27"/>
      <c r="K1071" s="99"/>
      <c r="L1071" s="27">
        <v>30006</v>
      </c>
      <c r="M1071" s="29">
        <f t="shared" si="124"/>
        <v>15984</v>
      </c>
      <c r="N1071" s="29"/>
      <c r="O1071" s="44">
        <f t="shared" si="125"/>
        <v>0.34755381604696672</v>
      </c>
    </row>
    <row r="1072" spans="1:15" ht="20.100000000000001" customHeight="1" x14ac:dyDescent="0.25">
      <c r="A1072" s="89">
        <v>249</v>
      </c>
      <c r="B1072" s="4">
        <v>43201</v>
      </c>
      <c r="C1072" s="26" t="s">
        <v>321</v>
      </c>
      <c r="D1072" s="3">
        <v>95068</v>
      </c>
      <c r="E1072" s="4">
        <v>43447</v>
      </c>
      <c r="F1072" s="92" t="s">
        <v>28</v>
      </c>
      <c r="G1072" s="32">
        <v>43231</v>
      </c>
      <c r="H1072" s="27">
        <f t="shared" si="123"/>
        <v>95068</v>
      </c>
      <c r="I1072" s="27"/>
      <c r="J1072" s="27"/>
      <c r="K1072" s="99"/>
      <c r="L1072" s="27">
        <v>65932</v>
      </c>
      <c r="M1072" s="29">
        <f t="shared" si="124"/>
        <v>29136</v>
      </c>
      <c r="N1072" s="29"/>
      <c r="O1072" s="44">
        <f t="shared" si="125"/>
        <v>0.30647536500189337</v>
      </c>
    </row>
    <row r="1073" spans="1:15" ht="20.100000000000001" customHeight="1" x14ac:dyDescent="0.25">
      <c r="A1073" s="89">
        <v>235</v>
      </c>
      <c r="B1073" s="4">
        <v>43195</v>
      </c>
      <c r="C1073" s="26" t="s">
        <v>315</v>
      </c>
      <c r="D1073" s="3">
        <v>108570</v>
      </c>
      <c r="E1073" s="4">
        <v>43206</v>
      </c>
      <c r="F1073" s="92" t="s">
        <v>28</v>
      </c>
      <c r="G1073" s="32">
        <v>43235</v>
      </c>
      <c r="H1073" s="27">
        <f t="shared" si="123"/>
        <v>108570</v>
      </c>
      <c r="I1073" s="27"/>
      <c r="J1073" s="27"/>
      <c r="K1073" s="99"/>
      <c r="L1073" s="27">
        <v>82077</v>
      </c>
      <c r="M1073" s="29">
        <f t="shared" si="124"/>
        <v>26493</v>
      </c>
      <c r="N1073" s="29"/>
      <c r="O1073" s="44">
        <f t="shared" si="125"/>
        <v>0.24401768444321636</v>
      </c>
    </row>
    <row r="1074" spans="1:15" ht="20.100000000000001" customHeight="1" x14ac:dyDescent="0.25">
      <c r="A1074" s="89">
        <v>215</v>
      </c>
      <c r="B1074" s="4">
        <v>43189</v>
      </c>
      <c r="C1074" s="26" t="s">
        <v>49</v>
      </c>
      <c r="D1074" s="3">
        <v>3176</v>
      </c>
      <c r="E1074" s="4">
        <v>43208</v>
      </c>
      <c r="F1074" s="92" t="s">
        <v>28</v>
      </c>
      <c r="G1074" s="32">
        <v>43215</v>
      </c>
      <c r="H1074" s="27">
        <f t="shared" si="123"/>
        <v>3176</v>
      </c>
      <c r="I1074" s="27"/>
      <c r="J1074" s="27"/>
      <c r="K1074" s="99"/>
      <c r="L1074" s="27">
        <v>2341</v>
      </c>
      <c r="M1074" s="29">
        <f t="shared" si="124"/>
        <v>835</v>
      </c>
      <c r="N1074" s="29"/>
      <c r="O1074" s="44">
        <f t="shared" si="125"/>
        <v>0.26290931989924432</v>
      </c>
    </row>
    <row r="1075" spans="1:15" ht="20.100000000000001" customHeight="1" x14ac:dyDescent="0.25">
      <c r="A1075" s="89">
        <v>222</v>
      </c>
      <c r="B1075" s="4">
        <v>43192</v>
      </c>
      <c r="C1075" s="26" t="s">
        <v>217</v>
      </c>
      <c r="D1075" s="3">
        <v>26212</v>
      </c>
      <c r="E1075" s="4">
        <v>43209</v>
      </c>
      <c r="F1075" s="92" t="s">
        <v>28</v>
      </c>
      <c r="G1075" s="32">
        <v>43210</v>
      </c>
      <c r="H1075" s="27">
        <f t="shared" si="123"/>
        <v>26212</v>
      </c>
      <c r="I1075" s="27"/>
      <c r="J1075" s="27"/>
      <c r="K1075" s="99"/>
      <c r="L1075" s="27">
        <v>20736</v>
      </c>
      <c r="M1075" s="29">
        <f t="shared" si="124"/>
        <v>5476</v>
      </c>
      <c r="N1075" s="29"/>
      <c r="O1075" s="44">
        <f t="shared" si="125"/>
        <v>0.20891194872577445</v>
      </c>
    </row>
    <row r="1076" spans="1:15" ht="20.100000000000001" customHeight="1" x14ac:dyDescent="0.25">
      <c r="A1076" s="89">
        <v>198</v>
      </c>
      <c r="B1076" s="4">
        <v>43186</v>
      </c>
      <c r="C1076" s="26" t="s">
        <v>176</v>
      </c>
      <c r="D1076" s="3">
        <v>17990</v>
      </c>
      <c r="E1076" s="4">
        <v>43209</v>
      </c>
      <c r="F1076" s="92" t="s">
        <v>28</v>
      </c>
      <c r="G1076" s="32">
        <v>43193</v>
      </c>
      <c r="H1076" s="27">
        <f t="shared" si="123"/>
        <v>17990</v>
      </c>
      <c r="I1076" s="27"/>
      <c r="J1076" s="27"/>
      <c r="K1076" s="99"/>
      <c r="L1076" s="27">
        <v>13600</v>
      </c>
      <c r="M1076" s="29">
        <f t="shared" si="124"/>
        <v>4390</v>
      </c>
      <c r="N1076" s="29"/>
      <c r="O1076" s="44">
        <f t="shared" si="125"/>
        <v>0.24402445803224013</v>
      </c>
    </row>
    <row r="1077" spans="1:15" ht="20.100000000000001" customHeight="1" x14ac:dyDescent="0.25">
      <c r="A1077" s="89">
        <v>282</v>
      </c>
      <c r="B1077" s="4">
        <v>43209</v>
      </c>
      <c r="C1077" s="26" t="s">
        <v>317</v>
      </c>
      <c r="D1077" s="3">
        <v>1051</v>
      </c>
      <c r="E1077" s="4">
        <v>43209</v>
      </c>
      <c r="F1077" s="92" t="s">
        <v>28</v>
      </c>
      <c r="G1077" s="32">
        <v>43209</v>
      </c>
      <c r="H1077" s="27">
        <f t="shared" si="123"/>
        <v>1051</v>
      </c>
      <c r="I1077" s="27"/>
      <c r="J1077" s="27"/>
      <c r="K1077" s="99"/>
      <c r="L1077" s="27">
        <v>808</v>
      </c>
      <c r="M1077" s="29">
        <f t="shared" si="124"/>
        <v>243</v>
      </c>
      <c r="N1077" s="29"/>
      <c r="O1077" s="44">
        <f t="shared" si="125"/>
        <v>0.23120837297811608</v>
      </c>
    </row>
    <row r="1078" spans="1:15" ht="20.100000000000001" customHeight="1" x14ac:dyDescent="0.25">
      <c r="A1078" s="89">
        <v>281</v>
      </c>
      <c r="B1078" s="4">
        <v>43209</v>
      </c>
      <c r="C1078" s="26" t="s">
        <v>322</v>
      </c>
      <c r="D1078" s="3">
        <v>2108</v>
      </c>
      <c r="E1078" s="4">
        <v>43209</v>
      </c>
      <c r="F1078" s="92" t="s">
        <v>28</v>
      </c>
      <c r="G1078" s="32">
        <v>43210</v>
      </c>
      <c r="H1078" s="27">
        <f t="shared" si="123"/>
        <v>2108</v>
      </c>
      <c r="I1078" s="27"/>
      <c r="J1078" s="27"/>
      <c r="K1078" s="99"/>
      <c r="L1078" s="27">
        <v>1265</v>
      </c>
      <c r="M1078" s="29">
        <f t="shared" si="124"/>
        <v>843</v>
      </c>
      <c r="N1078" s="29"/>
      <c r="O1078" s="44">
        <f t="shared" si="125"/>
        <v>0.39990512333965844</v>
      </c>
    </row>
    <row r="1079" spans="1:15" ht="20.100000000000001" customHeight="1" x14ac:dyDescent="0.25">
      <c r="A1079" s="89">
        <v>256</v>
      </c>
      <c r="B1079" s="4">
        <v>43203</v>
      </c>
      <c r="C1079" s="26" t="s">
        <v>147</v>
      </c>
      <c r="D1079" s="3">
        <v>11570</v>
      </c>
      <c r="E1079" s="4">
        <v>43210</v>
      </c>
      <c r="F1079" s="92" t="s">
        <v>28</v>
      </c>
      <c r="G1079" s="32">
        <v>43217</v>
      </c>
      <c r="H1079" s="27">
        <f t="shared" si="123"/>
        <v>11570</v>
      </c>
      <c r="I1079" s="27"/>
      <c r="J1079" s="27"/>
      <c r="K1079" s="99"/>
      <c r="L1079" s="27">
        <v>6738</v>
      </c>
      <c r="M1079" s="29">
        <f t="shared" si="124"/>
        <v>4832</v>
      </c>
      <c r="N1079" s="29"/>
      <c r="O1079" s="44">
        <f t="shared" si="125"/>
        <v>0.41763180639585135</v>
      </c>
    </row>
    <row r="1080" spans="1:15" ht="20.100000000000001" customHeight="1" x14ac:dyDescent="0.25">
      <c r="A1080" s="89">
        <v>272</v>
      </c>
      <c r="B1080" s="4">
        <v>43209</v>
      </c>
      <c r="C1080" s="26" t="s">
        <v>14</v>
      </c>
      <c r="D1080" s="3">
        <v>28170</v>
      </c>
      <c r="E1080" s="4">
        <v>43213</v>
      </c>
      <c r="F1080" s="92" t="s">
        <v>28</v>
      </c>
      <c r="G1080" s="32">
        <v>43230</v>
      </c>
      <c r="H1080" s="27">
        <f t="shared" si="123"/>
        <v>28170</v>
      </c>
      <c r="I1080" s="27"/>
      <c r="J1080" s="27"/>
      <c r="K1080" s="99"/>
      <c r="L1080" s="27">
        <v>21297</v>
      </c>
      <c r="M1080" s="29">
        <f t="shared" si="124"/>
        <v>6873</v>
      </c>
      <c r="N1080" s="29"/>
      <c r="O1080" s="44">
        <f t="shared" si="125"/>
        <v>0.24398296059637914</v>
      </c>
    </row>
    <row r="1081" spans="1:15" ht="20.100000000000001" customHeight="1" x14ac:dyDescent="0.25">
      <c r="A1081" s="89">
        <v>155</v>
      </c>
      <c r="B1081" s="4">
        <v>43164</v>
      </c>
      <c r="C1081" s="26" t="s">
        <v>66</v>
      </c>
      <c r="D1081" s="3">
        <v>24680</v>
      </c>
      <c r="E1081" s="4">
        <v>43214</v>
      </c>
      <c r="F1081" s="92" t="s">
        <v>28</v>
      </c>
      <c r="G1081" s="32">
        <v>43201</v>
      </c>
      <c r="H1081" s="27">
        <f>D1081/2</f>
        <v>12340</v>
      </c>
      <c r="I1081" s="27"/>
      <c r="J1081" s="27"/>
      <c r="K1081" s="99"/>
      <c r="L1081" s="27">
        <v>8650</v>
      </c>
      <c r="M1081" s="29">
        <f t="shared" si="124"/>
        <v>3690</v>
      </c>
      <c r="N1081" s="29"/>
      <c r="O1081" s="44">
        <f t="shared" si="125"/>
        <v>0.29902755267423015</v>
      </c>
    </row>
    <row r="1082" spans="1:15" ht="20.100000000000001" customHeight="1" x14ac:dyDescent="0.25">
      <c r="A1082" s="89">
        <v>299</v>
      </c>
      <c r="B1082" s="4">
        <v>43214</v>
      </c>
      <c r="C1082" s="26" t="s">
        <v>270</v>
      </c>
      <c r="D1082" s="3">
        <v>1671</v>
      </c>
      <c r="E1082" s="4">
        <v>43216</v>
      </c>
      <c r="F1082" s="92" t="s">
        <v>28</v>
      </c>
      <c r="G1082" s="32">
        <v>43217</v>
      </c>
      <c r="H1082" s="27">
        <f>D1082</f>
        <v>1671</v>
      </c>
      <c r="I1082" s="27"/>
      <c r="J1082" s="27"/>
      <c r="K1082" s="99"/>
      <c r="L1082" s="27">
        <v>1285</v>
      </c>
      <c r="M1082" s="29">
        <f t="shared" si="124"/>
        <v>386</v>
      </c>
      <c r="N1082" s="29"/>
      <c r="O1082" s="44">
        <f t="shared" si="125"/>
        <v>0.23099940155595453</v>
      </c>
    </row>
    <row r="1083" spans="1:15" ht="20.100000000000001" customHeight="1" x14ac:dyDescent="0.25">
      <c r="A1083" s="89">
        <v>303</v>
      </c>
      <c r="B1083" s="4">
        <v>43215</v>
      </c>
      <c r="C1083" s="26" t="s">
        <v>149</v>
      </c>
      <c r="D1083" s="3">
        <v>15761</v>
      </c>
      <c r="E1083" s="4">
        <v>43218</v>
      </c>
      <c r="F1083" s="92" t="s">
        <v>28</v>
      </c>
      <c r="G1083" s="32">
        <v>43231</v>
      </c>
      <c r="H1083" s="27">
        <f>D1083</f>
        <v>15761</v>
      </c>
      <c r="I1083" s="27"/>
      <c r="J1083" s="27"/>
      <c r="K1083" s="99"/>
      <c r="L1083" s="27">
        <v>12150</v>
      </c>
      <c r="M1083" s="29">
        <f t="shared" si="124"/>
        <v>3611</v>
      </c>
      <c r="N1083" s="29"/>
      <c r="O1083" s="44">
        <f t="shared" si="125"/>
        <v>0.22910982805659538</v>
      </c>
    </row>
    <row r="1084" spans="1:15" ht="20.100000000000001" customHeight="1" x14ac:dyDescent="0.25">
      <c r="A1084" s="89">
        <v>155</v>
      </c>
      <c r="B1084" s="4">
        <v>43164</v>
      </c>
      <c r="C1084" s="26" t="s">
        <v>66</v>
      </c>
      <c r="D1084" s="3">
        <v>24680</v>
      </c>
      <c r="E1084" s="4">
        <v>43218</v>
      </c>
      <c r="F1084" s="92" t="s">
        <v>28</v>
      </c>
      <c r="G1084" s="32">
        <v>43207</v>
      </c>
      <c r="H1084" s="27">
        <f>D1084/2</f>
        <v>12340</v>
      </c>
      <c r="I1084" s="27"/>
      <c r="J1084" s="27"/>
      <c r="K1084" s="99"/>
      <c r="L1084" s="27">
        <v>9637</v>
      </c>
      <c r="M1084" s="29">
        <f t="shared" si="124"/>
        <v>2703</v>
      </c>
      <c r="N1084" s="29"/>
      <c r="O1084" s="44">
        <f t="shared" si="125"/>
        <v>0.21904376012965965</v>
      </c>
    </row>
    <row r="1085" spans="1:15" ht="19.5" customHeight="1" x14ac:dyDescent="0.25">
      <c r="A1085" s="89"/>
      <c r="B1085" s="4"/>
      <c r="C1085" s="5"/>
      <c r="D1085" s="3"/>
      <c r="E1085" s="97">
        <v>62300</v>
      </c>
      <c r="F1085" s="98">
        <f>M1085*0.17+N1085*0.06</f>
        <v>62309.112300000008</v>
      </c>
      <c r="G1085" s="21">
        <f>H1085*0.05+I1085*0.02</f>
        <v>81415.015000000014</v>
      </c>
      <c r="H1085" s="16">
        <f t="shared" ref="H1085:N1085" si="126">SUM(H1053:H1084)</f>
        <v>1628300.3</v>
      </c>
      <c r="I1085" s="16">
        <f t="shared" si="126"/>
        <v>0</v>
      </c>
      <c r="J1085" s="16">
        <f t="shared" si="126"/>
        <v>50000</v>
      </c>
      <c r="K1085" s="16">
        <f t="shared" si="126"/>
        <v>12000</v>
      </c>
      <c r="L1085" s="16">
        <f t="shared" si="126"/>
        <v>1199776.1099999999</v>
      </c>
      <c r="M1085" s="16">
        <f t="shared" si="126"/>
        <v>366524.19</v>
      </c>
      <c r="N1085" s="16">
        <f t="shared" si="126"/>
        <v>0</v>
      </c>
      <c r="O1085" s="44">
        <f t="shared" si="125"/>
        <v>0.22509618772409487</v>
      </c>
    </row>
    <row r="1086" spans="1:15" ht="23.25" x14ac:dyDescent="0.35">
      <c r="C1086" s="94" t="s">
        <v>639</v>
      </c>
    </row>
    <row r="1087" spans="1:15" ht="20.100000000000001" customHeight="1" x14ac:dyDescent="0.25">
      <c r="A1087" s="89">
        <v>330</v>
      </c>
      <c r="B1087" s="4">
        <v>43223</v>
      </c>
      <c r="C1087" s="5" t="s">
        <v>324</v>
      </c>
      <c r="D1087" s="3">
        <v>15241</v>
      </c>
      <c r="E1087" s="4">
        <v>43223</v>
      </c>
      <c r="F1087" s="92" t="s">
        <v>28</v>
      </c>
      <c r="G1087" s="32">
        <v>43224</v>
      </c>
      <c r="H1087" s="27">
        <f t="shared" ref="H1087:H1111" si="127">D1087</f>
        <v>15241</v>
      </c>
      <c r="I1087" s="27">
        <f>H1087</f>
        <v>15241</v>
      </c>
      <c r="J1087" s="27"/>
      <c r="K1087" s="99"/>
      <c r="L1087" s="27">
        <v>10941</v>
      </c>
      <c r="M1087" s="29">
        <f t="shared" ref="M1087:M1123" si="128">H1087-L1087-J1087-K1087</f>
        <v>4300</v>
      </c>
      <c r="N1087" s="29">
        <f>M1087</f>
        <v>4300</v>
      </c>
      <c r="O1087" s="44">
        <f t="shared" ref="O1087:O1124" si="129">M1087/H1087</f>
        <v>0.2821337182599567</v>
      </c>
    </row>
    <row r="1088" spans="1:15" ht="20.100000000000001" customHeight="1" x14ac:dyDescent="0.25">
      <c r="A1088" s="89">
        <v>321</v>
      </c>
      <c r="B1088" s="4">
        <v>43217</v>
      </c>
      <c r="C1088" s="26" t="s">
        <v>270</v>
      </c>
      <c r="D1088" s="3">
        <v>1051</v>
      </c>
      <c r="E1088" s="4">
        <v>43224</v>
      </c>
      <c r="F1088" s="92" t="s">
        <v>28</v>
      </c>
      <c r="G1088" s="32">
        <v>43217</v>
      </c>
      <c r="H1088" s="27">
        <f t="shared" si="127"/>
        <v>1051</v>
      </c>
      <c r="I1088" s="27"/>
      <c r="J1088" s="27"/>
      <c r="K1088" s="99"/>
      <c r="L1088" s="27">
        <v>808</v>
      </c>
      <c r="M1088" s="29">
        <f t="shared" si="128"/>
        <v>243</v>
      </c>
      <c r="N1088" s="29"/>
      <c r="O1088" s="44">
        <f t="shared" si="129"/>
        <v>0.23120837297811608</v>
      </c>
    </row>
    <row r="1089" spans="1:15" ht="20.100000000000001" customHeight="1" x14ac:dyDescent="0.25">
      <c r="A1089" s="89">
        <v>327</v>
      </c>
      <c r="B1089" s="4">
        <v>43218</v>
      </c>
      <c r="C1089" s="26" t="s">
        <v>270</v>
      </c>
      <c r="D1089" s="3">
        <v>1051</v>
      </c>
      <c r="E1089" s="4">
        <v>43224</v>
      </c>
      <c r="F1089" s="92" t="s">
        <v>28</v>
      </c>
      <c r="G1089" s="32">
        <v>43243</v>
      </c>
      <c r="H1089" s="27">
        <f t="shared" si="127"/>
        <v>1051</v>
      </c>
      <c r="I1089" s="27"/>
      <c r="J1089" s="27"/>
      <c r="K1089" s="99"/>
      <c r="L1089" s="27">
        <v>808</v>
      </c>
      <c r="M1089" s="29">
        <f t="shared" si="128"/>
        <v>243</v>
      </c>
      <c r="N1089" s="29"/>
      <c r="O1089" s="44">
        <f t="shared" si="129"/>
        <v>0.23120837297811608</v>
      </c>
    </row>
    <row r="1090" spans="1:15" ht="20.100000000000001" customHeight="1" x14ac:dyDescent="0.25">
      <c r="A1090" s="89">
        <v>335</v>
      </c>
      <c r="B1090" s="4">
        <v>43224</v>
      </c>
      <c r="C1090" s="5" t="s">
        <v>325</v>
      </c>
      <c r="D1090" s="3">
        <v>15411</v>
      </c>
      <c r="E1090" s="4">
        <v>43227</v>
      </c>
      <c r="F1090" s="92" t="s">
        <v>28</v>
      </c>
      <c r="G1090" s="32">
        <v>43248</v>
      </c>
      <c r="H1090" s="27">
        <f t="shared" si="127"/>
        <v>15411</v>
      </c>
      <c r="I1090" s="27">
        <f>H1090</f>
        <v>15411</v>
      </c>
      <c r="J1090" s="27"/>
      <c r="K1090" s="99"/>
      <c r="L1090" s="27">
        <v>11737</v>
      </c>
      <c r="M1090" s="29">
        <f t="shared" si="128"/>
        <v>3674</v>
      </c>
      <c r="N1090" s="29">
        <f>M1090</f>
        <v>3674</v>
      </c>
      <c r="O1090" s="44">
        <f t="shared" si="129"/>
        <v>0.23840114204139901</v>
      </c>
    </row>
    <row r="1091" spans="1:15" ht="20.100000000000001" customHeight="1" x14ac:dyDescent="0.25">
      <c r="A1091" s="89">
        <v>333</v>
      </c>
      <c r="B1091" s="4">
        <v>43224</v>
      </c>
      <c r="C1091" s="26" t="s">
        <v>118</v>
      </c>
      <c r="D1091" s="3">
        <v>13798.05</v>
      </c>
      <c r="E1091" s="4">
        <v>43227</v>
      </c>
      <c r="F1091" s="92" t="s">
        <v>28</v>
      </c>
      <c r="G1091" s="32">
        <v>43224</v>
      </c>
      <c r="H1091" s="27">
        <f t="shared" si="127"/>
        <v>13798.05</v>
      </c>
      <c r="I1091" s="27"/>
      <c r="J1091" s="27"/>
      <c r="K1091" s="99"/>
      <c r="L1091" s="27">
        <v>11420</v>
      </c>
      <c r="M1091" s="29">
        <f t="shared" si="128"/>
        <v>2378.0499999999993</v>
      </c>
      <c r="N1091" s="29"/>
      <c r="O1091" s="44">
        <f t="shared" si="129"/>
        <v>0.17234681712270933</v>
      </c>
    </row>
    <row r="1092" spans="1:15" ht="20.100000000000001" customHeight="1" x14ac:dyDescent="0.25">
      <c r="A1092" s="89">
        <v>258</v>
      </c>
      <c r="B1092" s="4">
        <v>43206</v>
      </c>
      <c r="C1092" s="26" t="s">
        <v>13</v>
      </c>
      <c r="D1092" s="3">
        <v>7842</v>
      </c>
      <c r="E1092" s="4">
        <v>43227</v>
      </c>
      <c r="F1092" s="92" t="s">
        <v>28</v>
      </c>
      <c r="G1092" s="32">
        <v>43208</v>
      </c>
      <c r="H1092" s="27">
        <f t="shared" si="127"/>
        <v>7842</v>
      </c>
      <c r="I1092" s="27"/>
      <c r="J1092" s="27"/>
      <c r="K1092" s="99"/>
      <c r="L1092" s="27">
        <v>5556</v>
      </c>
      <c r="M1092" s="29">
        <f t="shared" si="128"/>
        <v>2286</v>
      </c>
      <c r="N1092" s="29"/>
      <c r="O1092" s="44">
        <f t="shared" si="129"/>
        <v>0.29150726855394032</v>
      </c>
    </row>
    <row r="1093" spans="1:15" ht="20.100000000000001" customHeight="1" x14ac:dyDescent="0.25">
      <c r="A1093" s="89">
        <v>331</v>
      </c>
      <c r="B1093" s="4">
        <v>43223</v>
      </c>
      <c r="C1093" s="26" t="s">
        <v>33</v>
      </c>
      <c r="D1093" s="3">
        <v>6065</v>
      </c>
      <c r="E1093" s="4">
        <v>43228</v>
      </c>
      <c r="F1093" s="92" t="s">
        <v>28</v>
      </c>
      <c r="G1093" s="32">
        <v>43266</v>
      </c>
      <c r="H1093" s="27">
        <f t="shared" si="127"/>
        <v>6065</v>
      </c>
      <c r="I1093" s="27"/>
      <c r="J1093" s="27"/>
      <c r="K1093" s="99"/>
      <c r="L1093" s="27">
        <v>4670</v>
      </c>
      <c r="M1093" s="29">
        <f t="shared" si="128"/>
        <v>1395</v>
      </c>
      <c r="N1093" s="29"/>
      <c r="O1093" s="44">
        <f t="shared" si="129"/>
        <v>0.23000824402308326</v>
      </c>
    </row>
    <row r="1094" spans="1:15" ht="20.100000000000001" customHeight="1" x14ac:dyDescent="0.25">
      <c r="A1094" s="89">
        <v>154</v>
      </c>
      <c r="B1094" s="4">
        <v>43164</v>
      </c>
      <c r="C1094" s="26" t="s">
        <v>99</v>
      </c>
      <c r="D1094" s="3">
        <v>217556</v>
      </c>
      <c r="E1094" s="4">
        <v>43228</v>
      </c>
      <c r="F1094" s="92" t="s">
        <v>28</v>
      </c>
      <c r="G1094" s="32">
        <v>43192</v>
      </c>
      <c r="H1094" s="27">
        <f t="shared" si="127"/>
        <v>217556</v>
      </c>
      <c r="I1094" s="27"/>
      <c r="J1094" s="27">
        <v>30000</v>
      </c>
      <c r="K1094" s="99"/>
      <c r="L1094" s="27">
        <v>84462</v>
      </c>
      <c r="M1094" s="29">
        <f t="shared" si="128"/>
        <v>103094</v>
      </c>
      <c r="N1094" s="29"/>
      <c r="O1094" s="44">
        <f t="shared" si="129"/>
        <v>0.47387339351707147</v>
      </c>
    </row>
    <row r="1095" spans="1:15" ht="20.100000000000001" customHeight="1" x14ac:dyDescent="0.25">
      <c r="A1095" s="89">
        <v>315</v>
      </c>
      <c r="B1095" s="4">
        <v>43228</v>
      </c>
      <c r="C1095" s="5" t="s">
        <v>327</v>
      </c>
      <c r="D1095" s="3">
        <v>19586</v>
      </c>
      <c r="E1095" s="4">
        <v>43230</v>
      </c>
      <c r="F1095" s="92" t="s">
        <v>28</v>
      </c>
      <c r="G1095" s="32">
        <v>43231</v>
      </c>
      <c r="H1095" s="27">
        <f t="shared" si="127"/>
        <v>19586</v>
      </c>
      <c r="I1095" s="27">
        <f>H1095</f>
        <v>19586</v>
      </c>
      <c r="J1095" s="27"/>
      <c r="K1095" s="99"/>
      <c r="L1095" s="27">
        <v>13447</v>
      </c>
      <c r="M1095" s="29">
        <f t="shared" si="128"/>
        <v>6139</v>
      </c>
      <c r="N1095" s="29">
        <f>M1095</f>
        <v>6139</v>
      </c>
      <c r="O1095" s="44">
        <f t="shared" si="129"/>
        <v>0.31343817012151537</v>
      </c>
    </row>
    <row r="1096" spans="1:15" ht="20.100000000000001" customHeight="1" x14ac:dyDescent="0.25">
      <c r="A1096" s="89">
        <v>134</v>
      </c>
      <c r="B1096" s="4">
        <v>43206</v>
      </c>
      <c r="C1096" s="26" t="s">
        <v>56</v>
      </c>
      <c r="D1096" s="3">
        <v>138500</v>
      </c>
      <c r="E1096" s="4">
        <v>43231</v>
      </c>
      <c r="F1096" s="92" t="s">
        <v>28</v>
      </c>
      <c r="G1096" s="32">
        <v>43216</v>
      </c>
      <c r="H1096" s="27">
        <f t="shared" si="127"/>
        <v>138500</v>
      </c>
      <c r="I1096" s="27"/>
      <c r="J1096" s="27"/>
      <c r="K1096" s="99"/>
      <c r="L1096" s="27">
        <v>105832</v>
      </c>
      <c r="M1096" s="29">
        <f t="shared" si="128"/>
        <v>32668</v>
      </c>
      <c r="N1096" s="29"/>
      <c r="O1096" s="44">
        <f t="shared" si="129"/>
        <v>0.23587003610108304</v>
      </c>
    </row>
    <row r="1097" spans="1:15" ht="20.100000000000001" customHeight="1" x14ac:dyDescent="0.25">
      <c r="A1097" s="89">
        <v>338</v>
      </c>
      <c r="B1097" s="4">
        <v>43227</v>
      </c>
      <c r="C1097" s="5" t="s">
        <v>326</v>
      </c>
      <c r="D1097" s="3">
        <v>1350</v>
      </c>
      <c r="E1097" s="4">
        <v>43231</v>
      </c>
      <c r="F1097" s="92" t="s">
        <v>28</v>
      </c>
      <c r="G1097" s="32">
        <v>43238</v>
      </c>
      <c r="H1097" s="27">
        <f t="shared" si="127"/>
        <v>1350</v>
      </c>
      <c r="I1097" s="27">
        <f>H1097</f>
        <v>1350</v>
      </c>
      <c r="J1097" s="27"/>
      <c r="K1097" s="99"/>
      <c r="L1097" s="27">
        <v>1089</v>
      </c>
      <c r="M1097" s="29">
        <f t="shared" si="128"/>
        <v>261</v>
      </c>
      <c r="N1097" s="29">
        <f>M1097</f>
        <v>261</v>
      </c>
      <c r="O1097" s="44">
        <f t="shared" si="129"/>
        <v>0.19333333333333333</v>
      </c>
    </row>
    <row r="1098" spans="1:15" ht="20.100000000000001" customHeight="1" x14ac:dyDescent="0.25">
      <c r="A1098" s="89">
        <v>224</v>
      </c>
      <c r="B1098" s="4">
        <v>43193</v>
      </c>
      <c r="C1098" s="26" t="s">
        <v>175</v>
      </c>
      <c r="D1098" s="3">
        <v>42484</v>
      </c>
      <c r="E1098" s="4">
        <v>43234</v>
      </c>
      <c r="F1098" s="92" t="s">
        <v>28</v>
      </c>
      <c r="G1098" s="32">
        <v>43235</v>
      </c>
      <c r="H1098" s="27">
        <f t="shared" si="127"/>
        <v>42484</v>
      </c>
      <c r="I1098" s="27"/>
      <c r="J1098" s="27"/>
      <c r="K1098" s="99"/>
      <c r="L1098" s="27">
        <v>34525</v>
      </c>
      <c r="M1098" s="29">
        <f t="shared" si="128"/>
        <v>7959</v>
      </c>
      <c r="N1098" s="29"/>
      <c r="O1098" s="44">
        <f t="shared" si="129"/>
        <v>0.18734111665568215</v>
      </c>
    </row>
    <row r="1099" spans="1:15" ht="20.100000000000001" customHeight="1" x14ac:dyDescent="0.25">
      <c r="A1099" s="89">
        <v>322</v>
      </c>
      <c r="B1099" s="4">
        <v>43217</v>
      </c>
      <c r="C1099" s="5" t="s">
        <v>323</v>
      </c>
      <c r="D1099" s="3">
        <v>3342</v>
      </c>
      <c r="E1099" s="4">
        <v>43235</v>
      </c>
      <c r="F1099" s="92" t="s">
        <v>28</v>
      </c>
      <c r="G1099" s="32">
        <v>43217</v>
      </c>
      <c r="H1099" s="27">
        <f t="shared" si="127"/>
        <v>3342</v>
      </c>
      <c r="I1099" s="27">
        <f>H1099</f>
        <v>3342</v>
      </c>
      <c r="J1099" s="27"/>
      <c r="K1099" s="99"/>
      <c r="L1099" s="27">
        <v>2570</v>
      </c>
      <c r="M1099" s="29">
        <f t="shared" si="128"/>
        <v>772</v>
      </c>
      <c r="N1099" s="29">
        <f>M1099</f>
        <v>772</v>
      </c>
      <c r="O1099" s="44">
        <f t="shared" si="129"/>
        <v>0.23099940155595453</v>
      </c>
    </row>
    <row r="1100" spans="1:15" ht="20.100000000000001" customHeight="1" x14ac:dyDescent="0.25">
      <c r="A1100" s="89">
        <v>279</v>
      </c>
      <c r="B1100" s="4">
        <v>43209</v>
      </c>
      <c r="C1100" s="26" t="s">
        <v>50</v>
      </c>
      <c r="D1100" s="3">
        <v>5946</v>
      </c>
      <c r="E1100" s="4">
        <v>43235</v>
      </c>
      <c r="F1100" s="92" t="s">
        <v>28</v>
      </c>
      <c r="G1100" s="32">
        <v>43230</v>
      </c>
      <c r="H1100" s="27">
        <f t="shared" si="127"/>
        <v>5946</v>
      </c>
      <c r="I1100" s="27"/>
      <c r="J1100" s="27"/>
      <c r="K1100" s="99"/>
      <c r="L1100" s="27">
        <v>5524</v>
      </c>
      <c r="M1100" s="29">
        <f t="shared" si="128"/>
        <v>422</v>
      </c>
      <c r="N1100" s="29"/>
      <c r="O1100" s="44">
        <f t="shared" si="129"/>
        <v>7.0972082071981163E-2</v>
      </c>
    </row>
    <row r="1101" spans="1:15" ht="20.100000000000001" customHeight="1" x14ac:dyDescent="0.25">
      <c r="A1101" s="89">
        <v>351</v>
      </c>
      <c r="B1101" s="4">
        <v>43234</v>
      </c>
      <c r="C1101" s="26" t="s">
        <v>194</v>
      </c>
      <c r="D1101" s="3">
        <v>48190</v>
      </c>
      <c r="E1101" s="4">
        <v>43235</v>
      </c>
      <c r="F1101" s="92" t="s">
        <v>28</v>
      </c>
      <c r="G1101" s="32">
        <v>43237</v>
      </c>
      <c r="H1101" s="27">
        <f t="shared" si="127"/>
        <v>48190</v>
      </c>
      <c r="I1101" s="27"/>
      <c r="J1101" s="27"/>
      <c r="K1101" s="99"/>
      <c r="L1101" s="27">
        <v>34466</v>
      </c>
      <c r="M1101" s="29">
        <f t="shared" si="128"/>
        <v>13724</v>
      </c>
      <c r="N1101" s="29"/>
      <c r="O1101" s="44">
        <f t="shared" si="129"/>
        <v>0.28478937538908489</v>
      </c>
    </row>
    <row r="1102" spans="1:15" ht="20.100000000000001" customHeight="1" x14ac:dyDescent="0.25">
      <c r="A1102" s="89">
        <v>358</v>
      </c>
      <c r="B1102" s="4">
        <v>43235</v>
      </c>
      <c r="C1102" s="5" t="s">
        <v>328</v>
      </c>
      <c r="D1102" s="3">
        <v>669</v>
      </c>
      <c r="E1102" s="4">
        <v>43236</v>
      </c>
      <c r="F1102" s="92" t="s">
        <v>28</v>
      </c>
      <c r="G1102" s="32">
        <v>43238</v>
      </c>
      <c r="H1102" s="27">
        <f t="shared" si="127"/>
        <v>669</v>
      </c>
      <c r="I1102" s="27">
        <f>H1102</f>
        <v>669</v>
      </c>
      <c r="J1102" s="27"/>
      <c r="K1102" s="99"/>
      <c r="L1102" s="27">
        <v>439</v>
      </c>
      <c r="M1102" s="29">
        <f t="shared" si="128"/>
        <v>230</v>
      </c>
      <c r="N1102" s="29">
        <f>M1102</f>
        <v>230</v>
      </c>
      <c r="O1102" s="44">
        <f t="shared" si="129"/>
        <v>0.34379671150971597</v>
      </c>
    </row>
    <row r="1103" spans="1:15" ht="20.100000000000001" customHeight="1" x14ac:dyDescent="0.25">
      <c r="A1103" s="89">
        <v>337</v>
      </c>
      <c r="B1103" s="4">
        <v>43227</v>
      </c>
      <c r="C1103" s="5" t="s">
        <v>324</v>
      </c>
      <c r="D1103" s="3">
        <v>1187</v>
      </c>
      <c r="E1103" s="4">
        <v>43236</v>
      </c>
      <c r="F1103" s="92" t="s">
        <v>28</v>
      </c>
      <c r="G1103" s="32">
        <v>43236</v>
      </c>
      <c r="H1103" s="27">
        <f t="shared" si="127"/>
        <v>1187</v>
      </c>
      <c r="I1103" s="27">
        <f>H1103</f>
        <v>1187</v>
      </c>
      <c r="J1103" s="27"/>
      <c r="K1103" s="99"/>
      <c r="L1103" s="27">
        <v>832</v>
      </c>
      <c r="M1103" s="29">
        <f t="shared" si="128"/>
        <v>355</v>
      </c>
      <c r="N1103" s="29">
        <f>M1103</f>
        <v>355</v>
      </c>
      <c r="O1103" s="44">
        <f t="shared" si="129"/>
        <v>0.29907329401853411</v>
      </c>
    </row>
    <row r="1104" spans="1:15" ht="20.100000000000001" customHeight="1" x14ac:dyDescent="0.25">
      <c r="A1104" s="89">
        <v>344</v>
      </c>
      <c r="B1104" s="4">
        <v>43228</v>
      </c>
      <c r="C1104" s="26" t="s">
        <v>329</v>
      </c>
      <c r="D1104" s="3">
        <v>5289</v>
      </c>
      <c r="E1104" s="4">
        <v>43236</v>
      </c>
      <c r="F1104" s="92" t="s">
        <v>28</v>
      </c>
      <c r="G1104" s="32">
        <v>43250</v>
      </c>
      <c r="H1104" s="27">
        <f t="shared" si="127"/>
        <v>5289</v>
      </c>
      <c r="I1104" s="27"/>
      <c r="J1104" s="27"/>
      <c r="K1104" s="99"/>
      <c r="L1104" s="27">
        <v>3490</v>
      </c>
      <c r="M1104" s="29">
        <f t="shared" si="128"/>
        <v>1799</v>
      </c>
      <c r="N1104" s="29"/>
      <c r="O1104" s="44">
        <f t="shared" si="129"/>
        <v>0.34013991302703722</v>
      </c>
    </row>
    <row r="1105" spans="1:15" ht="20.100000000000001" customHeight="1" x14ac:dyDescent="0.25">
      <c r="A1105" s="89">
        <v>375</v>
      </c>
      <c r="B1105" s="4">
        <v>43237</v>
      </c>
      <c r="C1105" s="26" t="s">
        <v>216</v>
      </c>
      <c r="D1105" s="3">
        <v>2815.2</v>
      </c>
      <c r="E1105" s="4">
        <v>43237</v>
      </c>
      <c r="F1105" s="92" t="s">
        <v>28</v>
      </c>
      <c r="G1105" s="32">
        <v>43248</v>
      </c>
      <c r="H1105" s="27">
        <f t="shared" si="127"/>
        <v>2815.2</v>
      </c>
      <c r="I1105" s="27"/>
      <c r="J1105" s="27"/>
      <c r="K1105" s="99"/>
      <c r="L1105" s="27">
        <v>2582</v>
      </c>
      <c r="M1105" s="29">
        <f t="shared" si="128"/>
        <v>233.19999999999982</v>
      </c>
      <c r="N1105" s="29"/>
      <c r="O1105" s="44">
        <f t="shared" si="129"/>
        <v>8.2836032963910136E-2</v>
      </c>
    </row>
    <row r="1106" spans="1:15" ht="20.100000000000001" customHeight="1" x14ac:dyDescent="0.25">
      <c r="A1106" s="89">
        <v>362</v>
      </c>
      <c r="B1106" s="4">
        <v>43235</v>
      </c>
      <c r="C1106" s="26" t="s">
        <v>216</v>
      </c>
      <c r="D1106" s="3">
        <v>5426.4</v>
      </c>
      <c r="E1106" s="4">
        <v>43237</v>
      </c>
      <c r="F1106" s="92" t="s">
        <v>28</v>
      </c>
      <c r="G1106" s="32">
        <v>43248</v>
      </c>
      <c r="H1106" s="27">
        <f t="shared" si="127"/>
        <v>5426.4</v>
      </c>
      <c r="I1106" s="27"/>
      <c r="J1106" s="27"/>
      <c r="K1106" s="99"/>
      <c r="L1106" s="27">
        <v>4213</v>
      </c>
      <c r="M1106" s="29">
        <f t="shared" si="128"/>
        <v>1213.3999999999996</v>
      </c>
      <c r="N1106" s="29"/>
      <c r="O1106" s="44">
        <f t="shared" si="129"/>
        <v>0.22361049683031101</v>
      </c>
    </row>
    <row r="1107" spans="1:15" ht="20.100000000000001" customHeight="1" x14ac:dyDescent="0.25">
      <c r="A1107" s="89">
        <v>363</v>
      </c>
      <c r="B1107" s="4">
        <v>43235</v>
      </c>
      <c r="C1107" s="5" t="s">
        <v>327</v>
      </c>
      <c r="D1107" s="3">
        <v>5549</v>
      </c>
      <c r="E1107" s="4">
        <v>43237</v>
      </c>
      <c r="F1107" s="92" t="s">
        <v>28</v>
      </c>
      <c r="G1107" s="32">
        <v>43252</v>
      </c>
      <c r="H1107" s="27">
        <f t="shared" si="127"/>
        <v>5549</v>
      </c>
      <c r="I1107" s="27">
        <f>H1107</f>
        <v>5549</v>
      </c>
      <c r="J1107" s="27"/>
      <c r="K1107" s="99"/>
      <c r="L1107" s="27">
        <v>3607</v>
      </c>
      <c r="M1107" s="29">
        <f t="shared" si="128"/>
        <v>1942</v>
      </c>
      <c r="N1107" s="29">
        <f>M1107</f>
        <v>1942</v>
      </c>
      <c r="O1107" s="44">
        <f t="shared" si="129"/>
        <v>0.34997296810236078</v>
      </c>
    </row>
    <row r="1108" spans="1:15" ht="20.100000000000001" customHeight="1" x14ac:dyDescent="0.25">
      <c r="A1108" s="89">
        <v>263</v>
      </c>
      <c r="B1108" s="4">
        <v>43207</v>
      </c>
      <c r="C1108" s="26" t="s">
        <v>99</v>
      </c>
      <c r="D1108" s="3">
        <v>234400</v>
      </c>
      <c r="E1108" s="4">
        <v>43242</v>
      </c>
      <c r="F1108" s="92" t="s">
        <v>28</v>
      </c>
      <c r="G1108" s="32">
        <v>43216</v>
      </c>
      <c r="H1108" s="27">
        <f t="shared" si="127"/>
        <v>234400</v>
      </c>
      <c r="I1108" s="27"/>
      <c r="J1108" s="27">
        <v>60000</v>
      </c>
      <c r="K1108" s="99">
        <f>24*1200</f>
        <v>28800</v>
      </c>
      <c r="L1108" s="27">
        <v>29200</v>
      </c>
      <c r="M1108" s="29">
        <f t="shared" si="128"/>
        <v>116400</v>
      </c>
      <c r="N1108" s="29"/>
      <c r="O1108" s="44">
        <f t="shared" si="129"/>
        <v>0.49658703071672355</v>
      </c>
    </row>
    <row r="1109" spans="1:15" ht="20.100000000000001" customHeight="1" x14ac:dyDescent="0.25">
      <c r="A1109" s="89">
        <v>391</v>
      </c>
      <c r="B1109" s="4">
        <v>43241</v>
      </c>
      <c r="C1109" s="26" t="s">
        <v>209</v>
      </c>
      <c r="D1109" s="3">
        <v>7211.4</v>
      </c>
      <c r="E1109" s="4">
        <v>43242</v>
      </c>
      <c r="F1109" s="92" t="s">
        <v>28</v>
      </c>
      <c r="G1109" s="32">
        <v>43241</v>
      </c>
      <c r="H1109" s="27">
        <f t="shared" si="127"/>
        <v>7211.4</v>
      </c>
      <c r="I1109" s="27"/>
      <c r="J1109" s="27"/>
      <c r="K1109" s="99"/>
      <c r="L1109" s="27">
        <v>5358</v>
      </c>
      <c r="M1109" s="29">
        <f t="shared" si="128"/>
        <v>1853.3999999999996</v>
      </c>
      <c r="N1109" s="29"/>
      <c r="O1109" s="44">
        <f t="shared" si="129"/>
        <v>0.25700973458690402</v>
      </c>
    </row>
    <row r="1110" spans="1:15" ht="20.100000000000001" customHeight="1" x14ac:dyDescent="0.25">
      <c r="A1110" s="89">
        <v>280</v>
      </c>
      <c r="B1110" s="4">
        <v>43209</v>
      </c>
      <c r="C1110" s="26" t="s">
        <v>56</v>
      </c>
      <c r="D1110" s="3">
        <v>14175</v>
      </c>
      <c r="E1110" s="4">
        <v>43243</v>
      </c>
      <c r="F1110" s="92" t="s">
        <v>28</v>
      </c>
      <c r="G1110" s="32">
        <v>43237</v>
      </c>
      <c r="H1110" s="27">
        <f t="shared" si="127"/>
        <v>14175</v>
      </c>
      <c r="I1110" s="27"/>
      <c r="J1110" s="27"/>
      <c r="K1110" s="99"/>
      <c r="L1110" s="27">
        <v>8917.9</v>
      </c>
      <c r="M1110" s="29">
        <f t="shared" si="128"/>
        <v>5257.1</v>
      </c>
      <c r="N1110" s="29"/>
      <c r="O1110" s="44">
        <f t="shared" si="129"/>
        <v>0.37087125220458556</v>
      </c>
    </row>
    <row r="1111" spans="1:15" ht="20.100000000000001" customHeight="1" x14ac:dyDescent="0.25">
      <c r="A1111" s="89">
        <v>121</v>
      </c>
      <c r="B1111" s="4">
        <v>43214</v>
      </c>
      <c r="C1111" s="26" t="s">
        <v>65</v>
      </c>
      <c r="D1111" s="3">
        <v>37199.919999999998</v>
      </c>
      <c r="E1111" s="4">
        <v>43244</v>
      </c>
      <c r="F1111" s="92" t="s">
        <v>28</v>
      </c>
      <c r="G1111" s="32">
        <v>43228</v>
      </c>
      <c r="H1111" s="27">
        <f t="shared" si="127"/>
        <v>37199.919999999998</v>
      </c>
      <c r="I1111" s="27"/>
      <c r="J1111" s="27"/>
      <c r="K1111" s="99"/>
      <c r="L1111" s="27">
        <v>30422</v>
      </c>
      <c r="M1111" s="29">
        <f t="shared" si="128"/>
        <v>6777.9199999999983</v>
      </c>
      <c r="N1111" s="29"/>
      <c r="O1111" s="44">
        <f t="shared" si="129"/>
        <v>0.18220254237105882</v>
      </c>
    </row>
    <row r="1112" spans="1:15" ht="20.100000000000001" customHeight="1" x14ac:dyDescent="0.25">
      <c r="A1112" s="89">
        <v>287</v>
      </c>
      <c r="B1112" s="4">
        <v>43213</v>
      </c>
      <c r="C1112" s="26" t="s">
        <v>65</v>
      </c>
      <c r="D1112" s="3">
        <v>121200</v>
      </c>
      <c r="E1112" s="4">
        <v>43244</v>
      </c>
      <c r="F1112" s="92" t="s">
        <v>28</v>
      </c>
      <c r="G1112" s="32">
        <v>43242</v>
      </c>
      <c r="H1112" s="27">
        <v>37199.919999999998</v>
      </c>
      <c r="I1112" s="27"/>
      <c r="J1112" s="27"/>
      <c r="K1112" s="99"/>
      <c r="L1112" s="27">
        <v>15000</v>
      </c>
      <c r="M1112" s="29">
        <f t="shared" si="128"/>
        <v>22199.919999999998</v>
      </c>
      <c r="N1112" s="29"/>
      <c r="O1112" s="44">
        <f t="shared" si="129"/>
        <v>0.59677332639425029</v>
      </c>
    </row>
    <row r="1113" spans="1:15" ht="20.100000000000001" customHeight="1" x14ac:dyDescent="0.25">
      <c r="A1113" s="89">
        <v>408</v>
      </c>
      <c r="B1113" s="4">
        <v>43243</v>
      </c>
      <c r="C1113" s="26" t="s">
        <v>169</v>
      </c>
      <c r="D1113" s="3">
        <v>99439</v>
      </c>
      <c r="E1113" s="4">
        <v>43244</v>
      </c>
      <c r="F1113" s="92" t="s">
        <v>28</v>
      </c>
      <c r="G1113" s="32">
        <v>43257</v>
      </c>
      <c r="H1113" s="27">
        <f t="shared" ref="H1113:H1123" si="130">D1113</f>
        <v>99439</v>
      </c>
      <c r="I1113" s="27"/>
      <c r="J1113" s="27"/>
      <c r="K1113" s="99">
        <v>600</v>
      </c>
      <c r="L1113" s="27">
        <v>73269</v>
      </c>
      <c r="M1113" s="29">
        <f t="shared" si="128"/>
        <v>25570</v>
      </c>
      <c r="N1113" s="29"/>
      <c r="O1113" s="44">
        <f t="shared" si="129"/>
        <v>0.25714256981667155</v>
      </c>
    </row>
    <row r="1114" spans="1:15" ht="20.100000000000001" customHeight="1" x14ac:dyDescent="0.25">
      <c r="A1114" s="89">
        <v>416</v>
      </c>
      <c r="B1114" s="4">
        <v>43244</v>
      </c>
      <c r="C1114" s="26" t="s">
        <v>292</v>
      </c>
      <c r="D1114" s="3">
        <v>11035</v>
      </c>
      <c r="E1114" s="4">
        <v>43245</v>
      </c>
      <c r="F1114" s="92" t="s">
        <v>28</v>
      </c>
      <c r="G1114" s="32">
        <v>43259</v>
      </c>
      <c r="H1114" s="27">
        <f t="shared" si="130"/>
        <v>11035</v>
      </c>
      <c r="I1114" s="27"/>
      <c r="J1114" s="27"/>
      <c r="K1114" s="99"/>
      <c r="L1114" s="27">
        <v>7661</v>
      </c>
      <c r="M1114" s="29">
        <f t="shared" si="128"/>
        <v>3374</v>
      </c>
      <c r="N1114" s="29"/>
      <c r="O1114" s="44">
        <f t="shared" si="129"/>
        <v>0.3057544177616674</v>
      </c>
    </row>
    <row r="1115" spans="1:15" ht="20.100000000000001" customHeight="1" x14ac:dyDescent="0.25">
      <c r="A1115" s="89">
        <v>247</v>
      </c>
      <c r="B1115" s="4">
        <v>43200</v>
      </c>
      <c r="C1115" s="26" t="s">
        <v>99</v>
      </c>
      <c r="D1115" s="3">
        <v>46230</v>
      </c>
      <c r="E1115" s="4">
        <v>43248</v>
      </c>
      <c r="F1115" s="92" t="s">
        <v>28</v>
      </c>
      <c r="G1115" s="32">
        <v>43209</v>
      </c>
      <c r="H1115" s="27">
        <f t="shared" si="130"/>
        <v>46230</v>
      </c>
      <c r="I1115" s="27"/>
      <c r="J1115" s="27"/>
      <c r="K1115" s="99"/>
      <c r="L1115" s="27">
        <v>31157</v>
      </c>
      <c r="M1115" s="29">
        <f t="shared" si="128"/>
        <v>15073</v>
      </c>
      <c r="N1115" s="29"/>
      <c r="O1115" s="44">
        <f t="shared" si="129"/>
        <v>0.32604369457062515</v>
      </c>
    </row>
    <row r="1116" spans="1:15" ht="20.100000000000001" customHeight="1" x14ac:dyDescent="0.25">
      <c r="A1116" s="89">
        <v>218</v>
      </c>
      <c r="B1116" s="4">
        <v>43192</v>
      </c>
      <c r="C1116" s="26" t="s">
        <v>99</v>
      </c>
      <c r="D1116" s="3">
        <v>123596</v>
      </c>
      <c r="E1116" s="4">
        <v>43248</v>
      </c>
      <c r="F1116" s="92" t="s">
        <v>28</v>
      </c>
      <c r="G1116" s="32">
        <v>43209</v>
      </c>
      <c r="H1116" s="27">
        <f t="shared" si="130"/>
        <v>123596</v>
      </c>
      <c r="I1116" s="27"/>
      <c r="J1116" s="27"/>
      <c r="K1116" s="99"/>
      <c r="L1116" s="27">
        <v>92944</v>
      </c>
      <c r="M1116" s="29">
        <f t="shared" si="128"/>
        <v>30652</v>
      </c>
      <c r="N1116" s="29"/>
      <c r="O1116" s="44">
        <f t="shared" si="129"/>
        <v>0.24800155344833166</v>
      </c>
    </row>
    <row r="1117" spans="1:15" ht="20.100000000000001" customHeight="1" x14ac:dyDescent="0.25">
      <c r="A1117" s="89">
        <v>135</v>
      </c>
      <c r="B1117" s="4">
        <v>43217</v>
      </c>
      <c r="C1117" s="26" t="s">
        <v>99</v>
      </c>
      <c r="D1117" s="3">
        <v>425670</v>
      </c>
      <c r="E1117" s="4">
        <v>43248</v>
      </c>
      <c r="F1117" s="92" t="s">
        <v>28</v>
      </c>
      <c r="G1117" s="32">
        <v>43223</v>
      </c>
      <c r="H1117" s="27">
        <f t="shared" si="130"/>
        <v>425670</v>
      </c>
      <c r="I1117" s="27"/>
      <c r="J1117" s="27"/>
      <c r="K1117" s="99"/>
      <c r="L1117" s="27">
        <v>317496</v>
      </c>
      <c r="M1117" s="29">
        <f t="shared" si="128"/>
        <v>108174</v>
      </c>
      <c r="N1117" s="29"/>
      <c r="O1117" s="44">
        <f t="shared" si="129"/>
        <v>0.25412643597152723</v>
      </c>
    </row>
    <row r="1118" spans="1:15" ht="20.100000000000001" customHeight="1" x14ac:dyDescent="0.25">
      <c r="A1118" s="89">
        <v>429</v>
      </c>
      <c r="B1118" s="4">
        <v>43249</v>
      </c>
      <c r="C1118" s="5" t="s">
        <v>330</v>
      </c>
      <c r="D1118" s="3">
        <v>53490</v>
      </c>
      <c r="E1118" s="4">
        <v>43249</v>
      </c>
      <c r="F1118" s="92" t="s">
        <v>28</v>
      </c>
      <c r="G1118" s="32">
        <v>43250</v>
      </c>
      <c r="H1118" s="27">
        <f t="shared" si="130"/>
        <v>53490</v>
      </c>
      <c r="I1118" s="27">
        <f>H1118</f>
        <v>53490</v>
      </c>
      <c r="J1118" s="27"/>
      <c r="K1118" s="99"/>
      <c r="L1118" s="27">
        <v>36129</v>
      </c>
      <c r="M1118" s="29">
        <f t="shared" si="128"/>
        <v>17361</v>
      </c>
      <c r="N1118" s="29">
        <f>M1118</f>
        <v>17361</v>
      </c>
      <c r="O1118" s="44">
        <f t="shared" si="129"/>
        <v>0.32456533931575998</v>
      </c>
    </row>
    <row r="1119" spans="1:15" ht="20.100000000000001" customHeight="1" x14ac:dyDescent="0.25">
      <c r="A1119" s="89">
        <v>403</v>
      </c>
      <c r="B1119" s="4">
        <v>43243</v>
      </c>
      <c r="C1119" s="26" t="s">
        <v>186</v>
      </c>
      <c r="D1119" s="3">
        <v>9208</v>
      </c>
      <c r="E1119" s="4">
        <v>43249</v>
      </c>
      <c r="F1119" s="92" t="s">
        <v>28</v>
      </c>
      <c r="G1119" s="32">
        <v>43250</v>
      </c>
      <c r="H1119" s="27">
        <f t="shared" si="130"/>
        <v>9208</v>
      </c>
      <c r="I1119" s="27"/>
      <c r="J1119" s="27"/>
      <c r="K1119" s="99"/>
      <c r="L1119" s="27">
        <v>6754</v>
      </c>
      <c r="M1119" s="29">
        <f t="shared" si="128"/>
        <v>2454</v>
      </c>
      <c r="N1119" s="29"/>
      <c r="O1119" s="44">
        <f t="shared" si="129"/>
        <v>0.2665073848827107</v>
      </c>
    </row>
    <row r="1120" spans="1:15" ht="20.100000000000001" customHeight="1" x14ac:dyDescent="0.25">
      <c r="A1120" s="89">
        <v>382</v>
      </c>
      <c r="B1120" s="4">
        <v>43238</v>
      </c>
      <c r="C1120" s="5" t="s">
        <v>328</v>
      </c>
      <c r="D1120" s="3">
        <v>735</v>
      </c>
      <c r="E1120" s="4">
        <v>43249</v>
      </c>
      <c r="F1120" s="92" t="s">
        <v>28</v>
      </c>
      <c r="G1120" s="32">
        <v>43256</v>
      </c>
      <c r="H1120" s="27">
        <f t="shared" si="130"/>
        <v>735</v>
      </c>
      <c r="I1120" s="27">
        <f>H1120</f>
        <v>735</v>
      </c>
      <c r="J1120" s="27"/>
      <c r="K1120" s="99"/>
      <c r="L1120" s="27">
        <v>573</v>
      </c>
      <c r="M1120" s="29">
        <f t="shared" si="128"/>
        <v>162</v>
      </c>
      <c r="N1120" s="29">
        <f>M1120</f>
        <v>162</v>
      </c>
      <c r="O1120" s="44">
        <f t="shared" si="129"/>
        <v>0.22040816326530613</v>
      </c>
    </row>
    <row r="1121" spans="1:15" ht="20.100000000000001" customHeight="1" x14ac:dyDescent="0.25">
      <c r="A1121" s="89">
        <v>301</v>
      </c>
      <c r="B1121" s="4">
        <v>43214</v>
      </c>
      <c r="C1121" s="26" t="s">
        <v>147</v>
      </c>
      <c r="D1121" s="3">
        <v>9640</v>
      </c>
      <c r="E1121" s="4">
        <v>43249</v>
      </c>
      <c r="F1121" s="92" t="s">
        <v>28</v>
      </c>
      <c r="G1121" s="32">
        <v>43250</v>
      </c>
      <c r="H1121" s="27">
        <f t="shared" si="130"/>
        <v>9640</v>
      </c>
      <c r="I1121" s="27"/>
      <c r="J1121" s="27"/>
      <c r="K1121" s="99"/>
      <c r="L1121" s="27">
        <v>7512</v>
      </c>
      <c r="M1121" s="29">
        <f t="shared" si="128"/>
        <v>2128</v>
      </c>
      <c r="N1121" s="29"/>
      <c r="O1121" s="44">
        <f t="shared" si="129"/>
        <v>0.22074688796680497</v>
      </c>
    </row>
    <row r="1122" spans="1:15" ht="20.100000000000001" customHeight="1" x14ac:dyDescent="0.25">
      <c r="A1122" s="89">
        <v>436</v>
      </c>
      <c r="B1122" s="4">
        <v>43250</v>
      </c>
      <c r="C1122" s="5" t="s">
        <v>330</v>
      </c>
      <c r="D1122" s="3">
        <v>2544</v>
      </c>
      <c r="E1122" s="4">
        <v>43250</v>
      </c>
      <c r="F1122" s="92" t="s">
        <v>28</v>
      </c>
      <c r="G1122" s="32">
        <v>43250</v>
      </c>
      <c r="H1122" s="27">
        <f t="shared" si="130"/>
        <v>2544</v>
      </c>
      <c r="I1122" s="27">
        <f>H1122</f>
        <v>2544</v>
      </c>
      <c r="J1122" s="27"/>
      <c r="K1122" s="99"/>
      <c r="L1122" s="27">
        <v>1878</v>
      </c>
      <c r="M1122" s="29">
        <f t="shared" si="128"/>
        <v>666</v>
      </c>
      <c r="N1122" s="29">
        <f>M1122</f>
        <v>666</v>
      </c>
      <c r="O1122" s="44">
        <f t="shared" si="129"/>
        <v>0.2617924528301887</v>
      </c>
    </row>
    <row r="1123" spans="1:15" ht="20.100000000000001" customHeight="1" x14ac:dyDescent="0.25">
      <c r="A1123" s="89">
        <v>417</v>
      </c>
      <c r="B1123" s="4">
        <v>43245</v>
      </c>
      <c r="C1123" s="26" t="s">
        <v>49</v>
      </c>
      <c r="D1123" s="3">
        <v>7245</v>
      </c>
      <c r="E1123" s="4">
        <v>43250</v>
      </c>
      <c r="F1123" s="92" t="s">
        <v>28</v>
      </c>
      <c r="G1123" s="32">
        <v>43258</v>
      </c>
      <c r="H1123" s="27">
        <f t="shared" si="130"/>
        <v>7245</v>
      </c>
      <c r="I1123" s="27"/>
      <c r="J1123" s="27"/>
      <c r="K1123" s="99"/>
      <c r="L1123" s="27">
        <v>4705</v>
      </c>
      <c r="M1123" s="29">
        <f t="shared" si="128"/>
        <v>2540</v>
      </c>
      <c r="N1123" s="29"/>
      <c r="O1123" s="44">
        <f t="shared" si="129"/>
        <v>0.3505866114561767</v>
      </c>
    </row>
    <row r="1124" spans="1:15" ht="19.5" customHeight="1" x14ac:dyDescent="0.25">
      <c r="A1124" s="89"/>
      <c r="B1124" s="4"/>
      <c r="C1124" s="5"/>
      <c r="D1124" s="3"/>
      <c r="E1124" s="97">
        <v>94500</v>
      </c>
      <c r="F1124" s="98">
        <f>M1124*0.17+N1124*0.06</f>
        <v>94967.128300000011</v>
      </c>
      <c r="G1124" s="21">
        <f>H1124*0.05+I1124*0.02</f>
        <v>86250.424500000008</v>
      </c>
      <c r="H1124" s="16">
        <f t="shared" ref="H1124:N1124" si="131">SUM(H1087:H1123)</f>
        <v>1677366.8900000001</v>
      </c>
      <c r="I1124" s="16">
        <f t="shared" si="131"/>
        <v>119104</v>
      </c>
      <c r="J1124" s="16">
        <f t="shared" si="131"/>
        <v>90000</v>
      </c>
      <c r="K1124" s="16">
        <f t="shared" si="131"/>
        <v>29400</v>
      </c>
      <c r="L1124" s="16">
        <f t="shared" si="131"/>
        <v>1011993.9</v>
      </c>
      <c r="M1124" s="16">
        <f t="shared" si="131"/>
        <v>545972.99</v>
      </c>
      <c r="N1124" s="16">
        <f t="shared" si="131"/>
        <v>35862</v>
      </c>
      <c r="O1124" s="44">
        <f t="shared" si="129"/>
        <v>0.32549407840046252</v>
      </c>
    </row>
    <row r="1125" spans="1:15" ht="23.25" x14ac:dyDescent="0.35">
      <c r="C1125" s="94" t="s">
        <v>640</v>
      </c>
    </row>
    <row r="1126" spans="1:15" ht="20.100000000000001" customHeight="1" x14ac:dyDescent="0.25">
      <c r="A1126" s="89">
        <v>424</v>
      </c>
      <c r="B1126" s="4">
        <v>43248</v>
      </c>
      <c r="C1126" s="26" t="s">
        <v>216</v>
      </c>
      <c r="D1126" s="3">
        <v>4435.3</v>
      </c>
      <c r="E1126" s="4">
        <v>43252</v>
      </c>
      <c r="F1126" s="92" t="s">
        <v>28</v>
      </c>
      <c r="G1126" s="32">
        <v>43257</v>
      </c>
      <c r="H1126" s="27">
        <f>D1126</f>
        <v>4435.3</v>
      </c>
      <c r="I1126" s="27"/>
      <c r="J1126" s="27"/>
      <c r="K1126" s="99"/>
      <c r="L1126" s="27">
        <v>3839</v>
      </c>
      <c r="M1126" s="29">
        <f t="shared" ref="M1126:M1165" si="132">H1126-L1126-J1126-K1126</f>
        <v>596.30000000000018</v>
      </c>
      <c r="N1126" s="29"/>
      <c r="O1126" s="44">
        <f t="shared" ref="O1126:O1166" si="133">M1126/H1126</f>
        <v>0.13444411877437831</v>
      </c>
    </row>
    <row r="1127" spans="1:15" ht="20.100000000000001" customHeight="1" x14ac:dyDescent="0.25">
      <c r="A1127" s="89">
        <v>446</v>
      </c>
      <c r="B1127" s="4">
        <v>43252</v>
      </c>
      <c r="C1127" s="5" t="s">
        <v>331</v>
      </c>
      <c r="D1127" s="3">
        <v>38540</v>
      </c>
      <c r="E1127" s="4">
        <v>43252</v>
      </c>
      <c r="F1127" s="92" t="s">
        <v>28</v>
      </c>
      <c r="G1127" s="32">
        <v>43253</v>
      </c>
      <c r="H1127" s="27">
        <f>D1127</f>
        <v>38540</v>
      </c>
      <c r="I1127" s="27">
        <f>H1127</f>
        <v>38540</v>
      </c>
      <c r="J1127" s="27"/>
      <c r="K1127" s="99"/>
      <c r="L1127" s="27">
        <v>29506</v>
      </c>
      <c r="M1127" s="29">
        <f t="shared" si="132"/>
        <v>9034</v>
      </c>
      <c r="N1127" s="29">
        <f>M1127</f>
        <v>9034</v>
      </c>
      <c r="O1127" s="44">
        <f t="shared" si="133"/>
        <v>0.23440581214322781</v>
      </c>
    </row>
    <row r="1128" spans="1:15" ht="20.100000000000001" customHeight="1" x14ac:dyDescent="0.25">
      <c r="A1128" s="89">
        <v>401</v>
      </c>
      <c r="B1128" s="4">
        <v>43243</v>
      </c>
      <c r="C1128" s="26" t="s">
        <v>182</v>
      </c>
      <c r="D1128" s="3">
        <v>16259</v>
      </c>
      <c r="E1128" s="4">
        <v>43255</v>
      </c>
      <c r="F1128" s="92" t="s">
        <v>28</v>
      </c>
      <c r="G1128" s="32">
        <v>43258</v>
      </c>
      <c r="H1128" s="27">
        <f>D1128</f>
        <v>16259</v>
      </c>
      <c r="I1128" s="27"/>
      <c r="J1128" s="27"/>
      <c r="K1128" s="99"/>
      <c r="L1128" s="27">
        <v>9465.9</v>
      </c>
      <c r="M1128" s="29">
        <f t="shared" si="132"/>
        <v>6793.1</v>
      </c>
      <c r="N1128" s="29"/>
      <c r="O1128" s="44">
        <f t="shared" si="133"/>
        <v>0.41780552309490132</v>
      </c>
    </row>
    <row r="1129" spans="1:15" ht="20.100000000000001" customHeight="1" x14ac:dyDescent="0.25">
      <c r="A1129" s="89">
        <v>441</v>
      </c>
      <c r="B1129" s="4">
        <v>43250</v>
      </c>
      <c r="C1129" s="26" t="s">
        <v>162</v>
      </c>
      <c r="D1129" s="3">
        <v>63390</v>
      </c>
      <c r="E1129" s="4">
        <v>43255</v>
      </c>
      <c r="F1129" s="92" t="s">
        <v>28</v>
      </c>
      <c r="G1129" s="32">
        <v>43258</v>
      </c>
      <c r="H1129" s="27">
        <f>D1129</f>
        <v>63390</v>
      </c>
      <c r="I1129" s="27"/>
      <c r="J1129" s="27"/>
      <c r="K1129" s="99"/>
      <c r="L1129" s="27">
        <v>47922</v>
      </c>
      <c r="M1129" s="29">
        <f t="shared" si="132"/>
        <v>15468</v>
      </c>
      <c r="N1129" s="29"/>
      <c r="O1129" s="44">
        <f t="shared" si="133"/>
        <v>0.24401325130146712</v>
      </c>
    </row>
    <row r="1130" spans="1:15" ht="20.100000000000001" customHeight="1" x14ac:dyDescent="0.25">
      <c r="A1130" s="89">
        <v>455</v>
      </c>
      <c r="B1130" s="4">
        <v>43256</v>
      </c>
      <c r="C1130" s="26" t="s">
        <v>281</v>
      </c>
      <c r="D1130" s="3">
        <v>2160</v>
      </c>
      <c r="E1130" s="4">
        <v>43256</v>
      </c>
      <c r="F1130" s="92" t="s">
        <v>28</v>
      </c>
      <c r="G1130" s="32">
        <v>43256</v>
      </c>
      <c r="H1130" s="27">
        <f>D1130</f>
        <v>2160</v>
      </c>
      <c r="I1130" s="27"/>
      <c r="J1130" s="27"/>
      <c r="K1130" s="99"/>
      <c r="L1130" s="27">
        <v>1638</v>
      </c>
      <c r="M1130" s="29">
        <f t="shared" si="132"/>
        <v>522</v>
      </c>
      <c r="N1130" s="29"/>
      <c r="O1130" s="44">
        <f t="shared" si="133"/>
        <v>0.24166666666666667</v>
      </c>
    </row>
    <row r="1131" spans="1:15" ht="20.100000000000001" customHeight="1" x14ac:dyDescent="0.25">
      <c r="A1131" s="89">
        <v>287</v>
      </c>
      <c r="B1131" s="4">
        <v>43213</v>
      </c>
      <c r="C1131" s="26" t="s">
        <v>65</v>
      </c>
      <c r="D1131" s="3">
        <v>121200</v>
      </c>
      <c r="E1131" s="4">
        <v>43256</v>
      </c>
      <c r="F1131" s="92" t="s">
        <v>28</v>
      </c>
      <c r="G1131" s="32">
        <v>43242</v>
      </c>
      <c r="H1131" s="27">
        <v>84000.08</v>
      </c>
      <c r="I1131" s="27"/>
      <c r="J1131" s="27"/>
      <c r="K1131" s="99">
        <f>600*8</f>
        <v>4800</v>
      </c>
      <c r="L1131" s="27">
        <v>31152</v>
      </c>
      <c r="M1131" s="29">
        <f t="shared" si="132"/>
        <v>48048.08</v>
      </c>
      <c r="N1131" s="29"/>
      <c r="O1131" s="44">
        <f t="shared" si="133"/>
        <v>0.57200040761865945</v>
      </c>
    </row>
    <row r="1132" spans="1:15" ht="20.100000000000001" customHeight="1" x14ac:dyDescent="0.25">
      <c r="A1132" s="89">
        <v>447</v>
      </c>
      <c r="B1132" s="4">
        <v>43252</v>
      </c>
      <c r="C1132" s="26" t="s">
        <v>216</v>
      </c>
      <c r="D1132" s="3">
        <v>2953.75</v>
      </c>
      <c r="E1132" s="4">
        <v>43256</v>
      </c>
      <c r="F1132" s="92" t="s">
        <v>28</v>
      </c>
      <c r="G1132" s="32">
        <v>43269</v>
      </c>
      <c r="H1132" s="27">
        <f t="shared" ref="H1132:H1165" si="134">D1132</f>
        <v>2953.75</v>
      </c>
      <c r="I1132" s="27"/>
      <c r="J1132" s="27"/>
      <c r="K1132" s="99"/>
      <c r="L1132" s="27">
        <v>2396</v>
      </c>
      <c r="M1132" s="29">
        <f t="shared" si="132"/>
        <v>557.75</v>
      </c>
      <c r="N1132" s="29"/>
      <c r="O1132" s="44">
        <f t="shared" si="133"/>
        <v>0.18882776132035548</v>
      </c>
    </row>
    <row r="1133" spans="1:15" ht="20.100000000000001" customHeight="1" x14ac:dyDescent="0.25">
      <c r="A1133" s="89">
        <v>389</v>
      </c>
      <c r="B1133" s="4">
        <v>43241</v>
      </c>
      <c r="C1133" s="26" t="s">
        <v>33</v>
      </c>
      <c r="D1133" s="3">
        <v>9600</v>
      </c>
      <c r="E1133" s="4">
        <v>43256</v>
      </c>
      <c r="F1133" s="92" t="s">
        <v>28</v>
      </c>
      <c r="G1133" s="32">
        <v>43266</v>
      </c>
      <c r="H1133" s="27">
        <f t="shared" si="134"/>
        <v>9600</v>
      </c>
      <c r="I1133" s="27"/>
      <c r="J1133" s="27"/>
      <c r="K1133" s="99">
        <f>600*2</f>
        <v>1200</v>
      </c>
      <c r="L1133" s="27">
        <v>2514</v>
      </c>
      <c r="M1133" s="29">
        <f t="shared" si="132"/>
        <v>5886</v>
      </c>
      <c r="N1133" s="29"/>
      <c r="O1133" s="44">
        <f t="shared" si="133"/>
        <v>0.61312500000000003</v>
      </c>
    </row>
    <row r="1134" spans="1:15" ht="20.100000000000001" customHeight="1" x14ac:dyDescent="0.25">
      <c r="A1134" s="89">
        <v>378</v>
      </c>
      <c r="B1134" s="4">
        <v>43237</v>
      </c>
      <c r="C1134" s="26" t="s">
        <v>56</v>
      </c>
      <c r="D1134" s="3">
        <v>2120</v>
      </c>
      <c r="E1134" s="4">
        <v>43257</v>
      </c>
      <c r="F1134" s="92" t="s">
        <v>28</v>
      </c>
      <c r="G1134" s="32">
        <v>43249</v>
      </c>
      <c r="H1134" s="27">
        <f t="shared" si="134"/>
        <v>2120</v>
      </c>
      <c r="I1134" s="27"/>
      <c r="J1134" s="27"/>
      <c r="K1134" s="99"/>
      <c r="L1134" s="27">
        <v>1476</v>
      </c>
      <c r="M1134" s="29">
        <f t="shared" si="132"/>
        <v>644</v>
      </c>
      <c r="N1134" s="29"/>
      <c r="O1134" s="44">
        <f t="shared" si="133"/>
        <v>0.30377358490566037</v>
      </c>
    </row>
    <row r="1135" spans="1:15" ht="20.100000000000001" customHeight="1" x14ac:dyDescent="0.25">
      <c r="A1135" s="89">
        <v>460</v>
      </c>
      <c r="B1135" s="4">
        <v>43257</v>
      </c>
      <c r="C1135" s="5" t="s">
        <v>332</v>
      </c>
      <c r="D1135" s="3">
        <v>13198</v>
      </c>
      <c r="E1135" s="4">
        <v>43258</v>
      </c>
      <c r="F1135" s="92" t="s">
        <v>28</v>
      </c>
      <c r="G1135" s="32">
        <v>43264</v>
      </c>
      <c r="H1135" s="27">
        <f t="shared" si="134"/>
        <v>13198</v>
      </c>
      <c r="I1135" s="27">
        <f>H1135</f>
        <v>13198</v>
      </c>
      <c r="J1135" s="27"/>
      <c r="K1135" s="99"/>
      <c r="L1135" s="27">
        <v>9392</v>
      </c>
      <c r="M1135" s="29">
        <f t="shared" si="132"/>
        <v>3806</v>
      </c>
      <c r="N1135" s="29">
        <f>M1135</f>
        <v>3806</v>
      </c>
      <c r="O1135" s="44">
        <f t="shared" si="133"/>
        <v>0.28837702682224581</v>
      </c>
    </row>
    <row r="1136" spans="1:15" ht="19.5" customHeight="1" x14ac:dyDescent="0.25">
      <c r="A1136" s="89">
        <v>479</v>
      </c>
      <c r="B1136" s="4">
        <v>43259</v>
      </c>
      <c r="C1136" s="26" t="s">
        <v>292</v>
      </c>
      <c r="D1136" s="3">
        <v>479</v>
      </c>
      <c r="E1136" s="4">
        <v>43259</v>
      </c>
      <c r="F1136" s="92" t="s">
        <v>28</v>
      </c>
      <c r="G1136" s="32">
        <v>43259</v>
      </c>
      <c r="H1136" s="27">
        <f t="shared" si="134"/>
        <v>479</v>
      </c>
      <c r="I1136" s="27"/>
      <c r="J1136" s="27"/>
      <c r="K1136" s="99"/>
      <c r="L1136" s="27">
        <v>286</v>
      </c>
      <c r="M1136" s="29">
        <f t="shared" si="132"/>
        <v>193</v>
      </c>
      <c r="N1136" s="29"/>
      <c r="O1136" s="44">
        <f t="shared" si="133"/>
        <v>0.40292275574112735</v>
      </c>
    </row>
    <row r="1137" spans="1:15" ht="19.5" customHeight="1" x14ac:dyDescent="0.25">
      <c r="A1137" s="89">
        <v>483</v>
      </c>
      <c r="B1137" s="4">
        <v>43260</v>
      </c>
      <c r="C1137" s="26" t="s">
        <v>15</v>
      </c>
      <c r="D1137" s="3">
        <v>25440</v>
      </c>
      <c r="E1137" s="4">
        <v>43260</v>
      </c>
      <c r="F1137" s="92" t="s">
        <v>28</v>
      </c>
      <c r="G1137" s="32">
        <v>43266</v>
      </c>
      <c r="H1137" s="27">
        <f t="shared" si="134"/>
        <v>25440</v>
      </c>
      <c r="I1137" s="27"/>
      <c r="J1137" s="27"/>
      <c r="K1137" s="99"/>
      <c r="L1137" s="27">
        <v>18780</v>
      </c>
      <c r="M1137" s="29">
        <f t="shared" si="132"/>
        <v>6660</v>
      </c>
      <c r="N1137" s="29"/>
      <c r="O1137" s="44">
        <f t="shared" si="133"/>
        <v>0.2617924528301887</v>
      </c>
    </row>
    <row r="1138" spans="1:15" ht="19.5" customHeight="1" x14ac:dyDescent="0.25">
      <c r="A1138" s="89">
        <v>413</v>
      </c>
      <c r="B1138" s="4">
        <v>43244</v>
      </c>
      <c r="C1138" s="5" t="s">
        <v>333</v>
      </c>
      <c r="D1138" s="3">
        <v>19990</v>
      </c>
      <c r="E1138" s="4">
        <v>43260</v>
      </c>
      <c r="F1138" s="92" t="s">
        <v>28</v>
      </c>
      <c r="G1138" s="32">
        <v>43265</v>
      </c>
      <c r="H1138" s="27">
        <f t="shared" si="134"/>
        <v>19990</v>
      </c>
      <c r="I1138" s="27">
        <f>H1138</f>
        <v>19990</v>
      </c>
      <c r="J1138" s="27"/>
      <c r="K1138" s="99"/>
      <c r="L1138" s="27">
        <v>15742</v>
      </c>
      <c r="M1138" s="29">
        <f t="shared" si="132"/>
        <v>4248</v>
      </c>
      <c r="N1138" s="29">
        <f>M1138</f>
        <v>4248</v>
      </c>
      <c r="O1138" s="44">
        <f t="shared" si="133"/>
        <v>0.21250625312656329</v>
      </c>
    </row>
    <row r="1139" spans="1:15" ht="19.5" customHeight="1" x14ac:dyDescent="0.25">
      <c r="A1139" s="89">
        <v>487</v>
      </c>
      <c r="B1139" s="92">
        <v>43264</v>
      </c>
      <c r="C1139" s="26" t="s">
        <v>292</v>
      </c>
      <c r="D1139" s="3">
        <v>6296</v>
      </c>
      <c r="E1139" s="4">
        <v>43264</v>
      </c>
      <c r="F1139" s="92" t="s">
        <v>28</v>
      </c>
      <c r="G1139" s="32">
        <v>43277</v>
      </c>
      <c r="H1139" s="27">
        <f t="shared" si="134"/>
        <v>6296</v>
      </c>
      <c r="I1139" s="27"/>
      <c r="J1139" s="27"/>
      <c r="K1139" s="99"/>
      <c r="L1139" s="27">
        <v>4131</v>
      </c>
      <c r="M1139" s="29">
        <f t="shared" si="132"/>
        <v>2165</v>
      </c>
      <c r="N1139" s="29"/>
      <c r="O1139" s="44">
        <f t="shared" si="133"/>
        <v>0.34386912325285895</v>
      </c>
    </row>
    <row r="1140" spans="1:15" ht="19.5" customHeight="1" x14ac:dyDescent="0.25">
      <c r="A1140" s="89">
        <v>446</v>
      </c>
      <c r="B1140" s="4">
        <v>43257</v>
      </c>
      <c r="C1140" s="5" t="s">
        <v>334</v>
      </c>
      <c r="D1140" s="3">
        <v>1385</v>
      </c>
      <c r="E1140" s="4">
        <v>43265</v>
      </c>
      <c r="F1140" s="92" t="s">
        <v>28</v>
      </c>
      <c r="G1140" s="32">
        <v>43276</v>
      </c>
      <c r="H1140" s="27">
        <f t="shared" si="134"/>
        <v>1385</v>
      </c>
      <c r="I1140" s="27">
        <f>H1140</f>
        <v>1385</v>
      </c>
      <c r="J1140" s="27"/>
      <c r="K1140" s="99"/>
      <c r="L1140" s="27">
        <v>1080</v>
      </c>
      <c r="M1140" s="29">
        <f t="shared" si="132"/>
        <v>305</v>
      </c>
      <c r="N1140" s="29">
        <f>M1140</f>
        <v>305</v>
      </c>
      <c r="O1140" s="44">
        <f t="shared" si="133"/>
        <v>0.22021660649819494</v>
      </c>
    </row>
    <row r="1141" spans="1:15" ht="20.100000000000001" customHeight="1" x14ac:dyDescent="0.25">
      <c r="A1141" s="89">
        <v>415</v>
      </c>
      <c r="B1141" s="4">
        <v>43244</v>
      </c>
      <c r="C1141" s="26" t="s">
        <v>228</v>
      </c>
      <c r="D1141" s="3">
        <v>87407</v>
      </c>
      <c r="E1141" s="4">
        <v>43265</v>
      </c>
      <c r="F1141" s="92" t="s">
        <v>28</v>
      </c>
      <c r="G1141" s="32">
        <v>43327</v>
      </c>
      <c r="H1141" s="27">
        <f t="shared" si="134"/>
        <v>87407</v>
      </c>
      <c r="I1141" s="27"/>
      <c r="J1141" s="27"/>
      <c r="K1141" s="99">
        <f>600*2</f>
        <v>1200</v>
      </c>
      <c r="L1141" s="27">
        <v>53116</v>
      </c>
      <c r="M1141" s="29">
        <f t="shared" si="132"/>
        <v>33091</v>
      </c>
      <c r="N1141" s="29"/>
      <c r="O1141" s="44">
        <f t="shared" si="133"/>
        <v>0.37858523916848763</v>
      </c>
    </row>
    <row r="1142" spans="1:15" ht="20.100000000000001" customHeight="1" x14ac:dyDescent="0.25">
      <c r="A1142" s="89">
        <v>462</v>
      </c>
      <c r="B1142" s="4">
        <v>43257</v>
      </c>
      <c r="C1142" s="26" t="s">
        <v>228</v>
      </c>
      <c r="D1142" s="3">
        <v>9044</v>
      </c>
      <c r="E1142" s="4">
        <v>43265</v>
      </c>
      <c r="F1142" s="92" t="s">
        <v>28</v>
      </c>
      <c r="G1142" s="32">
        <v>43285</v>
      </c>
      <c r="H1142" s="27">
        <f t="shared" si="134"/>
        <v>9044</v>
      </c>
      <c r="I1142" s="27"/>
      <c r="J1142" s="27"/>
      <c r="K1142" s="99"/>
      <c r="L1142" s="27">
        <v>5210</v>
      </c>
      <c r="M1142" s="29">
        <f t="shared" si="132"/>
        <v>3834</v>
      </c>
      <c r="N1142" s="29"/>
      <c r="O1142" s="44">
        <f t="shared" si="133"/>
        <v>0.42392746572313134</v>
      </c>
    </row>
    <row r="1143" spans="1:15" ht="20.100000000000001" customHeight="1" x14ac:dyDescent="0.25">
      <c r="A1143" s="89">
        <v>467</v>
      </c>
      <c r="B1143" s="4">
        <v>43258</v>
      </c>
      <c r="C1143" s="26" t="s">
        <v>335</v>
      </c>
      <c r="D1143" s="3">
        <v>2812</v>
      </c>
      <c r="E1143" s="4">
        <v>43265</v>
      </c>
      <c r="F1143" s="92" t="s">
        <v>28</v>
      </c>
      <c r="G1143" s="32">
        <v>43279</v>
      </c>
      <c r="H1143" s="27">
        <f t="shared" si="134"/>
        <v>2812</v>
      </c>
      <c r="I1143" s="27"/>
      <c r="J1143" s="27"/>
      <c r="K1143" s="99"/>
      <c r="L1143" s="27">
        <v>1254</v>
      </c>
      <c r="M1143" s="29">
        <f t="shared" si="132"/>
        <v>1558</v>
      </c>
      <c r="N1143" s="29"/>
      <c r="O1143" s="44">
        <f t="shared" si="133"/>
        <v>0.55405405405405406</v>
      </c>
    </row>
    <row r="1144" spans="1:15" ht="20.100000000000001" customHeight="1" x14ac:dyDescent="0.25">
      <c r="A1144" s="89">
        <v>275</v>
      </c>
      <c r="B1144" s="4">
        <v>43273</v>
      </c>
      <c r="C1144" s="5" t="s">
        <v>336</v>
      </c>
      <c r="D1144" s="3">
        <v>20305</v>
      </c>
      <c r="E1144" s="4">
        <v>43266</v>
      </c>
      <c r="F1144" s="92" t="s">
        <v>28</v>
      </c>
      <c r="G1144" s="32">
        <v>43269</v>
      </c>
      <c r="H1144" s="27">
        <f t="shared" si="134"/>
        <v>20305</v>
      </c>
      <c r="I1144" s="27">
        <f>H1144</f>
        <v>20305</v>
      </c>
      <c r="J1144" s="27"/>
      <c r="K1144" s="99"/>
      <c r="L1144" s="27">
        <v>15398</v>
      </c>
      <c r="M1144" s="29">
        <f t="shared" si="132"/>
        <v>4907</v>
      </c>
      <c r="N1144" s="29">
        <f>M1144</f>
        <v>4907</v>
      </c>
      <c r="O1144" s="44">
        <f t="shared" si="133"/>
        <v>0.24166461462693917</v>
      </c>
    </row>
    <row r="1145" spans="1:15" ht="20.100000000000001" customHeight="1" x14ac:dyDescent="0.25">
      <c r="A1145" s="89">
        <v>465</v>
      </c>
      <c r="B1145" s="4">
        <v>43257</v>
      </c>
      <c r="C1145" s="5" t="s">
        <v>337</v>
      </c>
      <c r="D1145" s="3">
        <v>33590</v>
      </c>
      <c r="E1145" s="4">
        <v>43266</v>
      </c>
      <c r="F1145" s="92" t="s">
        <v>28</v>
      </c>
      <c r="G1145" s="32">
        <v>43269</v>
      </c>
      <c r="H1145" s="27">
        <f t="shared" si="134"/>
        <v>33590</v>
      </c>
      <c r="I1145" s="27">
        <f>H1145</f>
        <v>33590</v>
      </c>
      <c r="J1145" s="27"/>
      <c r="K1145" s="99"/>
      <c r="L1145" s="27">
        <v>26074</v>
      </c>
      <c r="M1145" s="29">
        <f t="shared" si="132"/>
        <v>7516</v>
      </c>
      <c r="N1145" s="29">
        <f>M1145</f>
        <v>7516</v>
      </c>
      <c r="O1145" s="44">
        <f t="shared" si="133"/>
        <v>0.22375707055671332</v>
      </c>
    </row>
    <row r="1146" spans="1:15" ht="20.100000000000001" customHeight="1" x14ac:dyDescent="0.25">
      <c r="A1146" s="89">
        <v>461</v>
      </c>
      <c r="B1146" s="4">
        <v>43258</v>
      </c>
      <c r="C1146" s="26" t="s">
        <v>45</v>
      </c>
      <c r="D1146" s="3">
        <v>6301</v>
      </c>
      <c r="E1146" s="4">
        <v>43266</v>
      </c>
      <c r="F1146" s="92" t="s">
        <v>28</v>
      </c>
      <c r="G1146" s="32">
        <v>43279</v>
      </c>
      <c r="H1146" s="27">
        <f t="shared" si="134"/>
        <v>6301</v>
      </c>
      <c r="I1146" s="27"/>
      <c r="J1146" s="27"/>
      <c r="K1146" s="99"/>
      <c r="L1146" s="27">
        <v>4785</v>
      </c>
      <c r="M1146" s="29">
        <f t="shared" si="132"/>
        <v>1516</v>
      </c>
      <c r="N1146" s="29"/>
      <c r="O1146" s="44">
        <f t="shared" si="133"/>
        <v>0.24059673067767021</v>
      </c>
    </row>
    <row r="1147" spans="1:15" ht="20.100000000000001" customHeight="1" x14ac:dyDescent="0.25">
      <c r="A1147" s="89">
        <v>502</v>
      </c>
      <c r="B1147" s="4">
        <v>43269</v>
      </c>
      <c r="C1147" s="26" t="s">
        <v>338</v>
      </c>
      <c r="D1147" s="3">
        <v>5200</v>
      </c>
      <c r="E1147" s="4">
        <v>43269</v>
      </c>
      <c r="F1147" s="92" t="s">
        <v>28</v>
      </c>
      <c r="G1147" s="32">
        <v>43270</v>
      </c>
      <c r="H1147" s="27">
        <f t="shared" si="134"/>
        <v>5200</v>
      </c>
      <c r="I1147" s="27"/>
      <c r="J1147" s="27"/>
      <c r="K1147" s="99"/>
      <c r="L1147" s="27">
        <v>1524.9</v>
      </c>
      <c r="M1147" s="29">
        <f t="shared" si="132"/>
        <v>3675.1</v>
      </c>
      <c r="N1147" s="29"/>
      <c r="O1147" s="44">
        <f t="shared" si="133"/>
        <v>0.70674999999999999</v>
      </c>
    </row>
    <row r="1148" spans="1:15" ht="20.100000000000001" customHeight="1" x14ac:dyDescent="0.25">
      <c r="A1148" s="89">
        <v>402</v>
      </c>
      <c r="B1148" s="4">
        <v>43243</v>
      </c>
      <c r="C1148" s="26" t="s">
        <v>60</v>
      </c>
      <c r="D1148" s="3">
        <v>3915</v>
      </c>
      <c r="E1148" s="4">
        <v>43270</v>
      </c>
      <c r="F1148" s="92" t="s">
        <v>28</v>
      </c>
      <c r="G1148" s="32">
        <v>43248</v>
      </c>
      <c r="H1148" s="27">
        <f t="shared" si="134"/>
        <v>3915</v>
      </c>
      <c r="I1148" s="27"/>
      <c r="J1148" s="27"/>
      <c r="K1148" s="99"/>
      <c r="L1148" s="27">
        <v>2622</v>
      </c>
      <c r="M1148" s="29">
        <f t="shared" si="132"/>
        <v>1293</v>
      </c>
      <c r="N1148" s="29"/>
      <c r="O1148" s="44">
        <f t="shared" si="133"/>
        <v>0.33026819923371648</v>
      </c>
    </row>
    <row r="1149" spans="1:15" ht="20.100000000000001" customHeight="1" x14ac:dyDescent="0.25">
      <c r="A1149" s="89">
        <v>422</v>
      </c>
      <c r="B1149" s="4">
        <v>43248</v>
      </c>
      <c r="C1149" s="26" t="s">
        <v>50</v>
      </c>
      <c r="D1149" s="3">
        <v>11010</v>
      </c>
      <c r="E1149" s="4">
        <v>43270</v>
      </c>
      <c r="F1149" s="92" t="s">
        <v>28</v>
      </c>
      <c r="G1149" s="32">
        <v>43273</v>
      </c>
      <c r="H1149" s="27">
        <f t="shared" si="134"/>
        <v>11010</v>
      </c>
      <c r="I1149" s="27"/>
      <c r="J1149" s="27"/>
      <c r="K1149" s="99"/>
      <c r="L1149" s="27">
        <v>8080</v>
      </c>
      <c r="M1149" s="29">
        <f t="shared" si="132"/>
        <v>2930</v>
      </c>
      <c r="N1149" s="29"/>
      <c r="O1149" s="44">
        <f t="shared" si="133"/>
        <v>0.26612170753860126</v>
      </c>
    </row>
    <row r="1150" spans="1:15" ht="20.100000000000001" customHeight="1" x14ac:dyDescent="0.25">
      <c r="A1150" s="89">
        <v>510</v>
      </c>
      <c r="B1150" s="4">
        <v>43270</v>
      </c>
      <c r="C1150" s="5" t="s">
        <v>339</v>
      </c>
      <c r="D1150" s="3">
        <v>52190</v>
      </c>
      <c r="E1150" s="4">
        <v>43270</v>
      </c>
      <c r="F1150" s="92" t="s">
        <v>28</v>
      </c>
      <c r="G1150" s="32">
        <v>43271</v>
      </c>
      <c r="H1150" s="27">
        <f t="shared" si="134"/>
        <v>52190</v>
      </c>
      <c r="I1150" s="27">
        <f>H1150</f>
        <v>52190</v>
      </c>
      <c r="J1150" s="27"/>
      <c r="K1150" s="99"/>
      <c r="L1150" s="27">
        <v>36129</v>
      </c>
      <c r="M1150" s="29">
        <f t="shared" si="132"/>
        <v>16061</v>
      </c>
      <c r="N1150" s="29">
        <f>M1150</f>
        <v>16061</v>
      </c>
      <c r="O1150" s="44">
        <f t="shared" si="133"/>
        <v>0.30774094654148304</v>
      </c>
    </row>
    <row r="1151" spans="1:15" ht="20.100000000000001" customHeight="1" x14ac:dyDescent="0.25">
      <c r="A1151" s="89">
        <v>512</v>
      </c>
      <c r="B1151" s="4">
        <v>43270</v>
      </c>
      <c r="C1151" s="5" t="s">
        <v>340</v>
      </c>
      <c r="D1151" s="3">
        <v>4890</v>
      </c>
      <c r="E1151" s="4">
        <v>43270</v>
      </c>
      <c r="F1151" s="92" t="s">
        <v>28</v>
      </c>
      <c r="G1151" s="32">
        <v>43271</v>
      </c>
      <c r="H1151" s="27">
        <f t="shared" si="134"/>
        <v>4890</v>
      </c>
      <c r="I1151" s="27">
        <f>H1151</f>
        <v>4890</v>
      </c>
      <c r="J1151" s="27"/>
      <c r="K1151" s="99"/>
      <c r="L1151" s="27">
        <v>3667</v>
      </c>
      <c r="M1151" s="29">
        <f t="shared" si="132"/>
        <v>1223</v>
      </c>
      <c r="N1151" s="29">
        <f>M1151</f>
        <v>1223</v>
      </c>
      <c r="O1151" s="44">
        <f t="shared" si="133"/>
        <v>0.25010224948875254</v>
      </c>
    </row>
    <row r="1152" spans="1:15" ht="20.100000000000001" customHeight="1" x14ac:dyDescent="0.25">
      <c r="A1152" s="89">
        <v>500</v>
      </c>
      <c r="B1152" s="4">
        <v>43266</v>
      </c>
      <c r="C1152" s="5" t="s">
        <v>341</v>
      </c>
      <c r="D1152" s="3">
        <v>89360</v>
      </c>
      <c r="E1152" s="4">
        <v>43273</v>
      </c>
      <c r="F1152" s="92" t="s">
        <v>28</v>
      </c>
      <c r="G1152" s="32">
        <v>43287</v>
      </c>
      <c r="H1152" s="27">
        <f t="shared" si="134"/>
        <v>89360</v>
      </c>
      <c r="I1152" s="27">
        <f>H1152</f>
        <v>89360</v>
      </c>
      <c r="J1152" s="27"/>
      <c r="K1152" s="99"/>
      <c r="L1152" s="27">
        <v>70260</v>
      </c>
      <c r="M1152" s="29">
        <f t="shared" si="132"/>
        <v>19100</v>
      </c>
      <c r="N1152" s="29">
        <f>M1152</f>
        <v>19100</v>
      </c>
      <c r="O1152" s="44">
        <f t="shared" si="133"/>
        <v>0.21374216651745748</v>
      </c>
    </row>
    <row r="1153" spans="1:15" ht="20.100000000000001" customHeight="1" x14ac:dyDescent="0.25">
      <c r="A1153" s="89">
        <v>521</v>
      </c>
      <c r="B1153" s="4">
        <v>43272</v>
      </c>
      <c r="C1153" s="5" t="s">
        <v>342</v>
      </c>
      <c r="D1153" s="3">
        <v>24691</v>
      </c>
      <c r="E1153" s="4">
        <v>43273</v>
      </c>
      <c r="F1153" s="92" t="s">
        <v>28</v>
      </c>
      <c r="G1153" s="32">
        <v>43305</v>
      </c>
      <c r="H1153" s="27">
        <f t="shared" si="134"/>
        <v>24691</v>
      </c>
      <c r="I1153" s="27">
        <f>H1153</f>
        <v>24691</v>
      </c>
      <c r="J1153" s="27"/>
      <c r="K1153" s="99"/>
      <c r="L1153" s="27">
        <v>19566</v>
      </c>
      <c r="M1153" s="29">
        <f t="shared" si="132"/>
        <v>5125</v>
      </c>
      <c r="N1153" s="29">
        <f>M1153</f>
        <v>5125</v>
      </c>
      <c r="O1153" s="44">
        <f t="shared" si="133"/>
        <v>0.20756550969989065</v>
      </c>
    </row>
    <row r="1154" spans="1:15" ht="20.100000000000001" customHeight="1" x14ac:dyDescent="0.25">
      <c r="A1154" s="89">
        <v>526</v>
      </c>
      <c r="B1154" s="4">
        <v>43276</v>
      </c>
      <c r="C1154" s="5" t="s">
        <v>343</v>
      </c>
      <c r="D1154" s="3">
        <v>22533</v>
      </c>
      <c r="E1154" s="4">
        <v>43276</v>
      </c>
      <c r="F1154" s="92" t="s">
        <v>28</v>
      </c>
      <c r="G1154" s="32">
        <v>43276</v>
      </c>
      <c r="H1154" s="27">
        <f t="shared" si="134"/>
        <v>22533</v>
      </c>
      <c r="I1154" s="27">
        <f>H1154</f>
        <v>22533</v>
      </c>
      <c r="J1154" s="27"/>
      <c r="K1154" s="99"/>
      <c r="L1154" s="27">
        <v>17778</v>
      </c>
      <c r="M1154" s="29">
        <f t="shared" si="132"/>
        <v>4755</v>
      </c>
      <c r="N1154" s="29">
        <f>M1154</f>
        <v>4755</v>
      </c>
      <c r="O1154" s="44">
        <f t="shared" si="133"/>
        <v>0.21102383171348688</v>
      </c>
    </row>
    <row r="1155" spans="1:15" ht="19.5" customHeight="1" x14ac:dyDescent="0.25">
      <c r="A1155" s="89">
        <v>491</v>
      </c>
      <c r="B1155" s="92">
        <v>43265</v>
      </c>
      <c r="C1155" s="26" t="s">
        <v>13</v>
      </c>
      <c r="D1155" s="3">
        <v>1246</v>
      </c>
      <c r="E1155" s="4">
        <v>43276</v>
      </c>
      <c r="F1155" s="92" t="s">
        <v>28</v>
      </c>
      <c r="G1155" s="32">
        <v>43270</v>
      </c>
      <c r="H1155" s="27">
        <f t="shared" si="134"/>
        <v>1246</v>
      </c>
      <c r="I1155" s="27"/>
      <c r="J1155" s="27"/>
      <c r="K1155" s="99"/>
      <c r="L1155" s="27">
        <v>930</v>
      </c>
      <c r="M1155" s="29">
        <f t="shared" si="132"/>
        <v>316</v>
      </c>
      <c r="N1155" s="29"/>
      <c r="O1155" s="44">
        <f t="shared" si="133"/>
        <v>0.2536115569823435</v>
      </c>
    </row>
    <row r="1156" spans="1:15" ht="19.5" customHeight="1" x14ac:dyDescent="0.25">
      <c r="A1156" s="89">
        <v>514</v>
      </c>
      <c r="B1156" s="92">
        <v>43276</v>
      </c>
      <c r="C1156" s="5" t="s">
        <v>344</v>
      </c>
      <c r="D1156" s="3">
        <v>82640</v>
      </c>
      <c r="E1156" s="4">
        <v>43277</v>
      </c>
      <c r="F1156" s="92" t="s">
        <v>28</v>
      </c>
      <c r="G1156" s="32">
        <v>43291</v>
      </c>
      <c r="H1156" s="27">
        <f t="shared" si="134"/>
        <v>82640</v>
      </c>
      <c r="I1156" s="27">
        <f>H1156</f>
        <v>82640</v>
      </c>
      <c r="J1156" s="27"/>
      <c r="K1156" s="99"/>
      <c r="L1156" s="27">
        <v>39650</v>
      </c>
      <c r="M1156" s="29">
        <f t="shared" si="132"/>
        <v>42990</v>
      </c>
      <c r="N1156" s="29">
        <f>M1156</f>
        <v>42990</v>
      </c>
      <c r="O1156" s="44">
        <f t="shared" si="133"/>
        <v>0.52020813165537272</v>
      </c>
    </row>
    <row r="1157" spans="1:15" ht="19.5" customHeight="1" x14ac:dyDescent="0.25">
      <c r="A1157" s="89">
        <v>530</v>
      </c>
      <c r="B1157" s="92">
        <v>43276</v>
      </c>
      <c r="C1157" s="5" t="s">
        <v>345</v>
      </c>
      <c r="D1157" s="3">
        <v>9338</v>
      </c>
      <c r="E1157" s="4">
        <v>43278</v>
      </c>
      <c r="F1157" s="92" t="s">
        <v>28</v>
      </c>
      <c r="G1157" s="32">
        <v>43305</v>
      </c>
      <c r="H1157" s="27">
        <f t="shared" si="134"/>
        <v>9338</v>
      </c>
      <c r="I1157" s="27">
        <f>H1157</f>
        <v>9338</v>
      </c>
      <c r="J1157" s="27"/>
      <c r="K1157" s="99"/>
      <c r="L1157" s="27">
        <v>7252</v>
      </c>
      <c r="M1157" s="29">
        <f t="shared" si="132"/>
        <v>2086</v>
      </c>
      <c r="N1157" s="29">
        <f>M1157</f>
        <v>2086</v>
      </c>
      <c r="O1157" s="44">
        <f t="shared" si="133"/>
        <v>0.22338830584707647</v>
      </c>
    </row>
    <row r="1158" spans="1:15" ht="19.5" customHeight="1" x14ac:dyDescent="0.25">
      <c r="A1158" s="89">
        <v>506</v>
      </c>
      <c r="B1158" s="92">
        <v>43269</v>
      </c>
      <c r="C1158" s="26" t="s">
        <v>217</v>
      </c>
      <c r="D1158" s="3">
        <v>5664</v>
      </c>
      <c r="E1158" s="4">
        <v>43279</v>
      </c>
      <c r="F1158" s="92" t="s">
        <v>28</v>
      </c>
      <c r="G1158" s="32">
        <v>43290</v>
      </c>
      <c r="H1158" s="27">
        <f t="shared" si="134"/>
        <v>5664</v>
      </c>
      <c r="I1158" s="27"/>
      <c r="J1158" s="27"/>
      <c r="K1158" s="99"/>
      <c r="L1158" s="27">
        <v>4271</v>
      </c>
      <c r="M1158" s="29">
        <f t="shared" si="132"/>
        <v>1393</v>
      </c>
      <c r="N1158" s="29"/>
      <c r="O1158" s="44">
        <f t="shared" si="133"/>
        <v>0.24593926553672316</v>
      </c>
    </row>
    <row r="1159" spans="1:15" ht="20.100000000000001" customHeight="1" x14ac:dyDescent="0.25">
      <c r="A1159" s="89">
        <v>470</v>
      </c>
      <c r="B1159" s="4">
        <v>43266</v>
      </c>
      <c r="C1159" s="26" t="s">
        <v>56</v>
      </c>
      <c r="D1159" s="3">
        <v>19336</v>
      </c>
      <c r="E1159" s="4">
        <v>43279</v>
      </c>
      <c r="F1159" s="92" t="s">
        <v>28</v>
      </c>
      <c r="G1159" s="32">
        <v>43266</v>
      </c>
      <c r="H1159" s="27">
        <f t="shared" si="134"/>
        <v>19336</v>
      </c>
      <c r="I1159" s="27"/>
      <c r="J1159" s="27"/>
      <c r="K1159" s="99"/>
      <c r="L1159" s="27">
        <v>12851.9</v>
      </c>
      <c r="M1159" s="29">
        <f t="shared" si="132"/>
        <v>6484.1</v>
      </c>
      <c r="N1159" s="29"/>
      <c r="O1159" s="44">
        <f t="shared" si="133"/>
        <v>0.33533822920976419</v>
      </c>
    </row>
    <row r="1160" spans="1:15" ht="20.100000000000001" customHeight="1" x14ac:dyDescent="0.25">
      <c r="A1160" s="89">
        <v>437</v>
      </c>
      <c r="B1160" s="4">
        <v>43251</v>
      </c>
      <c r="C1160" s="26" t="s">
        <v>65</v>
      </c>
      <c r="D1160" s="3">
        <v>91674</v>
      </c>
      <c r="E1160" s="4">
        <v>43279</v>
      </c>
      <c r="F1160" s="92" t="s">
        <v>28</v>
      </c>
      <c r="G1160" s="32">
        <v>43272</v>
      </c>
      <c r="H1160" s="27">
        <f t="shared" si="134"/>
        <v>91674</v>
      </c>
      <c r="I1160" s="27"/>
      <c r="J1160" s="27"/>
      <c r="K1160" s="99"/>
      <c r="L1160" s="27">
        <v>68710</v>
      </c>
      <c r="M1160" s="29">
        <f t="shared" si="132"/>
        <v>22964</v>
      </c>
      <c r="N1160" s="29"/>
      <c r="O1160" s="44">
        <f t="shared" si="133"/>
        <v>0.25049632393044918</v>
      </c>
    </row>
    <row r="1161" spans="1:15" ht="20.100000000000001" customHeight="1" x14ac:dyDescent="0.25">
      <c r="A1161" s="89">
        <v>534</v>
      </c>
      <c r="B1161" s="4">
        <v>43276</v>
      </c>
      <c r="C1161" s="26" t="s">
        <v>139</v>
      </c>
      <c r="D1161" s="3">
        <v>10386</v>
      </c>
      <c r="E1161" s="4">
        <v>43279</v>
      </c>
      <c r="F1161" s="92" t="s">
        <v>28</v>
      </c>
      <c r="G1161" s="32">
        <v>43283</v>
      </c>
      <c r="H1161" s="27">
        <f t="shared" si="134"/>
        <v>10386</v>
      </c>
      <c r="I1161" s="27"/>
      <c r="J1161" s="27"/>
      <c r="K1161" s="99"/>
      <c r="L1161" s="27">
        <v>7508</v>
      </c>
      <c r="M1161" s="29">
        <f t="shared" si="132"/>
        <v>2878</v>
      </c>
      <c r="N1161" s="29"/>
      <c r="O1161" s="44">
        <f t="shared" si="133"/>
        <v>0.27710379356826498</v>
      </c>
    </row>
    <row r="1162" spans="1:15" ht="20.100000000000001" customHeight="1" x14ac:dyDescent="0.25">
      <c r="A1162" s="89">
        <v>443</v>
      </c>
      <c r="B1162" s="4">
        <v>43251</v>
      </c>
      <c r="C1162" s="26" t="s">
        <v>175</v>
      </c>
      <c r="D1162" s="3">
        <v>21413</v>
      </c>
      <c r="E1162" s="4">
        <v>43280</v>
      </c>
      <c r="F1162" s="92" t="s">
        <v>28</v>
      </c>
      <c r="G1162" s="32">
        <v>43283</v>
      </c>
      <c r="H1162" s="27">
        <f t="shared" si="134"/>
        <v>21413</v>
      </c>
      <c r="I1162" s="27"/>
      <c r="J1162" s="27"/>
      <c r="K1162" s="99"/>
      <c r="L1162" s="27">
        <v>13884</v>
      </c>
      <c r="M1162" s="29">
        <f t="shared" si="132"/>
        <v>7529</v>
      </c>
      <c r="N1162" s="29"/>
      <c r="O1162" s="44">
        <f t="shared" si="133"/>
        <v>0.35160883575398122</v>
      </c>
    </row>
    <row r="1163" spans="1:15" ht="20.100000000000001" customHeight="1" x14ac:dyDescent="0.25">
      <c r="A1163" s="89">
        <v>433</v>
      </c>
      <c r="B1163" s="4">
        <v>43250</v>
      </c>
      <c r="C1163" s="26" t="s">
        <v>175</v>
      </c>
      <c r="D1163" s="3">
        <v>19334.400000000001</v>
      </c>
      <c r="E1163" s="4">
        <v>43280</v>
      </c>
      <c r="F1163" s="92" t="s">
        <v>28</v>
      </c>
      <c r="G1163" s="32">
        <v>43283</v>
      </c>
      <c r="H1163" s="27">
        <f t="shared" si="134"/>
        <v>19334.400000000001</v>
      </c>
      <c r="I1163" s="27"/>
      <c r="J1163" s="27"/>
      <c r="K1163" s="99"/>
      <c r="L1163" s="27">
        <v>15294</v>
      </c>
      <c r="M1163" s="29">
        <f t="shared" si="132"/>
        <v>4040.4000000000015</v>
      </c>
      <c r="N1163" s="29"/>
      <c r="O1163" s="44">
        <f t="shared" si="133"/>
        <v>0.20897467725918575</v>
      </c>
    </row>
    <row r="1164" spans="1:15" ht="20.100000000000001" customHeight="1" x14ac:dyDescent="0.25">
      <c r="A1164" s="89">
        <v>481</v>
      </c>
      <c r="B1164" s="4">
        <v>43259</v>
      </c>
      <c r="C1164" s="26" t="s">
        <v>66</v>
      </c>
      <c r="D1164" s="3">
        <v>7350</v>
      </c>
      <c r="E1164" s="4">
        <v>43280</v>
      </c>
      <c r="F1164" s="92" t="s">
        <v>28</v>
      </c>
      <c r="G1164" s="32">
        <v>43260</v>
      </c>
      <c r="H1164" s="27">
        <f t="shared" si="134"/>
        <v>7350</v>
      </c>
      <c r="I1164" s="27"/>
      <c r="J1164" s="27"/>
      <c r="K1164" s="99"/>
      <c r="L1164" s="27">
        <v>6546</v>
      </c>
      <c r="M1164" s="29">
        <f t="shared" si="132"/>
        <v>804</v>
      </c>
      <c r="N1164" s="29"/>
      <c r="O1164" s="44">
        <f t="shared" si="133"/>
        <v>0.10938775510204081</v>
      </c>
    </row>
    <row r="1165" spans="1:15" ht="20.100000000000001" customHeight="1" x14ac:dyDescent="0.25">
      <c r="A1165" s="89">
        <v>539</v>
      </c>
      <c r="B1165" s="4">
        <v>43277</v>
      </c>
      <c r="C1165" s="26" t="s">
        <v>16</v>
      </c>
      <c r="D1165" s="3">
        <v>20400</v>
      </c>
      <c r="E1165" s="4">
        <v>43280</v>
      </c>
      <c r="F1165" s="92" t="s">
        <v>28</v>
      </c>
      <c r="G1165" s="32">
        <v>43287</v>
      </c>
      <c r="H1165" s="27">
        <f t="shared" si="134"/>
        <v>20400</v>
      </c>
      <c r="I1165" s="27"/>
      <c r="J1165" s="27"/>
      <c r="K1165" s="99"/>
      <c r="L1165" s="27">
        <v>15060</v>
      </c>
      <c r="M1165" s="29">
        <f t="shared" si="132"/>
        <v>5340</v>
      </c>
      <c r="N1165" s="29"/>
      <c r="O1165" s="44">
        <f t="shared" si="133"/>
        <v>0.26176470588235295</v>
      </c>
    </row>
    <row r="1166" spans="1:15" ht="19.5" customHeight="1" x14ac:dyDescent="0.25">
      <c r="A1166" s="89"/>
      <c r="B1166" s="4"/>
      <c r="C1166" s="5"/>
      <c r="D1166" s="3"/>
      <c r="E1166" s="97">
        <v>59700</v>
      </c>
      <c r="F1166" s="98">
        <f>M1166*0.17+N1166*0.06</f>
        <v>59686.281100000007</v>
      </c>
      <c r="G1166" s="21">
        <f>H1166*0.05+I1166*0.02</f>
        <v>55866.776500000007</v>
      </c>
      <c r="H1166" s="16">
        <f t="shared" ref="H1166:N1166" si="135">SUM(H1126:H1165)</f>
        <v>952275.53</v>
      </c>
      <c r="I1166" s="16">
        <f t="shared" si="135"/>
        <v>412650</v>
      </c>
      <c r="J1166" s="16">
        <f t="shared" si="135"/>
        <v>0</v>
      </c>
      <c r="K1166" s="16">
        <f t="shared" si="135"/>
        <v>7200</v>
      </c>
      <c r="L1166" s="16">
        <f t="shared" si="135"/>
        <v>636740.70000000007</v>
      </c>
      <c r="M1166" s="16">
        <f t="shared" si="135"/>
        <v>308334.83</v>
      </c>
      <c r="N1166" s="16">
        <f t="shared" si="135"/>
        <v>121156</v>
      </c>
      <c r="O1166" s="44">
        <f t="shared" si="133"/>
        <v>0.32378741266196348</v>
      </c>
    </row>
    <row r="1167" spans="1:15" ht="23.25" x14ac:dyDescent="0.35">
      <c r="C1167" s="94" t="s">
        <v>641</v>
      </c>
    </row>
    <row r="1168" spans="1:15" ht="20.100000000000001" customHeight="1" x14ac:dyDescent="0.25">
      <c r="A1168" s="89">
        <v>540</v>
      </c>
      <c r="B1168" s="4">
        <v>43280</v>
      </c>
      <c r="C1168" s="5" t="s">
        <v>346</v>
      </c>
      <c r="D1168" s="3">
        <v>6984</v>
      </c>
      <c r="E1168" s="4">
        <v>43283</v>
      </c>
      <c r="F1168" s="92" t="s">
        <v>28</v>
      </c>
      <c r="G1168" s="32">
        <v>43287</v>
      </c>
      <c r="H1168" s="27">
        <f t="shared" ref="H1168:H1194" si="136">D1168</f>
        <v>6984</v>
      </c>
      <c r="I1168" s="27">
        <f>H1168</f>
        <v>6984</v>
      </c>
      <c r="J1168" s="27"/>
      <c r="K1168" s="99"/>
      <c r="L1168" s="27">
        <v>5019</v>
      </c>
      <c r="M1168" s="29">
        <f t="shared" ref="M1168:M1194" si="137">H1168-L1168-J1168-K1168</f>
        <v>1965</v>
      </c>
      <c r="N1168" s="29">
        <f>M1168</f>
        <v>1965</v>
      </c>
      <c r="O1168" s="44">
        <f t="shared" ref="O1168:O1195" si="138">M1168/H1168</f>
        <v>0.2813573883161512</v>
      </c>
    </row>
    <row r="1169" spans="1:15" ht="20.100000000000001" customHeight="1" x14ac:dyDescent="0.25">
      <c r="A1169" s="89">
        <v>531</v>
      </c>
      <c r="B1169" s="4">
        <v>43276</v>
      </c>
      <c r="C1169" s="26" t="s">
        <v>56</v>
      </c>
      <c r="D1169" s="3">
        <v>416</v>
      </c>
      <c r="E1169" s="4">
        <v>43285</v>
      </c>
      <c r="F1169" s="92" t="s">
        <v>28</v>
      </c>
      <c r="G1169" s="32">
        <v>43276</v>
      </c>
      <c r="H1169" s="27">
        <f t="shared" si="136"/>
        <v>416</v>
      </c>
      <c r="I1169" s="27"/>
      <c r="J1169" s="27"/>
      <c r="K1169" s="99"/>
      <c r="L1169" s="27">
        <v>282</v>
      </c>
      <c r="M1169" s="29">
        <f t="shared" si="137"/>
        <v>134</v>
      </c>
      <c r="N1169" s="29"/>
      <c r="O1169" s="44">
        <f t="shared" si="138"/>
        <v>0.32211538461538464</v>
      </c>
    </row>
    <row r="1170" spans="1:15" ht="20.100000000000001" customHeight="1" x14ac:dyDescent="0.25">
      <c r="A1170" s="89">
        <v>543</v>
      </c>
      <c r="B1170" s="4">
        <v>43278</v>
      </c>
      <c r="C1170" s="26" t="s">
        <v>228</v>
      </c>
      <c r="D1170" s="3">
        <v>4344</v>
      </c>
      <c r="E1170" s="4">
        <v>43285</v>
      </c>
      <c r="F1170" s="92" t="s">
        <v>28</v>
      </c>
      <c r="G1170" s="32">
        <v>43285</v>
      </c>
      <c r="H1170" s="27">
        <f t="shared" si="136"/>
        <v>4344</v>
      </c>
      <c r="I1170" s="27"/>
      <c r="J1170" s="27"/>
      <c r="K1170" s="99"/>
      <c r="L1170" s="27">
        <v>3248</v>
      </c>
      <c r="M1170" s="29">
        <f t="shared" si="137"/>
        <v>1096</v>
      </c>
      <c r="N1170" s="29"/>
      <c r="O1170" s="44">
        <f t="shared" si="138"/>
        <v>0.25230202578268879</v>
      </c>
    </row>
    <row r="1171" spans="1:15" ht="20.100000000000001" customHeight="1" x14ac:dyDescent="0.25">
      <c r="A1171" s="89">
        <v>565</v>
      </c>
      <c r="B1171" s="4">
        <v>43284</v>
      </c>
      <c r="C1171" s="26" t="s">
        <v>327</v>
      </c>
      <c r="D1171" s="3">
        <v>3018</v>
      </c>
      <c r="E1171" s="4">
        <v>43286</v>
      </c>
      <c r="F1171" s="92" t="s">
        <v>28</v>
      </c>
      <c r="G1171" s="32">
        <v>43299</v>
      </c>
      <c r="H1171" s="27">
        <f t="shared" si="136"/>
        <v>3018</v>
      </c>
      <c r="I1171" s="27"/>
      <c r="J1171" s="27"/>
      <c r="K1171" s="99"/>
      <c r="L1171" s="27">
        <v>1856</v>
      </c>
      <c r="M1171" s="29">
        <f t="shared" si="137"/>
        <v>1162</v>
      </c>
      <c r="N1171" s="29"/>
      <c r="O1171" s="44">
        <f t="shared" si="138"/>
        <v>0.38502319416832337</v>
      </c>
    </row>
    <row r="1172" spans="1:15" ht="20.100000000000001" customHeight="1" x14ac:dyDescent="0.25">
      <c r="A1172" s="89">
        <v>576</v>
      </c>
      <c r="B1172" s="4">
        <v>43290</v>
      </c>
      <c r="C1172" s="26" t="s">
        <v>16</v>
      </c>
      <c r="D1172" s="3">
        <v>8585.4</v>
      </c>
      <c r="E1172" s="4">
        <v>43290</v>
      </c>
      <c r="F1172" s="92" t="s">
        <v>28</v>
      </c>
      <c r="G1172" s="32">
        <v>43298</v>
      </c>
      <c r="H1172" s="27">
        <f t="shared" si="136"/>
        <v>8585.4</v>
      </c>
      <c r="I1172" s="27"/>
      <c r="J1172" s="27"/>
      <c r="K1172" s="99"/>
      <c r="L1172" s="27">
        <v>6412.8</v>
      </c>
      <c r="M1172" s="29">
        <f t="shared" si="137"/>
        <v>2172.5999999999995</v>
      </c>
      <c r="N1172" s="29"/>
      <c r="O1172" s="44">
        <f t="shared" si="138"/>
        <v>0.25305751624851486</v>
      </c>
    </row>
    <row r="1173" spans="1:15" ht="20.100000000000001" customHeight="1" x14ac:dyDescent="0.25">
      <c r="A1173" s="89">
        <v>572</v>
      </c>
      <c r="B1173" s="4">
        <v>43287</v>
      </c>
      <c r="C1173" s="26" t="s">
        <v>15</v>
      </c>
      <c r="D1173" s="3">
        <v>7041</v>
      </c>
      <c r="E1173" s="4">
        <v>43291</v>
      </c>
      <c r="F1173" s="92" t="s">
        <v>28</v>
      </c>
      <c r="G1173" s="32">
        <v>43308</v>
      </c>
      <c r="H1173" s="27">
        <f t="shared" si="136"/>
        <v>7041</v>
      </c>
      <c r="I1173" s="27"/>
      <c r="J1173" s="27"/>
      <c r="K1173" s="99"/>
      <c r="L1173" s="27">
        <v>5365</v>
      </c>
      <c r="M1173" s="29">
        <f t="shared" si="137"/>
        <v>1676</v>
      </c>
      <c r="N1173" s="29"/>
      <c r="O1173" s="44">
        <f t="shared" si="138"/>
        <v>0.23803437011788098</v>
      </c>
    </row>
    <row r="1174" spans="1:15" ht="20.100000000000001" customHeight="1" x14ac:dyDescent="0.25">
      <c r="A1174" s="89">
        <v>569</v>
      </c>
      <c r="B1174" s="4">
        <v>43286</v>
      </c>
      <c r="C1174" s="26" t="s">
        <v>139</v>
      </c>
      <c r="D1174" s="3">
        <v>6690</v>
      </c>
      <c r="E1174" s="4">
        <v>43291</v>
      </c>
      <c r="F1174" s="92" t="s">
        <v>28</v>
      </c>
      <c r="G1174" s="32">
        <v>43312</v>
      </c>
      <c r="H1174" s="27">
        <f t="shared" si="136"/>
        <v>6690</v>
      </c>
      <c r="I1174" s="27"/>
      <c r="J1174" s="27"/>
      <c r="K1174" s="99"/>
      <c r="L1174" s="27">
        <v>5220</v>
      </c>
      <c r="M1174" s="29">
        <f t="shared" si="137"/>
        <v>1470</v>
      </c>
      <c r="N1174" s="29"/>
      <c r="O1174" s="44">
        <f t="shared" si="138"/>
        <v>0.21973094170403587</v>
      </c>
    </row>
    <row r="1175" spans="1:15" ht="20.100000000000001" customHeight="1" x14ac:dyDescent="0.25">
      <c r="A1175" s="89">
        <v>434</v>
      </c>
      <c r="B1175" s="4">
        <v>43252</v>
      </c>
      <c r="C1175" s="26" t="s">
        <v>99</v>
      </c>
      <c r="D1175" s="3">
        <v>58600</v>
      </c>
      <c r="E1175" s="4">
        <v>43291</v>
      </c>
      <c r="F1175" s="92" t="s">
        <v>28</v>
      </c>
      <c r="G1175" s="32">
        <v>43260</v>
      </c>
      <c r="H1175" s="27">
        <f t="shared" si="136"/>
        <v>58600</v>
      </c>
      <c r="I1175" s="27"/>
      <c r="J1175" s="27">
        <v>15000</v>
      </c>
      <c r="K1175" s="99">
        <f>12*600</f>
        <v>7200</v>
      </c>
      <c r="L1175" s="27">
        <v>6090</v>
      </c>
      <c r="M1175" s="29">
        <f t="shared" si="137"/>
        <v>30310</v>
      </c>
      <c r="N1175" s="29"/>
      <c r="O1175" s="44">
        <f t="shared" si="138"/>
        <v>0.5172354948805461</v>
      </c>
    </row>
    <row r="1176" spans="1:15" ht="20.100000000000001" customHeight="1" x14ac:dyDescent="0.25">
      <c r="A1176" s="89">
        <v>410</v>
      </c>
      <c r="B1176" s="4">
        <v>43252</v>
      </c>
      <c r="C1176" s="26" t="s">
        <v>99</v>
      </c>
      <c r="D1176" s="3">
        <v>296000</v>
      </c>
      <c r="E1176" s="4">
        <v>43291</v>
      </c>
      <c r="F1176" s="92" t="s">
        <v>28</v>
      </c>
      <c r="G1176" s="32">
        <v>43277</v>
      </c>
      <c r="H1176" s="27">
        <f t="shared" si="136"/>
        <v>296000</v>
      </c>
      <c r="I1176" s="27"/>
      <c r="J1176" s="27"/>
      <c r="K1176" s="99"/>
      <c r="L1176" s="27">
        <v>220736</v>
      </c>
      <c r="M1176" s="29">
        <f t="shared" si="137"/>
        <v>75264</v>
      </c>
      <c r="N1176" s="29"/>
      <c r="O1176" s="44">
        <f t="shared" si="138"/>
        <v>0.25427027027027027</v>
      </c>
    </row>
    <row r="1177" spans="1:15" ht="20.100000000000001" customHeight="1" x14ac:dyDescent="0.25">
      <c r="A1177" s="89">
        <v>587</v>
      </c>
      <c r="B1177" s="4">
        <v>43292</v>
      </c>
      <c r="C1177" s="26" t="s">
        <v>227</v>
      </c>
      <c r="D1177" s="3">
        <v>17790</v>
      </c>
      <c r="E1177" s="4">
        <v>43293</v>
      </c>
      <c r="F1177" s="92" t="s">
        <v>28</v>
      </c>
      <c r="G1177" s="32">
        <v>43294</v>
      </c>
      <c r="H1177" s="27">
        <f t="shared" si="136"/>
        <v>17790</v>
      </c>
      <c r="I1177" s="27"/>
      <c r="J1177" s="27"/>
      <c r="K1177" s="99"/>
      <c r="L1177" s="27">
        <v>12851</v>
      </c>
      <c r="M1177" s="29">
        <f t="shared" si="137"/>
        <v>4939</v>
      </c>
      <c r="N1177" s="29"/>
      <c r="O1177" s="44">
        <f t="shared" si="138"/>
        <v>0.27762788083192808</v>
      </c>
    </row>
    <row r="1178" spans="1:15" ht="20.100000000000001" customHeight="1" x14ac:dyDescent="0.25">
      <c r="A1178" s="89">
        <v>583</v>
      </c>
      <c r="B1178" s="4">
        <v>43292</v>
      </c>
      <c r="C1178" s="26" t="s">
        <v>327</v>
      </c>
      <c r="D1178" s="3">
        <v>18290</v>
      </c>
      <c r="E1178" s="4">
        <v>43293</v>
      </c>
      <c r="F1178" s="92" t="s">
        <v>28</v>
      </c>
      <c r="G1178" s="32">
        <v>43299</v>
      </c>
      <c r="H1178" s="27">
        <f t="shared" si="136"/>
        <v>18290</v>
      </c>
      <c r="I1178" s="27"/>
      <c r="J1178" s="27"/>
      <c r="K1178" s="99"/>
      <c r="L1178" s="27">
        <v>13827</v>
      </c>
      <c r="M1178" s="29">
        <f t="shared" si="137"/>
        <v>4463</v>
      </c>
      <c r="N1178" s="29"/>
      <c r="O1178" s="44">
        <f t="shared" si="138"/>
        <v>0.24401312192454894</v>
      </c>
    </row>
    <row r="1179" spans="1:15" ht="20.100000000000001" customHeight="1" x14ac:dyDescent="0.25">
      <c r="A1179" s="89">
        <v>584</v>
      </c>
      <c r="B1179" s="4">
        <v>43292</v>
      </c>
      <c r="C1179" s="26" t="s">
        <v>236</v>
      </c>
      <c r="D1179" s="3">
        <v>4000</v>
      </c>
      <c r="E1179" s="4">
        <v>43294</v>
      </c>
      <c r="F1179" s="92" t="s">
        <v>28</v>
      </c>
      <c r="G1179" s="32">
        <v>43308</v>
      </c>
      <c r="H1179" s="27">
        <f t="shared" si="136"/>
        <v>4000</v>
      </c>
      <c r="I1179" s="27"/>
      <c r="J1179" s="27"/>
      <c r="K1179" s="99"/>
      <c r="L1179" s="27">
        <v>2640</v>
      </c>
      <c r="M1179" s="29">
        <f t="shared" si="137"/>
        <v>1360</v>
      </c>
      <c r="N1179" s="29"/>
      <c r="O1179" s="44">
        <f t="shared" si="138"/>
        <v>0.34</v>
      </c>
    </row>
    <row r="1180" spans="1:15" ht="20.100000000000001" customHeight="1" x14ac:dyDescent="0.25">
      <c r="A1180" s="89">
        <v>560</v>
      </c>
      <c r="B1180" s="4">
        <v>43284</v>
      </c>
      <c r="C1180" s="26" t="s">
        <v>56</v>
      </c>
      <c r="D1180" s="3">
        <v>30642</v>
      </c>
      <c r="E1180" s="4">
        <v>43297</v>
      </c>
      <c r="F1180" s="92" t="s">
        <v>28</v>
      </c>
      <c r="G1180" s="32">
        <v>43290</v>
      </c>
      <c r="H1180" s="27">
        <f t="shared" si="136"/>
        <v>30642</v>
      </c>
      <c r="I1180" s="27"/>
      <c r="J1180" s="27"/>
      <c r="K1180" s="99"/>
      <c r="L1180" s="27">
        <v>21549.9</v>
      </c>
      <c r="M1180" s="29">
        <f t="shared" si="137"/>
        <v>9092.0999999999985</v>
      </c>
      <c r="N1180" s="29"/>
      <c r="O1180" s="44">
        <f t="shared" si="138"/>
        <v>0.29672018797728605</v>
      </c>
    </row>
    <row r="1181" spans="1:15" ht="20.100000000000001" customHeight="1" x14ac:dyDescent="0.25">
      <c r="A1181" s="89">
        <v>592</v>
      </c>
      <c r="B1181" s="4">
        <v>43293</v>
      </c>
      <c r="C1181" s="26" t="s">
        <v>287</v>
      </c>
      <c r="D1181" s="3">
        <v>7402</v>
      </c>
      <c r="E1181" s="4">
        <v>43297</v>
      </c>
      <c r="F1181" s="92" t="s">
        <v>28</v>
      </c>
      <c r="G1181" s="32">
        <v>43306</v>
      </c>
      <c r="H1181" s="27">
        <f t="shared" si="136"/>
        <v>7402</v>
      </c>
      <c r="I1181" s="27"/>
      <c r="J1181" s="27"/>
      <c r="K1181" s="99"/>
      <c r="L1181" s="27">
        <v>5699</v>
      </c>
      <c r="M1181" s="29">
        <f t="shared" si="137"/>
        <v>1703</v>
      </c>
      <c r="N1181" s="29"/>
      <c r="O1181" s="44">
        <f t="shared" si="138"/>
        <v>0.23007295325587679</v>
      </c>
    </row>
    <row r="1182" spans="1:15" ht="20.100000000000001" customHeight="1" x14ac:dyDescent="0.25">
      <c r="A1182" s="89">
        <v>594</v>
      </c>
      <c r="B1182" s="4">
        <v>43294</v>
      </c>
      <c r="C1182" s="26" t="s">
        <v>209</v>
      </c>
      <c r="D1182" s="3">
        <v>1922.7</v>
      </c>
      <c r="E1182" s="4">
        <v>43297</v>
      </c>
      <c r="F1182" s="92" t="s">
        <v>28</v>
      </c>
      <c r="G1182" s="32">
        <v>43294</v>
      </c>
      <c r="H1182" s="27">
        <f t="shared" si="136"/>
        <v>1922.7</v>
      </c>
      <c r="I1182" s="27"/>
      <c r="J1182" s="27"/>
      <c r="K1182" s="99"/>
      <c r="L1182" s="27">
        <v>1764</v>
      </c>
      <c r="M1182" s="29">
        <f t="shared" si="137"/>
        <v>158.70000000000005</v>
      </c>
      <c r="N1182" s="29"/>
      <c r="O1182" s="44">
        <f t="shared" si="138"/>
        <v>8.2540177874863493E-2</v>
      </c>
    </row>
    <row r="1183" spans="1:15" ht="20.100000000000001" customHeight="1" x14ac:dyDescent="0.25">
      <c r="A1183" s="89">
        <v>588</v>
      </c>
      <c r="B1183" s="4">
        <v>43293</v>
      </c>
      <c r="C1183" s="26" t="s">
        <v>327</v>
      </c>
      <c r="D1183" s="3">
        <v>2543</v>
      </c>
      <c r="E1183" s="4">
        <v>43298</v>
      </c>
      <c r="F1183" s="92" t="s">
        <v>28</v>
      </c>
      <c r="G1183" s="32">
        <v>43299</v>
      </c>
      <c r="H1183" s="27">
        <f t="shared" si="136"/>
        <v>2543</v>
      </c>
      <c r="I1183" s="27"/>
      <c r="J1183" s="27"/>
      <c r="K1183" s="99"/>
      <c r="L1183" s="27">
        <v>1995</v>
      </c>
      <c r="M1183" s="29">
        <f t="shared" si="137"/>
        <v>548</v>
      </c>
      <c r="N1183" s="29"/>
      <c r="O1183" s="44">
        <f t="shared" si="138"/>
        <v>0.21549351160047189</v>
      </c>
    </row>
    <row r="1184" spans="1:15" ht="20.100000000000001" customHeight="1" x14ac:dyDescent="0.25">
      <c r="A1184" s="89">
        <v>595</v>
      </c>
      <c r="B1184" s="4">
        <v>43294</v>
      </c>
      <c r="C1184" s="26" t="s">
        <v>91</v>
      </c>
      <c r="D1184" s="3">
        <v>4613</v>
      </c>
      <c r="E1184" s="4">
        <v>43298</v>
      </c>
      <c r="F1184" s="92" t="s">
        <v>28</v>
      </c>
      <c r="G1184" s="32">
        <v>43301</v>
      </c>
      <c r="H1184" s="27">
        <f t="shared" si="136"/>
        <v>4613</v>
      </c>
      <c r="I1184" s="27"/>
      <c r="J1184" s="27"/>
      <c r="K1184" s="99"/>
      <c r="L1184" s="27">
        <v>3696</v>
      </c>
      <c r="M1184" s="29">
        <f t="shared" si="137"/>
        <v>917</v>
      </c>
      <c r="N1184" s="29"/>
      <c r="O1184" s="44">
        <f t="shared" si="138"/>
        <v>0.19878603945371776</v>
      </c>
    </row>
    <row r="1185" spans="1:15" ht="20.100000000000001" customHeight="1" x14ac:dyDescent="0.25">
      <c r="A1185" s="89">
        <v>590</v>
      </c>
      <c r="B1185" s="4">
        <v>43293</v>
      </c>
      <c r="C1185" s="26" t="s">
        <v>89</v>
      </c>
      <c r="D1185" s="3">
        <v>9226</v>
      </c>
      <c r="E1185" s="4">
        <v>43298</v>
      </c>
      <c r="F1185" s="92" t="s">
        <v>28</v>
      </c>
      <c r="G1185" s="32">
        <v>43319</v>
      </c>
      <c r="H1185" s="27">
        <f t="shared" si="136"/>
        <v>9226</v>
      </c>
      <c r="I1185" s="27"/>
      <c r="J1185" s="27"/>
      <c r="K1185" s="99"/>
      <c r="L1185" s="27">
        <v>7393</v>
      </c>
      <c r="M1185" s="29">
        <f t="shared" si="137"/>
        <v>1833</v>
      </c>
      <c r="N1185" s="29"/>
      <c r="O1185" s="44">
        <f t="shared" si="138"/>
        <v>0.19867765011922828</v>
      </c>
    </row>
    <row r="1186" spans="1:15" ht="20.100000000000001" customHeight="1" x14ac:dyDescent="0.25">
      <c r="A1186" s="89">
        <v>606</v>
      </c>
      <c r="B1186" s="4">
        <v>43299</v>
      </c>
      <c r="C1186" s="26" t="s">
        <v>118</v>
      </c>
      <c r="D1186" s="3">
        <v>8490.65</v>
      </c>
      <c r="E1186" s="4">
        <v>43299</v>
      </c>
      <c r="F1186" s="92" t="s">
        <v>28</v>
      </c>
      <c r="G1186" s="32">
        <v>43312</v>
      </c>
      <c r="H1186" s="27">
        <f t="shared" si="136"/>
        <v>8490.65</v>
      </c>
      <c r="I1186" s="27"/>
      <c r="J1186" s="27"/>
      <c r="K1186" s="99"/>
      <c r="L1186" s="27">
        <v>7299</v>
      </c>
      <c r="M1186" s="29">
        <f t="shared" si="137"/>
        <v>1191.6499999999996</v>
      </c>
      <c r="N1186" s="29"/>
      <c r="O1186" s="44">
        <f t="shared" si="138"/>
        <v>0.14034850099815677</v>
      </c>
    </row>
    <row r="1187" spans="1:15" ht="20.100000000000001" customHeight="1" x14ac:dyDescent="0.25">
      <c r="A1187" s="89">
        <v>608</v>
      </c>
      <c r="B1187" s="4">
        <v>43299</v>
      </c>
      <c r="C1187" s="26" t="s">
        <v>49</v>
      </c>
      <c r="D1187" s="3">
        <v>4400</v>
      </c>
      <c r="E1187" s="4">
        <v>43300</v>
      </c>
      <c r="F1187" s="92" t="s">
        <v>28</v>
      </c>
      <c r="G1187" s="32">
        <v>43305</v>
      </c>
      <c r="H1187" s="27">
        <f t="shared" si="136"/>
        <v>4400</v>
      </c>
      <c r="I1187" s="27"/>
      <c r="J1187" s="27"/>
      <c r="K1187" s="99"/>
      <c r="L1187" s="27">
        <v>3080</v>
      </c>
      <c r="M1187" s="29">
        <f t="shared" si="137"/>
        <v>1320</v>
      </c>
      <c r="N1187" s="29"/>
      <c r="O1187" s="44">
        <f t="shared" si="138"/>
        <v>0.3</v>
      </c>
    </row>
    <row r="1188" spans="1:15" ht="20.100000000000001" customHeight="1" x14ac:dyDescent="0.25">
      <c r="A1188" s="89">
        <v>581</v>
      </c>
      <c r="B1188" s="4">
        <v>43292</v>
      </c>
      <c r="C1188" s="26" t="s">
        <v>49</v>
      </c>
      <c r="D1188" s="3">
        <v>1656</v>
      </c>
      <c r="E1188" s="4">
        <v>43300</v>
      </c>
      <c r="F1188" s="92" t="s">
        <v>28</v>
      </c>
      <c r="G1188" s="32">
        <v>43305</v>
      </c>
      <c r="H1188" s="27">
        <f t="shared" si="136"/>
        <v>1656</v>
      </c>
      <c r="I1188" s="27"/>
      <c r="J1188" s="27"/>
      <c r="K1188" s="99"/>
      <c r="L1188" s="27">
        <v>1106</v>
      </c>
      <c r="M1188" s="29">
        <f t="shared" si="137"/>
        <v>550</v>
      </c>
      <c r="N1188" s="29"/>
      <c r="O1188" s="44">
        <f t="shared" si="138"/>
        <v>0.33212560386473428</v>
      </c>
    </row>
    <row r="1189" spans="1:15" ht="20.100000000000001" customHeight="1" x14ac:dyDescent="0.25">
      <c r="A1189" s="89">
        <v>621</v>
      </c>
      <c r="B1189" s="4">
        <v>43304</v>
      </c>
      <c r="C1189" s="5" t="s">
        <v>347</v>
      </c>
      <c r="D1189" s="3">
        <v>21990</v>
      </c>
      <c r="E1189" s="4">
        <v>43305</v>
      </c>
      <c r="F1189" s="92" t="s">
        <v>28</v>
      </c>
      <c r="G1189" s="32">
        <v>43306</v>
      </c>
      <c r="H1189" s="27">
        <f t="shared" si="136"/>
        <v>21990</v>
      </c>
      <c r="I1189" s="27">
        <f>H1189</f>
        <v>21990</v>
      </c>
      <c r="J1189" s="27"/>
      <c r="K1189" s="99"/>
      <c r="L1189" s="27">
        <v>16162</v>
      </c>
      <c r="M1189" s="29">
        <f t="shared" si="137"/>
        <v>5828</v>
      </c>
      <c r="N1189" s="29">
        <f>M1189</f>
        <v>5828</v>
      </c>
      <c r="O1189" s="44">
        <f t="shared" si="138"/>
        <v>0.26502955889040475</v>
      </c>
    </row>
    <row r="1190" spans="1:15" ht="20.100000000000001" customHeight="1" x14ac:dyDescent="0.25">
      <c r="A1190" s="89">
        <v>603</v>
      </c>
      <c r="B1190" s="4">
        <v>43298</v>
      </c>
      <c r="C1190" s="26" t="s">
        <v>175</v>
      </c>
      <c r="D1190" s="3">
        <v>4010</v>
      </c>
      <c r="E1190" s="4">
        <v>43306</v>
      </c>
      <c r="F1190" s="92" t="s">
        <v>28</v>
      </c>
      <c r="G1190" s="32">
        <v>43305</v>
      </c>
      <c r="H1190" s="27">
        <f t="shared" si="136"/>
        <v>4010</v>
      </c>
      <c r="I1190" s="27"/>
      <c r="J1190" s="27"/>
      <c r="K1190" s="99"/>
      <c r="L1190" s="27">
        <v>3042</v>
      </c>
      <c r="M1190" s="29">
        <f t="shared" si="137"/>
        <v>968</v>
      </c>
      <c r="N1190" s="29"/>
      <c r="O1190" s="44">
        <f t="shared" si="138"/>
        <v>0.24139650872817955</v>
      </c>
    </row>
    <row r="1191" spans="1:15" ht="20.100000000000001" customHeight="1" x14ac:dyDescent="0.25">
      <c r="A1191" s="89">
        <v>625</v>
      </c>
      <c r="B1191" s="4">
        <v>43305</v>
      </c>
      <c r="C1191" s="26" t="s">
        <v>319</v>
      </c>
      <c r="D1191" s="3">
        <v>5148</v>
      </c>
      <c r="E1191" s="4">
        <v>43306</v>
      </c>
      <c r="F1191" s="92" t="s">
        <v>28</v>
      </c>
      <c r="G1191" s="32">
        <v>43312</v>
      </c>
      <c r="H1191" s="27">
        <f t="shared" si="136"/>
        <v>5148</v>
      </c>
      <c r="I1191" s="27"/>
      <c r="J1191" s="27"/>
      <c r="K1191" s="99"/>
      <c r="L1191" s="27">
        <v>3963</v>
      </c>
      <c r="M1191" s="29">
        <f t="shared" si="137"/>
        <v>1185</v>
      </c>
      <c r="N1191" s="29"/>
      <c r="O1191" s="44">
        <f t="shared" si="138"/>
        <v>0.23018648018648019</v>
      </c>
    </row>
    <row r="1192" spans="1:15" ht="20.100000000000001" customHeight="1" x14ac:dyDescent="0.25">
      <c r="A1192" s="89">
        <v>612</v>
      </c>
      <c r="B1192" s="4">
        <v>43300</v>
      </c>
      <c r="C1192" s="26" t="s">
        <v>13</v>
      </c>
      <c r="D1192" s="3">
        <v>9908</v>
      </c>
      <c r="E1192" s="4">
        <v>43308</v>
      </c>
      <c r="F1192" s="92" t="s">
        <v>28</v>
      </c>
      <c r="G1192" s="32">
        <v>43300</v>
      </c>
      <c r="H1192" s="27">
        <f t="shared" si="136"/>
        <v>9908</v>
      </c>
      <c r="I1192" s="27"/>
      <c r="J1192" s="27"/>
      <c r="K1192" s="99"/>
      <c r="L1192" s="27">
        <v>7728</v>
      </c>
      <c r="M1192" s="29">
        <f t="shared" si="137"/>
        <v>2180</v>
      </c>
      <c r="N1192" s="29"/>
      <c r="O1192" s="44">
        <f t="shared" si="138"/>
        <v>0.22002422285022205</v>
      </c>
    </row>
    <row r="1193" spans="1:15" ht="20.100000000000001" customHeight="1" x14ac:dyDescent="0.25">
      <c r="A1193" s="89">
        <v>649</v>
      </c>
      <c r="B1193" s="4">
        <v>43311</v>
      </c>
      <c r="C1193" s="26" t="s">
        <v>91</v>
      </c>
      <c r="D1193" s="3">
        <v>4954</v>
      </c>
      <c r="E1193" s="4">
        <v>43312</v>
      </c>
      <c r="F1193" s="92" t="s">
        <v>28</v>
      </c>
      <c r="G1193" s="32">
        <v>43327</v>
      </c>
      <c r="H1193" s="27">
        <f t="shared" si="136"/>
        <v>4954</v>
      </c>
      <c r="I1193" s="27"/>
      <c r="J1193" s="27"/>
      <c r="K1193" s="99"/>
      <c r="L1193" s="27">
        <v>3862</v>
      </c>
      <c r="M1193" s="29">
        <f t="shared" si="137"/>
        <v>1092</v>
      </c>
      <c r="N1193" s="29"/>
      <c r="O1193" s="44">
        <f t="shared" si="138"/>
        <v>0.22042793702058941</v>
      </c>
    </row>
    <row r="1194" spans="1:15" ht="20.100000000000001" customHeight="1" x14ac:dyDescent="0.25">
      <c r="A1194" s="89">
        <v>575</v>
      </c>
      <c r="B1194" s="4">
        <v>43305</v>
      </c>
      <c r="C1194" s="5" t="s">
        <v>349</v>
      </c>
      <c r="D1194" s="3">
        <v>13990</v>
      </c>
      <c r="E1194" s="4">
        <v>43312</v>
      </c>
      <c r="F1194" s="92" t="s">
        <v>28</v>
      </c>
      <c r="G1194" s="32">
        <v>43312</v>
      </c>
      <c r="H1194" s="27">
        <f t="shared" si="136"/>
        <v>13990</v>
      </c>
      <c r="I1194" s="27">
        <f>H1194</f>
        <v>13990</v>
      </c>
      <c r="J1194" s="27"/>
      <c r="K1194" s="99"/>
      <c r="L1194" s="27">
        <v>10576</v>
      </c>
      <c r="M1194" s="29">
        <f t="shared" si="137"/>
        <v>3414</v>
      </c>
      <c r="N1194" s="29">
        <f>M1194</f>
        <v>3414</v>
      </c>
      <c r="O1194" s="44">
        <f t="shared" si="138"/>
        <v>0.2440314510364546</v>
      </c>
    </row>
    <row r="1195" spans="1:15" ht="19.5" customHeight="1" x14ac:dyDescent="0.25">
      <c r="A1195" s="89"/>
      <c r="B1195" s="4"/>
      <c r="C1195" s="5"/>
      <c r="D1195" s="3"/>
      <c r="E1195" s="97">
        <v>19600</v>
      </c>
      <c r="F1195" s="98">
        <f>M1195*0.12+N1195*0.06</f>
        <v>19631.466</v>
      </c>
      <c r="G1195" s="21">
        <f>H1195*0.05+I1195*0.02</f>
        <v>28991.967499999999</v>
      </c>
      <c r="H1195" s="16">
        <f t="shared" ref="H1195:N1195" si="139">SUM(H1168:H1194)</f>
        <v>562653.75</v>
      </c>
      <c r="I1195" s="16">
        <f t="shared" si="139"/>
        <v>42964</v>
      </c>
      <c r="J1195" s="16">
        <f t="shared" si="139"/>
        <v>15000</v>
      </c>
      <c r="K1195" s="16">
        <f t="shared" si="139"/>
        <v>7200</v>
      </c>
      <c r="L1195" s="16">
        <f t="shared" si="139"/>
        <v>382461.7</v>
      </c>
      <c r="M1195" s="16">
        <f t="shared" si="139"/>
        <v>157992.05000000002</v>
      </c>
      <c r="N1195" s="16">
        <f t="shared" si="139"/>
        <v>11207</v>
      </c>
      <c r="O1195" s="44">
        <f t="shared" si="138"/>
        <v>0.28079800410110128</v>
      </c>
    </row>
    <row r="1196" spans="1:15" ht="23.25" x14ac:dyDescent="0.35">
      <c r="C1196" s="94" t="s">
        <v>642</v>
      </c>
    </row>
    <row r="1197" spans="1:15" ht="20.100000000000001" customHeight="1" x14ac:dyDescent="0.25">
      <c r="A1197" s="89">
        <v>648</v>
      </c>
      <c r="B1197" s="4">
        <v>43311</v>
      </c>
      <c r="C1197" s="5" t="s">
        <v>348</v>
      </c>
      <c r="D1197" s="3">
        <v>5314</v>
      </c>
      <c r="E1197" s="4">
        <v>43313</v>
      </c>
      <c r="F1197" s="92" t="s">
        <v>28</v>
      </c>
      <c r="G1197" s="32">
        <v>43313</v>
      </c>
      <c r="H1197" s="27">
        <f t="shared" ref="H1197:H1206" si="140">D1197</f>
        <v>5314</v>
      </c>
      <c r="I1197" s="27">
        <f>H1197</f>
        <v>5314</v>
      </c>
      <c r="J1197" s="27"/>
      <c r="K1197" s="99"/>
      <c r="L1197" s="27">
        <v>4257</v>
      </c>
      <c r="M1197" s="29">
        <f t="shared" ref="M1197:M1225" si="141">H1197-L1197-J1197-K1197</f>
        <v>1057</v>
      </c>
      <c r="N1197" s="29">
        <f>M1197</f>
        <v>1057</v>
      </c>
      <c r="O1197" s="44">
        <f t="shared" ref="O1197:O1226" si="142">M1197/H1197</f>
        <v>0.19890854347007902</v>
      </c>
    </row>
    <row r="1198" spans="1:15" ht="20.100000000000001" customHeight="1" x14ac:dyDescent="0.25">
      <c r="A1198" s="89">
        <v>651</v>
      </c>
      <c r="B1198" s="4">
        <v>43312</v>
      </c>
      <c r="C1198" s="26" t="s">
        <v>83</v>
      </c>
      <c r="D1198" s="3">
        <v>8910</v>
      </c>
      <c r="E1198" s="4">
        <v>43314</v>
      </c>
      <c r="F1198" s="92" t="s">
        <v>28</v>
      </c>
      <c r="G1198" s="32">
        <v>43315</v>
      </c>
      <c r="H1198" s="27">
        <f t="shared" si="140"/>
        <v>8910</v>
      </c>
      <c r="I1198" s="27"/>
      <c r="J1198" s="27"/>
      <c r="K1198" s="99">
        <v>600</v>
      </c>
      <c r="L1198" s="27">
        <v>5053</v>
      </c>
      <c r="M1198" s="29">
        <f t="shared" si="141"/>
        <v>3257</v>
      </c>
      <c r="N1198" s="29"/>
      <c r="O1198" s="44">
        <f t="shared" si="142"/>
        <v>0.36554433221099886</v>
      </c>
    </row>
    <row r="1199" spans="1:15" ht="20.100000000000001" customHeight="1" x14ac:dyDescent="0.25">
      <c r="A1199" s="89">
        <v>646</v>
      </c>
      <c r="B1199" s="4">
        <v>43311</v>
      </c>
      <c r="C1199" s="26" t="s">
        <v>231</v>
      </c>
      <c r="D1199" s="3">
        <v>524</v>
      </c>
      <c r="E1199" s="4">
        <v>43314</v>
      </c>
      <c r="F1199" s="92" t="s">
        <v>28</v>
      </c>
      <c r="G1199" s="32">
        <v>43314</v>
      </c>
      <c r="H1199" s="27">
        <f t="shared" si="140"/>
        <v>524</v>
      </c>
      <c r="I1199" s="27"/>
      <c r="J1199" s="27"/>
      <c r="K1199" s="99"/>
      <c r="L1199" s="27">
        <v>348</v>
      </c>
      <c r="M1199" s="29">
        <f t="shared" si="141"/>
        <v>176</v>
      </c>
      <c r="N1199" s="29"/>
      <c r="O1199" s="44">
        <f t="shared" si="142"/>
        <v>0.33587786259541985</v>
      </c>
    </row>
    <row r="1200" spans="1:15" ht="20.100000000000001" customHeight="1" x14ac:dyDescent="0.25">
      <c r="A1200" s="89">
        <v>657</v>
      </c>
      <c r="B1200" s="4">
        <v>43312</v>
      </c>
      <c r="C1200" s="26" t="s">
        <v>147</v>
      </c>
      <c r="D1200" s="3">
        <v>19815.98</v>
      </c>
      <c r="E1200" s="4">
        <v>43314</v>
      </c>
      <c r="F1200" s="92" t="s">
        <v>28</v>
      </c>
      <c r="G1200" s="32">
        <v>43315</v>
      </c>
      <c r="H1200" s="27">
        <f t="shared" si="140"/>
        <v>19815.98</v>
      </c>
      <c r="I1200" s="27"/>
      <c r="J1200" s="27"/>
      <c r="K1200" s="99"/>
      <c r="L1200" s="27">
        <v>15449</v>
      </c>
      <c r="M1200" s="29">
        <f t="shared" si="141"/>
        <v>4366.9799999999996</v>
      </c>
      <c r="N1200" s="29"/>
      <c r="O1200" s="44">
        <f t="shared" si="142"/>
        <v>0.22037668588684484</v>
      </c>
    </row>
    <row r="1201" spans="1:15" ht="20.100000000000001" customHeight="1" x14ac:dyDescent="0.25">
      <c r="A1201" s="89">
        <v>670</v>
      </c>
      <c r="B1201" s="4">
        <v>43315</v>
      </c>
      <c r="C1201" s="5" t="s">
        <v>350</v>
      </c>
      <c r="D1201" s="3">
        <v>9290</v>
      </c>
      <c r="E1201" s="4">
        <v>43315</v>
      </c>
      <c r="F1201" s="92" t="s">
        <v>28</v>
      </c>
      <c r="G1201" s="32">
        <v>43315</v>
      </c>
      <c r="H1201" s="27">
        <f t="shared" si="140"/>
        <v>9290</v>
      </c>
      <c r="I1201" s="27">
        <f>H1201</f>
        <v>9290</v>
      </c>
      <c r="J1201" s="27"/>
      <c r="K1201" s="99"/>
      <c r="L1201" s="27">
        <v>6607</v>
      </c>
      <c r="M1201" s="29">
        <f t="shared" si="141"/>
        <v>2683</v>
      </c>
      <c r="N1201" s="29">
        <f>M1201</f>
        <v>2683</v>
      </c>
      <c r="O1201" s="44">
        <f t="shared" si="142"/>
        <v>0.28880516684607105</v>
      </c>
    </row>
    <row r="1202" spans="1:15" ht="20.100000000000001" customHeight="1" x14ac:dyDescent="0.25">
      <c r="A1202" s="89">
        <v>674</v>
      </c>
      <c r="B1202" s="4">
        <v>43318</v>
      </c>
      <c r="C1202" s="5" t="s">
        <v>351</v>
      </c>
      <c r="D1202" s="3">
        <v>5235</v>
      </c>
      <c r="E1202" s="4">
        <v>43318</v>
      </c>
      <c r="F1202" s="92" t="s">
        <v>28</v>
      </c>
      <c r="G1202" s="32">
        <v>43318</v>
      </c>
      <c r="H1202" s="27">
        <f t="shared" si="140"/>
        <v>5235</v>
      </c>
      <c r="I1202" s="27">
        <f>H1202</f>
        <v>5235</v>
      </c>
      <c r="J1202" s="27"/>
      <c r="K1202" s="99"/>
      <c r="L1202" s="27">
        <v>4048</v>
      </c>
      <c r="M1202" s="29">
        <f t="shared" si="141"/>
        <v>1187</v>
      </c>
      <c r="N1202" s="29">
        <f>M1202</f>
        <v>1187</v>
      </c>
      <c r="O1202" s="44">
        <f t="shared" si="142"/>
        <v>0.22674307545367717</v>
      </c>
    </row>
    <row r="1203" spans="1:15" ht="20.100000000000001" customHeight="1" x14ac:dyDescent="0.25">
      <c r="A1203" s="89">
        <v>618</v>
      </c>
      <c r="B1203" s="92">
        <v>43305</v>
      </c>
      <c r="C1203" s="26" t="s">
        <v>228</v>
      </c>
      <c r="D1203" s="3">
        <v>25487</v>
      </c>
      <c r="E1203" s="4">
        <v>43319</v>
      </c>
      <c r="F1203" s="92" t="s">
        <v>28</v>
      </c>
      <c r="G1203" s="32">
        <v>43341</v>
      </c>
      <c r="H1203" s="27">
        <f t="shared" si="140"/>
        <v>25487</v>
      </c>
      <c r="I1203" s="27"/>
      <c r="J1203" s="27"/>
      <c r="K1203" s="99">
        <f>2*600</f>
        <v>1200</v>
      </c>
      <c r="L1203" s="27">
        <v>13301</v>
      </c>
      <c r="M1203" s="29">
        <f t="shared" si="141"/>
        <v>10986</v>
      </c>
      <c r="N1203" s="29"/>
      <c r="O1203" s="44">
        <f t="shared" si="142"/>
        <v>0.43104327696472711</v>
      </c>
    </row>
    <row r="1204" spans="1:15" ht="20.100000000000001" customHeight="1" x14ac:dyDescent="0.25">
      <c r="A1204" s="89">
        <v>638</v>
      </c>
      <c r="B1204" s="92">
        <v>43350</v>
      </c>
      <c r="C1204" s="26" t="s">
        <v>83</v>
      </c>
      <c r="D1204" s="3">
        <v>11540</v>
      </c>
      <c r="E1204" s="4">
        <v>43321</v>
      </c>
      <c r="F1204" s="92" t="s">
        <v>28</v>
      </c>
      <c r="G1204" s="32">
        <v>43325</v>
      </c>
      <c r="H1204" s="27">
        <f t="shared" si="140"/>
        <v>11540</v>
      </c>
      <c r="I1204" s="27"/>
      <c r="J1204" s="27"/>
      <c r="K1204" s="99"/>
      <c r="L1204" s="27">
        <v>8975</v>
      </c>
      <c r="M1204" s="29">
        <f t="shared" si="141"/>
        <v>2565</v>
      </c>
      <c r="N1204" s="29"/>
      <c r="O1204" s="44">
        <f t="shared" si="142"/>
        <v>0.22227036395147315</v>
      </c>
    </row>
    <row r="1205" spans="1:15" ht="20.100000000000001" customHeight="1" x14ac:dyDescent="0.25">
      <c r="A1205" s="89">
        <v>693</v>
      </c>
      <c r="B1205" s="92">
        <v>43321</v>
      </c>
      <c r="C1205" s="5" t="s">
        <v>352</v>
      </c>
      <c r="D1205" s="3">
        <v>34171</v>
      </c>
      <c r="E1205" s="4">
        <v>43322</v>
      </c>
      <c r="F1205" s="92" t="s">
        <v>28</v>
      </c>
      <c r="G1205" s="32">
        <v>43328</v>
      </c>
      <c r="H1205" s="27">
        <f t="shared" si="140"/>
        <v>34171</v>
      </c>
      <c r="I1205" s="27">
        <f>H1205</f>
        <v>34171</v>
      </c>
      <c r="J1205" s="27"/>
      <c r="K1205" s="99"/>
      <c r="L1205" s="27">
        <v>25848</v>
      </c>
      <c r="M1205" s="29">
        <f t="shared" si="141"/>
        <v>8323</v>
      </c>
      <c r="N1205" s="29">
        <f>M1205</f>
        <v>8323</v>
      </c>
      <c r="O1205" s="44">
        <f t="shared" si="142"/>
        <v>0.24356910830821457</v>
      </c>
    </row>
    <row r="1206" spans="1:15" ht="20.100000000000001" customHeight="1" x14ac:dyDescent="0.25">
      <c r="A1206" s="89">
        <v>964</v>
      </c>
      <c r="B1206" s="92">
        <v>43321</v>
      </c>
      <c r="C1206" s="26" t="s">
        <v>301</v>
      </c>
      <c r="D1206" s="3">
        <v>4000</v>
      </c>
      <c r="E1206" s="4">
        <v>43322</v>
      </c>
      <c r="F1206" s="92" t="s">
        <v>28</v>
      </c>
      <c r="G1206" s="32">
        <v>43333</v>
      </c>
      <c r="H1206" s="27">
        <f t="shared" si="140"/>
        <v>4000</v>
      </c>
      <c r="I1206" s="27"/>
      <c r="J1206" s="27"/>
      <c r="K1206" s="99">
        <v>600</v>
      </c>
      <c r="L1206" s="27">
        <v>1224</v>
      </c>
      <c r="M1206" s="29">
        <f t="shared" si="141"/>
        <v>2176</v>
      </c>
      <c r="N1206" s="29"/>
      <c r="O1206" s="44">
        <f t="shared" si="142"/>
        <v>0.54400000000000004</v>
      </c>
    </row>
    <row r="1207" spans="1:15" ht="20.100000000000001" customHeight="1" x14ac:dyDescent="0.25">
      <c r="A1207" s="89">
        <v>614</v>
      </c>
      <c r="B1207" s="4">
        <v>43300</v>
      </c>
      <c r="C1207" s="26" t="s">
        <v>60</v>
      </c>
      <c r="D1207" s="3">
        <v>20249</v>
      </c>
      <c r="E1207" s="4">
        <v>43325</v>
      </c>
      <c r="F1207" s="92" t="s">
        <v>28</v>
      </c>
      <c r="G1207" s="32">
        <v>43311</v>
      </c>
      <c r="H1207" s="27">
        <v>10094</v>
      </c>
      <c r="I1207" s="27"/>
      <c r="J1207" s="27"/>
      <c r="K1207" s="99"/>
      <c r="L1207" s="27">
        <v>7868</v>
      </c>
      <c r="M1207" s="29">
        <f t="shared" si="141"/>
        <v>2226</v>
      </c>
      <c r="N1207" s="29"/>
      <c r="O1207" s="44">
        <f t="shared" si="142"/>
        <v>0.22052704576976423</v>
      </c>
    </row>
    <row r="1208" spans="1:15" ht="20.100000000000001" customHeight="1" x14ac:dyDescent="0.25">
      <c r="A1208" s="89">
        <v>686</v>
      </c>
      <c r="B1208" s="4">
        <v>43320</v>
      </c>
      <c r="C1208" s="26" t="s">
        <v>314</v>
      </c>
      <c r="D1208" s="3">
        <v>10000</v>
      </c>
      <c r="E1208" s="4">
        <v>43326</v>
      </c>
      <c r="F1208" s="92" t="s">
        <v>28</v>
      </c>
      <c r="G1208" s="32">
        <v>43327</v>
      </c>
      <c r="H1208" s="27">
        <f t="shared" ref="H1208:H1222" si="143">D1208</f>
        <v>10000</v>
      </c>
      <c r="I1208" s="27"/>
      <c r="J1208" s="27"/>
      <c r="K1208" s="99"/>
      <c r="L1208" s="27">
        <v>5740</v>
      </c>
      <c r="M1208" s="29">
        <f t="shared" si="141"/>
        <v>4260</v>
      </c>
      <c r="N1208" s="29"/>
      <c r="O1208" s="44">
        <f t="shared" si="142"/>
        <v>0.42599999999999999</v>
      </c>
    </row>
    <row r="1209" spans="1:15" ht="20.100000000000001" customHeight="1" x14ac:dyDescent="0.25">
      <c r="A1209" s="89">
        <v>676</v>
      </c>
      <c r="B1209" s="4">
        <v>43318</v>
      </c>
      <c r="C1209" s="26" t="s">
        <v>314</v>
      </c>
      <c r="D1209" s="3">
        <v>10000</v>
      </c>
      <c r="E1209" s="4">
        <v>43326</v>
      </c>
      <c r="F1209" s="92" t="s">
        <v>28</v>
      </c>
      <c r="G1209" s="32">
        <v>43327</v>
      </c>
      <c r="H1209" s="27">
        <f t="shared" si="143"/>
        <v>10000</v>
      </c>
      <c r="I1209" s="27"/>
      <c r="J1209" s="27"/>
      <c r="K1209" s="99">
        <v>1200</v>
      </c>
      <c r="L1209" s="27">
        <v>2619</v>
      </c>
      <c r="M1209" s="29">
        <f t="shared" si="141"/>
        <v>6181</v>
      </c>
      <c r="N1209" s="29"/>
      <c r="O1209" s="44">
        <f t="shared" si="142"/>
        <v>0.61809999999999998</v>
      </c>
    </row>
    <row r="1210" spans="1:15" ht="20.100000000000001" customHeight="1" x14ac:dyDescent="0.25">
      <c r="A1210" s="89">
        <v>671</v>
      </c>
      <c r="B1210" s="4">
        <v>43315</v>
      </c>
      <c r="C1210" s="26" t="s">
        <v>315</v>
      </c>
      <c r="D1210" s="3">
        <v>2642</v>
      </c>
      <c r="E1210" s="4">
        <v>43326</v>
      </c>
      <c r="F1210" s="92" t="s">
        <v>28</v>
      </c>
      <c r="G1210" s="32">
        <v>43368</v>
      </c>
      <c r="H1210" s="27">
        <f t="shared" si="143"/>
        <v>2642</v>
      </c>
      <c r="I1210" s="27"/>
      <c r="J1210" s="27"/>
      <c r="K1210" s="99"/>
      <c r="L1210" s="27">
        <v>1592</v>
      </c>
      <c r="M1210" s="29">
        <f t="shared" si="141"/>
        <v>1050</v>
      </c>
      <c r="N1210" s="29"/>
      <c r="O1210" s="44">
        <f t="shared" si="142"/>
        <v>0.39742619227857684</v>
      </c>
    </row>
    <row r="1211" spans="1:15" ht="20.100000000000001" customHeight="1" x14ac:dyDescent="0.25">
      <c r="A1211" s="89">
        <v>697</v>
      </c>
      <c r="B1211" s="4">
        <v>43322</v>
      </c>
      <c r="C1211" s="5" t="s">
        <v>348</v>
      </c>
      <c r="D1211" s="3">
        <v>3810</v>
      </c>
      <c r="E1211" s="4">
        <v>43326</v>
      </c>
      <c r="F1211" s="92" t="s">
        <v>28</v>
      </c>
      <c r="G1211" s="32">
        <v>43327</v>
      </c>
      <c r="H1211" s="27">
        <f t="shared" si="143"/>
        <v>3810</v>
      </c>
      <c r="I1211" s="27">
        <f>H1211</f>
        <v>3810</v>
      </c>
      <c r="J1211" s="27"/>
      <c r="K1211" s="99"/>
      <c r="L1211" s="27">
        <v>3053</v>
      </c>
      <c r="M1211" s="29">
        <f t="shared" si="141"/>
        <v>757</v>
      </c>
      <c r="N1211" s="29">
        <f>M1211</f>
        <v>757</v>
      </c>
      <c r="O1211" s="44">
        <f t="shared" si="142"/>
        <v>0.19868766404199475</v>
      </c>
    </row>
    <row r="1212" spans="1:15" ht="20.100000000000001" customHeight="1" x14ac:dyDescent="0.25">
      <c r="A1212" s="89">
        <v>698</v>
      </c>
      <c r="B1212" s="4">
        <v>43322</v>
      </c>
      <c r="C1212" s="26" t="s">
        <v>77</v>
      </c>
      <c r="D1212" s="3">
        <v>1529</v>
      </c>
      <c r="E1212" s="4">
        <v>43327</v>
      </c>
      <c r="F1212" s="92" t="s">
        <v>28</v>
      </c>
      <c r="G1212" s="32">
        <v>43334</v>
      </c>
      <c r="H1212" s="27">
        <f t="shared" si="143"/>
        <v>1529</v>
      </c>
      <c r="I1212" s="27"/>
      <c r="J1212" s="27"/>
      <c r="K1212" s="99"/>
      <c r="L1212" s="27">
        <v>1062</v>
      </c>
      <c r="M1212" s="29">
        <f t="shared" si="141"/>
        <v>467</v>
      </c>
      <c r="N1212" s="29"/>
      <c r="O1212" s="44">
        <f t="shared" si="142"/>
        <v>0.30542838456507521</v>
      </c>
    </row>
    <row r="1213" spans="1:15" ht="20.100000000000001" customHeight="1" x14ac:dyDescent="0.25">
      <c r="A1213" s="89">
        <v>700</v>
      </c>
      <c r="B1213" s="4">
        <v>43325</v>
      </c>
      <c r="C1213" s="26" t="s">
        <v>353</v>
      </c>
      <c r="D1213" s="3">
        <v>974</v>
      </c>
      <c r="E1213" s="4">
        <v>43327</v>
      </c>
      <c r="F1213" s="92" t="s">
        <v>28</v>
      </c>
      <c r="G1213" s="32">
        <v>43367</v>
      </c>
      <c r="H1213" s="27">
        <f t="shared" si="143"/>
        <v>974</v>
      </c>
      <c r="I1213" s="27"/>
      <c r="J1213" s="27"/>
      <c r="K1213" s="99"/>
      <c r="L1213" s="27">
        <v>642</v>
      </c>
      <c r="M1213" s="29">
        <f t="shared" si="141"/>
        <v>332</v>
      </c>
      <c r="N1213" s="29"/>
      <c r="O1213" s="44">
        <f t="shared" si="142"/>
        <v>0.34086242299794661</v>
      </c>
    </row>
    <row r="1214" spans="1:15" ht="20.100000000000001" customHeight="1" x14ac:dyDescent="0.25">
      <c r="A1214" s="89">
        <v>661</v>
      </c>
      <c r="B1214" s="4">
        <v>43314</v>
      </c>
      <c r="C1214" s="26" t="s">
        <v>270</v>
      </c>
      <c r="D1214" s="3">
        <v>2160</v>
      </c>
      <c r="E1214" s="4">
        <v>43328</v>
      </c>
      <c r="F1214" s="92" t="s">
        <v>28</v>
      </c>
      <c r="G1214" s="32">
        <v>43315</v>
      </c>
      <c r="H1214" s="27">
        <f t="shared" si="143"/>
        <v>2160</v>
      </c>
      <c r="I1214" s="27"/>
      <c r="J1214" s="27"/>
      <c r="K1214" s="99"/>
      <c r="L1214" s="27">
        <v>1638</v>
      </c>
      <c r="M1214" s="29">
        <f t="shared" si="141"/>
        <v>522</v>
      </c>
      <c r="N1214" s="29"/>
      <c r="O1214" s="44">
        <f t="shared" si="142"/>
        <v>0.24166666666666667</v>
      </c>
    </row>
    <row r="1215" spans="1:15" ht="20.100000000000001" customHeight="1" x14ac:dyDescent="0.25">
      <c r="A1215" s="89">
        <v>662</v>
      </c>
      <c r="B1215" s="4">
        <v>43314</v>
      </c>
      <c r="C1215" s="26" t="s">
        <v>175</v>
      </c>
      <c r="D1215" s="3">
        <v>22634.7</v>
      </c>
      <c r="E1215" s="4">
        <v>43328</v>
      </c>
      <c r="F1215" s="92" t="s">
        <v>28</v>
      </c>
      <c r="G1215" s="32">
        <v>43332</v>
      </c>
      <c r="H1215" s="27">
        <f t="shared" si="143"/>
        <v>22634.7</v>
      </c>
      <c r="I1215" s="27"/>
      <c r="J1215" s="27"/>
      <c r="K1215" s="99"/>
      <c r="L1215" s="27">
        <v>18490</v>
      </c>
      <c r="M1215" s="29">
        <f t="shared" si="141"/>
        <v>4144.7000000000007</v>
      </c>
      <c r="N1215" s="29"/>
      <c r="O1215" s="44">
        <f t="shared" si="142"/>
        <v>0.18311265446416344</v>
      </c>
    </row>
    <row r="1216" spans="1:15" ht="20.100000000000001" customHeight="1" x14ac:dyDescent="0.25">
      <c r="A1216" s="89">
        <v>699</v>
      </c>
      <c r="B1216" s="4">
        <v>43322</v>
      </c>
      <c r="C1216" s="26" t="s">
        <v>255</v>
      </c>
      <c r="D1216" s="3">
        <v>39706</v>
      </c>
      <c r="E1216" s="4">
        <v>43328</v>
      </c>
      <c r="F1216" s="92" t="s">
        <v>28</v>
      </c>
      <c r="G1216" s="32">
        <v>43329</v>
      </c>
      <c r="H1216" s="27">
        <f t="shared" si="143"/>
        <v>39706</v>
      </c>
      <c r="I1216" s="27"/>
      <c r="J1216" s="27"/>
      <c r="K1216" s="99"/>
      <c r="L1216" s="27">
        <v>30164</v>
      </c>
      <c r="M1216" s="29">
        <f t="shared" si="141"/>
        <v>9542</v>
      </c>
      <c r="N1216" s="29"/>
      <c r="O1216" s="44">
        <f t="shared" si="142"/>
        <v>0.2403163249886667</v>
      </c>
    </row>
    <row r="1217" spans="1:15" ht="20.100000000000001" customHeight="1" x14ac:dyDescent="0.25">
      <c r="A1217" s="89">
        <v>716</v>
      </c>
      <c r="B1217" s="4">
        <v>43332</v>
      </c>
      <c r="C1217" s="26" t="s">
        <v>71</v>
      </c>
      <c r="D1217" s="3">
        <v>3978</v>
      </c>
      <c r="E1217" s="4">
        <v>43334</v>
      </c>
      <c r="F1217" s="92" t="s">
        <v>28</v>
      </c>
      <c r="G1217" s="32">
        <v>43339</v>
      </c>
      <c r="H1217" s="27">
        <f t="shared" si="143"/>
        <v>3978</v>
      </c>
      <c r="I1217" s="27"/>
      <c r="J1217" s="27"/>
      <c r="K1217" s="99"/>
      <c r="L1217" s="27">
        <v>2898</v>
      </c>
      <c r="M1217" s="29">
        <f t="shared" si="141"/>
        <v>1080</v>
      </c>
      <c r="N1217" s="29"/>
      <c r="O1217" s="44">
        <f t="shared" si="142"/>
        <v>0.27149321266968324</v>
      </c>
    </row>
    <row r="1218" spans="1:15" ht="20.100000000000001" customHeight="1" x14ac:dyDescent="0.25">
      <c r="A1218" s="89">
        <v>619</v>
      </c>
      <c r="B1218" s="4">
        <v>43304</v>
      </c>
      <c r="C1218" s="26" t="s">
        <v>56</v>
      </c>
      <c r="D1218" s="3">
        <v>53558</v>
      </c>
      <c r="E1218" s="4">
        <v>43335</v>
      </c>
      <c r="F1218" s="92" t="s">
        <v>28</v>
      </c>
      <c r="G1218" s="32">
        <v>43326</v>
      </c>
      <c r="H1218" s="27">
        <f t="shared" si="143"/>
        <v>53558</v>
      </c>
      <c r="I1218" s="27"/>
      <c r="J1218" s="27"/>
      <c r="K1218" s="99"/>
      <c r="L1218" s="27">
        <v>36491</v>
      </c>
      <c r="M1218" s="29">
        <f t="shared" si="141"/>
        <v>17067</v>
      </c>
      <c r="N1218" s="29"/>
      <c r="O1218" s="44">
        <f t="shared" si="142"/>
        <v>0.31866387841218863</v>
      </c>
    </row>
    <row r="1219" spans="1:15" ht="20.100000000000001" customHeight="1" x14ac:dyDescent="0.25">
      <c r="A1219" s="89">
        <v>616</v>
      </c>
      <c r="B1219" s="4">
        <v>43301</v>
      </c>
      <c r="C1219" s="26" t="s">
        <v>13</v>
      </c>
      <c r="D1219" s="3">
        <v>3670</v>
      </c>
      <c r="E1219" s="4">
        <v>43335</v>
      </c>
      <c r="F1219" s="92" t="s">
        <v>28</v>
      </c>
      <c r="G1219" s="32">
        <v>43327</v>
      </c>
      <c r="H1219" s="27">
        <f t="shared" si="143"/>
        <v>3670</v>
      </c>
      <c r="I1219" s="27"/>
      <c r="J1219" s="27"/>
      <c r="K1219" s="99"/>
      <c r="L1219" s="27">
        <v>2718</v>
      </c>
      <c r="M1219" s="29">
        <f t="shared" si="141"/>
        <v>952</v>
      </c>
      <c r="N1219" s="29"/>
      <c r="O1219" s="44">
        <f t="shared" si="142"/>
        <v>0.25940054495912807</v>
      </c>
    </row>
    <row r="1220" spans="1:15" ht="20.100000000000001" customHeight="1" x14ac:dyDescent="0.25">
      <c r="A1220" s="89">
        <v>714</v>
      </c>
      <c r="B1220" s="4">
        <v>43329</v>
      </c>
      <c r="C1220" s="26" t="s">
        <v>342</v>
      </c>
      <c r="D1220" s="3">
        <v>21444</v>
      </c>
      <c r="E1220" s="4">
        <v>43336</v>
      </c>
      <c r="F1220" s="92" t="s">
        <v>28</v>
      </c>
      <c r="G1220" s="32">
        <v>43339</v>
      </c>
      <c r="H1220" s="27">
        <f t="shared" si="143"/>
        <v>21444</v>
      </c>
      <c r="I1220" s="27"/>
      <c r="J1220" s="27"/>
      <c r="K1220" s="99"/>
      <c r="L1220" s="27">
        <v>17344</v>
      </c>
      <c r="M1220" s="29">
        <f t="shared" si="141"/>
        <v>4100</v>
      </c>
      <c r="N1220" s="29"/>
      <c r="O1220" s="44">
        <f t="shared" si="142"/>
        <v>0.19119567244916993</v>
      </c>
    </row>
    <row r="1221" spans="1:15" ht="20.100000000000001" customHeight="1" x14ac:dyDescent="0.25">
      <c r="A1221" s="89">
        <v>611</v>
      </c>
      <c r="B1221" s="4">
        <v>43299</v>
      </c>
      <c r="C1221" s="26" t="s">
        <v>99</v>
      </c>
      <c r="D1221" s="3">
        <v>151760</v>
      </c>
      <c r="E1221" s="4">
        <v>43340</v>
      </c>
      <c r="F1221" s="92" t="s">
        <v>28</v>
      </c>
      <c r="G1221" s="32">
        <v>43308</v>
      </c>
      <c r="H1221" s="27">
        <f t="shared" si="143"/>
        <v>151760</v>
      </c>
      <c r="I1221" s="27"/>
      <c r="J1221" s="27">
        <v>36000</v>
      </c>
      <c r="K1221" s="99">
        <v>21600</v>
      </c>
      <c r="L1221" s="27">
        <v>23948</v>
      </c>
      <c r="M1221" s="29">
        <f t="shared" si="141"/>
        <v>70212</v>
      </c>
      <c r="N1221" s="29"/>
      <c r="O1221" s="44">
        <f t="shared" si="142"/>
        <v>0.46265155508697942</v>
      </c>
    </row>
    <row r="1222" spans="1:15" ht="20.100000000000001" customHeight="1" x14ac:dyDescent="0.25">
      <c r="A1222" s="89">
        <v>690</v>
      </c>
      <c r="B1222" s="4">
        <v>43320</v>
      </c>
      <c r="C1222" s="26" t="s">
        <v>99</v>
      </c>
      <c r="D1222" s="3">
        <v>9613</v>
      </c>
      <c r="E1222" s="4">
        <v>43340</v>
      </c>
      <c r="F1222" s="92" t="s">
        <v>28</v>
      </c>
      <c r="G1222" s="32">
        <v>43320</v>
      </c>
      <c r="H1222" s="27">
        <f t="shared" si="143"/>
        <v>9613</v>
      </c>
      <c r="I1222" s="27"/>
      <c r="J1222" s="27"/>
      <c r="K1222" s="99"/>
      <c r="L1222" s="27">
        <v>6566</v>
      </c>
      <c r="M1222" s="29">
        <f t="shared" si="141"/>
        <v>3047</v>
      </c>
      <c r="N1222" s="29"/>
      <c r="O1222" s="44">
        <f t="shared" si="142"/>
        <v>0.31696660771871427</v>
      </c>
    </row>
    <row r="1223" spans="1:15" ht="20.100000000000001" customHeight="1" x14ac:dyDescent="0.25">
      <c r="A1223" s="89">
        <v>614</v>
      </c>
      <c r="B1223" s="4">
        <v>43300</v>
      </c>
      <c r="C1223" s="26" t="s">
        <v>60</v>
      </c>
      <c r="D1223" s="3">
        <v>20249</v>
      </c>
      <c r="E1223" s="4">
        <v>43342</v>
      </c>
      <c r="F1223" s="92" t="s">
        <v>28</v>
      </c>
      <c r="G1223" s="32">
        <v>43328</v>
      </c>
      <c r="H1223" s="27">
        <v>10155</v>
      </c>
      <c r="I1223" s="27"/>
      <c r="J1223" s="27"/>
      <c r="K1223" s="99"/>
      <c r="L1223" s="27">
        <v>7920</v>
      </c>
      <c r="M1223" s="29">
        <f t="shared" si="141"/>
        <v>2235</v>
      </c>
      <c r="N1223" s="29"/>
      <c r="O1223" s="44">
        <f t="shared" si="142"/>
        <v>0.22008862629246675</v>
      </c>
    </row>
    <row r="1224" spans="1:15" ht="20.100000000000001" customHeight="1" x14ac:dyDescent="0.25">
      <c r="A1224" s="89">
        <v>734</v>
      </c>
      <c r="B1224" s="4">
        <v>43340</v>
      </c>
      <c r="C1224" s="26" t="s">
        <v>139</v>
      </c>
      <c r="D1224" s="3">
        <v>6015</v>
      </c>
      <c r="E1224" s="4">
        <v>43342</v>
      </c>
      <c r="F1224" s="92" t="s">
        <v>28</v>
      </c>
      <c r="G1224" s="32">
        <v>43347</v>
      </c>
      <c r="H1224" s="27">
        <f>D1224</f>
        <v>6015</v>
      </c>
      <c r="I1224" s="27"/>
      <c r="J1224" s="27"/>
      <c r="K1224" s="99"/>
      <c r="L1224" s="27">
        <v>4563</v>
      </c>
      <c r="M1224" s="29">
        <f t="shared" si="141"/>
        <v>1452</v>
      </c>
      <c r="N1224" s="29"/>
      <c r="O1224" s="44">
        <f t="shared" si="142"/>
        <v>0.24139650872817955</v>
      </c>
    </row>
    <row r="1225" spans="1:15" ht="20.100000000000001" customHeight="1" x14ac:dyDescent="0.25">
      <c r="A1225" s="89">
        <v>736</v>
      </c>
      <c r="B1225" s="4">
        <v>43341</v>
      </c>
      <c r="C1225" s="26" t="s">
        <v>6</v>
      </c>
      <c r="D1225" s="3">
        <v>9362.75</v>
      </c>
      <c r="E1225" s="4">
        <v>43342</v>
      </c>
      <c r="F1225" s="92" t="s">
        <v>28</v>
      </c>
      <c r="G1225" s="32">
        <v>43370</v>
      </c>
      <c r="H1225" s="27">
        <f>D1225</f>
        <v>9362.75</v>
      </c>
      <c r="I1225" s="27"/>
      <c r="J1225" s="27"/>
      <c r="K1225" s="99"/>
      <c r="L1225" s="27">
        <v>8380</v>
      </c>
      <c r="M1225" s="29">
        <f t="shared" si="141"/>
        <v>982.75</v>
      </c>
      <c r="N1225" s="29"/>
      <c r="O1225" s="44">
        <f t="shared" si="142"/>
        <v>0.10496381939067048</v>
      </c>
    </row>
    <row r="1226" spans="1:15" ht="19.5" customHeight="1" x14ac:dyDescent="0.25">
      <c r="A1226" s="89"/>
      <c r="B1226" s="4"/>
      <c r="C1226" s="5"/>
      <c r="D1226" s="3"/>
      <c r="E1226" s="97">
        <v>20900</v>
      </c>
      <c r="F1226" s="98">
        <f>M1226*0.12+N1226*0.06</f>
        <v>20926.791599999997</v>
      </c>
      <c r="G1226" s="21">
        <f>H1226*0.02+I1226*0.02</f>
        <v>11104.248599999999</v>
      </c>
      <c r="H1226" s="16">
        <f t="shared" ref="H1226:N1226" si="144">SUM(H1197:H1225)</f>
        <v>497392.43</v>
      </c>
      <c r="I1226" s="16">
        <f t="shared" si="144"/>
        <v>57820</v>
      </c>
      <c r="J1226" s="16">
        <f t="shared" si="144"/>
        <v>36000</v>
      </c>
      <c r="K1226" s="16">
        <f t="shared" si="144"/>
        <v>25200</v>
      </c>
      <c r="L1226" s="16">
        <f t="shared" si="144"/>
        <v>268806</v>
      </c>
      <c r="M1226" s="16">
        <f t="shared" si="144"/>
        <v>167386.43</v>
      </c>
      <c r="N1226" s="16">
        <f t="shared" si="144"/>
        <v>14007</v>
      </c>
      <c r="O1226" s="44">
        <f t="shared" si="142"/>
        <v>0.33652790011299527</v>
      </c>
    </row>
    <row r="1227" spans="1:15" ht="23.25" x14ac:dyDescent="0.35">
      <c r="C1227" s="94" t="s">
        <v>643</v>
      </c>
    </row>
    <row r="1228" spans="1:15" ht="20.100000000000001" customHeight="1" x14ac:dyDescent="0.25">
      <c r="A1228" s="89">
        <v>747</v>
      </c>
      <c r="B1228" s="4">
        <v>43343</v>
      </c>
      <c r="C1228" s="26" t="s">
        <v>342</v>
      </c>
      <c r="D1228" s="3">
        <v>6237</v>
      </c>
      <c r="E1228" s="4">
        <v>43346</v>
      </c>
      <c r="F1228" s="92" t="s">
        <v>28</v>
      </c>
      <c r="G1228" s="32">
        <v>43361</v>
      </c>
      <c r="H1228" s="27">
        <f t="shared" ref="H1228:H1242" si="145">D1228</f>
        <v>6237</v>
      </c>
      <c r="I1228" s="27"/>
      <c r="J1228" s="27"/>
      <c r="K1228" s="99"/>
      <c r="L1228" s="27">
        <v>4802</v>
      </c>
      <c r="M1228" s="29">
        <f t="shared" ref="M1228:M1242" si="146">H1228-L1228-J1228-K1228</f>
        <v>1435</v>
      </c>
      <c r="N1228" s="29"/>
      <c r="O1228" s="44">
        <f t="shared" ref="O1228:O1243" si="147">M1228/H1228</f>
        <v>0.23007856341189675</v>
      </c>
    </row>
    <row r="1229" spans="1:15" ht="20.100000000000001" customHeight="1" x14ac:dyDescent="0.25">
      <c r="A1229" s="89">
        <v>645</v>
      </c>
      <c r="B1229" s="4">
        <v>43308</v>
      </c>
      <c r="C1229" s="26" t="s">
        <v>228</v>
      </c>
      <c r="D1229" s="3">
        <v>78122</v>
      </c>
      <c r="E1229" s="4">
        <v>43347</v>
      </c>
      <c r="F1229" s="92" t="s">
        <v>28</v>
      </c>
      <c r="G1229" s="32">
        <v>43381</v>
      </c>
      <c r="H1229" s="27">
        <f t="shared" si="145"/>
        <v>78122</v>
      </c>
      <c r="I1229" s="27"/>
      <c r="J1229" s="27"/>
      <c r="K1229" s="99">
        <v>1200</v>
      </c>
      <c r="L1229" s="27">
        <v>47977</v>
      </c>
      <c r="M1229" s="29">
        <f t="shared" si="146"/>
        <v>28945</v>
      </c>
      <c r="N1229" s="29"/>
      <c r="O1229" s="44">
        <f t="shared" si="147"/>
        <v>0.37051022759273955</v>
      </c>
    </row>
    <row r="1230" spans="1:15" ht="20.100000000000001" customHeight="1" x14ac:dyDescent="0.25">
      <c r="A1230" s="89">
        <v>739</v>
      </c>
      <c r="B1230" s="4">
        <v>43341</v>
      </c>
      <c r="C1230" s="26" t="s">
        <v>175</v>
      </c>
      <c r="D1230" s="3">
        <v>10706.5</v>
      </c>
      <c r="E1230" s="4">
        <v>43348</v>
      </c>
      <c r="F1230" s="92" t="s">
        <v>28</v>
      </c>
      <c r="G1230" s="32">
        <v>43353</v>
      </c>
      <c r="H1230" s="27">
        <f t="shared" si="145"/>
        <v>10706.5</v>
      </c>
      <c r="I1230" s="27"/>
      <c r="J1230" s="27"/>
      <c r="K1230" s="99"/>
      <c r="L1230" s="27">
        <v>6840</v>
      </c>
      <c r="M1230" s="29">
        <f t="shared" si="146"/>
        <v>3866.5</v>
      </c>
      <c r="N1230" s="29"/>
      <c r="O1230" s="44">
        <f t="shared" si="147"/>
        <v>0.36113575865128661</v>
      </c>
    </row>
    <row r="1231" spans="1:15" ht="20.100000000000001" customHeight="1" x14ac:dyDescent="0.25">
      <c r="A1231" s="89">
        <v>755</v>
      </c>
      <c r="B1231" s="4">
        <v>43348</v>
      </c>
      <c r="C1231" s="26" t="s">
        <v>334</v>
      </c>
      <c r="D1231" s="3">
        <v>1385</v>
      </c>
      <c r="E1231" s="4">
        <v>43348</v>
      </c>
      <c r="F1231" s="92" t="s">
        <v>28</v>
      </c>
      <c r="G1231" s="32">
        <v>43360</v>
      </c>
      <c r="H1231" s="27">
        <f t="shared" si="145"/>
        <v>1385</v>
      </c>
      <c r="I1231" s="27"/>
      <c r="J1231" s="27"/>
      <c r="K1231" s="99"/>
      <c r="L1231" s="27">
        <v>1080</v>
      </c>
      <c r="M1231" s="29">
        <f t="shared" si="146"/>
        <v>305</v>
      </c>
      <c r="N1231" s="29"/>
      <c r="O1231" s="44">
        <f t="shared" si="147"/>
        <v>0.22021660649819494</v>
      </c>
    </row>
    <row r="1232" spans="1:15" ht="20.100000000000001" customHeight="1" x14ac:dyDescent="0.25">
      <c r="A1232" s="89">
        <v>759</v>
      </c>
      <c r="B1232" s="4">
        <v>43349</v>
      </c>
      <c r="C1232" s="26" t="s">
        <v>281</v>
      </c>
      <c r="D1232" s="3">
        <v>2160</v>
      </c>
      <c r="E1232" s="4">
        <v>43349</v>
      </c>
      <c r="F1232" s="92" t="s">
        <v>28</v>
      </c>
      <c r="G1232" s="32">
        <v>43349</v>
      </c>
      <c r="H1232" s="27">
        <f t="shared" si="145"/>
        <v>2160</v>
      </c>
      <c r="I1232" s="27"/>
      <c r="J1232" s="27"/>
      <c r="K1232" s="99"/>
      <c r="L1232" s="27">
        <v>1684</v>
      </c>
      <c r="M1232" s="29">
        <f t="shared" si="146"/>
        <v>476</v>
      </c>
      <c r="N1232" s="29"/>
      <c r="O1232" s="44">
        <f t="shared" si="147"/>
        <v>0.22037037037037038</v>
      </c>
    </row>
    <row r="1233" spans="1:15" ht="20.100000000000001" customHeight="1" x14ac:dyDescent="0.25">
      <c r="A1233" s="89">
        <v>760</v>
      </c>
      <c r="B1233" s="4">
        <v>43350</v>
      </c>
      <c r="C1233" s="26" t="s">
        <v>338</v>
      </c>
      <c r="D1233" s="3">
        <v>6771</v>
      </c>
      <c r="E1233" s="4">
        <v>43350</v>
      </c>
      <c r="F1233" s="92" t="s">
        <v>28</v>
      </c>
      <c r="G1233" s="32">
        <v>43354</v>
      </c>
      <c r="H1233" s="27">
        <f t="shared" si="145"/>
        <v>6771</v>
      </c>
      <c r="I1233" s="27"/>
      <c r="J1233" s="27"/>
      <c r="K1233" s="99"/>
      <c r="L1233" s="27">
        <v>5030</v>
      </c>
      <c r="M1233" s="29">
        <f t="shared" si="146"/>
        <v>1741</v>
      </c>
      <c r="N1233" s="29"/>
      <c r="O1233" s="44">
        <f t="shared" si="147"/>
        <v>0.25712597843745383</v>
      </c>
    </row>
    <row r="1234" spans="1:15" ht="20.100000000000001" customHeight="1" x14ac:dyDescent="0.25">
      <c r="A1234" s="89">
        <v>735</v>
      </c>
      <c r="B1234" s="4">
        <v>43341</v>
      </c>
      <c r="C1234" s="26" t="s">
        <v>175</v>
      </c>
      <c r="D1234" s="3">
        <v>22634.7</v>
      </c>
      <c r="E1234" s="4">
        <v>43354</v>
      </c>
      <c r="F1234" s="92" t="s">
        <v>28</v>
      </c>
      <c r="G1234" s="32">
        <v>43367</v>
      </c>
      <c r="H1234" s="27">
        <f t="shared" si="145"/>
        <v>22634.7</v>
      </c>
      <c r="I1234" s="27"/>
      <c r="J1234" s="27"/>
      <c r="K1234" s="99"/>
      <c r="L1234" s="27">
        <v>18533</v>
      </c>
      <c r="M1234" s="29">
        <f t="shared" si="146"/>
        <v>4101.7000000000007</v>
      </c>
      <c r="N1234" s="29"/>
      <c r="O1234" s="44">
        <f t="shared" si="147"/>
        <v>0.18121291645128942</v>
      </c>
    </row>
    <row r="1235" spans="1:15" ht="20.100000000000001" customHeight="1" x14ac:dyDescent="0.25">
      <c r="A1235" s="89">
        <v>754</v>
      </c>
      <c r="B1235" s="4">
        <v>43347</v>
      </c>
      <c r="C1235" s="26" t="s">
        <v>353</v>
      </c>
      <c r="D1235" s="3">
        <v>7242</v>
      </c>
      <c r="E1235" s="4">
        <v>43355</v>
      </c>
      <c r="F1235" s="92" t="s">
        <v>28</v>
      </c>
      <c r="G1235" s="32">
        <v>43367</v>
      </c>
      <c r="H1235" s="27">
        <f t="shared" si="145"/>
        <v>7242</v>
      </c>
      <c r="I1235" s="27"/>
      <c r="J1235" s="27"/>
      <c r="K1235" s="99"/>
      <c r="L1235" s="27">
        <v>5646</v>
      </c>
      <c r="M1235" s="29">
        <f t="shared" si="146"/>
        <v>1596</v>
      </c>
      <c r="N1235" s="29"/>
      <c r="O1235" s="44">
        <f t="shared" si="147"/>
        <v>0.22038111019055509</v>
      </c>
    </row>
    <row r="1236" spans="1:15" ht="20.100000000000001" customHeight="1" x14ac:dyDescent="0.25">
      <c r="A1236" s="89">
        <v>773</v>
      </c>
      <c r="B1236" s="4">
        <v>43355</v>
      </c>
      <c r="C1236" s="26" t="s">
        <v>354</v>
      </c>
      <c r="D1236" s="3">
        <v>16264</v>
      </c>
      <c r="E1236" s="4">
        <v>43355</v>
      </c>
      <c r="F1236" s="92" t="s">
        <v>28</v>
      </c>
      <c r="G1236" s="32">
        <v>43357</v>
      </c>
      <c r="H1236" s="27">
        <f t="shared" si="145"/>
        <v>16264</v>
      </c>
      <c r="I1236" s="27"/>
      <c r="J1236" s="27"/>
      <c r="K1236" s="99"/>
      <c r="L1236" s="27">
        <v>12102</v>
      </c>
      <c r="M1236" s="29">
        <f t="shared" si="146"/>
        <v>4162</v>
      </c>
      <c r="N1236" s="29"/>
      <c r="O1236" s="44">
        <f t="shared" si="147"/>
        <v>0.25590260698475159</v>
      </c>
    </row>
    <row r="1237" spans="1:15" ht="20.100000000000001" customHeight="1" x14ac:dyDescent="0.25">
      <c r="A1237" s="89">
        <v>641</v>
      </c>
      <c r="B1237" s="4">
        <v>43318</v>
      </c>
      <c r="C1237" s="26" t="s">
        <v>65</v>
      </c>
      <c r="D1237" s="3">
        <v>157125.75</v>
      </c>
      <c r="E1237" s="4">
        <v>43356</v>
      </c>
      <c r="F1237" s="92" t="s">
        <v>28</v>
      </c>
      <c r="G1237" s="32">
        <v>43336</v>
      </c>
      <c r="H1237" s="27">
        <f t="shared" si="145"/>
        <v>157125.75</v>
      </c>
      <c r="I1237" s="27"/>
      <c r="J1237" s="27"/>
      <c r="K1237" s="99"/>
      <c r="L1237" s="27">
        <v>94067</v>
      </c>
      <c r="M1237" s="29">
        <f t="shared" si="146"/>
        <v>63058.75</v>
      </c>
      <c r="N1237" s="29"/>
      <c r="O1237" s="44">
        <f t="shared" si="147"/>
        <v>0.4013266444233361</v>
      </c>
    </row>
    <row r="1238" spans="1:15" ht="20.100000000000001" customHeight="1" x14ac:dyDescent="0.25">
      <c r="A1238" s="89">
        <v>802</v>
      </c>
      <c r="B1238" s="4">
        <v>43362</v>
      </c>
      <c r="C1238" s="26" t="s">
        <v>342</v>
      </c>
      <c r="D1238" s="3">
        <v>2450</v>
      </c>
      <c r="E1238" s="4">
        <v>43363</v>
      </c>
      <c r="F1238" s="92" t="s">
        <v>28</v>
      </c>
      <c r="G1238" s="32">
        <v>43367</v>
      </c>
      <c r="H1238" s="27">
        <f t="shared" si="145"/>
        <v>2450</v>
      </c>
      <c r="I1238" s="27"/>
      <c r="J1238" s="27"/>
      <c r="K1238" s="99"/>
      <c r="L1238" s="27">
        <v>2182</v>
      </c>
      <c r="M1238" s="29">
        <f t="shared" si="146"/>
        <v>268</v>
      </c>
      <c r="N1238" s="29"/>
      <c r="O1238" s="44">
        <f t="shared" si="147"/>
        <v>0.10938775510204081</v>
      </c>
    </row>
    <row r="1239" spans="1:15" ht="20.100000000000001" customHeight="1" x14ac:dyDescent="0.25">
      <c r="A1239" s="89">
        <v>738</v>
      </c>
      <c r="B1239" s="4">
        <v>43354</v>
      </c>
      <c r="C1239" s="26" t="s">
        <v>56</v>
      </c>
      <c r="D1239" s="3">
        <v>15700</v>
      </c>
      <c r="E1239" s="4">
        <v>43367</v>
      </c>
      <c r="F1239" s="92" t="s">
        <v>28</v>
      </c>
      <c r="G1239" s="32">
        <v>43354</v>
      </c>
      <c r="H1239" s="27">
        <f t="shared" si="145"/>
        <v>15700</v>
      </c>
      <c r="I1239" s="27"/>
      <c r="J1239" s="27"/>
      <c r="K1239" s="99"/>
      <c r="L1239" s="27">
        <v>11962</v>
      </c>
      <c r="M1239" s="29">
        <f t="shared" si="146"/>
        <v>3738</v>
      </c>
      <c r="N1239" s="29"/>
      <c r="O1239" s="44">
        <f t="shared" si="147"/>
        <v>0.23808917197452228</v>
      </c>
    </row>
    <row r="1240" spans="1:15" ht="20.100000000000001" customHeight="1" x14ac:dyDescent="0.25">
      <c r="A1240" s="89">
        <v>591</v>
      </c>
      <c r="B1240" s="4">
        <v>43293</v>
      </c>
      <c r="C1240" s="26" t="s">
        <v>38</v>
      </c>
      <c r="D1240" s="3">
        <v>128579.91</v>
      </c>
      <c r="E1240" s="4">
        <v>43368</v>
      </c>
      <c r="F1240" s="92" t="s">
        <v>28</v>
      </c>
      <c r="G1240" s="32">
        <v>43321</v>
      </c>
      <c r="H1240" s="27">
        <f t="shared" si="145"/>
        <v>128579.91</v>
      </c>
      <c r="I1240" s="27"/>
      <c r="J1240" s="27"/>
      <c r="K1240" s="99"/>
      <c r="L1240" s="27">
        <v>100088</v>
      </c>
      <c r="M1240" s="29">
        <f t="shared" si="146"/>
        <v>28491.910000000003</v>
      </c>
      <c r="N1240" s="29"/>
      <c r="O1240" s="44">
        <f t="shared" si="147"/>
        <v>0.2215891269483701</v>
      </c>
    </row>
    <row r="1241" spans="1:15" ht="20.100000000000001" customHeight="1" x14ac:dyDescent="0.25">
      <c r="A1241" s="89">
        <v>814</v>
      </c>
      <c r="B1241" s="4">
        <v>43364</v>
      </c>
      <c r="C1241" s="26" t="s">
        <v>270</v>
      </c>
      <c r="D1241" s="3">
        <v>3240</v>
      </c>
      <c r="E1241" s="4">
        <v>43368</v>
      </c>
      <c r="F1241" s="92" t="s">
        <v>28</v>
      </c>
      <c r="G1241" s="32">
        <v>43368</v>
      </c>
      <c r="H1241" s="27">
        <f t="shared" si="145"/>
        <v>3240</v>
      </c>
      <c r="I1241" s="27"/>
      <c r="J1241" s="27"/>
      <c r="K1241" s="99"/>
      <c r="L1241" s="27">
        <v>2595</v>
      </c>
      <c r="M1241" s="29">
        <f t="shared" si="146"/>
        <v>645</v>
      </c>
      <c r="N1241" s="29"/>
      <c r="O1241" s="44">
        <f t="shared" si="147"/>
        <v>0.19907407407407407</v>
      </c>
    </row>
    <row r="1242" spans="1:15" ht="20.100000000000001" customHeight="1" x14ac:dyDescent="0.25">
      <c r="A1242" s="89">
        <v>495</v>
      </c>
      <c r="B1242" s="4">
        <v>43265</v>
      </c>
      <c r="C1242" s="26" t="s">
        <v>65</v>
      </c>
      <c r="D1242" s="3">
        <v>10296</v>
      </c>
      <c r="E1242" s="4">
        <v>43371</v>
      </c>
      <c r="F1242" s="92" t="s">
        <v>28</v>
      </c>
      <c r="G1242" s="32">
        <v>43285</v>
      </c>
      <c r="H1242" s="27">
        <f t="shared" si="145"/>
        <v>10296</v>
      </c>
      <c r="I1242" s="27"/>
      <c r="J1242" s="27"/>
      <c r="K1242" s="99"/>
      <c r="L1242" s="27">
        <v>7926</v>
      </c>
      <c r="M1242" s="29">
        <f t="shared" si="146"/>
        <v>2370</v>
      </c>
      <c r="N1242" s="29"/>
      <c r="O1242" s="44">
        <f t="shared" si="147"/>
        <v>0.23018648018648019</v>
      </c>
    </row>
    <row r="1243" spans="1:15" ht="19.5" customHeight="1" x14ac:dyDescent="0.25">
      <c r="A1243" s="89"/>
      <c r="B1243" s="4"/>
      <c r="C1243" s="5"/>
      <c r="D1243" s="3"/>
      <c r="E1243" s="97">
        <v>19100</v>
      </c>
      <c r="F1243" s="98">
        <f>M1243*0.12+N1243*0.06</f>
        <v>17423.983199999999</v>
      </c>
      <c r="G1243" s="21">
        <f>H1243*0.02+I1243*0.02</f>
        <v>9378.2772000000004</v>
      </c>
      <c r="H1243" s="16">
        <f t="shared" ref="H1243:N1243" si="148">SUM(H1228:H1242)</f>
        <v>468913.86</v>
      </c>
      <c r="I1243" s="16">
        <f t="shared" si="148"/>
        <v>0</v>
      </c>
      <c r="J1243" s="16">
        <f t="shared" si="148"/>
        <v>0</v>
      </c>
      <c r="K1243" s="16">
        <f t="shared" si="148"/>
        <v>1200</v>
      </c>
      <c r="L1243" s="16">
        <f t="shared" si="148"/>
        <v>322514</v>
      </c>
      <c r="M1243" s="16">
        <f t="shared" si="148"/>
        <v>145199.85999999999</v>
      </c>
      <c r="N1243" s="16">
        <f t="shared" si="148"/>
        <v>0</v>
      </c>
      <c r="O1243" s="44">
        <f t="shared" si="147"/>
        <v>0.3096514570927803</v>
      </c>
    </row>
    <row r="1244" spans="1:15" ht="23.25" x14ac:dyDescent="0.35">
      <c r="C1244" s="94" t="s">
        <v>644</v>
      </c>
    </row>
    <row r="1245" spans="1:15" ht="20.100000000000001" customHeight="1" x14ac:dyDescent="0.25">
      <c r="A1245" s="89">
        <v>650</v>
      </c>
      <c r="B1245" s="4">
        <v>43374</v>
      </c>
      <c r="C1245" s="26" t="s">
        <v>314</v>
      </c>
      <c r="D1245" s="3">
        <v>4000</v>
      </c>
      <c r="E1245" s="4">
        <v>43374</v>
      </c>
      <c r="F1245" s="92" t="s">
        <v>28</v>
      </c>
      <c r="G1245" s="32">
        <v>43381</v>
      </c>
      <c r="H1245" s="27">
        <f t="shared" ref="H1245:H1272" si="149">D1245</f>
        <v>4000</v>
      </c>
      <c r="I1245" s="27"/>
      <c r="J1245" s="27"/>
      <c r="K1245" s="99">
        <v>600</v>
      </c>
      <c r="L1245" s="27">
        <v>2126</v>
      </c>
      <c r="M1245" s="29">
        <f t="shared" ref="M1245:M1272" si="150">H1245-L1245-J1245-K1245</f>
        <v>1274</v>
      </c>
      <c r="N1245" s="29"/>
      <c r="O1245" s="44">
        <f t="shared" ref="O1245:O1273" si="151">M1245/H1245</f>
        <v>0.31850000000000001</v>
      </c>
    </row>
    <row r="1246" spans="1:15" ht="20.100000000000001" customHeight="1" x14ac:dyDescent="0.25">
      <c r="A1246" s="89">
        <v>840</v>
      </c>
      <c r="B1246" s="4">
        <v>43375</v>
      </c>
      <c r="C1246" s="5" t="s">
        <v>355</v>
      </c>
      <c r="D1246" s="3">
        <v>17990</v>
      </c>
      <c r="E1246" s="4">
        <v>43376</v>
      </c>
      <c r="F1246" s="92" t="s">
        <v>28</v>
      </c>
      <c r="G1246" s="32">
        <v>43377</v>
      </c>
      <c r="H1246" s="27">
        <f t="shared" si="149"/>
        <v>17990</v>
      </c>
      <c r="I1246" s="27">
        <f>H1246</f>
        <v>17990</v>
      </c>
      <c r="J1246" s="27"/>
      <c r="K1246" s="99"/>
      <c r="L1246" s="27">
        <v>13222</v>
      </c>
      <c r="M1246" s="29">
        <f t="shared" si="150"/>
        <v>4768</v>
      </c>
      <c r="N1246" s="29">
        <f>M1246</f>
        <v>4768</v>
      </c>
      <c r="O1246" s="44">
        <f t="shared" si="151"/>
        <v>0.26503613118399111</v>
      </c>
    </row>
    <row r="1247" spans="1:15" ht="20.100000000000001" customHeight="1" x14ac:dyDescent="0.25">
      <c r="A1247" s="89">
        <v>815</v>
      </c>
      <c r="B1247" s="4">
        <v>43397</v>
      </c>
      <c r="C1247" s="26" t="s">
        <v>335</v>
      </c>
      <c r="D1247" s="3">
        <v>9232</v>
      </c>
      <c r="E1247" s="4">
        <v>43377</v>
      </c>
      <c r="F1247" s="92" t="s">
        <v>28</v>
      </c>
      <c r="G1247" s="32">
        <v>43378</v>
      </c>
      <c r="H1247" s="27">
        <f t="shared" si="149"/>
        <v>9232</v>
      </c>
      <c r="I1247" s="27"/>
      <c r="J1247" s="27"/>
      <c r="K1247" s="99"/>
      <c r="L1247" s="27">
        <v>6290</v>
      </c>
      <c r="M1247" s="29">
        <f t="shared" si="150"/>
        <v>2942</v>
      </c>
      <c r="N1247" s="29"/>
      <c r="O1247" s="44">
        <f t="shared" si="151"/>
        <v>0.31867417677642979</v>
      </c>
    </row>
    <row r="1248" spans="1:15" ht="20.100000000000001" customHeight="1" x14ac:dyDescent="0.25">
      <c r="A1248" s="89">
        <v>847</v>
      </c>
      <c r="B1248" s="4">
        <v>43377</v>
      </c>
      <c r="C1248" s="5" t="s">
        <v>356</v>
      </c>
      <c r="D1248" s="3">
        <v>1385</v>
      </c>
      <c r="E1248" s="4">
        <v>43378</v>
      </c>
      <c r="F1248" s="92" t="s">
        <v>28</v>
      </c>
      <c r="G1248" s="32">
        <v>43377</v>
      </c>
      <c r="H1248" s="27">
        <f t="shared" si="149"/>
        <v>1385</v>
      </c>
      <c r="I1248" s="27">
        <f>H1248</f>
        <v>1385</v>
      </c>
      <c r="J1248" s="27"/>
      <c r="K1248" s="99"/>
      <c r="L1248" s="27">
        <v>1080</v>
      </c>
      <c r="M1248" s="29">
        <f t="shared" si="150"/>
        <v>305</v>
      </c>
      <c r="N1248" s="29">
        <f>M1248</f>
        <v>305</v>
      </c>
      <c r="O1248" s="44">
        <f t="shared" si="151"/>
        <v>0.22021660649819494</v>
      </c>
    </row>
    <row r="1249" spans="1:15" ht="20.100000000000001" customHeight="1" x14ac:dyDescent="0.25">
      <c r="A1249" s="89">
        <v>853</v>
      </c>
      <c r="B1249" s="4">
        <v>43378</v>
      </c>
      <c r="C1249" s="26" t="s">
        <v>101</v>
      </c>
      <c r="D1249" s="3">
        <v>7402</v>
      </c>
      <c r="E1249" s="4">
        <v>43378</v>
      </c>
      <c r="F1249" s="92" t="s">
        <v>28</v>
      </c>
      <c r="G1249" s="32">
        <v>43403</v>
      </c>
      <c r="H1249" s="27">
        <f t="shared" si="149"/>
        <v>7402</v>
      </c>
      <c r="I1249" s="27"/>
      <c r="J1249" s="27"/>
      <c r="K1249" s="99"/>
      <c r="L1249" s="27">
        <v>5699</v>
      </c>
      <c r="M1249" s="29">
        <f t="shared" si="150"/>
        <v>1703</v>
      </c>
      <c r="N1249" s="29"/>
      <c r="O1249" s="44">
        <f t="shared" si="151"/>
        <v>0.23007295325587679</v>
      </c>
    </row>
    <row r="1250" spans="1:15" ht="20.100000000000001" customHeight="1" x14ac:dyDescent="0.25">
      <c r="A1250" s="89">
        <v>846</v>
      </c>
      <c r="B1250" s="4">
        <v>43377</v>
      </c>
      <c r="C1250" s="26" t="s">
        <v>209</v>
      </c>
      <c r="D1250" s="3">
        <v>30089.15</v>
      </c>
      <c r="E1250" s="4">
        <v>43381</v>
      </c>
      <c r="F1250" s="92" t="s">
        <v>28</v>
      </c>
      <c r="G1250" s="32">
        <v>43377</v>
      </c>
      <c r="H1250" s="27">
        <f t="shared" si="149"/>
        <v>30089.15</v>
      </c>
      <c r="I1250" s="27"/>
      <c r="J1250" s="27"/>
      <c r="K1250" s="99"/>
      <c r="L1250" s="27">
        <v>26762</v>
      </c>
      <c r="M1250" s="29">
        <f t="shared" si="150"/>
        <v>3327.1500000000015</v>
      </c>
      <c r="N1250" s="29"/>
      <c r="O1250" s="44">
        <f t="shared" si="151"/>
        <v>0.11057640378674709</v>
      </c>
    </row>
    <row r="1251" spans="1:15" ht="20.100000000000001" customHeight="1" x14ac:dyDescent="0.25">
      <c r="A1251" s="89">
        <v>855</v>
      </c>
      <c r="B1251" s="4">
        <v>43381</v>
      </c>
      <c r="C1251" s="26" t="s">
        <v>238</v>
      </c>
      <c r="D1251" s="3">
        <v>15596</v>
      </c>
      <c r="E1251" s="4">
        <v>43381</v>
      </c>
      <c r="F1251" s="92" t="s">
        <v>28</v>
      </c>
      <c r="G1251" s="32">
        <v>43392</v>
      </c>
      <c r="H1251" s="27">
        <f t="shared" si="149"/>
        <v>15596</v>
      </c>
      <c r="I1251" s="27"/>
      <c r="J1251" s="27"/>
      <c r="K1251" s="99"/>
      <c r="L1251" s="27">
        <v>10904</v>
      </c>
      <c r="M1251" s="29">
        <f t="shared" si="150"/>
        <v>4692</v>
      </c>
      <c r="N1251" s="29"/>
      <c r="O1251" s="44">
        <f t="shared" si="151"/>
        <v>0.3008463708643242</v>
      </c>
    </row>
    <row r="1252" spans="1:15" ht="20.100000000000001" customHeight="1" x14ac:dyDescent="0.25">
      <c r="A1252" s="89">
        <v>695</v>
      </c>
      <c r="B1252" s="4">
        <v>43371</v>
      </c>
      <c r="C1252" s="26" t="s">
        <v>206</v>
      </c>
      <c r="D1252" s="3">
        <v>111443</v>
      </c>
      <c r="E1252" s="4">
        <v>43382</v>
      </c>
      <c r="F1252" s="92" t="s">
        <v>28</v>
      </c>
      <c r="G1252" s="32">
        <v>43371</v>
      </c>
      <c r="H1252" s="27">
        <f t="shared" si="149"/>
        <v>111443</v>
      </c>
      <c r="I1252" s="27"/>
      <c r="J1252" s="27"/>
      <c r="K1252" s="99"/>
      <c r="L1252" s="27">
        <v>77301.259999999995</v>
      </c>
      <c r="M1252" s="29">
        <f t="shared" si="150"/>
        <v>34141.740000000005</v>
      </c>
      <c r="N1252" s="29"/>
      <c r="O1252" s="44">
        <f t="shared" si="151"/>
        <v>0.30636056100428027</v>
      </c>
    </row>
    <row r="1253" spans="1:15" ht="20.100000000000001" customHeight="1" x14ac:dyDescent="0.25">
      <c r="A1253" s="89">
        <v>669</v>
      </c>
      <c r="B1253" s="4">
        <v>43314</v>
      </c>
      <c r="C1253" s="26" t="s">
        <v>228</v>
      </c>
      <c r="D1253" s="3">
        <v>18621</v>
      </c>
      <c r="E1253" s="4">
        <v>43382</v>
      </c>
      <c r="F1253" s="92" t="s">
        <v>28</v>
      </c>
      <c r="G1253" s="32">
        <v>43381</v>
      </c>
      <c r="H1253" s="27">
        <f t="shared" si="149"/>
        <v>18621</v>
      </c>
      <c r="I1253" s="27"/>
      <c r="J1253" s="27"/>
      <c r="K1253" s="99"/>
      <c r="L1253" s="27">
        <v>12664</v>
      </c>
      <c r="M1253" s="29">
        <f t="shared" si="150"/>
        <v>5957</v>
      </c>
      <c r="N1253" s="29"/>
      <c r="O1253" s="44">
        <f t="shared" si="151"/>
        <v>0.31990763116911014</v>
      </c>
    </row>
    <row r="1254" spans="1:15" ht="20.100000000000001" customHeight="1" x14ac:dyDescent="0.25">
      <c r="A1254" s="89">
        <v>859</v>
      </c>
      <c r="B1254" s="4">
        <v>43381</v>
      </c>
      <c r="C1254" s="5" t="s">
        <v>357</v>
      </c>
      <c r="D1254" s="3">
        <v>9925</v>
      </c>
      <c r="E1254" s="4">
        <v>43382</v>
      </c>
      <c r="F1254" s="92" t="s">
        <v>28</v>
      </c>
      <c r="G1254" s="32">
        <v>43397</v>
      </c>
      <c r="H1254" s="27">
        <f t="shared" si="149"/>
        <v>9925</v>
      </c>
      <c r="I1254" s="27">
        <f>H1254</f>
        <v>9925</v>
      </c>
      <c r="J1254" s="27"/>
      <c r="K1254" s="99"/>
      <c r="L1254" s="27">
        <v>7110</v>
      </c>
      <c r="M1254" s="29">
        <f t="shared" si="150"/>
        <v>2815</v>
      </c>
      <c r="N1254" s="29">
        <f>M1254</f>
        <v>2815</v>
      </c>
      <c r="O1254" s="44">
        <f t="shared" si="151"/>
        <v>0.28362720403022668</v>
      </c>
    </row>
    <row r="1255" spans="1:15" ht="20.100000000000001" customHeight="1" x14ac:dyDescent="0.25">
      <c r="A1255" s="89">
        <v>854</v>
      </c>
      <c r="B1255" s="4">
        <v>43381</v>
      </c>
      <c r="C1255" s="26" t="s">
        <v>175</v>
      </c>
      <c r="D1255" s="3">
        <v>22634.7</v>
      </c>
      <c r="E1255" s="4">
        <v>43384</v>
      </c>
      <c r="F1255" s="92" t="s">
        <v>28</v>
      </c>
      <c r="G1255" s="32">
        <v>43385</v>
      </c>
      <c r="H1255" s="27">
        <f t="shared" si="149"/>
        <v>22634.7</v>
      </c>
      <c r="I1255" s="27"/>
      <c r="J1255" s="27"/>
      <c r="K1255" s="99"/>
      <c r="L1255" s="27">
        <v>18576</v>
      </c>
      <c r="M1255" s="29">
        <f t="shared" si="150"/>
        <v>4058.7000000000007</v>
      </c>
      <c r="N1255" s="29"/>
      <c r="O1255" s="44">
        <f t="shared" si="151"/>
        <v>0.17931317843841538</v>
      </c>
    </row>
    <row r="1256" spans="1:15" ht="20.100000000000001" customHeight="1" x14ac:dyDescent="0.25">
      <c r="A1256" s="89">
        <v>771</v>
      </c>
      <c r="B1256" s="4">
        <v>43384</v>
      </c>
      <c r="C1256" s="26" t="s">
        <v>71</v>
      </c>
      <c r="D1256" s="3">
        <v>6694</v>
      </c>
      <c r="E1256" s="4">
        <v>43385</v>
      </c>
      <c r="F1256" s="92" t="s">
        <v>28</v>
      </c>
      <c r="G1256" s="32">
        <v>43399</v>
      </c>
      <c r="H1256" s="27">
        <f t="shared" si="149"/>
        <v>6694</v>
      </c>
      <c r="I1256" s="27"/>
      <c r="J1256" s="27"/>
      <c r="K1256" s="99"/>
      <c r="L1256" s="27">
        <v>5006</v>
      </c>
      <c r="M1256" s="29">
        <f t="shared" si="150"/>
        <v>1688</v>
      </c>
      <c r="N1256" s="29"/>
      <c r="O1256" s="44">
        <f t="shared" si="151"/>
        <v>0.25216611891245894</v>
      </c>
    </row>
    <row r="1257" spans="1:15" ht="20.100000000000001" customHeight="1" x14ac:dyDescent="0.25">
      <c r="A1257" s="89">
        <v>872</v>
      </c>
      <c r="B1257" s="4">
        <v>43384</v>
      </c>
      <c r="C1257" s="26" t="s">
        <v>58</v>
      </c>
      <c r="D1257" s="3">
        <v>5100</v>
      </c>
      <c r="E1257" s="4">
        <v>43388</v>
      </c>
      <c r="F1257" s="92" t="s">
        <v>28</v>
      </c>
      <c r="G1257" s="32">
        <v>43398</v>
      </c>
      <c r="H1257" s="27">
        <f t="shared" si="149"/>
        <v>5100</v>
      </c>
      <c r="I1257" s="27"/>
      <c r="J1257" s="27"/>
      <c r="K1257" s="99"/>
      <c r="L1257" s="27">
        <v>3765</v>
      </c>
      <c r="M1257" s="29">
        <f t="shared" si="150"/>
        <v>1335</v>
      </c>
      <c r="N1257" s="29"/>
      <c r="O1257" s="44">
        <f t="shared" si="151"/>
        <v>0.26176470588235295</v>
      </c>
    </row>
    <row r="1258" spans="1:15" ht="20.100000000000001" customHeight="1" x14ac:dyDescent="0.25">
      <c r="A1258" s="89">
        <v>875</v>
      </c>
      <c r="B1258" s="4">
        <v>43388</v>
      </c>
      <c r="C1258" s="5" t="s">
        <v>358</v>
      </c>
      <c r="D1258" s="3">
        <v>4613</v>
      </c>
      <c r="E1258" s="4">
        <v>43388</v>
      </c>
      <c r="F1258" s="92" t="s">
        <v>28</v>
      </c>
      <c r="G1258" s="32">
        <v>43389</v>
      </c>
      <c r="H1258" s="27">
        <f t="shared" si="149"/>
        <v>4613</v>
      </c>
      <c r="I1258" s="27">
        <f>H1258</f>
        <v>4613</v>
      </c>
      <c r="J1258" s="27"/>
      <c r="K1258" s="99"/>
      <c r="L1258" s="27">
        <v>3597</v>
      </c>
      <c r="M1258" s="29">
        <f t="shared" si="150"/>
        <v>1016</v>
      </c>
      <c r="N1258" s="29">
        <f>M1258</f>
        <v>1016</v>
      </c>
      <c r="O1258" s="44">
        <f t="shared" si="151"/>
        <v>0.22024712768263602</v>
      </c>
    </row>
    <row r="1259" spans="1:15" ht="20.100000000000001" customHeight="1" x14ac:dyDescent="0.25">
      <c r="A1259" s="89">
        <v>881</v>
      </c>
      <c r="B1259" s="4">
        <v>43388</v>
      </c>
      <c r="C1259" s="26" t="s">
        <v>147</v>
      </c>
      <c r="D1259" s="3">
        <v>3232</v>
      </c>
      <c r="E1259" s="4">
        <v>43389</v>
      </c>
      <c r="F1259" s="92" t="s">
        <v>28</v>
      </c>
      <c r="G1259" s="32">
        <v>43392</v>
      </c>
      <c r="H1259" s="27">
        <f t="shared" si="149"/>
        <v>3232</v>
      </c>
      <c r="I1259" s="27"/>
      <c r="J1259" s="27"/>
      <c r="K1259" s="99"/>
      <c r="L1259" s="27">
        <v>2416</v>
      </c>
      <c r="M1259" s="29">
        <f t="shared" si="150"/>
        <v>816</v>
      </c>
      <c r="N1259" s="29"/>
      <c r="O1259" s="44">
        <f t="shared" si="151"/>
        <v>0.25247524752475248</v>
      </c>
    </row>
    <row r="1260" spans="1:15" ht="20.100000000000001" customHeight="1" x14ac:dyDescent="0.25">
      <c r="A1260" s="89">
        <v>873</v>
      </c>
      <c r="B1260" s="4">
        <v>43385</v>
      </c>
      <c r="C1260" s="26" t="s">
        <v>338</v>
      </c>
      <c r="D1260" s="3">
        <v>1272</v>
      </c>
      <c r="E1260" s="4">
        <v>43389</v>
      </c>
      <c r="F1260" s="92" t="s">
        <v>28</v>
      </c>
      <c r="G1260" s="32">
        <v>43390</v>
      </c>
      <c r="H1260" s="27">
        <f t="shared" si="149"/>
        <v>1272</v>
      </c>
      <c r="I1260" s="27"/>
      <c r="J1260" s="27"/>
      <c r="K1260" s="99"/>
      <c r="L1260" s="27">
        <v>990</v>
      </c>
      <c r="M1260" s="29">
        <f t="shared" si="150"/>
        <v>282</v>
      </c>
      <c r="N1260" s="29"/>
      <c r="O1260" s="44">
        <f t="shared" si="151"/>
        <v>0.22169811320754718</v>
      </c>
    </row>
    <row r="1261" spans="1:15" ht="20.100000000000001" customHeight="1" x14ac:dyDescent="0.25">
      <c r="A1261" s="89">
        <v>876</v>
      </c>
      <c r="B1261" s="4">
        <v>43388</v>
      </c>
      <c r="C1261" s="26" t="s">
        <v>238</v>
      </c>
      <c r="D1261" s="3">
        <v>1748</v>
      </c>
      <c r="E1261" s="4">
        <v>43390</v>
      </c>
      <c r="F1261" s="92" t="s">
        <v>28</v>
      </c>
      <c r="G1261" s="32">
        <v>43392</v>
      </c>
      <c r="H1261" s="27">
        <f t="shared" si="149"/>
        <v>1748</v>
      </c>
      <c r="I1261" s="27"/>
      <c r="J1261" s="27"/>
      <c r="K1261" s="99"/>
      <c r="L1261" s="27">
        <v>1362</v>
      </c>
      <c r="M1261" s="29">
        <f t="shared" si="150"/>
        <v>386</v>
      </c>
      <c r="N1261" s="29"/>
      <c r="O1261" s="44">
        <f t="shared" si="151"/>
        <v>0.2208237986270023</v>
      </c>
    </row>
    <row r="1262" spans="1:15" ht="20.100000000000001" customHeight="1" x14ac:dyDescent="0.25">
      <c r="A1262" s="89">
        <v>856</v>
      </c>
      <c r="B1262" s="4">
        <v>43392</v>
      </c>
      <c r="C1262" s="26" t="s">
        <v>303</v>
      </c>
      <c r="D1262" s="3">
        <v>60781.5</v>
      </c>
      <c r="E1262" s="4">
        <v>43392</v>
      </c>
      <c r="F1262" s="92" t="s">
        <v>28</v>
      </c>
      <c r="G1262" s="32">
        <v>43392</v>
      </c>
      <c r="H1262" s="27">
        <f t="shared" si="149"/>
        <v>60781.5</v>
      </c>
      <c r="I1262" s="27"/>
      <c r="J1262" s="27"/>
      <c r="K1262" s="99"/>
      <c r="L1262" s="27">
        <v>51391</v>
      </c>
      <c r="M1262" s="29">
        <f t="shared" si="150"/>
        <v>9390.5</v>
      </c>
      <c r="N1262" s="29"/>
      <c r="O1262" s="44">
        <f t="shared" si="151"/>
        <v>0.15449602263846729</v>
      </c>
    </row>
    <row r="1263" spans="1:15" ht="20.100000000000001" customHeight="1" x14ac:dyDescent="0.25">
      <c r="A1263" s="89">
        <v>828</v>
      </c>
      <c r="B1263" s="4">
        <v>43374</v>
      </c>
      <c r="C1263" s="26" t="s">
        <v>56</v>
      </c>
      <c r="D1263" s="3">
        <v>5000</v>
      </c>
      <c r="E1263" s="4">
        <v>43392</v>
      </c>
      <c r="F1263" s="92" t="s">
        <v>28</v>
      </c>
      <c r="G1263" s="32">
        <v>43382</v>
      </c>
      <c r="H1263" s="27">
        <f t="shared" si="149"/>
        <v>5000</v>
      </c>
      <c r="I1263" s="27"/>
      <c r="J1263" s="27"/>
      <c r="K1263" s="99"/>
      <c r="L1263" s="27">
        <v>2870</v>
      </c>
      <c r="M1263" s="29">
        <f t="shared" si="150"/>
        <v>2130</v>
      </c>
      <c r="N1263" s="29"/>
      <c r="O1263" s="44">
        <f t="shared" si="151"/>
        <v>0.42599999999999999</v>
      </c>
    </row>
    <row r="1264" spans="1:15" ht="20.100000000000001" customHeight="1" x14ac:dyDescent="0.25">
      <c r="A1264" s="89">
        <v>867</v>
      </c>
      <c r="B1264" s="4">
        <v>43384</v>
      </c>
      <c r="C1264" s="26" t="s">
        <v>228</v>
      </c>
      <c r="D1264" s="3">
        <v>12412</v>
      </c>
      <c r="E1264" s="4">
        <v>43396</v>
      </c>
      <c r="F1264" s="92" t="s">
        <v>28</v>
      </c>
      <c r="G1264" s="32">
        <v>43418</v>
      </c>
      <c r="H1264" s="27">
        <f t="shared" si="149"/>
        <v>12412</v>
      </c>
      <c r="I1264" s="27"/>
      <c r="J1264" s="27"/>
      <c r="K1264" s="99"/>
      <c r="L1264" s="27">
        <v>8040</v>
      </c>
      <c r="M1264" s="29">
        <f t="shared" si="150"/>
        <v>4372</v>
      </c>
      <c r="N1264" s="29"/>
      <c r="O1264" s="44">
        <f t="shared" si="151"/>
        <v>0.35223976796648404</v>
      </c>
    </row>
    <row r="1265" spans="1:15" ht="20.100000000000001" customHeight="1" x14ac:dyDescent="0.25">
      <c r="A1265" s="89">
        <v>866</v>
      </c>
      <c r="B1265" s="4">
        <v>43388</v>
      </c>
      <c r="C1265" s="26" t="s">
        <v>228</v>
      </c>
      <c r="D1265" s="3">
        <v>49361</v>
      </c>
      <c r="E1265" s="4">
        <v>43396</v>
      </c>
      <c r="F1265" s="92" t="s">
        <v>28</v>
      </c>
      <c r="G1265" s="32">
        <v>43439</v>
      </c>
      <c r="H1265" s="27">
        <f t="shared" si="149"/>
        <v>49361</v>
      </c>
      <c r="I1265" s="27"/>
      <c r="J1265" s="27"/>
      <c r="K1265" s="99">
        <v>1200</v>
      </c>
      <c r="L1265" s="27">
        <v>31700</v>
      </c>
      <c r="M1265" s="29">
        <f t="shared" si="150"/>
        <v>16461</v>
      </c>
      <c r="N1265" s="29"/>
      <c r="O1265" s="44">
        <f t="shared" si="151"/>
        <v>0.33348189866493788</v>
      </c>
    </row>
    <row r="1266" spans="1:15" ht="20.100000000000001" customHeight="1" x14ac:dyDescent="0.25">
      <c r="A1266" s="89">
        <v>850</v>
      </c>
      <c r="B1266" s="4">
        <v>43377</v>
      </c>
      <c r="C1266" s="26" t="s">
        <v>11</v>
      </c>
      <c r="D1266" s="3">
        <v>7108</v>
      </c>
      <c r="E1266" s="4">
        <v>43397</v>
      </c>
      <c r="F1266" s="92" t="s">
        <v>28</v>
      </c>
      <c r="G1266" s="32">
        <v>43425</v>
      </c>
      <c r="H1266" s="27">
        <f t="shared" si="149"/>
        <v>7108</v>
      </c>
      <c r="I1266" s="27"/>
      <c r="J1266" s="27"/>
      <c r="K1266" s="99"/>
      <c r="L1266" s="27">
        <v>5422</v>
      </c>
      <c r="M1266" s="29">
        <f t="shared" si="150"/>
        <v>1686</v>
      </c>
      <c r="N1266" s="29"/>
      <c r="O1266" s="44">
        <f t="shared" si="151"/>
        <v>0.23719752391671356</v>
      </c>
    </row>
    <row r="1267" spans="1:15" ht="20.100000000000001" customHeight="1" x14ac:dyDescent="0.25">
      <c r="A1267" s="89">
        <v>879</v>
      </c>
      <c r="B1267" s="4">
        <v>43388</v>
      </c>
      <c r="C1267" s="26" t="s">
        <v>13</v>
      </c>
      <c r="D1267" s="3">
        <v>51854</v>
      </c>
      <c r="E1267" s="4">
        <v>43402</v>
      </c>
      <c r="F1267" s="92" t="s">
        <v>28</v>
      </c>
      <c r="G1267" s="32">
        <v>43395</v>
      </c>
      <c r="H1267" s="27">
        <f t="shared" si="149"/>
        <v>51854</v>
      </c>
      <c r="I1267" s="27"/>
      <c r="J1267" s="27"/>
      <c r="K1267" s="99"/>
      <c r="L1267" s="27">
        <v>43318</v>
      </c>
      <c r="M1267" s="29">
        <f t="shared" si="150"/>
        <v>8536</v>
      </c>
      <c r="N1267" s="29"/>
      <c r="O1267" s="44">
        <f t="shared" si="151"/>
        <v>0.1646160373355961</v>
      </c>
    </row>
    <row r="1268" spans="1:15" ht="20.100000000000001" customHeight="1" x14ac:dyDescent="0.25">
      <c r="A1268" s="89">
        <v>870</v>
      </c>
      <c r="B1268" s="4">
        <v>43385</v>
      </c>
      <c r="C1268" s="26" t="s">
        <v>11</v>
      </c>
      <c r="D1268" s="3">
        <v>16722</v>
      </c>
      <c r="E1268" s="4">
        <v>43404</v>
      </c>
      <c r="F1268" s="92" t="s">
        <v>28</v>
      </c>
      <c r="G1268" s="32">
        <v>43411</v>
      </c>
      <c r="H1268" s="27">
        <f t="shared" si="149"/>
        <v>16722</v>
      </c>
      <c r="I1268" s="27"/>
      <c r="J1268" s="27"/>
      <c r="K1268" s="99"/>
      <c r="L1268" s="27">
        <v>13042</v>
      </c>
      <c r="M1268" s="29">
        <f t="shared" si="150"/>
        <v>3680</v>
      </c>
      <c r="N1268" s="29"/>
      <c r="O1268" s="44">
        <f t="shared" si="151"/>
        <v>0.2200693696926205</v>
      </c>
    </row>
    <row r="1269" spans="1:15" ht="20.100000000000001" customHeight="1" x14ac:dyDescent="0.25">
      <c r="A1269" s="89">
        <v>833</v>
      </c>
      <c r="B1269" s="4">
        <v>43396</v>
      </c>
      <c r="C1269" s="26" t="s">
        <v>99</v>
      </c>
      <c r="D1269" s="3">
        <v>583960</v>
      </c>
      <c r="E1269" s="4">
        <v>43404</v>
      </c>
      <c r="F1269" s="92" t="s">
        <v>28</v>
      </c>
      <c r="G1269" s="32">
        <v>43396</v>
      </c>
      <c r="H1269" s="27">
        <f t="shared" si="149"/>
        <v>583960</v>
      </c>
      <c r="I1269" s="27"/>
      <c r="J1269" s="27"/>
      <c r="K1269" s="99"/>
      <c r="L1269" s="27">
        <v>441472</v>
      </c>
      <c r="M1269" s="29">
        <f t="shared" si="150"/>
        <v>142488</v>
      </c>
      <c r="N1269" s="29"/>
      <c r="O1269" s="44">
        <f t="shared" si="151"/>
        <v>0.24400301390506199</v>
      </c>
    </row>
    <row r="1270" spans="1:15" ht="20.100000000000001" customHeight="1" x14ac:dyDescent="0.25">
      <c r="A1270" s="89">
        <v>789</v>
      </c>
      <c r="B1270" s="4">
        <v>43374</v>
      </c>
      <c r="C1270" s="26" t="s">
        <v>99</v>
      </c>
      <c r="D1270" s="3">
        <v>48063</v>
      </c>
      <c r="E1270" s="4">
        <v>43404</v>
      </c>
      <c r="F1270" s="92" t="s">
        <v>28</v>
      </c>
      <c r="G1270" s="32">
        <v>43374</v>
      </c>
      <c r="H1270" s="27">
        <f t="shared" si="149"/>
        <v>48063</v>
      </c>
      <c r="I1270" s="27"/>
      <c r="J1270" s="27">
        <v>6000</v>
      </c>
      <c r="K1270" s="99">
        <v>1200</v>
      </c>
      <c r="L1270" s="27">
        <v>21010</v>
      </c>
      <c r="M1270" s="29">
        <f t="shared" si="150"/>
        <v>19853</v>
      </c>
      <c r="N1270" s="29"/>
      <c r="O1270" s="44">
        <f t="shared" si="151"/>
        <v>0.41306202276179182</v>
      </c>
    </row>
    <row r="1271" spans="1:15" ht="20.100000000000001" customHeight="1" x14ac:dyDescent="0.25">
      <c r="A1271" s="89">
        <v>832</v>
      </c>
      <c r="B1271" s="4">
        <v>43374</v>
      </c>
      <c r="C1271" s="26" t="s">
        <v>99</v>
      </c>
      <c r="D1271" s="3">
        <v>4910</v>
      </c>
      <c r="E1271" s="4">
        <v>43404</v>
      </c>
      <c r="F1271" s="92" t="s">
        <v>28</v>
      </c>
      <c r="G1271" s="32">
        <v>43374</v>
      </c>
      <c r="H1271" s="27">
        <f t="shared" si="149"/>
        <v>4910</v>
      </c>
      <c r="I1271" s="27"/>
      <c r="J1271" s="27"/>
      <c r="K1271" s="99"/>
      <c r="L1271" s="27">
        <v>3829</v>
      </c>
      <c r="M1271" s="29">
        <f t="shared" si="150"/>
        <v>1081</v>
      </c>
      <c r="N1271" s="29"/>
      <c r="O1271" s="44">
        <f t="shared" si="151"/>
        <v>0.22016293279022403</v>
      </c>
    </row>
    <row r="1272" spans="1:15" ht="20.100000000000001" customHeight="1" x14ac:dyDescent="0.25">
      <c r="A1272" s="89">
        <v>831</v>
      </c>
      <c r="B1272" s="4">
        <v>43396</v>
      </c>
      <c r="C1272" s="26" t="s">
        <v>99</v>
      </c>
      <c r="D1272" s="3">
        <v>140640</v>
      </c>
      <c r="E1272" s="4">
        <v>43404</v>
      </c>
      <c r="F1272" s="92" t="s">
        <v>28</v>
      </c>
      <c r="G1272" s="32">
        <v>43396</v>
      </c>
      <c r="H1272" s="27">
        <f t="shared" si="149"/>
        <v>140640</v>
      </c>
      <c r="I1272" s="27"/>
      <c r="J1272" s="27">
        <v>36000</v>
      </c>
      <c r="K1272" s="99">
        <f>12*600</f>
        <v>7200</v>
      </c>
      <c r="L1272" s="27">
        <v>15576</v>
      </c>
      <c r="M1272" s="29">
        <f t="shared" si="150"/>
        <v>81864</v>
      </c>
      <c r="N1272" s="29"/>
      <c r="O1272" s="44">
        <f t="shared" si="151"/>
        <v>0.58208191126279862</v>
      </c>
    </row>
    <row r="1273" spans="1:15" ht="19.5" customHeight="1" x14ac:dyDescent="0.25">
      <c r="A1273" s="89"/>
      <c r="B1273" s="4"/>
      <c r="C1273" s="5"/>
      <c r="D1273" s="3"/>
      <c r="E1273" s="97">
        <v>62250</v>
      </c>
      <c r="F1273" s="98">
        <f>M1273*0.17+N1273*0.06</f>
        <v>62252.415300000008</v>
      </c>
      <c r="G1273" s="21">
        <f>H1273*0.05+I1273*0.02</f>
        <v>63267.677500000013</v>
      </c>
      <c r="H1273" s="16">
        <f t="shared" ref="H1273:N1273" si="152">SUM(H1245:H1272)</f>
        <v>1251788.3500000001</v>
      </c>
      <c r="I1273" s="16">
        <f t="shared" si="152"/>
        <v>33913</v>
      </c>
      <c r="J1273" s="16">
        <f t="shared" si="152"/>
        <v>42000</v>
      </c>
      <c r="K1273" s="16">
        <f t="shared" si="152"/>
        <v>10200</v>
      </c>
      <c r="L1273" s="16">
        <f t="shared" si="152"/>
        <v>836540.26</v>
      </c>
      <c r="M1273" s="16">
        <f t="shared" si="152"/>
        <v>363048.09</v>
      </c>
      <c r="N1273" s="16">
        <f t="shared" si="152"/>
        <v>8904</v>
      </c>
      <c r="O1273" s="44">
        <f t="shared" si="151"/>
        <v>0.29002354112019019</v>
      </c>
    </row>
    <row r="1274" spans="1:15" ht="23.25" x14ac:dyDescent="0.35">
      <c r="C1274" s="94" t="s">
        <v>645</v>
      </c>
    </row>
    <row r="1275" spans="1:15" ht="20.100000000000001" customHeight="1" x14ac:dyDescent="0.25">
      <c r="A1275" s="89">
        <v>895</v>
      </c>
      <c r="B1275" s="4">
        <v>43396</v>
      </c>
      <c r="C1275" s="26" t="s">
        <v>91</v>
      </c>
      <c r="D1275" s="3">
        <v>2500</v>
      </c>
      <c r="E1275" s="4">
        <v>43405</v>
      </c>
      <c r="F1275" s="92" t="s">
        <v>28</v>
      </c>
      <c r="G1275" s="32">
        <v>43411</v>
      </c>
      <c r="H1275" s="27">
        <f t="shared" ref="H1275:H1282" si="153">D1275</f>
        <v>2500</v>
      </c>
      <c r="I1275" s="27"/>
      <c r="J1275" s="27"/>
      <c r="K1275" s="99"/>
      <c r="L1275" s="27">
        <v>1250</v>
      </c>
      <c r="M1275" s="29">
        <f t="shared" ref="M1275:M1296" si="154">H1275-L1275-J1275-K1275</f>
        <v>1250</v>
      </c>
      <c r="N1275" s="29"/>
      <c r="O1275" s="44">
        <f t="shared" ref="O1275:O1297" si="155">M1275/H1275</f>
        <v>0.5</v>
      </c>
    </row>
    <row r="1276" spans="1:15" ht="20.100000000000001" customHeight="1" x14ac:dyDescent="0.25">
      <c r="A1276" s="89">
        <v>915</v>
      </c>
      <c r="B1276" s="4">
        <v>43405</v>
      </c>
      <c r="C1276" s="26" t="s">
        <v>348</v>
      </c>
      <c r="D1276" s="3">
        <v>4000</v>
      </c>
      <c r="E1276" s="4">
        <v>43406</v>
      </c>
      <c r="F1276" s="92" t="s">
        <v>28</v>
      </c>
      <c r="G1276" s="32">
        <v>43405</v>
      </c>
      <c r="H1276" s="27">
        <f t="shared" si="153"/>
        <v>4000</v>
      </c>
      <c r="I1276" s="27"/>
      <c r="J1276" s="27"/>
      <c r="K1276" s="99">
        <v>600</v>
      </c>
      <c r="L1276" s="27">
        <v>1281.73</v>
      </c>
      <c r="M1276" s="29">
        <f t="shared" si="154"/>
        <v>2118.27</v>
      </c>
      <c r="N1276" s="29"/>
      <c r="O1276" s="44">
        <f t="shared" si="155"/>
        <v>0.52956749999999997</v>
      </c>
    </row>
    <row r="1277" spans="1:15" ht="20.100000000000001" customHeight="1" x14ac:dyDescent="0.25">
      <c r="A1277" s="89">
        <v>933</v>
      </c>
      <c r="B1277" s="4">
        <v>43411</v>
      </c>
      <c r="C1277" s="26" t="s">
        <v>16</v>
      </c>
      <c r="D1277" s="3">
        <v>16156</v>
      </c>
      <c r="E1277" s="4">
        <v>43413</v>
      </c>
      <c r="F1277" s="92" t="s">
        <v>28</v>
      </c>
      <c r="G1277" s="32">
        <v>43438</v>
      </c>
      <c r="H1277" s="27">
        <f t="shared" si="153"/>
        <v>16156</v>
      </c>
      <c r="I1277" s="27"/>
      <c r="J1277" s="27"/>
      <c r="K1277" s="99"/>
      <c r="L1277" s="27">
        <v>12604</v>
      </c>
      <c r="M1277" s="29">
        <f t="shared" si="154"/>
        <v>3552</v>
      </c>
      <c r="N1277" s="29"/>
      <c r="O1277" s="44">
        <f t="shared" si="155"/>
        <v>0.21985640009903443</v>
      </c>
    </row>
    <row r="1278" spans="1:15" ht="20.100000000000001" customHeight="1" x14ac:dyDescent="0.25">
      <c r="A1278" s="89">
        <v>931</v>
      </c>
      <c r="B1278" s="4">
        <v>43411</v>
      </c>
      <c r="C1278" s="26" t="s">
        <v>319</v>
      </c>
      <c r="D1278" s="3">
        <v>2450</v>
      </c>
      <c r="E1278" s="4">
        <v>43416</v>
      </c>
      <c r="F1278" s="92" t="s">
        <v>28</v>
      </c>
      <c r="G1278" s="32">
        <v>43437</v>
      </c>
      <c r="H1278" s="27">
        <f t="shared" si="153"/>
        <v>2450</v>
      </c>
      <c r="I1278" s="27"/>
      <c r="J1278" s="27"/>
      <c r="K1278" s="99"/>
      <c r="L1278" s="27">
        <v>2182</v>
      </c>
      <c r="M1278" s="29">
        <f t="shared" si="154"/>
        <v>268</v>
      </c>
      <c r="N1278" s="29"/>
      <c r="O1278" s="44">
        <f t="shared" si="155"/>
        <v>0.10938775510204081</v>
      </c>
    </row>
    <row r="1279" spans="1:15" ht="20.100000000000001" customHeight="1" x14ac:dyDescent="0.25">
      <c r="A1279" s="89">
        <v>941</v>
      </c>
      <c r="B1279" s="4">
        <v>43413</v>
      </c>
      <c r="C1279" s="26" t="s">
        <v>149</v>
      </c>
      <c r="D1279" s="3">
        <v>34390</v>
      </c>
      <c r="E1279" s="4">
        <v>43417</v>
      </c>
      <c r="F1279" s="92" t="s">
        <v>28</v>
      </c>
      <c r="G1279" s="32">
        <v>43430</v>
      </c>
      <c r="H1279" s="27">
        <f t="shared" si="153"/>
        <v>34390</v>
      </c>
      <c r="I1279" s="27"/>
      <c r="J1279" s="27"/>
      <c r="K1279" s="99"/>
      <c r="L1279" s="27">
        <v>25999</v>
      </c>
      <c r="M1279" s="29">
        <f t="shared" si="154"/>
        <v>8391</v>
      </c>
      <c r="N1279" s="29"/>
      <c r="O1279" s="44">
        <f t="shared" si="155"/>
        <v>0.24399534748473392</v>
      </c>
    </row>
    <row r="1280" spans="1:15" ht="20.100000000000001" customHeight="1" x14ac:dyDescent="0.25">
      <c r="A1280" s="89">
        <v>937</v>
      </c>
      <c r="B1280" s="4">
        <v>43412</v>
      </c>
      <c r="C1280" s="26" t="s">
        <v>13</v>
      </c>
      <c r="D1280" s="3">
        <v>9109</v>
      </c>
      <c r="E1280" s="4">
        <v>43420</v>
      </c>
      <c r="F1280" s="92" t="s">
        <v>28</v>
      </c>
      <c r="G1280" s="32">
        <v>43416</v>
      </c>
      <c r="H1280" s="27">
        <f t="shared" si="153"/>
        <v>9109</v>
      </c>
      <c r="I1280" s="27"/>
      <c r="J1280" s="27"/>
      <c r="K1280" s="99"/>
      <c r="L1280" s="27">
        <v>6865</v>
      </c>
      <c r="M1280" s="29">
        <f t="shared" si="154"/>
        <v>2244</v>
      </c>
      <c r="N1280" s="29"/>
      <c r="O1280" s="44">
        <f t="shared" si="155"/>
        <v>0.24634976396970029</v>
      </c>
    </row>
    <row r="1281" spans="1:15" ht="20.100000000000001" customHeight="1" x14ac:dyDescent="0.25">
      <c r="A1281" s="89">
        <v>916</v>
      </c>
      <c r="B1281" s="4">
        <v>43416</v>
      </c>
      <c r="C1281" s="26" t="s">
        <v>302</v>
      </c>
      <c r="D1281" s="3">
        <v>8086</v>
      </c>
      <c r="E1281" s="4">
        <v>43423</v>
      </c>
      <c r="F1281" s="92" t="s">
        <v>28</v>
      </c>
      <c r="G1281" s="32">
        <v>43416</v>
      </c>
      <c r="H1281" s="27">
        <f t="shared" si="153"/>
        <v>8086</v>
      </c>
      <c r="I1281" s="27"/>
      <c r="J1281" s="27"/>
      <c r="K1281" s="99"/>
      <c r="L1281" s="27">
        <v>6140</v>
      </c>
      <c r="M1281" s="29">
        <f t="shared" si="154"/>
        <v>1946</v>
      </c>
      <c r="N1281" s="29"/>
      <c r="O1281" s="44">
        <f t="shared" si="155"/>
        <v>0.24066287410338857</v>
      </c>
    </row>
    <row r="1282" spans="1:15" ht="20.100000000000001" customHeight="1" x14ac:dyDescent="0.25">
      <c r="A1282" s="89">
        <v>960</v>
      </c>
      <c r="B1282" s="4">
        <v>43420</v>
      </c>
      <c r="C1282" s="26" t="s">
        <v>16</v>
      </c>
      <c r="D1282" s="3">
        <v>35700</v>
      </c>
      <c r="E1282" s="4">
        <v>43423</v>
      </c>
      <c r="F1282" s="92" t="s">
        <v>28</v>
      </c>
      <c r="G1282" s="32">
        <v>43438</v>
      </c>
      <c r="H1282" s="27">
        <f t="shared" si="153"/>
        <v>35700</v>
      </c>
      <c r="I1282" s="27"/>
      <c r="J1282" s="27"/>
      <c r="K1282" s="99"/>
      <c r="L1282" s="27">
        <v>27489</v>
      </c>
      <c r="M1282" s="29">
        <f t="shared" si="154"/>
        <v>8211</v>
      </c>
      <c r="N1282" s="29"/>
      <c r="O1282" s="44">
        <f t="shared" si="155"/>
        <v>0.23</v>
      </c>
    </row>
    <row r="1283" spans="1:15" ht="20.100000000000001" customHeight="1" x14ac:dyDescent="0.25">
      <c r="A1283" s="89">
        <v>892</v>
      </c>
      <c r="B1283" s="4">
        <v>43392</v>
      </c>
      <c r="C1283" s="26" t="s">
        <v>65</v>
      </c>
      <c r="D1283" s="3">
        <v>367416.06</v>
      </c>
      <c r="E1283" s="4">
        <v>43426</v>
      </c>
      <c r="F1283" s="92" t="s">
        <v>28</v>
      </c>
      <c r="G1283" s="32">
        <v>43403</v>
      </c>
      <c r="H1283" s="27">
        <v>74519.899999999994</v>
      </c>
      <c r="I1283" s="27"/>
      <c r="J1283" s="27"/>
      <c r="K1283" s="99"/>
      <c r="L1283" s="27">
        <v>62160</v>
      </c>
      <c r="M1283" s="29">
        <f t="shared" si="154"/>
        <v>12359.899999999994</v>
      </c>
      <c r="N1283" s="29"/>
      <c r="O1283" s="44">
        <f t="shared" si="155"/>
        <v>0.16586039433761982</v>
      </c>
    </row>
    <row r="1284" spans="1:15" ht="20.100000000000001" customHeight="1" x14ac:dyDescent="0.25">
      <c r="A1284" s="89">
        <v>978</v>
      </c>
      <c r="B1284" s="4">
        <v>43425</v>
      </c>
      <c r="C1284" s="26" t="s">
        <v>330</v>
      </c>
      <c r="D1284" s="3">
        <v>6255</v>
      </c>
      <c r="E1284" s="4">
        <v>43426</v>
      </c>
      <c r="F1284" s="92" t="s">
        <v>28</v>
      </c>
      <c r="G1284" s="32">
        <v>43430</v>
      </c>
      <c r="H1284" s="27">
        <f t="shared" ref="H1284:H1296" si="156">D1284</f>
        <v>6255</v>
      </c>
      <c r="I1284" s="27"/>
      <c r="J1284" s="27"/>
      <c r="K1284" s="99"/>
      <c r="L1284" s="27">
        <v>4830</v>
      </c>
      <c r="M1284" s="29">
        <f t="shared" si="154"/>
        <v>1425</v>
      </c>
      <c r="N1284" s="29"/>
      <c r="O1284" s="44">
        <f t="shared" si="155"/>
        <v>0.22781774580335731</v>
      </c>
    </row>
    <row r="1285" spans="1:15" ht="20.100000000000001" customHeight="1" x14ac:dyDescent="0.25">
      <c r="A1285" s="89">
        <v>852</v>
      </c>
      <c r="B1285" s="4">
        <v>43378</v>
      </c>
      <c r="C1285" s="26" t="s">
        <v>38</v>
      </c>
      <c r="D1285" s="3">
        <v>29990</v>
      </c>
      <c r="E1285" s="4">
        <v>43426</v>
      </c>
      <c r="F1285" s="92" t="s">
        <v>28</v>
      </c>
      <c r="G1285" s="32">
        <v>43403</v>
      </c>
      <c r="H1285" s="27">
        <f t="shared" si="156"/>
        <v>29990</v>
      </c>
      <c r="I1285" s="27"/>
      <c r="J1285" s="27"/>
      <c r="K1285" s="99"/>
      <c r="L1285" s="27">
        <v>23428</v>
      </c>
      <c r="M1285" s="29">
        <f t="shared" si="154"/>
        <v>6562</v>
      </c>
      <c r="N1285" s="29"/>
      <c r="O1285" s="44">
        <f t="shared" si="155"/>
        <v>0.21880626875625209</v>
      </c>
    </row>
    <row r="1286" spans="1:15" ht="20.100000000000001" customHeight="1" x14ac:dyDescent="0.25">
      <c r="A1286" s="89">
        <v>788</v>
      </c>
      <c r="B1286" s="4">
        <v>43396</v>
      </c>
      <c r="C1286" s="26" t="s">
        <v>99</v>
      </c>
      <c r="D1286" s="3">
        <v>420000</v>
      </c>
      <c r="E1286" s="4">
        <v>43427</v>
      </c>
      <c r="F1286" s="92" t="s">
        <v>28</v>
      </c>
      <c r="G1286" s="32">
        <v>43396</v>
      </c>
      <c r="H1286" s="27">
        <f t="shared" si="156"/>
        <v>420000</v>
      </c>
      <c r="I1286" s="27"/>
      <c r="J1286" s="27"/>
      <c r="K1286" s="99">
        <v>30000</v>
      </c>
      <c r="L1286" s="27">
        <v>331104</v>
      </c>
      <c r="M1286" s="29">
        <f t="shared" si="154"/>
        <v>58896</v>
      </c>
      <c r="N1286" s="29"/>
      <c r="O1286" s="44">
        <f t="shared" si="155"/>
        <v>0.14022857142857142</v>
      </c>
    </row>
    <row r="1287" spans="1:15" ht="20.100000000000001" customHeight="1" x14ac:dyDescent="0.25">
      <c r="A1287" s="89">
        <v>948</v>
      </c>
      <c r="B1287" s="4">
        <v>43417</v>
      </c>
      <c r="C1287" s="26" t="s">
        <v>149</v>
      </c>
      <c r="D1287" s="3">
        <v>2446</v>
      </c>
      <c r="E1287" s="4">
        <v>43430</v>
      </c>
      <c r="F1287" s="92" t="s">
        <v>28</v>
      </c>
      <c r="G1287" s="32">
        <v>43430</v>
      </c>
      <c r="H1287" s="27">
        <f t="shared" si="156"/>
        <v>2446</v>
      </c>
      <c r="I1287" s="27"/>
      <c r="J1287" s="27"/>
      <c r="K1287" s="99"/>
      <c r="L1287" s="27">
        <v>1908</v>
      </c>
      <c r="M1287" s="29">
        <f t="shared" si="154"/>
        <v>538</v>
      </c>
      <c r="N1287" s="29"/>
      <c r="O1287" s="44">
        <f t="shared" si="155"/>
        <v>0.21995094031071136</v>
      </c>
    </row>
    <row r="1288" spans="1:15" ht="20.100000000000001" customHeight="1" x14ac:dyDescent="0.25">
      <c r="A1288" s="89">
        <v>985</v>
      </c>
      <c r="B1288" s="4">
        <v>43430</v>
      </c>
      <c r="C1288" s="5" t="s">
        <v>360</v>
      </c>
      <c r="D1288" s="3">
        <v>6814</v>
      </c>
      <c r="E1288" s="4">
        <v>43430</v>
      </c>
      <c r="F1288" s="92" t="s">
        <v>28</v>
      </c>
      <c r="G1288" s="32">
        <v>43433</v>
      </c>
      <c r="H1288" s="27">
        <f t="shared" si="156"/>
        <v>6814</v>
      </c>
      <c r="I1288" s="27">
        <f>H1288</f>
        <v>6814</v>
      </c>
      <c r="J1288" s="27"/>
      <c r="K1288" s="99"/>
      <c r="L1288" s="27">
        <v>5138</v>
      </c>
      <c r="M1288" s="29">
        <f t="shared" si="154"/>
        <v>1676</v>
      </c>
      <c r="N1288" s="29">
        <f>M1288</f>
        <v>1676</v>
      </c>
      <c r="O1288" s="44">
        <f t="shared" si="155"/>
        <v>0.24596419137070738</v>
      </c>
    </row>
    <row r="1289" spans="1:15" ht="20.100000000000001" customHeight="1" x14ac:dyDescent="0.25">
      <c r="A1289" s="89">
        <v>986</v>
      </c>
      <c r="B1289" s="4">
        <v>43430</v>
      </c>
      <c r="C1289" s="26" t="s">
        <v>200</v>
      </c>
      <c r="D1289" s="3">
        <v>44680</v>
      </c>
      <c r="E1289" s="4">
        <v>43431</v>
      </c>
      <c r="F1289" s="92" t="s">
        <v>28</v>
      </c>
      <c r="G1289" s="32">
        <v>43432</v>
      </c>
      <c r="H1289" s="27">
        <f t="shared" si="156"/>
        <v>44680</v>
      </c>
      <c r="I1289" s="27"/>
      <c r="J1289" s="27"/>
      <c r="K1289" s="99"/>
      <c r="L1289" s="27">
        <v>33777</v>
      </c>
      <c r="M1289" s="29">
        <f t="shared" si="154"/>
        <v>10903</v>
      </c>
      <c r="N1289" s="29"/>
      <c r="O1289" s="44">
        <f t="shared" si="155"/>
        <v>0.24402417188898837</v>
      </c>
    </row>
    <row r="1290" spans="1:15" ht="20.100000000000001" customHeight="1" x14ac:dyDescent="0.25">
      <c r="A1290" s="89">
        <v>990</v>
      </c>
      <c r="B1290" s="4">
        <v>43430</v>
      </c>
      <c r="C1290" s="26" t="s">
        <v>211</v>
      </c>
      <c r="D1290" s="3">
        <v>7402</v>
      </c>
      <c r="E1290" s="4">
        <v>43431</v>
      </c>
      <c r="F1290" s="92" t="s">
        <v>28</v>
      </c>
      <c r="G1290" s="32">
        <v>43461</v>
      </c>
      <c r="H1290" s="27">
        <f t="shared" si="156"/>
        <v>7402</v>
      </c>
      <c r="I1290" s="27"/>
      <c r="J1290" s="27"/>
      <c r="K1290" s="99"/>
      <c r="L1290" s="27">
        <v>5699</v>
      </c>
      <c r="M1290" s="29">
        <f t="shared" si="154"/>
        <v>1703</v>
      </c>
      <c r="N1290" s="29"/>
      <c r="O1290" s="44">
        <f t="shared" si="155"/>
        <v>0.23007295325587679</v>
      </c>
    </row>
    <row r="1291" spans="1:15" ht="20.100000000000001" customHeight="1" x14ac:dyDescent="0.25">
      <c r="A1291" s="89">
        <v>781</v>
      </c>
      <c r="B1291" s="4">
        <v>43431</v>
      </c>
      <c r="C1291" s="26" t="s">
        <v>361</v>
      </c>
      <c r="D1291" s="3">
        <v>28766</v>
      </c>
      <c r="E1291" s="4">
        <v>43431</v>
      </c>
      <c r="F1291" s="92" t="s">
        <v>28</v>
      </c>
      <c r="G1291" s="32">
        <v>43447</v>
      </c>
      <c r="H1291" s="27">
        <f t="shared" si="156"/>
        <v>28766</v>
      </c>
      <c r="I1291" s="27"/>
      <c r="J1291" s="27"/>
      <c r="K1291" s="99"/>
      <c r="L1291" s="27">
        <v>20889</v>
      </c>
      <c r="M1291" s="29">
        <f t="shared" si="154"/>
        <v>7877</v>
      </c>
      <c r="N1291" s="29"/>
      <c r="O1291" s="44">
        <f t="shared" si="155"/>
        <v>0.27383021622749076</v>
      </c>
    </row>
    <row r="1292" spans="1:15" ht="20.100000000000001" customHeight="1" x14ac:dyDescent="0.25">
      <c r="A1292" s="89">
        <v>860</v>
      </c>
      <c r="B1292" s="4">
        <v>43382</v>
      </c>
      <c r="C1292" s="26" t="s">
        <v>175</v>
      </c>
      <c r="D1292" s="3">
        <v>19175.75</v>
      </c>
      <c r="E1292" s="4">
        <v>43432</v>
      </c>
      <c r="F1292" s="92" t="s">
        <v>28</v>
      </c>
      <c r="G1292" s="32">
        <v>43440</v>
      </c>
      <c r="H1292" s="27">
        <f t="shared" si="156"/>
        <v>19175.75</v>
      </c>
      <c r="I1292" s="27"/>
      <c r="J1292" s="27"/>
      <c r="K1292" s="99"/>
      <c r="L1292" s="27">
        <v>14001</v>
      </c>
      <c r="M1292" s="29">
        <f t="shared" si="154"/>
        <v>5174.75</v>
      </c>
      <c r="N1292" s="29"/>
      <c r="O1292" s="44">
        <f t="shared" si="155"/>
        <v>0.26985906679008642</v>
      </c>
    </row>
    <row r="1293" spans="1:15" ht="20.100000000000001" customHeight="1" x14ac:dyDescent="0.25">
      <c r="A1293" s="89">
        <v>902</v>
      </c>
      <c r="B1293" s="4">
        <v>43398</v>
      </c>
      <c r="C1293" s="26" t="s">
        <v>56</v>
      </c>
      <c r="D1293" s="3">
        <v>32588</v>
      </c>
      <c r="E1293" s="4">
        <v>43432</v>
      </c>
      <c r="F1293" s="92" t="s">
        <v>28</v>
      </c>
      <c r="G1293" s="32">
        <v>43423</v>
      </c>
      <c r="H1293" s="27">
        <f t="shared" si="156"/>
        <v>32588</v>
      </c>
      <c r="I1293" s="27"/>
      <c r="J1293" s="27"/>
      <c r="K1293" s="99"/>
      <c r="L1293" s="27">
        <v>25417</v>
      </c>
      <c r="M1293" s="29">
        <f t="shared" si="154"/>
        <v>7171</v>
      </c>
      <c r="N1293" s="29"/>
      <c r="O1293" s="44">
        <f t="shared" si="155"/>
        <v>0.22005032527310667</v>
      </c>
    </row>
    <row r="1294" spans="1:15" ht="20.100000000000001" customHeight="1" x14ac:dyDescent="0.25">
      <c r="A1294" s="89">
        <v>868</v>
      </c>
      <c r="B1294" s="4">
        <v>43405</v>
      </c>
      <c r="C1294" s="26" t="s">
        <v>38</v>
      </c>
      <c r="D1294" s="3">
        <v>24066</v>
      </c>
      <c r="E1294" s="4">
        <v>43432</v>
      </c>
      <c r="F1294" s="92" t="s">
        <v>28</v>
      </c>
      <c r="G1294" s="32">
        <v>43418</v>
      </c>
      <c r="H1294" s="27">
        <f t="shared" si="156"/>
        <v>24066</v>
      </c>
      <c r="I1294" s="27"/>
      <c r="J1294" s="27"/>
      <c r="K1294" s="99"/>
      <c r="L1294" s="27">
        <v>18238</v>
      </c>
      <c r="M1294" s="29">
        <f t="shared" si="154"/>
        <v>5828</v>
      </c>
      <c r="N1294" s="29"/>
      <c r="O1294" s="44">
        <f t="shared" si="155"/>
        <v>0.24216737305742542</v>
      </c>
    </row>
    <row r="1295" spans="1:15" ht="20.100000000000001" customHeight="1" x14ac:dyDescent="0.25">
      <c r="A1295" s="89">
        <v>931</v>
      </c>
      <c r="B1295" s="4">
        <v>43411</v>
      </c>
      <c r="C1295" s="26" t="s">
        <v>319</v>
      </c>
      <c r="D1295" s="3">
        <v>2450</v>
      </c>
      <c r="E1295" s="4">
        <v>43434</v>
      </c>
      <c r="F1295" s="92" t="s">
        <v>28</v>
      </c>
      <c r="G1295" s="32">
        <v>43437</v>
      </c>
      <c r="H1295" s="27">
        <f t="shared" si="156"/>
        <v>2450</v>
      </c>
      <c r="I1295" s="27"/>
      <c r="J1295" s="27"/>
      <c r="K1295" s="99"/>
      <c r="L1295" s="27">
        <v>2182</v>
      </c>
      <c r="M1295" s="29">
        <f t="shared" si="154"/>
        <v>268</v>
      </c>
      <c r="N1295" s="29"/>
      <c r="O1295" s="44">
        <f t="shared" si="155"/>
        <v>0.10938775510204081</v>
      </c>
    </row>
    <row r="1296" spans="1:15" ht="20.100000000000001" customHeight="1" x14ac:dyDescent="0.25">
      <c r="A1296" s="89">
        <v>989</v>
      </c>
      <c r="B1296" s="4">
        <v>43430</v>
      </c>
      <c r="C1296" s="5" t="s">
        <v>359</v>
      </c>
      <c r="D1296" s="3">
        <v>6599</v>
      </c>
      <c r="E1296" s="4">
        <v>43434</v>
      </c>
      <c r="F1296" s="92" t="s">
        <v>28</v>
      </c>
      <c r="G1296" s="32">
        <v>43430</v>
      </c>
      <c r="H1296" s="27">
        <f t="shared" si="156"/>
        <v>6599</v>
      </c>
      <c r="I1296" s="27">
        <f>H1296</f>
        <v>6599</v>
      </c>
      <c r="J1296" s="27"/>
      <c r="K1296" s="99"/>
      <c r="L1296" s="27">
        <v>4850</v>
      </c>
      <c r="M1296" s="29">
        <f t="shared" si="154"/>
        <v>1749</v>
      </c>
      <c r="N1296" s="29">
        <f>M1296</f>
        <v>1749</v>
      </c>
      <c r="O1296" s="44">
        <f t="shared" si="155"/>
        <v>0.26504015759963628</v>
      </c>
    </row>
    <row r="1297" spans="1:15" ht="19.5" customHeight="1" x14ac:dyDescent="0.25">
      <c r="A1297" s="89"/>
      <c r="B1297" s="4"/>
      <c r="C1297" s="5"/>
      <c r="D1297" s="3"/>
      <c r="E1297" s="97">
        <v>18200</v>
      </c>
      <c r="F1297" s="98">
        <f>M1297*0.12+N1297*0.06</f>
        <v>18218.810399999998</v>
      </c>
      <c r="G1297" s="21">
        <f>H1297*0.05+I1297*0.02</f>
        <v>41175.392500000009</v>
      </c>
      <c r="H1297" s="16">
        <f t="shared" ref="H1297:N1297" si="157">SUM(H1275:H1296)</f>
        <v>818142.65</v>
      </c>
      <c r="I1297" s="16">
        <f t="shared" si="157"/>
        <v>13413</v>
      </c>
      <c r="J1297" s="16">
        <f t="shared" si="157"/>
        <v>0</v>
      </c>
      <c r="K1297" s="16">
        <f t="shared" si="157"/>
        <v>30600</v>
      </c>
      <c r="L1297" s="16">
        <f t="shared" si="157"/>
        <v>637431.73</v>
      </c>
      <c r="M1297" s="16">
        <f t="shared" si="157"/>
        <v>150110.91999999998</v>
      </c>
      <c r="N1297" s="16">
        <f t="shared" si="157"/>
        <v>3425</v>
      </c>
      <c r="O1297" s="44">
        <f t="shared" si="155"/>
        <v>0.18347768570676518</v>
      </c>
    </row>
    <row r="1298" spans="1:15" ht="23.25" x14ac:dyDescent="0.35">
      <c r="C1298" s="94" t="s">
        <v>646</v>
      </c>
    </row>
    <row r="1299" spans="1:15" ht="20.100000000000001" customHeight="1" x14ac:dyDescent="0.25">
      <c r="A1299" s="89">
        <v>940</v>
      </c>
      <c r="B1299" s="4">
        <v>43413</v>
      </c>
      <c r="C1299" s="5" t="s">
        <v>362</v>
      </c>
      <c r="D1299" s="3">
        <v>6731</v>
      </c>
      <c r="E1299" s="4">
        <v>43437</v>
      </c>
      <c r="F1299" s="92" t="s">
        <v>28</v>
      </c>
      <c r="G1299" s="32">
        <v>43439</v>
      </c>
      <c r="H1299" s="27">
        <f>D1299</f>
        <v>6731</v>
      </c>
      <c r="I1299" s="27">
        <f>H1299</f>
        <v>6731</v>
      </c>
      <c r="J1299" s="27"/>
      <c r="K1299" s="99"/>
      <c r="L1299" s="27">
        <v>4196</v>
      </c>
      <c r="M1299" s="29">
        <f t="shared" ref="M1299:M1324" si="158">H1299-L1299-J1299-K1299</f>
        <v>2535</v>
      </c>
      <c r="N1299" s="29">
        <f>M1299</f>
        <v>2535</v>
      </c>
      <c r="O1299" s="44">
        <f t="shared" ref="O1299:O1325" si="159">M1299/H1299</f>
        <v>0.37661565889169513</v>
      </c>
    </row>
    <row r="1300" spans="1:15" ht="20.100000000000001" customHeight="1" x14ac:dyDescent="0.25">
      <c r="A1300" s="89">
        <v>1015</v>
      </c>
      <c r="B1300" s="4">
        <v>43438</v>
      </c>
      <c r="C1300" s="5" t="s">
        <v>363</v>
      </c>
      <c r="D1300" s="3">
        <v>9800</v>
      </c>
      <c r="E1300" s="4">
        <v>43438</v>
      </c>
      <c r="F1300" s="92" t="s">
        <v>28</v>
      </c>
      <c r="G1300" s="32">
        <v>43453</v>
      </c>
      <c r="H1300" s="27">
        <f>D1300</f>
        <v>9800</v>
      </c>
      <c r="I1300" s="27">
        <f>H1300</f>
        <v>9800</v>
      </c>
      <c r="J1300" s="27"/>
      <c r="K1300" s="99"/>
      <c r="L1300" s="27">
        <v>8728</v>
      </c>
      <c r="M1300" s="29">
        <f t="shared" si="158"/>
        <v>1072</v>
      </c>
      <c r="N1300" s="29">
        <f>M1300</f>
        <v>1072</v>
      </c>
      <c r="O1300" s="44">
        <f t="shared" si="159"/>
        <v>0.10938775510204081</v>
      </c>
    </row>
    <row r="1301" spans="1:15" ht="20.100000000000001" customHeight="1" x14ac:dyDescent="0.25">
      <c r="A1301" s="89">
        <v>991</v>
      </c>
      <c r="B1301" s="4">
        <v>43431</v>
      </c>
      <c r="C1301" s="26" t="s">
        <v>49</v>
      </c>
      <c r="D1301" s="3">
        <v>9738</v>
      </c>
      <c r="E1301" s="4">
        <v>43440</v>
      </c>
      <c r="F1301" s="92" t="s">
        <v>28</v>
      </c>
      <c r="G1301" s="32">
        <v>43441</v>
      </c>
      <c r="H1301" s="27">
        <f>D1301</f>
        <v>9738</v>
      </c>
      <c r="I1301" s="27"/>
      <c r="J1301" s="27"/>
      <c r="K1301" s="99"/>
      <c r="L1301" s="27">
        <v>6439</v>
      </c>
      <c r="M1301" s="29">
        <f t="shared" si="158"/>
        <v>3299</v>
      </c>
      <c r="N1301" s="29"/>
      <c r="O1301" s="44">
        <f t="shared" si="159"/>
        <v>0.3387759293489423</v>
      </c>
    </row>
    <row r="1302" spans="1:15" ht="20.100000000000001" customHeight="1" x14ac:dyDescent="0.25">
      <c r="A1302" s="89">
        <v>1020</v>
      </c>
      <c r="B1302" s="4">
        <v>43440</v>
      </c>
      <c r="C1302" s="26" t="s">
        <v>91</v>
      </c>
      <c r="D1302" s="3">
        <v>4954</v>
      </c>
      <c r="E1302" s="4">
        <v>43440</v>
      </c>
      <c r="F1302" s="92" t="s">
        <v>28</v>
      </c>
      <c r="G1302" s="32">
        <v>43441</v>
      </c>
      <c r="H1302" s="27">
        <f>D1302</f>
        <v>4954</v>
      </c>
      <c r="I1302" s="27"/>
      <c r="J1302" s="27"/>
      <c r="K1302" s="99"/>
      <c r="L1302" s="27">
        <v>3862</v>
      </c>
      <c r="M1302" s="29">
        <f t="shared" si="158"/>
        <v>1092</v>
      </c>
      <c r="N1302" s="29"/>
      <c r="O1302" s="44">
        <f t="shared" si="159"/>
        <v>0.22042793702058941</v>
      </c>
    </row>
    <row r="1303" spans="1:15" ht="20.100000000000001" customHeight="1" x14ac:dyDescent="0.25">
      <c r="A1303" s="89">
        <v>892</v>
      </c>
      <c r="B1303" s="4">
        <v>43392</v>
      </c>
      <c r="C1303" s="26" t="s">
        <v>65</v>
      </c>
      <c r="D1303" s="3">
        <v>367416.06</v>
      </c>
      <c r="E1303" s="4">
        <v>43440</v>
      </c>
      <c r="F1303" s="92" t="s">
        <v>28</v>
      </c>
      <c r="G1303" s="32">
        <v>43418</v>
      </c>
      <c r="H1303" s="27">
        <v>273689.65000000002</v>
      </c>
      <c r="I1303" s="27"/>
      <c r="J1303" s="27"/>
      <c r="K1303" s="99"/>
      <c r="L1303" s="27">
        <v>187545</v>
      </c>
      <c r="M1303" s="29">
        <f t="shared" si="158"/>
        <v>86144.650000000023</v>
      </c>
      <c r="N1303" s="29"/>
      <c r="O1303" s="44">
        <f t="shared" si="159"/>
        <v>0.31475304236020624</v>
      </c>
    </row>
    <row r="1304" spans="1:15" ht="20.100000000000001" customHeight="1" x14ac:dyDescent="0.25">
      <c r="A1304" s="89">
        <v>1012</v>
      </c>
      <c r="B1304" s="4">
        <v>43437</v>
      </c>
      <c r="C1304" s="26" t="s">
        <v>265</v>
      </c>
      <c r="D1304" s="3">
        <v>47790</v>
      </c>
      <c r="E1304" s="4">
        <v>43445</v>
      </c>
      <c r="F1304" s="92" t="s">
        <v>28</v>
      </c>
      <c r="G1304" s="32">
        <v>43446</v>
      </c>
      <c r="H1304" s="27">
        <f t="shared" ref="H1304:H1323" si="160">D1304</f>
        <v>47790</v>
      </c>
      <c r="I1304" s="27"/>
      <c r="J1304" s="27"/>
      <c r="K1304" s="99"/>
      <c r="L1304" s="27">
        <v>34579.11</v>
      </c>
      <c r="M1304" s="29">
        <f t="shared" si="158"/>
        <v>13210.89</v>
      </c>
      <c r="N1304" s="29"/>
      <c r="O1304" s="44">
        <f t="shared" si="159"/>
        <v>0.27643628374136847</v>
      </c>
    </row>
    <row r="1305" spans="1:15" ht="20.100000000000001" customHeight="1" x14ac:dyDescent="0.25">
      <c r="A1305" s="89">
        <v>1033</v>
      </c>
      <c r="B1305" s="4">
        <v>43445</v>
      </c>
      <c r="C1305" s="26" t="s">
        <v>118</v>
      </c>
      <c r="D1305" s="3">
        <v>5368.6</v>
      </c>
      <c r="E1305" s="4">
        <v>43446</v>
      </c>
      <c r="F1305" s="92" t="s">
        <v>28</v>
      </c>
      <c r="G1305" s="32">
        <v>43446</v>
      </c>
      <c r="H1305" s="27">
        <f t="shared" si="160"/>
        <v>5368.6</v>
      </c>
      <c r="I1305" s="27"/>
      <c r="J1305" s="27"/>
      <c r="K1305" s="99"/>
      <c r="L1305" s="27">
        <v>4658</v>
      </c>
      <c r="M1305" s="29">
        <f t="shared" si="158"/>
        <v>710.60000000000036</v>
      </c>
      <c r="N1305" s="29"/>
      <c r="O1305" s="44">
        <f t="shared" si="159"/>
        <v>0.13236225459151368</v>
      </c>
    </row>
    <row r="1306" spans="1:15" ht="20.100000000000001" customHeight="1" x14ac:dyDescent="0.25">
      <c r="A1306" s="89">
        <v>1036</v>
      </c>
      <c r="B1306" s="4">
        <v>43446</v>
      </c>
      <c r="C1306" s="26" t="s">
        <v>342</v>
      </c>
      <c r="D1306" s="3">
        <v>1532</v>
      </c>
      <c r="E1306" s="4">
        <v>43447</v>
      </c>
      <c r="F1306" s="92" t="s">
        <v>28</v>
      </c>
      <c r="G1306" s="32">
        <v>43452</v>
      </c>
      <c r="H1306" s="27">
        <f t="shared" si="160"/>
        <v>1532</v>
      </c>
      <c r="I1306" s="27"/>
      <c r="J1306" s="27"/>
      <c r="K1306" s="99"/>
      <c r="L1306" s="27">
        <v>1060</v>
      </c>
      <c r="M1306" s="29">
        <f t="shared" si="158"/>
        <v>472</v>
      </c>
      <c r="N1306" s="29"/>
      <c r="O1306" s="44">
        <f t="shared" si="159"/>
        <v>0.30809399477806787</v>
      </c>
    </row>
    <row r="1307" spans="1:15" ht="20.100000000000001" customHeight="1" x14ac:dyDescent="0.25">
      <c r="A1307" s="89">
        <v>1018</v>
      </c>
      <c r="B1307" s="4">
        <v>43440</v>
      </c>
      <c r="C1307" s="26" t="s">
        <v>13</v>
      </c>
      <c r="D1307" s="3">
        <v>6316</v>
      </c>
      <c r="E1307" s="4">
        <v>43447</v>
      </c>
      <c r="F1307" s="92" t="s">
        <v>28</v>
      </c>
      <c r="G1307" s="32">
        <v>43448</v>
      </c>
      <c r="H1307" s="27">
        <f t="shared" si="160"/>
        <v>6316</v>
      </c>
      <c r="I1307" s="27"/>
      <c r="J1307" s="27"/>
      <c r="K1307" s="99"/>
      <c r="L1307" s="27">
        <v>4698</v>
      </c>
      <c r="M1307" s="29">
        <f t="shared" si="158"/>
        <v>1618</v>
      </c>
      <c r="N1307" s="29"/>
      <c r="O1307" s="44">
        <f t="shared" si="159"/>
        <v>0.25617479417352756</v>
      </c>
    </row>
    <row r="1308" spans="1:15" ht="20.100000000000001" customHeight="1" x14ac:dyDescent="0.25">
      <c r="A1308" s="89">
        <v>1019</v>
      </c>
      <c r="B1308" s="4">
        <v>43440</v>
      </c>
      <c r="C1308" s="26" t="s">
        <v>13</v>
      </c>
      <c r="D1308" s="3">
        <v>5832</v>
      </c>
      <c r="E1308" s="4">
        <v>43447</v>
      </c>
      <c r="F1308" s="92" t="s">
        <v>28</v>
      </c>
      <c r="G1308" s="32">
        <v>43454</v>
      </c>
      <c r="H1308" s="27">
        <f t="shared" si="160"/>
        <v>5832</v>
      </c>
      <c r="I1308" s="27"/>
      <c r="J1308" s="27"/>
      <c r="K1308" s="99"/>
      <c r="L1308" s="27">
        <v>3848</v>
      </c>
      <c r="M1308" s="29">
        <f t="shared" si="158"/>
        <v>1984</v>
      </c>
      <c r="N1308" s="29"/>
      <c r="O1308" s="44">
        <f t="shared" si="159"/>
        <v>0.34019204389574759</v>
      </c>
    </row>
    <row r="1309" spans="1:15" ht="20.100000000000001" customHeight="1" x14ac:dyDescent="0.25">
      <c r="A1309" s="89">
        <v>1003</v>
      </c>
      <c r="B1309" s="4">
        <v>43433</v>
      </c>
      <c r="C1309" s="26" t="s">
        <v>147</v>
      </c>
      <c r="D1309" s="3">
        <v>19816</v>
      </c>
      <c r="E1309" s="4">
        <v>43447</v>
      </c>
      <c r="F1309" s="92" t="s">
        <v>28</v>
      </c>
      <c r="G1309" s="32">
        <v>43453</v>
      </c>
      <c r="H1309" s="27">
        <f t="shared" si="160"/>
        <v>19816</v>
      </c>
      <c r="I1309" s="27"/>
      <c r="J1309" s="27"/>
      <c r="K1309" s="99"/>
      <c r="L1309" s="27">
        <v>15448</v>
      </c>
      <c r="M1309" s="29">
        <f t="shared" si="158"/>
        <v>4368</v>
      </c>
      <c r="N1309" s="29"/>
      <c r="O1309" s="44">
        <f t="shared" si="159"/>
        <v>0.22042793702058941</v>
      </c>
    </row>
    <row r="1310" spans="1:15" ht="20.100000000000001" customHeight="1" x14ac:dyDescent="0.25">
      <c r="A1310" s="89">
        <v>1038</v>
      </c>
      <c r="B1310" s="4">
        <v>43447</v>
      </c>
      <c r="C1310" s="26" t="s">
        <v>211</v>
      </c>
      <c r="D1310" s="3">
        <v>4320</v>
      </c>
      <c r="E1310" s="4">
        <v>43448</v>
      </c>
      <c r="F1310" s="92" t="s">
        <v>28</v>
      </c>
      <c r="G1310" s="32">
        <v>43461</v>
      </c>
      <c r="H1310" s="27">
        <f t="shared" si="160"/>
        <v>4320</v>
      </c>
      <c r="I1310" s="27"/>
      <c r="J1310" s="27"/>
      <c r="K1310" s="99"/>
      <c r="L1310" s="27">
        <v>3362</v>
      </c>
      <c r="M1310" s="29">
        <f t="shared" si="158"/>
        <v>958</v>
      </c>
      <c r="N1310" s="29"/>
      <c r="O1310" s="44">
        <f t="shared" si="159"/>
        <v>0.22175925925925927</v>
      </c>
    </row>
    <row r="1311" spans="1:15" ht="20.100000000000001" customHeight="1" x14ac:dyDescent="0.25">
      <c r="A1311" s="89">
        <v>1037</v>
      </c>
      <c r="B1311" s="4">
        <v>43446</v>
      </c>
      <c r="C1311" s="26" t="s">
        <v>345</v>
      </c>
      <c r="D1311" s="3">
        <v>5518</v>
      </c>
      <c r="E1311" s="4">
        <v>43448</v>
      </c>
      <c r="F1311" s="92" t="s">
        <v>28</v>
      </c>
      <c r="G1311" s="32">
        <v>43476</v>
      </c>
      <c r="H1311" s="27">
        <f t="shared" si="160"/>
        <v>5518</v>
      </c>
      <c r="I1311" s="27"/>
      <c r="J1311" s="27"/>
      <c r="K1311" s="99"/>
      <c r="L1311" s="27">
        <v>4178</v>
      </c>
      <c r="M1311" s="29">
        <f t="shared" si="158"/>
        <v>1340</v>
      </c>
      <c r="N1311" s="29"/>
      <c r="O1311" s="44">
        <f t="shared" si="159"/>
        <v>0.24284160927872417</v>
      </c>
    </row>
    <row r="1312" spans="1:15" ht="20.100000000000001" customHeight="1" x14ac:dyDescent="0.25">
      <c r="A1312" s="89">
        <v>981</v>
      </c>
      <c r="B1312" s="4">
        <v>43426</v>
      </c>
      <c r="C1312" s="26" t="s">
        <v>56</v>
      </c>
      <c r="D1312" s="3">
        <v>25248</v>
      </c>
      <c r="E1312" s="4">
        <v>43451</v>
      </c>
      <c r="F1312" s="92" t="s">
        <v>28</v>
      </c>
      <c r="G1312" s="32">
        <v>43441</v>
      </c>
      <c r="H1312" s="27">
        <f t="shared" si="160"/>
        <v>25248</v>
      </c>
      <c r="I1312" s="27"/>
      <c r="J1312" s="27"/>
      <c r="K1312" s="99"/>
      <c r="L1312" s="27">
        <v>18069</v>
      </c>
      <c r="M1312" s="29">
        <f t="shared" si="158"/>
        <v>7179</v>
      </c>
      <c r="N1312" s="29"/>
      <c r="O1312" s="44">
        <f t="shared" si="159"/>
        <v>0.28433935361216728</v>
      </c>
    </row>
    <row r="1313" spans="1:15" ht="20.100000000000001" customHeight="1" x14ac:dyDescent="0.25">
      <c r="A1313" s="89">
        <v>957</v>
      </c>
      <c r="B1313" s="4">
        <v>43419</v>
      </c>
      <c r="C1313" s="26" t="s">
        <v>99</v>
      </c>
      <c r="D1313" s="3">
        <v>247758</v>
      </c>
      <c r="E1313" s="4">
        <v>43452</v>
      </c>
      <c r="F1313" s="92" t="s">
        <v>28</v>
      </c>
      <c r="G1313" s="32">
        <v>43423</v>
      </c>
      <c r="H1313" s="27">
        <f t="shared" si="160"/>
        <v>247758</v>
      </c>
      <c r="I1313" s="27"/>
      <c r="J1313" s="27">
        <f>15*3000</f>
        <v>45000</v>
      </c>
      <c r="K1313" s="99"/>
      <c r="L1313" s="27">
        <v>78461</v>
      </c>
      <c r="M1313" s="29">
        <f t="shared" si="158"/>
        <v>124297</v>
      </c>
      <c r="N1313" s="29"/>
      <c r="O1313" s="44">
        <f t="shared" si="159"/>
        <v>0.50168713018348554</v>
      </c>
    </row>
    <row r="1314" spans="1:15" ht="20.100000000000001" customHeight="1" x14ac:dyDescent="0.25">
      <c r="A1314" s="89">
        <v>962</v>
      </c>
      <c r="B1314" s="4">
        <v>43420</v>
      </c>
      <c r="C1314" s="26" t="s">
        <v>99</v>
      </c>
      <c r="D1314" s="3">
        <v>35031</v>
      </c>
      <c r="E1314" s="4">
        <v>43452</v>
      </c>
      <c r="F1314" s="92" t="s">
        <v>28</v>
      </c>
      <c r="G1314" s="32">
        <v>43440</v>
      </c>
      <c r="H1314" s="27">
        <f t="shared" si="160"/>
        <v>35031</v>
      </c>
      <c r="I1314" s="27"/>
      <c r="J1314" s="27"/>
      <c r="K1314" s="99"/>
      <c r="L1314" s="27">
        <v>27321</v>
      </c>
      <c r="M1314" s="29">
        <f t="shared" si="158"/>
        <v>7710</v>
      </c>
      <c r="N1314" s="29"/>
      <c r="O1314" s="44">
        <f t="shared" si="159"/>
        <v>0.22009077674060118</v>
      </c>
    </row>
    <row r="1315" spans="1:15" ht="20.100000000000001" customHeight="1" x14ac:dyDescent="0.25">
      <c r="A1315" s="89">
        <v>1044</v>
      </c>
      <c r="B1315" s="4">
        <v>43451</v>
      </c>
      <c r="C1315" s="26" t="s">
        <v>305</v>
      </c>
      <c r="D1315" s="3">
        <v>18990</v>
      </c>
      <c r="E1315" s="4">
        <v>43452</v>
      </c>
      <c r="F1315" s="92" t="s">
        <v>28</v>
      </c>
      <c r="G1315" s="32">
        <v>43453</v>
      </c>
      <c r="H1315" s="27">
        <f t="shared" si="160"/>
        <v>18990</v>
      </c>
      <c r="I1315" s="27"/>
      <c r="J1315" s="27"/>
      <c r="K1315" s="99"/>
      <c r="L1315" s="27">
        <v>15801</v>
      </c>
      <c r="M1315" s="29">
        <f t="shared" si="158"/>
        <v>3189</v>
      </c>
      <c r="N1315" s="29"/>
      <c r="O1315" s="44">
        <f t="shared" si="159"/>
        <v>0.16793048973143759</v>
      </c>
    </row>
    <row r="1316" spans="1:15" ht="20.100000000000001" customHeight="1" x14ac:dyDescent="0.25">
      <c r="A1316" s="89">
        <v>1039</v>
      </c>
      <c r="B1316" s="4">
        <v>43447</v>
      </c>
      <c r="C1316" s="26" t="s">
        <v>77</v>
      </c>
      <c r="D1316" s="3">
        <v>1529</v>
      </c>
      <c r="E1316" s="4">
        <v>43452</v>
      </c>
      <c r="F1316" s="92" t="s">
        <v>28</v>
      </c>
      <c r="G1316" s="32">
        <v>43453</v>
      </c>
      <c r="H1316" s="27">
        <f t="shared" si="160"/>
        <v>1529</v>
      </c>
      <c r="I1316" s="27"/>
      <c r="J1316" s="27"/>
      <c r="K1316" s="99"/>
      <c r="L1316" s="27">
        <v>1191</v>
      </c>
      <c r="M1316" s="29">
        <f t="shared" si="158"/>
        <v>338</v>
      </c>
      <c r="N1316" s="29"/>
      <c r="O1316" s="44">
        <f t="shared" si="159"/>
        <v>0.22105951602354479</v>
      </c>
    </row>
    <row r="1317" spans="1:15" ht="20.100000000000001" customHeight="1" x14ac:dyDescent="0.25">
      <c r="A1317" s="89">
        <v>971</v>
      </c>
      <c r="B1317" s="4">
        <v>43425</v>
      </c>
      <c r="C1317" s="26" t="s">
        <v>315</v>
      </c>
      <c r="D1317" s="3">
        <v>8972</v>
      </c>
      <c r="E1317" s="4">
        <v>43453</v>
      </c>
      <c r="F1317" s="92" t="s">
        <v>28</v>
      </c>
      <c r="G1317" s="4"/>
      <c r="H1317" s="27">
        <f t="shared" si="160"/>
        <v>8972</v>
      </c>
      <c r="I1317" s="27"/>
      <c r="J1317" s="27"/>
      <c r="K1317" s="99"/>
      <c r="L1317" s="27">
        <v>3056</v>
      </c>
      <c r="M1317" s="29">
        <f t="shared" si="158"/>
        <v>5916</v>
      </c>
      <c r="N1317" s="29"/>
      <c r="O1317" s="44">
        <f t="shared" si="159"/>
        <v>0.65938475256353102</v>
      </c>
    </row>
    <row r="1318" spans="1:15" ht="20.100000000000001" customHeight="1" x14ac:dyDescent="0.25">
      <c r="A1318" s="89">
        <v>959</v>
      </c>
      <c r="B1318" s="4">
        <v>43423</v>
      </c>
      <c r="C1318" s="26" t="s">
        <v>65</v>
      </c>
      <c r="D1318" s="3">
        <v>22231.200000000001</v>
      </c>
      <c r="E1318" s="4">
        <v>43453</v>
      </c>
      <c r="F1318" s="92" t="s">
        <v>28</v>
      </c>
      <c r="G1318" s="32">
        <v>43445</v>
      </c>
      <c r="H1318" s="27">
        <f t="shared" si="160"/>
        <v>22231.200000000001</v>
      </c>
      <c r="I1318" s="27"/>
      <c r="J1318" s="27"/>
      <c r="K1318" s="99"/>
      <c r="L1318" s="27">
        <v>12648</v>
      </c>
      <c r="M1318" s="29">
        <f t="shared" si="158"/>
        <v>9583.2000000000007</v>
      </c>
      <c r="N1318" s="29"/>
      <c r="O1318" s="44">
        <f t="shared" si="159"/>
        <v>0.43106984778149632</v>
      </c>
    </row>
    <row r="1319" spans="1:15" ht="20.100000000000001" customHeight="1" x14ac:dyDescent="0.25">
      <c r="A1319" s="89">
        <v>1055</v>
      </c>
      <c r="B1319" s="4">
        <v>43453</v>
      </c>
      <c r="C1319" s="26" t="s">
        <v>209</v>
      </c>
      <c r="D1319" s="3">
        <v>18105.400000000001</v>
      </c>
      <c r="E1319" s="4">
        <v>43453</v>
      </c>
      <c r="F1319" s="92" t="s">
        <v>28</v>
      </c>
      <c r="G1319" s="32">
        <v>43453</v>
      </c>
      <c r="H1319" s="27">
        <f t="shared" si="160"/>
        <v>18105.400000000001</v>
      </c>
      <c r="I1319" s="27"/>
      <c r="J1319" s="27"/>
      <c r="K1319" s="99"/>
      <c r="L1319" s="27">
        <v>15255</v>
      </c>
      <c r="M1319" s="29">
        <f t="shared" si="158"/>
        <v>2850.4000000000015</v>
      </c>
      <c r="N1319" s="29"/>
      <c r="O1319" s="44">
        <f t="shared" si="159"/>
        <v>0.15743369381510494</v>
      </c>
    </row>
    <row r="1320" spans="1:15" ht="20.100000000000001" customHeight="1" x14ac:dyDescent="0.25">
      <c r="A1320" s="89">
        <v>1057</v>
      </c>
      <c r="B1320" s="4">
        <v>43454</v>
      </c>
      <c r="C1320" s="26" t="s">
        <v>49</v>
      </c>
      <c r="D1320" s="3">
        <v>166</v>
      </c>
      <c r="E1320" s="4">
        <v>43458</v>
      </c>
      <c r="F1320" s="92" t="s">
        <v>28</v>
      </c>
      <c r="G1320" s="32">
        <v>43486</v>
      </c>
      <c r="H1320" s="27">
        <f t="shared" si="160"/>
        <v>166</v>
      </c>
      <c r="I1320" s="27"/>
      <c r="J1320" s="27"/>
      <c r="K1320" s="99"/>
      <c r="L1320" s="27">
        <v>112</v>
      </c>
      <c r="M1320" s="29">
        <f t="shared" si="158"/>
        <v>54</v>
      </c>
      <c r="N1320" s="29"/>
      <c r="O1320" s="44">
        <f t="shared" si="159"/>
        <v>0.3253012048192771</v>
      </c>
    </row>
    <row r="1321" spans="1:15" ht="20.100000000000001" customHeight="1" x14ac:dyDescent="0.25">
      <c r="A1321" s="89">
        <v>1064</v>
      </c>
      <c r="B1321" s="4">
        <v>43458</v>
      </c>
      <c r="C1321" s="26" t="s">
        <v>281</v>
      </c>
      <c r="D1321" s="3">
        <v>2160</v>
      </c>
      <c r="E1321" s="4">
        <v>43458</v>
      </c>
      <c r="F1321" s="92" t="s">
        <v>28</v>
      </c>
      <c r="G1321" s="32">
        <v>43459</v>
      </c>
      <c r="H1321" s="27">
        <f t="shared" si="160"/>
        <v>2160</v>
      </c>
      <c r="I1321" s="27"/>
      <c r="J1321" s="27"/>
      <c r="K1321" s="99"/>
      <c r="L1321" s="27">
        <v>1684</v>
      </c>
      <c r="M1321" s="29">
        <f t="shared" si="158"/>
        <v>476</v>
      </c>
      <c r="N1321" s="29"/>
      <c r="O1321" s="44">
        <f t="shared" si="159"/>
        <v>0.22037037037037038</v>
      </c>
    </row>
    <row r="1322" spans="1:15" ht="20.100000000000001" customHeight="1" x14ac:dyDescent="0.25">
      <c r="A1322" s="89">
        <v>1060</v>
      </c>
      <c r="B1322" s="4">
        <v>43455</v>
      </c>
      <c r="C1322" s="26" t="s">
        <v>301</v>
      </c>
      <c r="D1322" s="3">
        <v>8610</v>
      </c>
      <c r="E1322" s="4">
        <v>43460</v>
      </c>
      <c r="F1322" s="92" t="s">
        <v>28</v>
      </c>
      <c r="G1322" s="32">
        <v>43461</v>
      </c>
      <c r="H1322" s="27">
        <f t="shared" si="160"/>
        <v>8610</v>
      </c>
      <c r="I1322" s="27"/>
      <c r="J1322" s="27"/>
      <c r="K1322" s="99"/>
      <c r="L1322" s="27">
        <v>5810</v>
      </c>
      <c r="M1322" s="29">
        <f t="shared" si="158"/>
        <v>2800</v>
      </c>
      <c r="N1322" s="29"/>
      <c r="O1322" s="44">
        <f t="shared" si="159"/>
        <v>0.32520325203252032</v>
      </c>
    </row>
    <row r="1323" spans="1:15" ht="20.100000000000001" customHeight="1" x14ac:dyDescent="0.25">
      <c r="A1323" s="89">
        <v>1051</v>
      </c>
      <c r="B1323" s="4">
        <v>43452</v>
      </c>
      <c r="C1323" s="26" t="s">
        <v>13</v>
      </c>
      <c r="D1323" s="3">
        <v>8609</v>
      </c>
      <c r="E1323" s="4">
        <v>43461</v>
      </c>
      <c r="F1323" s="92" t="s">
        <v>28</v>
      </c>
      <c r="G1323" s="32">
        <v>43453</v>
      </c>
      <c r="H1323" s="27">
        <f t="shared" si="160"/>
        <v>8609</v>
      </c>
      <c r="I1323" s="27"/>
      <c r="J1323" s="27"/>
      <c r="K1323" s="99"/>
      <c r="L1323" s="27">
        <v>5972</v>
      </c>
      <c r="M1323" s="29">
        <f t="shared" si="158"/>
        <v>2637</v>
      </c>
      <c r="N1323" s="29"/>
      <c r="O1323" s="44">
        <f t="shared" si="159"/>
        <v>0.30630735277035659</v>
      </c>
    </row>
    <row r="1324" spans="1:15" ht="20.100000000000001" customHeight="1" x14ac:dyDescent="0.25">
      <c r="A1324" s="89">
        <v>547</v>
      </c>
      <c r="B1324" s="4">
        <v>43391</v>
      </c>
      <c r="C1324" s="26" t="s">
        <v>38</v>
      </c>
      <c r="D1324" s="3">
        <v>281419.86</v>
      </c>
      <c r="E1324" s="4">
        <v>43825</v>
      </c>
      <c r="F1324" s="92" t="s">
        <v>28</v>
      </c>
      <c r="G1324" s="32">
        <v>43437</v>
      </c>
      <c r="H1324" s="27">
        <v>273486.96000000002</v>
      </c>
      <c r="I1324" s="27"/>
      <c r="J1324" s="27"/>
      <c r="K1324" s="99"/>
      <c r="L1324" s="27">
        <v>229372</v>
      </c>
      <c r="M1324" s="29">
        <f t="shared" si="158"/>
        <v>44114.960000000021</v>
      </c>
      <c r="N1324" s="29"/>
      <c r="O1324" s="44">
        <f t="shared" si="159"/>
        <v>0.16130553354353722</v>
      </c>
    </row>
    <row r="1325" spans="1:15" ht="19.5" customHeight="1" x14ac:dyDescent="0.25">
      <c r="A1325" s="89"/>
      <c r="B1325" s="4"/>
      <c r="C1325" s="5"/>
      <c r="D1325" s="3"/>
      <c r="E1325" s="97">
        <v>56300</v>
      </c>
      <c r="F1325" s="98">
        <f>M1325*0.17+N1325*0.06</f>
        <v>56307.699000000015</v>
      </c>
      <c r="G1325" s="21">
        <f>H1325*0.05+I1325*0.02</f>
        <v>53945.710500000008</v>
      </c>
      <c r="H1325" s="16">
        <f t="shared" ref="H1325:N1325" si="161">SUM(H1299:H1324)</f>
        <v>1072301.81</v>
      </c>
      <c r="I1325" s="16">
        <f t="shared" si="161"/>
        <v>16531</v>
      </c>
      <c r="J1325" s="16">
        <f t="shared" si="161"/>
        <v>45000</v>
      </c>
      <c r="K1325" s="16">
        <f t="shared" si="161"/>
        <v>0</v>
      </c>
      <c r="L1325" s="16">
        <f t="shared" si="161"/>
        <v>697353.11</v>
      </c>
      <c r="M1325" s="16">
        <f t="shared" si="161"/>
        <v>329948.70000000007</v>
      </c>
      <c r="N1325" s="16">
        <f t="shared" si="161"/>
        <v>3607</v>
      </c>
      <c r="O1325" s="44">
        <f t="shared" si="159"/>
        <v>0.30770133643624087</v>
      </c>
    </row>
    <row r="1326" spans="1:15" ht="23.25" x14ac:dyDescent="0.35">
      <c r="B1326" s="94">
        <v>2019</v>
      </c>
      <c r="C1326" s="94" t="s">
        <v>647</v>
      </c>
    </row>
    <row r="1327" spans="1:15" ht="20.100000000000001" customHeight="1" x14ac:dyDescent="0.25">
      <c r="A1327" s="89">
        <v>1046</v>
      </c>
      <c r="B1327" s="4">
        <v>43451</v>
      </c>
      <c r="C1327" s="26" t="s">
        <v>60</v>
      </c>
      <c r="D1327" s="3">
        <v>23078</v>
      </c>
      <c r="E1327" s="4">
        <v>43474</v>
      </c>
      <c r="F1327" s="92" t="s">
        <v>28</v>
      </c>
      <c r="G1327" s="32">
        <v>43458</v>
      </c>
      <c r="H1327" s="27">
        <f t="shared" ref="H1327:H1344" si="162">D1327</f>
        <v>23078</v>
      </c>
      <c r="I1327" s="27"/>
      <c r="J1327" s="27"/>
      <c r="K1327" s="99"/>
      <c r="L1327" s="27">
        <v>8634</v>
      </c>
      <c r="M1327" s="29">
        <f t="shared" ref="M1327:M1344" si="163">H1327-L1327-J1327-K1327</f>
        <v>14444</v>
      </c>
      <c r="N1327" s="29"/>
      <c r="O1327" s="44">
        <f t="shared" ref="O1327:O1345" si="164">M1327/H1327</f>
        <v>0.62587745905191094</v>
      </c>
    </row>
    <row r="1328" spans="1:15" ht="20.100000000000001" customHeight="1" x14ac:dyDescent="0.25">
      <c r="A1328" s="89">
        <v>2</v>
      </c>
      <c r="B1328" s="92">
        <v>43474</v>
      </c>
      <c r="C1328" s="26" t="s">
        <v>16</v>
      </c>
      <c r="D1328" s="3">
        <v>2880</v>
      </c>
      <c r="E1328" s="4">
        <v>43474</v>
      </c>
      <c r="F1328" s="92" t="s">
        <v>28</v>
      </c>
      <c r="G1328" s="32">
        <v>43487</v>
      </c>
      <c r="H1328" s="27">
        <f t="shared" si="162"/>
        <v>2880</v>
      </c>
      <c r="I1328" s="27"/>
      <c r="J1328" s="27"/>
      <c r="K1328" s="99"/>
      <c r="L1328" s="27">
        <v>1901</v>
      </c>
      <c r="M1328" s="29">
        <f t="shared" si="163"/>
        <v>979</v>
      </c>
      <c r="N1328" s="29"/>
      <c r="O1328" s="44">
        <f t="shared" si="164"/>
        <v>0.33993055555555557</v>
      </c>
    </row>
    <row r="1329" spans="1:15" ht="20.100000000000001" customHeight="1" x14ac:dyDescent="0.25">
      <c r="A1329" s="89">
        <v>19</v>
      </c>
      <c r="B1329" s="4">
        <v>43476</v>
      </c>
      <c r="C1329" s="26" t="s">
        <v>91</v>
      </c>
      <c r="D1329" s="3">
        <v>6400</v>
      </c>
      <c r="E1329" s="4">
        <v>43476</v>
      </c>
      <c r="F1329" s="92" t="s">
        <v>28</v>
      </c>
      <c r="G1329" s="32">
        <v>43476</v>
      </c>
      <c r="H1329" s="27">
        <f t="shared" si="162"/>
        <v>6400</v>
      </c>
      <c r="I1329" s="27"/>
      <c r="J1329" s="27"/>
      <c r="K1329" s="99"/>
      <c r="L1329" s="27">
        <v>4770</v>
      </c>
      <c r="M1329" s="29">
        <f t="shared" si="163"/>
        <v>1630</v>
      </c>
      <c r="N1329" s="29"/>
      <c r="O1329" s="44">
        <f t="shared" si="164"/>
        <v>0.25468750000000001</v>
      </c>
    </row>
    <row r="1330" spans="1:15" ht="19.5" customHeight="1" x14ac:dyDescent="0.25">
      <c r="A1330" s="89">
        <v>15</v>
      </c>
      <c r="B1330" s="92">
        <v>43475</v>
      </c>
      <c r="C1330" s="26" t="s">
        <v>363</v>
      </c>
      <c r="D1330" s="3">
        <v>9800</v>
      </c>
      <c r="E1330" s="4">
        <v>43476</v>
      </c>
      <c r="F1330" s="92" t="s">
        <v>28</v>
      </c>
      <c r="G1330" s="32">
        <v>43476</v>
      </c>
      <c r="H1330" s="27">
        <f t="shared" si="162"/>
        <v>9800</v>
      </c>
      <c r="I1330" s="27"/>
      <c r="J1330" s="27"/>
      <c r="K1330" s="99"/>
      <c r="L1330" s="27">
        <v>8728</v>
      </c>
      <c r="M1330" s="29">
        <f t="shared" si="163"/>
        <v>1072</v>
      </c>
      <c r="N1330" s="29"/>
      <c r="O1330" s="44">
        <f t="shared" si="164"/>
        <v>0.10938775510204081</v>
      </c>
    </row>
    <row r="1331" spans="1:15" ht="19.5" customHeight="1" x14ac:dyDescent="0.25">
      <c r="A1331" s="89">
        <v>24</v>
      </c>
      <c r="B1331" s="92">
        <v>43480</v>
      </c>
      <c r="C1331" s="26" t="s">
        <v>30</v>
      </c>
      <c r="D1331" s="3">
        <v>4791</v>
      </c>
      <c r="E1331" s="4">
        <v>43481</v>
      </c>
      <c r="F1331" s="92" t="s">
        <v>28</v>
      </c>
      <c r="G1331" s="32">
        <v>43482</v>
      </c>
      <c r="H1331" s="27">
        <f t="shared" si="162"/>
        <v>4791</v>
      </c>
      <c r="I1331" s="27"/>
      <c r="J1331" s="27"/>
      <c r="K1331" s="99"/>
      <c r="L1331" s="27">
        <v>3573</v>
      </c>
      <c r="M1331" s="29">
        <f t="shared" si="163"/>
        <v>1218</v>
      </c>
      <c r="N1331" s="29"/>
      <c r="O1331" s="44">
        <f t="shared" si="164"/>
        <v>0.25422667501565432</v>
      </c>
    </row>
    <row r="1332" spans="1:15" ht="19.5" customHeight="1" x14ac:dyDescent="0.25">
      <c r="A1332" s="89">
        <v>23</v>
      </c>
      <c r="B1332" s="92">
        <v>43480</v>
      </c>
      <c r="C1332" s="26" t="s">
        <v>365</v>
      </c>
      <c r="D1332" s="3">
        <v>5486</v>
      </c>
      <c r="E1332" s="4">
        <v>43481</v>
      </c>
      <c r="F1332" s="92" t="s">
        <v>28</v>
      </c>
      <c r="G1332" s="32">
        <v>43486</v>
      </c>
      <c r="H1332" s="27">
        <f t="shared" si="162"/>
        <v>5486</v>
      </c>
      <c r="I1332" s="27"/>
      <c r="J1332" s="27"/>
      <c r="K1332" s="99"/>
      <c r="L1332" s="27">
        <v>3471</v>
      </c>
      <c r="M1332" s="29">
        <f t="shared" si="163"/>
        <v>2015</v>
      </c>
      <c r="N1332" s="29"/>
      <c r="O1332" s="44">
        <f t="shared" si="164"/>
        <v>0.36729857819905215</v>
      </c>
    </row>
    <row r="1333" spans="1:15" ht="19.5" customHeight="1" x14ac:dyDescent="0.25">
      <c r="A1333" s="89">
        <v>30</v>
      </c>
      <c r="B1333" s="4">
        <v>43481</v>
      </c>
      <c r="C1333" s="5" t="s">
        <v>364</v>
      </c>
      <c r="D1333" s="3">
        <v>15980</v>
      </c>
      <c r="E1333" s="4">
        <v>43482</v>
      </c>
      <c r="F1333" s="92" t="s">
        <v>28</v>
      </c>
      <c r="G1333" s="32">
        <v>43486</v>
      </c>
      <c r="H1333" s="27">
        <f t="shared" si="162"/>
        <v>15980</v>
      </c>
      <c r="I1333" s="27">
        <f>H1333</f>
        <v>15980</v>
      </c>
      <c r="J1333" s="27"/>
      <c r="K1333" s="99"/>
      <c r="L1333" s="27">
        <v>11744</v>
      </c>
      <c r="M1333" s="29">
        <f t="shared" si="163"/>
        <v>4236</v>
      </c>
      <c r="N1333" s="29">
        <f>M1333</f>
        <v>4236</v>
      </c>
      <c r="O1333" s="44">
        <f t="shared" si="164"/>
        <v>0.265081351689612</v>
      </c>
    </row>
    <row r="1334" spans="1:15" ht="19.5" customHeight="1" x14ac:dyDescent="0.25">
      <c r="A1334" s="89">
        <v>35</v>
      </c>
      <c r="B1334" s="4">
        <v>43482</v>
      </c>
      <c r="C1334" s="5" t="s">
        <v>366</v>
      </c>
      <c r="D1334" s="3">
        <v>29188</v>
      </c>
      <c r="E1334" s="4">
        <v>43483</v>
      </c>
      <c r="F1334" s="92" t="s">
        <v>28</v>
      </c>
      <c r="G1334" s="32">
        <v>43487</v>
      </c>
      <c r="H1334" s="27">
        <f t="shared" si="162"/>
        <v>29188</v>
      </c>
      <c r="I1334" s="27">
        <f>H1334</f>
        <v>29188</v>
      </c>
      <c r="J1334" s="27"/>
      <c r="K1334" s="99"/>
      <c r="L1334" s="27">
        <v>20408</v>
      </c>
      <c r="M1334" s="29">
        <f t="shared" si="163"/>
        <v>8780</v>
      </c>
      <c r="N1334" s="29">
        <f>M1334</f>
        <v>8780</v>
      </c>
      <c r="O1334" s="44">
        <f t="shared" si="164"/>
        <v>0.30080855145950391</v>
      </c>
    </row>
    <row r="1335" spans="1:15" ht="20.100000000000001" customHeight="1" x14ac:dyDescent="0.25">
      <c r="A1335" s="89">
        <v>1073</v>
      </c>
      <c r="B1335" s="4">
        <v>43460</v>
      </c>
      <c r="C1335" s="26" t="s">
        <v>60</v>
      </c>
      <c r="D1335" s="3">
        <v>20019</v>
      </c>
      <c r="E1335" s="4">
        <v>43486</v>
      </c>
      <c r="F1335" s="92" t="s">
        <v>28</v>
      </c>
      <c r="G1335" s="32">
        <v>43460</v>
      </c>
      <c r="H1335" s="27">
        <f t="shared" si="162"/>
        <v>20019</v>
      </c>
      <c r="I1335" s="27"/>
      <c r="J1335" s="27"/>
      <c r="K1335" s="99"/>
      <c r="L1335" s="27">
        <v>11864</v>
      </c>
      <c r="M1335" s="29">
        <f t="shared" si="163"/>
        <v>8155</v>
      </c>
      <c r="N1335" s="29"/>
      <c r="O1335" s="44">
        <f t="shared" si="164"/>
        <v>0.40736300514511214</v>
      </c>
    </row>
    <row r="1336" spans="1:15" ht="20.100000000000001" customHeight="1" x14ac:dyDescent="0.25">
      <c r="A1336" s="89">
        <v>1</v>
      </c>
      <c r="B1336" s="92">
        <v>43474</v>
      </c>
      <c r="C1336" s="26" t="s">
        <v>228</v>
      </c>
      <c r="D1336" s="3">
        <v>89715.3</v>
      </c>
      <c r="E1336" s="4">
        <v>43487</v>
      </c>
      <c r="F1336" s="92" t="s">
        <v>28</v>
      </c>
      <c r="G1336" s="32">
        <v>43475</v>
      </c>
      <c r="H1336" s="27">
        <f t="shared" si="162"/>
        <v>89715.3</v>
      </c>
      <c r="I1336" s="27"/>
      <c r="J1336" s="27"/>
      <c r="K1336" s="99"/>
      <c r="L1336" s="27">
        <v>66218</v>
      </c>
      <c r="M1336" s="29">
        <f t="shared" si="163"/>
        <v>23497.300000000003</v>
      </c>
      <c r="N1336" s="29"/>
      <c r="O1336" s="44">
        <f t="shared" si="164"/>
        <v>0.26190961853775224</v>
      </c>
    </row>
    <row r="1337" spans="1:15" ht="20.100000000000001" customHeight="1" x14ac:dyDescent="0.25">
      <c r="A1337" s="89">
        <v>39</v>
      </c>
      <c r="B1337" s="4">
        <v>43487</v>
      </c>
      <c r="C1337" s="26" t="s">
        <v>270</v>
      </c>
      <c r="D1337" s="3">
        <v>3387</v>
      </c>
      <c r="E1337" s="4">
        <v>43487</v>
      </c>
      <c r="F1337" s="92" t="s">
        <v>28</v>
      </c>
      <c r="G1337" s="32">
        <v>43487</v>
      </c>
      <c r="H1337" s="27">
        <f t="shared" si="162"/>
        <v>3387</v>
      </c>
      <c r="I1337" s="27"/>
      <c r="J1337" s="27"/>
      <c r="K1337" s="99"/>
      <c r="L1337" s="27">
        <v>2602</v>
      </c>
      <c r="M1337" s="29">
        <f t="shared" si="163"/>
        <v>785</v>
      </c>
      <c r="N1337" s="29"/>
      <c r="O1337" s="44">
        <f t="shared" si="164"/>
        <v>0.23176852671981105</v>
      </c>
    </row>
    <row r="1338" spans="1:15" ht="20.100000000000001" customHeight="1" x14ac:dyDescent="0.25">
      <c r="A1338" s="89">
        <v>20</v>
      </c>
      <c r="B1338" s="4">
        <v>43479</v>
      </c>
      <c r="C1338" s="26" t="s">
        <v>13</v>
      </c>
      <c r="D1338" s="3">
        <v>10352</v>
      </c>
      <c r="E1338" s="4">
        <v>43487</v>
      </c>
      <c r="F1338" s="92" t="s">
        <v>28</v>
      </c>
      <c r="G1338" s="32">
        <v>43488</v>
      </c>
      <c r="H1338" s="27">
        <f t="shared" si="162"/>
        <v>10352</v>
      </c>
      <c r="I1338" s="27"/>
      <c r="J1338" s="27"/>
      <c r="K1338" s="99"/>
      <c r="L1338" s="27">
        <v>7724</v>
      </c>
      <c r="M1338" s="29">
        <f t="shared" si="163"/>
        <v>2628</v>
      </c>
      <c r="N1338" s="29"/>
      <c r="O1338" s="44">
        <f t="shared" si="164"/>
        <v>0.25386398763523954</v>
      </c>
    </row>
    <row r="1339" spans="1:15" ht="19.5" customHeight="1" x14ac:dyDescent="0.25">
      <c r="A1339" s="89">
        <v>34</v>
      </c>
      <c r="B1339" s="4">
        <v>43482</v>
      </c>
      <c r="C1339" s="26" t="s">
        <v>49</v>
      </c>
      <c r="D1339" s="3">
        <v>1500</v>
      </c>
      <c r="E1339" s="4">
        <v>43489</v>
      </c>
      <c r="F1339" s="92" t="s">
        <v>28</v>
      </c>
      <c r="G1339" s="32">
        <v>43486</v>
      </c>
      <c r="H1339" s="27">
        <f t="shared" si="162"/>
        <v>1500</v>
      </c>
      <c r="I1339" s="27"/>
      <c r="J1339" s="27"/>
      <c r="K1339" s="99"/>
      <c r="L1339" s="27">
        <v>577</v>
      </c>
      <c r="M1339" s="29">
        <f t="shared" si="163"/>
        <v>923</v>
      </c>
      <c r="N1339" s="29"/>
      <c r="O1339" s="44">
        <f t="shared" si="164"/>
        <v>0.61533333333333329</v>
      </c>
    </row>
    <row r="1340" spans="1:15" ht="20.100000000000001" customHeight="1" x14ac:dyDescent="0.25">
      <c r="A1340" s="89">
        <v>37</v>
      </c>
      <c r="B1340" s="92">
        <v>43483</v>
      </c>
      <c r="C1340" s="26" t="s">
        <v>310</v>
      </c>
      <c r="D1340" s="3">
        <v>12810</v>
      </c>
      <c r="E1340" s="4">
        <v>43493</v>
      </c>
      <c r="F1340" s="92" t="s">
        <v>28</v>
      </c>
      <c r="G1340" s="92">
        <v>43518</v>
      </c>
      <c r="H1340" s="27">
        <f t="shared" si="162"/>
        <v>12810</v>
      </c>
      <c r="I1340" s="27"/>
      <c r="J1340" s="27"/>
      <c r="K1340" s="99"/>
      <c r="L1340" s="27">
        <v>7842</v>
      </c>
      <c r="M1340" s="29">
        <f t="shared" si="163"/>
        <v>4968</v>
      </c>
      <c r="N1340" s="29"/>
      <c r="O1340" s="44">
        <f t="shared" si="164"/>
        <v>0.38782201405152222</v>
      </c>
    </row>
    <row r="1341" spans="1:15" ht="20.100000000000001" customHeight="1" x14ac:dyDescent="0.25">
      <c r="A1341" s="89">
        <v>958</v>
      </c>
      <c r="B1341" s="4">
        <v>43452</v>
      </c>
      <c r="C1341" s="26" t="s">
        <v>38</v>
      </c>
      <c r="D1341" s="3">
        <v>412500</v>
      </c>
      <c r="E1341" s="4">
        <v>43493</v>
      </c>
      <c r="F1341" s="92" t="s">
        <v>28</v>
      </c>
      <c r="G1341" s="32">
        <v>43458</v>
      </c>
      <c r="H1341" s="27">
        <f t="shared" si="162"/>
        <v>412500</v>
      </c>
      <c r="I1341" s="27"/>
      <c r="J1341" s="27"/>
      <c r="K1341" s="99">
        <f>600*15</f>
        <v>9000</v>
      </c>
      <c r="L1341" s="27">
        <v>331104</v>
      </c>
      <c r="M1341" s="29">
        <f t="shared" si="163"/>
        <v>72396</v>
      </c>
      <c r="N1341" s="29"/>
      <c r="O1341" s="44">
        <f t="shared" si="164"/>
        <v>0.17550545454545455</v>
      </c>
    </row>
    <row r="1342" spans="1:15" ht="20.100000000000001" customHeight="1" x14ac:dyDescent="0.25">
      <c r="A1342" s="89">
        <v>1067</v>
      </c>
      <c r="B1342" s="4">
        <v>43458</v>
      </c>
      <c r="C1342" s="26" t="s">
        <v>38</v>
      </c>
      <c r="D1342" s="3">
        <v>412500</v>
      </c>
      <c r="E1342" s="4">
        <v>43493</v>
      </c>
      <c r="F1342" s="92" t="s">
        <v>28</v>
      </c>
      <c r="G1342" s="32">
        <v>43459</v>
      </c>
      <c r="H1342" s="27">
        <f t="shared" si="162"/>
        <v>412500</v>
      </c>
      <c r="I1342" s="27"/>
      <c r="J1342" s="27"/>
      <c r="K1342" s="99">
        <f>600*15</f>
        <v>9000</v>
      </c>
      <c r="L1342" s="27">
        <v>331104</v>
      </c>
      <c r="M1342" s="29">
        <f t="shared" si="163"/>
        <v>72396</v>
      </c>
      <c r="N1342" s="29"/>
      <c r="O1342" s="44">
        <f t="shared" si="164"/>
        <v>0.17550545454545455</v>
      </c>
    </row>
    <row r="1343" spans="1:15" ht="20.100000000000001" customHeight="1" x14ac:dyDescent="0.25">
      <c r="A1343" s="89">
        <v>62</v>
      </c>
      <c r="B1343" s="4">
        <v>43490</v>
      </c>
      <c r="C1343" s="26" t="s">
        <v>365</v>
      </c>
      <c r="D1343" s="3">
        <v>8018</v>
      </c>
      <c r="E1343" s="4">
        <v>43494</v>
      </c>
      <c r="F1343" s="92" t="s">
        <v>28</v>
      </c>
      <c r="G1343" s="32">
        <v>43500</v>
      </c>
      <c r="H1343" s="27">
        <f t="shared" si="162"/>
        <v>8018</v>
      </c>
      <c r="I1343" s="27"/>
      <c r="J1343" s="27"/>
      <c r="K1343" s="99"/>
      <c r="L1343" s="27">
        <v>6043</v>
      </c>
      <c r="M1343" s="29">
        <f t="shared" si="163"/>
        <v>1975</v>
      </c>
      <c r="N1343" s="29"/>
      <c r="O1343" s="44">
        <f t="shared" si="164"/>
        <v>0.24632077824893989</v>
      </c>
    </row>
    <row r="1344" spans="1:15" ht="20.100000000000001" customHeight="1" x14ac:dyDescent="0.25">
      <c r="A1344" s="89">
        <v>64</v>
      </c>
      <c r="B1344" s="4">
        <v>43490</v>
      </c>
      <c r="C1344" s="26" t="s">
        <v>338</v>
      </c>
      <c r="D1344" s="3">
        <v>8000</v>
      </c>
      <c r="E1344" s="4">
        <v>43495</v>
      </c>
      <c r="F1344" s="92" t="s">
        <v>28</v>
      </c>
      <c r="G1344" s="32">
        <v>43504</v>
      </c>
      <c r="H1344" s="27">
        <f t="shared" si="162"/>
        <v>8000</v>
      </c>
      <c r="I1344" s="27"/>
      <c r="J1344" s="27"/>
      <c r="K1344" s="99">
        <v>1200</v>
      </c>
      <c r="L1344" s="27">
        <v>2287</v>
      </c>
      <c r="M1344" s="29">
        <f t="shared" si="163"/>
        <v>4513</v>
      </c>
      <c r="N1344" s="29"/>
      <c r="O1344" s="44">
        <f t="shared" si="164"/>
        <v>0.56412499999999999</v>
      </c>
    </row>
    <row r="1345" spans="1:15" ht="19.5" customHeight="1" x14ac:dyDescent="0.25">
      <c r="A1345" s="89"/>
      <c r="B1345" s="4"/>
      <c r="C1345" s="5"/>
      <c r="D1345" s="3"/>
      <c r="E1345" s="97">
        <v>28000</v>
      </c>
      <c r="F1345" s="98">
        <f>M1345*0.12+N1345*0.06</f>
        <v>27974.195999999996</v>
      </c>
      <c r="G1345" s="21">
        <f>H1345*0.05+I1345*0.02</f>
        <v>54723.575000000004</v>
      </c>
      <c r="H1345" s="16">
        <f t="shared" ref="H1345:N1345" si="165">SUM(H1327:H1344)</f>
        <v>1076404.3</v>
      </c>
      <c r="I1345" s="16">
        <f t="shared" si="165"/>
        <v>45168</v>
      </c>
      <c r="J1345" s="16">
        <f t="shared" si="165"/>
        <v>0</v>
      </c>
      <c r="K1345" s="16">
        <f t="shared" si="165"/>
        <v>19200</v>
      </c>
      <c r="L1345" s="16">
        <f t="shared" si="165"/>
        <v>830594</v>
      </c>
      <c r="M1345" s="16">
        <f t="shared" si="165"/>
        <v>226610.3</v>
      </c>
      <c r="N1345" s="16">
        <f t="shared" si="165"/>
        <v>13016</v>
      </c>
      <c r="O1345" s="44">
        <f t="shared" si="164"/>
        <v>0.21052526453118031</v>
      </c>
    </row>
    <row r="1346" spans="1:15" ht="23.25" x14ac:dyDescent="0.35">
      <c r="B1346" s="94"/>
      <c r="C1346" s="94" t="s">
        <v>648</v>
      </c>
    </row>
    <row r="1347" spans="1:15" ht="20.100000000000001" customHeight="1" x14ac:dyDescent="0.25">
      <c r="A1347" s="89">
        <v>1068</v>
      </c>
      <c r="B1347" s="4">
        <v>43459</v>
      </c>
      <c r="C1347" s="26" t="s">
        <v>38</v>
      </c>
      <c r="D1347" s="3">
        <v>825000</v>
      </c>
      <c r="E1347" s="4">
        <v>43497</v>
      </c>
      <c r="F1347" s="92" t="s">
        <v>28</v>
      </c>
      <c r="G1347" s="32">
        <v>43462</v>
      </c>
      <c r="H1347" s="27">
        <f>D1347</f>
        <v>825000</v>
      </c>
      <c r="I1347" s="27"/>
      <c r="J1347" s="27"/>
      <c r="K1347" s="99"/>
      <c r="L1347" s="27">
        <v>678009</v>
      </c>
      <c r="M1347" s="29">
        <f t="shared" ref="M1347:M1368" si="166">H1347-L1347-J1347-K1347</f>
        <v>146991</v>
      </c>
      <c r="N1347" s="29"/>
      <c r="O1347" s="44">
        <f t="shared" ref="O1347:O1369" si="167">M1347/H1347</f>
        <v>0.1781709090909091</v>
      </c>
    </row>
    <row r="1348" spans="1:15" ht="20.100000000000001" customHeight="1" x14ac:dyDescent="0.25">
      <c r="A1348" s="89">
        <v>7</v>
      </c>
      <c r="B1348" s="4">
        <v>43474</v>
      </c>
      <c r="C1348" s="26" t="s">
        <v>60</v>
      </c>
      <c r="D1348" s="3">
        <v>20775</v>
      </c>
      <c r="E1348" s="4">
        <v>43497</v>
      </c>
      <c r="F1348" s="92" t="s">
        <v>28</v>
      </c>
      <c r="G1348" s="32">
        <v>43483</v>
      </c>
      <c r="H1348" s="27">
        <f>D1348</f>
        <v>20775</v>
      </c>
      <c r="I1348" s="27"/>
      <c r="J1348" s="27"/>
      <c r="K1348" s="99"/>
      <c r="L1348" s="27">
        <v>16204</v>
      </c>
      <c r="M1348" s="29">
        <f t="shared" si="166"/>
        <v>4571</v>
      </c>
      <c r="N1348" s="29"/>
      <c r="O1348" s="44">
        <f t="shared" si="167"/>
        <v>0.22002406738868832</v>
      </c>
    </row>
    <row r="1349" spans="1:15" ht="20.100000000000001" customHeight="1" x14ac:dyDescent="0.25">
      <c r="A1349" s="89">
        <v>547</v>
      </c>
      <c r="B1349" s="4">
        <v>43391</v>
      </c>
      <c r="C1349" s="26" t="s">
        <v>38</v>
      </c>
      <c r="D1349" s="3">
        <v>281419.86</v>
      </c>
      <c r="E1349" s="4">
        <v>43497</v>
      </c>
      <c r="F1349" s="92" t="s">
        <v>28</v>
      </c>
      <c r="G1349" s="32">
        <v>43403</v>
      </c>
      <c r="H1349" s="27">
        <v>7932.9</v>
      </c>
      <c r="I1349" s="27"/>
      <c r="J1349" s="27"/>
      <c r="K1349" s="99"/>
      <c r="L1349" s="27">
        <v>5616</v>
      </c>
      <c r="M1349" s="29">
        <f t="shared" si="166"/>
        <v>2316.8999999999996</v>
      </c>
      <c r="N1349" s="29"/>
      <c r="O1349" s="44">
        <f t="shared" si="167"/>
        <v>0.29206217146314711</v>
      </c>
    </row>
    <row r="1350" spans="1:15" ht="20.100000000000001" customHeight="1" x14ac:dyDescent="0.25">
      <c r="A1350" s="89">
        <v>1061</v>
      </c>
      <c r="B1350" s="4">
        <v>43455</v>
      </c>
      <c r="C1350" s="26" t="s">
        <v>99</v>
      </c>
      <c r="D1350" s="3">
        <v>7038</v>
      </c>
      <c r="E1350" s="4">
        <v>43503</v>
      </c>
      <c r="F1350" s="92" t="s">
        <v>28</v>
      </c>
      <c r="G1350" s="32">
        <v>43455</v>
      </c>
      <c r="H1350" s="27">
        <f t="shared" ref="H1350:H1368" si="168">D1350</f>
        <v>7038</v>
      </c>
      <c r="I1350" s="27"/>
      <c r="J1350" s="27"/>
      <c r="K1350" s="99"/>
      <c r="L1350" s="27">
        <v>5490</v>
      </c>
      <c r="M1350" s="29">
        <f t="shared" si="166"/>
        <v>1548</v>
      </c>
      <c r="N1350" s="29"/>
      <c r="O1350" s="44">
        <f t="shared" si="167"/>
        <v>0.21994884910485935</v>
      </c>
    </row>
    <row r="1351" spans="1:15" ht="20.100000000000001" customHeight="1" x14ac:dyDescent="0.25">
      <c r="A1351" s="89">
        <v>22</v>
      </c>
      <c r="B1351" s="4">
        <v>43480</v>
      </c>
      <c r="C1351" s="26" t="s">
        <v>99</v>
      </c>
      <c r="D1351" s="3">
        <v>63547</v>
      </c>
      <c r="E1351" s="4">
        <v>43507</v>
      </c>
      <c r="F1351" s="92" t="s">
        <v>28</v>
      </c>
      <c r="G1351" s="32">
        <v>43487</v>
      </c>
      <c r="H1351" s="27">
        <f t="shared" si="168"/>
        <v>63547</v>
      </c>
      <c r="I1351" s="27"/>
      <c r="J1351" s="27"/>
      <c r="K1351" s="99"/>
      <c r="L1351" s="27">
        <v>48209</v>
      </c>
      <c r="M1351" s="29">
        <f t="shared" si="166"/>
        <v>15338</v>
      </c>
      <c r="N1351" s="29"/>
      <c r="O1351" s="44">
        <f t="shared" si="167"/>
        <v>0.24136465922860245</v>
      </c>
    </row>
    <row r="1352" spans="1:15" ht="20.100000000000001" customHeight="1" x14ac:dyDescent="0.25">
      <c r="A1352" s="89">
        <v>42</v>
      </c>
      <c r="B1352" s="4">
        <v>43487</v>
      </c>
      <c r="C1352" s="26" t="s">
        <v>99</v>
      </c>
      <c r="D1352" s="3">
        <v>175800</v>
      </c>
      <c r="E1352" s="4">
        <v>43507</v>
      </c>
      <c r="F1352" s="92" t="s">
        <v>28</v>
      </c>
      <c r="G1352" s="32">
        <v>43496</v>
      </c>
      <c r="H1352" s="27">
        <f t="shared" si="168"/>
        <v>175800</v>
      </c>
      <c r="I1352" s="27"/>
      <c r="J1352" s="27">
        <v>45000</v>
      </c>
      <c r="K1352" s="99"/>
      <c r="L1352" s="27">
        <v>20180</v>
      </c>
      <c r="M1352" s="29">
        <f t="shared" si="166"/>
        <v>110620</v>
      </c>
      <c r="N1352" s="29"/>
      <c r="O1352" s="44">
        <f t="shared" si="167"/>
        <v>0.62923777019340155</v>
      </c>
    </row>
    <row r="1353" spans="1:15" ht="20.100000000000001" customHeight="1" x14ac:dyDescent="0.25">
      <c r="A1353" s="89">
        <v>82</v>
      </c>
      <c r="B1353" s="4">
        <v>43502</v>
      </c>
      <c r="C1353" s="26" t="s">
        <v>149</v>
      </c>
      <c r="D1353" s="3">
        <v>2556</v>
      </c>
      <c r="E1353" s="4">
        <v>43508</v>
      </c>
      <c r="F1353" s="92" t="s">
        <v>28</v>
      </c>
      <c r="G1353" s="32">
        <v>43509</v>
      </c>
      <c r="H1353" s="27">
        <f t="shared" si="168"/>
        <v>2556</v>
      </c>
      <c r="I1353" s="27"/>
      <c r="J1353" s="27"/>
      <c r="K1353" s="99"/>
      <c r="L1353" s="27">
        <v>1908</v>
      </c>
      <c r="M1353" s="29">
        <f t="shared" si="166"/>
        <v>648</v>
      </c>
      <c r="N1353" s="29"/>
      <c r="O1353" s="44">
        <f t="shared" si="167"/>
        <v>0.25352112676056338</v>
      </c>
    </row>
    <row r="1354" spans="1:15" ht="20.100000000000001" customHeight="1" x14ac:dyDescent="0.25">
      <c r="A1354" s="89">
        <v>108</v>
      </c>
      <c r="B1354" s="4">
        <v>43509</v>
      </c>
      <c r="C1354" s="5" t="s">
        <v>368</v>
      </c>
      <c r="D1354" s="3">
        <v>13681</v>
      </c>
      <c r="E1354" s="4">
        <v>43509</v>
      </c>
      <c r="F1354" s="92" t="s">
        <v>28</v>
      </c>
      <c r="G1354" s="32">
        <v>43510</v>
      </c>
      <c r="H1354" s="27">
        <f t="shared" si="168"/>
        <v>13681</v>
      </c>
      <c r="I1354" s="27">
        <f>H1354</f>
        <v>13681</v>
      </c>
      <c r="J1354" s="27"/>
      <c r="K1354" s="99"/>
      <c r="L1354" s="27">
        <v>9722</v>
      </c>
      <c r="M1354" s="29">
        <f t="shared" si="166"/>
        <v>3959</v>
      </c>
      <c r="N1354" s="29">
        <f>M1354</f>
        <v>3959</v>
      </c>
      <c r="O1354" s="44">
        <f t="shared" si="167"/>
        <v>0.28937943132811927</v>
      </c>
    </row>
    <row r="1355" spans="1:15" ht="20.100000000000001" customHeight="1" x14ac:dyDescent="0.25">
      <c r="A1355" s="89">
        <v>107</v>
      </c>
      <c r="B1355" s="4">
        <v>43509</v>
      </c>
      <c r="C1355" s="26" t="s">
        <v>369</v>
      </c>
      <c r="D1355" s="3">
        <v>6388</v>
      </c>
      <c r="E1355" s="4">
        <v>43509</v>
      </c>
      <c r="F1355" s="92" t="s">
        <v>28</v>
      </c>
      <c r="G1355" s="32">
        <v>43529</v>
      </c>
      <c r="H1355" s="27">
        <f t="shared" si="168"/>
        <v>6388</v>
      </c>
      <c r="I1355" s="27"/>
      <c r="J1355" s="27"/>
      <c r="K1355" s="99"/>
      <c r="L1355" s="27">
        <v>4764</v>
      </c>
      <c r="M1355" s="29">
        <f t="shared" si="166"/>
        <v>1624</v>
      </c>
      <c r="N1355" s="29"/>
      <c r="O1355" s="44">
        <f t="shared" si="167"/>
        <v>0.25422667501565432</v>
      </c>
    </row>
    <row r="1356" spans="1:15" ht="20.100000000000001" customHeight="1" x14ac:dyDescent="0.25">
      <c r="A1356" s="89">
        <v>110</v>
      </c>
      <c r="B1356" s="4">
        <v>43509</v>
      </c>
      <c r="C1356" s="5" t="s">
        <v>370</v>
      </c>
      <c r="D1356" s="3">
        <v>5561</v>
      </c>
      <c r="E1356" s="4">
        <v>43511</v>
      </c>
      <c r="F1356" s="92" t="s">
        <v>28</v>
      </c>
      <c r="G1356" s="32">
        <v>43514</v>
      </c>
      <c r="H1356" s="27">
        <f t="shared" si="168"/>
        <v>5561</v>
      </c>
      <c r="I1356" s="27">
        <f>H1356</f>
        <v>5561</v>
      </c>
      <c r="J1356" s="27"/>
      <c r="K1356" s="99"/>
      <c r="L1356" s="27">
        <v>4144</v>
      </c>
      <c r="M1356" s="29">
        <f t="shared" si="166"/>
        <v>1417</v>
      </c>
      <c r="N1356" s="29">
        <f>M1356</f>
        <v>1417</v>
      </c>
      <c r="O1356" s="44">
        <f t="shared" si="167"/>
        <v>0.2548102859197986</v>
      </c>
    </row>
    <row r="1357" spans="1:15" ht="20.100000000000001" customHeight="1" x14ac:dyDescent="0.25">
      <c r="A1357" s="89">
        <v>103</v>
      </c>
      <c r="B1357" s="4">
        <v>43509</v>
      </c>
      <c r="C1357" s="26" t="s">
        <v>77</v>
      </c>
      <c r="D1357" s="3">
        <v>1597</v>
      </c>
      <c r="E1357" s="4">
        <v>43511</v>
      </c>
      <c r="F1357" s="92" t="s">
        <v>28</v>
      </c>
      <c r="G1357" s="32">
        <v>43510</v>
      </c>
      <c r="H1357" s="27">
        <f t="shared" si="168"/>
        <v>1597</v>
      </c>
      <c r="I1357" s="27"/>
      <c r="J1357" s="27"/>
      <c r="K1357" s="99"/>
      <c r="L1357" s="27">
        <v>1191</v>
      </c>
      <c r="M1357" s="29">
        <f t="shared" si="166"/>
        <v>406</v>
      </c>
      <c r="N1357" s="29"/>
      <c r="O1357" s="44">
        <f t="shared" si="167"/>
        <v>0.25422667501565432</v>
      </c>
    </row>
    <row r="1358" spans="1:15" ht="20.100000000000001" customHeight="1" x14ac:dyDescent="0.25">
      <c r="A1358" s="89">
        <v>117</v>
      </c>
      <c r="B1358" s="4">
        <v>43510</v>
      </c>
      <c r="C1358" s="26" t="s">
        <v>77</v>
      </c>
      <c r="D1358" s="3">
        <v>1597</v>
      </c>
      <c r="E1358" s="4">
        <v>43511</v>
      </c>
      <c r="F1358" s="92" t="s">
        <v>28</v>
      </c>
      <c r="G1358" s="32">
        <v>43530</v>
      </c>
      <c r="H1358" s="27">
        <f t="shared" si="168"/>
        <v>1597</v>
      </c>
      <c r="I1358" s="27"/>
      <c r="J1358" s="27"/>
      <c r="K1358" s="99"/>
      <c r="L1358" s="27">
        <v>1191</v>
      </c>
      <c r="M1358" s="29">
        <f t="shared" si="166"/>
        <v>406</v>
      </c>
      <c r="N1358" s="29"/>
      <c r="O1358" s="44">
        <f t="shared" si="167"/>
        <v>0.25422667501565432</v>
      </c>
    </row>
    <row r="1359" spans="1:15" ht="20.100000000000001" customHeight="1" x14ac:dyDescent="0.25">
      <c r="A1359" s="89">
        <v>89</v>
      </c>
      <c r="B1359" s="4">
        <v>43504</v>
      </c>
      <c r="C1359" s="26" t="s">
        <v>13</v>
      </c>
      <c r="D1359" s="3">
        <v>5176</v>
      </c>
      <c r="E1359" s="4">
        <v>43515</v>
      </c>
      <c r="F1359" s="92" t="s">
        <v>28</v>
      </c>
      <c r="G1359" s="32">
        <v>43509</v>
      </c>
      <c r="H1359" s="27">
        <f t="shared" si="168"/>
        <v>5176</v>
      </c>
      <c r="I1359" s="27"/>
      <c r="J1359" s="27"/>
      <c r="K1359" s="99"/>
      <c r="L1359" s="27">
        <v>3862</v>
      </c>
      <c r="M1359" s="29">
        <f t="shared" si="166"/>
        <v>1314</v>
      </c>
      <c r="N1359" s="29"/>
      <c r="O1359" s="44">
        <f t="shared" si="167"/>
        <v>0.25386398763523954</v>
      </c>
    </row>
    <row r="1360" spans="1:15" ht="20.100000000000001" customHeight="1" x14ac:dyDescent="0.25">
      <c r="A1360" s="89">
        <v>914</v>
      </c>
      <c r="B1360" s="4">
        <v>43515</v>
      </c>
      <c r="C1360" s="5" t="s">
        <v>371</v>
      </c>
      <c r="D1360" s="3">
        <v>914</v>
      </c>
      <c r="E1360" s="4">
        <v>43516</v>
      </c>
      <c r="F1360" s="92" t="s">
        <v>28</v>
      </c>
      <c r="G1360" s="32">
        <v>43516</v>
      </c>
      <c r="H1360" s="27">
        <f t="shared" si="168"/>
        <v>914</v>
      </c>
      <c r="I1360" s="27">
        <f>H1360</f>
        <v>914</v>
      </c>
      <c r="J1360" s="27"/>
      <c r="K1360" s="99"/>
      <c r="L1360" s="27">
        <v>613</v>
      </c>
      <c r="M1360" s="29">
        <f t="shared" si="166"/>
        <v>301</v>
      </c>
      <c r="N1360" s="29">
        <f>M1360</f>
        <v>301</v>
      </c>
      <c r="O1360" s="44">
        <f t="shared" si="167"/>
        <v>0.32932166301969368</v>
      </c>
    </row>
    <row r="1361" spans="1:15" ht="20.100000000000001" customHeight="1" x14ac:dyDescent="0.25">
      <c r="A1361" s="89">
        <v>133</v>
      </c>
      <c r="B1361" s="4">
        <v>43516</v>
      </c>
      <c r="C1361" s="5" t="s">
        <v>372</v>
      </c>
      <c r="D1361" s="3">
        <v>60196</v>
      </c>
      <c r="E1361" s="4">
        <v>43517</v>
      </c>
      <c r="F1361" s="92" t="s">
        <v>28</v>
      </c>
      <c r="G1361" s="32">
        <v>43543</v>
      </c>
      <c r="H1361" s="27">
        <f t="shared" si="168"/>
        <v>60196</v>
      </c>
      <c r="I1361" s="27">
        <f>H1361</f>
        <v>60196</v>
      </c>
      <c r="J1361" s="27"/>
      <c r="K1361" s="99"/>
      <c r="L1361" s="27">
        <v>44351</v>
      </c>
      <c r="M1361" s="29">
        <f t="shared" si="166"/>
        <v>15845</v>
      </c>
      <c r="N1361" s="29">
        <f>M1361</f>
        <v>15845</v>
      </c>
      <c r="O1361" s="44">
        <f t="shared" si="167"/>
        <v>0.2632234699980065</v>
      </c>
    </row>
    <row r="1362" spans="1:15" ht="20.100000000000001" customHeight="1" x14ac:dyDescent="0.25">
      <c r="A1362" s="89">
        <v>21</v>
      </c>
      <c r="B1362" s="4">
        <v>43479</v>
      </c>
      <c r="C1362" s="26" t="s">
        <v>175</v>
      </c>
      <c r="D1362" s="3">
        <v>23478.3</v>
      </c>
      <c r="E1362" s="4">
        <v>43522</v>
      </c>
      <c r="F1362" s="92" t="s">
        <v>28</v>
      </c>
      <c r="G1362" s="32">
        <v>43522</v>
      </c>
      <c r="H1362" s="27">
        <f t="shared" si="168"/>
        <v>23478.3</v>
      </c>
      <c r="I1362" s="27"/>
      <c r="J1362" s="27"/>
      <c r="K1362" s="99"/>
      <c r="L1362" s="27">
        <v>18576</v>
      </c>
      <c r="M1362" s="29">
        <f t="shared" si="166"/>
        <v>4902.2999999999993</v>
      </c>
      <c r="N1362" s="29"/>
      <c r="O1362" s="44">
        <f t="shared" si="167"/>
        <v>0.20880131866446885</v>
      </c>
    </row>
    <row r="1363" spans="1:15" ht="20.100000000000001" customHeight="1" x14ac:dyDescent="0.25">
      <c r="A1363" s="89">
        <v>138</v>
      </c>
      <c r="B1363" s="4">
        <v>43518</v>
      </c>
      <c r="C1363" s="26" t="s">
        <v>139</v>
      </c>
      <c r="D1363" s="3">
        <v>8982</v>
      </c>
      <c r="E1363" s="4">
        <v>43522</v>
      </c>
      <c r="F1363" s="92" t="s">
        <v>28</v>
      </c>
      <c r="G1363" s="32">
        <v>43523</v>
      </c>
      <c r="H1363" s="27">
        <f t="shared" si="168"/>
        <v>8982</v>
      </c>
      <c r="I1363" s="27"/>
      <c r="J1363" s="27"/>
      <c r="K1363" s="99"/>
      <c r="L1363" s="27">
        <v>6843</v>
      </c>
      <c r="M1363" s="29">
        <f t="shared" si="166"/>
        <v>2139</v>
      </c>
      <c r="N1363" s="29"/>
      <c r="O1363" s="44">
        <f t="shared" si="167"/>
        <v>0.23814295257181028</v>
      </c>
    </row>
    <row r="1364" spans="1:15" ht="20.100000000000001" customHeight="1" x14ac:dyDescent="0.25">
      <c r="A1364" s="89">
        <v>6</v>
      </c>
      <c r="B1364" s="4">
        <v>43479</v>
      </c>
      <c r="C1364" s="26" t="s">
        <v>56</v>
      </c>
      <c r="D1364" s="3">
        <v>21303</v>
      </c>
      <c r="E1364" s="4">
        <v>43523</v>
      </c>
      <c r="F1364" s="92" t="s">
        <v>28</v>
      </c>
      <c r="G1364" s="32">
        <v>43514</v>
      </c>
      <c r="H1364" s="27">
        <f t="shared" si="168"/>
        <v>21303</v>
      </c>
      <c r="I1364" s="27"/>
      <c r="J1364" s="27"/>
      <c r="K1364" s="99"/>
      <c r="L1364" s="27">
        <v>14703</v>
      </c>
      <c r="M1364" s="29">
        <f t="shared" si="166"/>
        <v>6600</v>
      </c>
      <c r="N1364" s="29"/>
      <c r="O1364" s="44">
        <f t="shared" si="167"/>
        <v>0.30981551894099424</v>
      </c>
    </row>
    <row r="1365" spans="1:15" ht="20.100000000000001" customHeight="1" x14ac:dyDescent="0.25">
      <c r="A1365" s="89">
        <v>84</v>
      </c>
      <c r="B1365" s="4">
        <v>43502</v>
      </c>
      <c r="C1365" s="26" t="s">
        <v>56</v>
      </c>
      <c r="D1365" s="3">
        <v>51518</v>
      </c>
      <c r="E1365" s="4">
        <v>43523</v>
      </c>
      <c r="F1365" s="92" t="s">
        <v>28</v>
      </c>
      <c r="G1365" s="32">
        <v>43514</v>
      </c>
      <c r="H1365" s="27">
        <f t="shared" si="168"/>
        <v>51518</v>
      </c>
      <c r="I1365" s="27"/>
      <c r="J1365" s="27"/>
      <c r="K1365" s="99"/>
      <c r="L1365" s="27">
        <v>38265</v>
      </c>
      <c r="M1365" s="29">
        <f t="shared" si="166"/>
        <v>13253</v>
      </c>
      <c r="N1365" s="29"/>
      <c r="O1365" s="44">
        <f t="shared" si="167"/>
        <v>0.25724989324119724</v>
      </c>
    </row>
    <row r="1366" spans="1:15" ht="20.100000000000001" customHeight="1" x14ac:dyDescent="0.25">
      <c r="A1366" s="89">
        <v>76</v>
      </c>
      <c r="B1366" s="4">
        <v>43510</v>
      </c>
      <c r="C1366" s="26" t="s">
        <v>248</v>
      </c>
      <c r="D1366" s="3">
        <v>8996</v>
      </c>
      <c r="E1366" s="4">
        <v>43523</v>
      </c>
      <c r="F1366" s="92" t="s">
        <v>28</v>
      </c>
      <c r="G1366" s="32">
        <v>43510</v>
      </c>
      <c r="H1366" s="27">
        <f t="shared" si="168"/>
        <v>8996</v>
      </c>
      <c r="I1366" s="27"/>
      <c r="J1366" s="27"/>
      <c r="K1366" s="99"/>
      <c r="L1366" s="27">
        <v>6558</v>
      </c>
      <c r="M1366" s="29">
        <f t="shared" si="166"/>
        <v>2438</v>
      </c>
      <c r="N1366" s="29"/>
      <c r="O1366" s="44">
        <f t="shared" si="167"/>
        <v>0.2710093374833259</v>
      </c>
    </row>
    <row r="1367" spans="1:15" ht="20.100000000000001" customHeight="1" x14ac:dyDescent="0.25">
      <c r="A1367" s="89">
        <v>146</v>
      </c>
      <c r="B1367" s="4">
        <v>43522</v>
      </c>
      <c r="C1367" s="26" t="s">
        <v>270</v>
      </c>
      <c r="D1367" s="3">
        <v>1795</v>
      </c>
      <c r="E1367" s="4">
        <v>43524</v>
      </c>
      <c r="F1367" s="92" t="s">
        <v>28</v>
      </c>
      <c r="G1367" s="32">
        <v>43528</v>
      </c>
      <c r="H1367" s="27">
        <f t="shared" si="168"/>
        <v>1795</v>
      </c>
      <c r="I1367" s="27"/>
      <c r="J1367" s="27"/>
      <c r="K1367" s="99"/>
      <c r="L1367" s="27">
        <v>1339</v>
      </c>
      <c r="M1367" s="29">
        <f t="shared" si="166"/>
        <v>456</v>
      </c>
      <c r="N1367" s="29"/>
      <c r="O1367" s="44">
        <f t="shared" si="167"/>
        <v>0.2540389972144847</v>
      </c>
    </row>
    <row r="1368" spans="1:15" ht="20.100000000000001" customHeight="1" x14ac:dyDescent="0.25">
      <c r="A1368" s="89">
        <v>48</v>
      </c>
      <c r="B1368" s="4">
        <v>43489</v>
      </c>
      <c r="C1368" s="26" t="s">
        <v>99</v>
      </c>
      <c r="D1368" s="3">
        <v>294341</v>
      </c>
      <c r="E1368" s="4">
        <v>43524</v>
      </c>
      <c r="F1368" s="92" t="s">
        <v>28</v>
      </c>
      <c r="G1368" s="32">
        <v>43496</v>
      </c>
      <c r="H1368" s="27">
        <f t="shared" si="168"/>
        <v>294341</v>
      </c>
      <c r="I1368" s="27"/>
      <c r="J1368" s="27">
        <v>45000</v>
      </c>
      <c r="K1368" s="99"/>
      <c r="L1368" s="27">
        <v>106118</v>
      </c>
      <c r="M1368" s="29">
        <f t="shared" si="166"/>
        <v>143223</v>
      </c>
      <c r="N1368" s="29"/>
      <c r="O1368" s="44">
        <f t="shared" si="167"/>
        <v>0.48658868455295051</v>
      </c>
    </row>
    <row r="1369" spans="1:15" ht="19.5" customHeight="1" x14ac:dyDescent="0.25">
      <c r="A1369" s="89"/>
      <c r="B1369" s="4"/>
      <c r="C1369" s="5"/>
      <c r="D1369" s="3"/>
      <c r="E1369" s="97">
        <v>82950</v>
      </c>
      <c r="F1369" s="98">
        <f>M1369*0.17+N1369*0.06</f>
        <v>82945.074000000008</v>
      </c>
      <c r="G1369" s="21">
        <f>H1369*0.05+I1369*0.02</f>
        <v>82015.649999999994</v>
      </c>
      <c r="H1369" s="16">
        <f t="shared" ref="H1369:N1369" si="169">SUM(H1347:H1368)</f>
        <v>1608172.2</v>
      </c>
      <c r="I1369" s="16">
        <f t="shared" si="169"/>
        <v>80352</v>
      </c>
      <c r="J1369" s="16">
        <f t="shared" si="169"/>
        <v>90000</v>
      </c>
      <c r="K1369" s="16">
        <f t="shared" si="169"/>
        <v>0</v>
      </c>
      <c r="L1369" s="16">
        <f t="shared" si="169"/>
        <v>1037856</v>
      </c>
      <c r="M1369" s="16">
        <f t="shared" si="169"/>
        <v>480316.2</v>
      </c>
      <c r="N1369" s="16">
        <f t="shared" si="169"/>
        <v>21522</v>
      </c>
      <c r="O1369" s="44">
        <f t="shared" si="167"/>
        <v>0.29867211981403485</v>
      </c>
    </row>
    <row r="1370" spans="1:15" ht="23.25" x14ac:dyDescent="0.35">
      <c r="B1370" s="94"/>
      <c r="C1370" s="94" t="s">
        <v>637</v>
      </c>
    </row>
    <row r="1371" spans="1:15" ht="20.100000000000001" customHeight="1" x14ac:dyDescent="0.25">
      <c r="A1371" s="89">
        <v>125</v>
      </c>
      <c r="B1371" s="4">
        <v>43515</v>
      </c>
      <c r="C1371" s="26" t="s">
        <v>329</v>
      </c>
      <c r="D1371" s="3">
        <v>8924</v>
      </c>
      <c r="E1371" s="4">
        <v>43528</v>
      </c>
      <c r="F1371" s="92" t="s">
        <v>28</v>
      </c>
      <c r="G1371" s="32">
        <v>43537</v>
      </c>
      <c r="H1371" s="27">
        <f t="shared" ref="H1371:H1402" si="170">D1371</f>
        <v>8924</v>
      </c>
      <c r="I1371" s="27"/>
      <c r="J1371" s="27"/>
      <c r="K1371" s="99"/>
      <c r="L1371" s="27">
        <v>6960</v>
      </c>
      <c r="M1371" s="29">
        <f t="shared" ref="M1371:M1403" si="171">H1371-L1371-J1371-K1371</f>
        <v>1964</v>
      </c>
      <c r="N1371" s="29"/>
      <c r="O1371" s="44">
        <f t="shared" ref="O1371:O1404" si="172">M1371/H1371</f>
        <v>0.22008068130883013</v>
      </c>
    </row>
    <row r="1372" spans="1:15" ht="20.100000000000001" customHeight="1" x14ac:dyDescent="0.25">
      <c r="A1372" s="89">
        <v>135</v>
      </c>
      <c r="B1372" s="4">
        <v>43517</v>
      </c>
      <c r="C1372" s="26" t="s">
        <v>228</v>
      </c>
      <c r="D1372" s="3">
        <v>2000</v>
      </c>
      <c r="E1372" s="4">
        <v>43529</v>
      </c>
      <c r="F1372" s="92" t="s">
        <v>28</v>
      </c>
      <c r="G1372" s="32">
        <v>43518</v>
      </c>
      <c r="H1372" s="27">
        <f t="shared" si="170"/>
        <v>2000</v>
      </c>
      <c r="I1372" s="27"/>
      <c r="J1372" s="27"/>
      <c r="K1372" s="99"/>
      <c r="L1372" s="27">
        <v>1300</v>
      </c>
      <c r="M1372" s="29">
        <f t="shared" si="171"/>
        <v>700</v>
      </c>
      <c r="N1372" s="29"/>
      <c r="O1372" s="44">
        <f t="shared" si="172"/>
        <v>0.35</v>
      </c>
    </row>
    <row r="1373" spans="1:15" ht="20.100000000000001" customHeight="1" x14ac:dyDescent="0.25">
      <c r="A1373" s="89">
        <v>164</v>
      </c>
      <c r="B1373" s="4">
        <v>43530</v>
      </c>
      <c r="C1373" s="26" t="s">
        <v>169</v>
      </c>
      <c r="D1373" s="3">
        <v>300</v>
      </c>
      <c r="E1373" s="4">
        <v>43531</v>
      </c>
      <c r="F1373" s="92" t="s">
        <v>28</v>
      </c>
      <c r="G1373" s="32">
        <v>43530</v>
      </c>
      <c r="H1373" s="27">
        <f t="shared" si="170"/>
        <v>300</v>
      </c>
      <c r="I1373" s="27"/>
      <c r="J1373" s="27"/>
      <c r="K1373" s="99"/>
      <c r="L1373" s="27">
        <v>50</v>
      </c>
      <c r="M1373" s="29">
        <f t="shared" si="171"/>
        <v>250</v>
      </c>
      <c r="N1373" s="29"/>
      <c r="O1373" s="44">
        <f t="shared" si="172"/>
        <v>0.83333333333333337</v>
      </c>
    </row>
    <row r="1374" spans="1:15" ht="20.100000000000001" customHeight="1" x14ac:dyDescent="0.25">
      <c r="A1374" s="89">
        <v>163</v>
      </c>
      <c r="B1374" s="4">
        <v>43530</v>
      </c>
      <c r="C1374" s="26" t="s">
        <v>373</v>
      </c>
      <c r="D1374" s="3">
        <v>1695</v>
      </c>
      <c r="E1374" s="4">
        <v>43531</v>
      </c>
      <c r="F1374" s="92" t="s">
        <v>28</v>
      </c>
      <c r="G1374" s="32">
        <v>43537</v>
      </c>
      <c r="H1374" s="27">
        <f t="shared" si="170"/>
        <v>1695</v>
      </c>
      <c r="I1374" s="27"/>
      <c r="J1374" s="27"/>
      <c r="K1374" s="99"/>
      <c r="L1374" s="27">
        <v>1322</v>
      </c>
      <c r="M1374" s="29">
        <f t="shared" si="171"/>
        <v>373</v>
      </c>
      <c r="N1374" s="29"/>
      <c r="O1374" s="44">
        <f t="shared" si="172"/>
        <v>0.2200589970501475</v>
      </c>
    </row>
    <row r="1375" spans="1:15" ht="19.5" customHeight="1" x14ac:dyDescent="0.25">
      <c r="A1375" s="89">
        <v>173</v>
      </c>
      <c r="B1375" s="4">
        <v>43531</v>
      </c>
      <c r="C1375" s="26" t="s">
        <v>238</v>
      </c>
      <c r="D1375" s="3">
        <v>1203</v>
      </c>
      <c r="E1375" s="4">
        <v>43531</v>
      </c>
      <c r="F1375" s="92" t="s">
        <v>28</v>
      </c>
      <c r="G1375" s="32">
        <v>43544</v>
      </c>
      <c r="H1375" s="27">
        <f t="shared" si="170"/>
        <v>1203</v>
      </c>
      <c r="I1375" s="27"/>
      <c r="J1375" s="27"/>
      <c r="K1375" s="99"/>
      <c r="L1375" s="27">
        <v>938</v>
      </c>
      <c r="M1375" s="29">
        <f t="shared" si="171"/>
        <v>265</v>
      </c>
      <c r="N1375" s="29"/>
      <c r="O1375" s="44">
        <f t="shared" si="172"/>
        <v>0.2202826267664173</v>
      </c>
    </row>
    <row r="1376" spans="1:15" ht="20.100000000000001" customHeight="1" x14ac:dyDescent="0.25">
      <c r="A1376" s="89">
        <v>152</v>
      </c>
      <c r="B1376" s="4">
        <v>43525</v>
      </c>
      <c r="C1376" s="26" t="s">
        <v>42</v>
      </c>
      <c r="D1376" s="3">
        <v>154590</v>
      </c>
      <c r="E1376" s="4">
        <v>43536</v>
      </c>
      <c r="F1376" s="92" t="s">
        <v>28</v>
      </c>
      <c r="G1376" s="32">
        <v>43538</v>
      </c>
      <c r="H1376" s="27">
        <f t="shared" si="170"/>
        <v>154590</v>
      </c>
      <c r="I1376" s="27"/>
      <c r="J1376" s="27"/>
      <c r="K1376" s="99"/>
      <c r="L1376" s="27">
        <v>109943</v>
      </c>
      <c r="M1376" s="29">
        <f t="shared" si="171"/>
        <v>44647</v>
      </c>
      <c r="N1376" s="29"/>
      <c r="O1376" s="44">
        <f t="shared" si="172"/>
        <v>0.28880910796299891</v>
      </c>
    </row>
    <row r="1377" spans="1:15" ht="20.100000000000001" customHeight="1" x14ac:dyDescent="0.25">
      <c r="A1377" s="89">
        <v>174</v>
      </c>
      <c r="B1377" s="4">
        <v>43531</v>
      </c>
      <c r="C1377" s="26" t="s">
        <v>42</v>
      </c>
      <c r="D1377" s="3">
        <v>5431</v>
      </c>
      <c r="E1377" s="4">
        <v>43536</v>
      </c>
      <c r="F1377" s="92" t="s">
        <v>28</v>
      </c>
      <c r="G1377" s="32">
        <v>43538</v>
      </c>
      <c r="H1377" s="27">
        <f t="shared" si="170"/>
        <v>5431</v>
      </c>
      <c r="I1377" s="27"/>
      <c r="J1377" s="27"/>
      <c r="K1377" s="99"/>
      <c r="L1377" s="27">
        <v>3927</v>
      </c>
      <c r="M1377" s="29">
        <f t="shared" si="171"/>
        <v>1504</v>
      </c>
      <c r="N1377" s="29"/>
      <c r="O1377" s="44">
        <f t="shared" si="172"/>
        <v>0.27692874240471366</v>
      </c>
    </row>
    <row r="1378" spans="1:15" ht="20.100000000000001" customHeight="1" x14ac:dyDescent="0.25">
      <c r="A1378" s="89">
        <v>184</v>
      </c>
      <c r="B1378" s="4">
        <v>43536</v>
      </c>
      <c r="C1378" s="26" t="s">
        <v>71</v>
      </c>
      <c r="D1378" s="3">
        <v>1290</v>
      </c>
      <c r="E1378" s="4">
        <v>43536</v>
      </c>
      <c r="F1378" s="92" t="s">
        <v>28</v>
      </c>
      <c r="G1378" s="32">
        <v>43539</v>
      </c>
      <c r="H1378" s="27">
        <f t="shared" si="170"/>
        <v>1290</v>
      </c>
      <c r="I1378" s="27"/>
      <c r="J1378" s="27"/>
      <c r="K1378" s="99"/>
      <c r="L1378" s="27">
        <v>1005</v>
      </c>
      <c r="M1378" s="29">
        <f t="shared" si="171"/>
        <v>285</v>
      </c>
      <c r="N1378" s="29"/>
      <c r="O1378" s="44">
        <f t="shared" si="172"/>
        <v>0.22093023255813954</v>
      </c>
    </row>
    <row r="1379" spans="1:15" ht="20.100000000000001" customHeight="1" x14ac:dyDescent="0.25">
      <c r="A1379" s="89">
        <v>178</v>
      </c>
      <c r="B1379" s="4">
        <v>43535</v>
      </c>
      <c r="C1379" s="26" t="s">
        <v>139</v>
      </c>
      <c r="D1379" s="3">
        <v>2162</v>
      </c>
      <c r="E1379" s="4">
        <v>43537</v>
      </c>
      <c r="F1379" s="92" t="s">
        <v>28</v>
      </c>
      <c r="G1379" s="32">
        <v>43552</v>
      </c>
      <c r="H1379" s="27">
        <f t="shared" si="170"/>
        <v>2162</v>
      </c>
      <c r="I1379" s="27"/>
      <c r="J1379" s="27"/>
      <c r="K1379" s="99"/>
      <c r="L1379" s="27">
        <v>1427</v>
      </c>
      <c r="M1379" s="29">
        <f t="shared" si="171"/>
        <v>735</v>
      </c>
      <c r="N1379" s="29"/>
      <c r="O1379" s="44">
        <f t="shared" si="172"/>
        <v>0.33996299722479184</v>
      </c>
    </row>
    <row r="1380" spans="1:15" ht="20.100000000000001" customHeight="1" x14ac:dyDescent="0.25">
      <c r="A1380" s="89">
        <v>83</v>
      </c>
      <c r="B1380" s="4">
        <v>43502</v>
      </c>
      <c r="C1380" s="26" t="s">
        <v>175</v>
      </c>
      <c r="D1380" s="3">
        <v>9153.25</v>
      </c>
      <c r="E1380" s="4">
        <v>43538</v>
      </c>
      <c r="F1380" s="92" t="s">
        <v>28</v>
      </c>
      <c r="G1380" s="32">
        <v>43543</v>
      </c>
      <c r="H1380" s="27">
        <f t="shared" si="170"/>
        <v>9153.25</v>
      </c>
      <c r="I1380" s="27"/>
      <c r="J1380" s="27"/>
      <c r="K1380" s="99"/>
      <c r="L1380" s="27">
        <v>7466</v>
      </c>
      <c r="M1380" s="29">
        <f t="shared" si="171"/>
        <v>1687.25</v>
      </c>
      <c r="N1380" s="29"/>
      <c r="O1380" s="44">
        <f t="shared" si="172"/>
        <v>0.18433343347991152</v>
      </c>
    </row>
    <row r="1381" spans="1:15" ht="20.100000000000001" customHeight="1" x14ac:dyDescent="0.25">
      <c r="A1381" s="89">
        <v>100</v>
      </c>
      <c r="B1381" s="4">
        <v>43508</v>
      </c>
      <c r="C1381" s="5" t="s">
        <v>367</v>
      </c>
      <c r="D1381" s="3">
        <v>1535</v>
      </c>
      <c r="E1381" s="4">
        <v>43539</v>
      </c>
      <c r="F1381" s="92" t="s">
        <v>28</v>
      </c>
      <c r="G1381" s="32">
        <v>43545</v>
      </c>
      <c r="H1381" s="27">
        <f t="shared" si="170"/>
        <v>1535</v>
      </c>
      <c r="I1381" s="27">
        <f>H1381</f>
        <v>1535</v>
      </c>
      <c r="J1381" s="27"/>
      <c r="K1381" s="99"/>
      <c r="L1381" s="27">
        <v>1197</v>
      </c>
      <c r="M1381" s="29">
        <f t="shared" si="171"/>
        <v>338</v>
      </c>
      <c r="N1381" s="29">
        <f>M1381</f>
        <v>338</v>
      </c>
      <c r="O1381" s="44">
        <f t="shared" si="172"/>
        <v>0.22019543973941369</v>
      </c>
    </row>
    <row r="1382" spans="1:15" ht="20.100000000000001" customHeight="1" x14ac:dyDescent="0.25">
      <c r="A1382" s="89">
        <v>148</v>
      </c>
      <c r="B1382" s="4">
        <v>43523</v>
      </c>
      <c r="C1382" s="26" t="s">
        <v>169</v>
      </c>
      <c r="D1382" s="3">
        <v>104549</v>
      </c>
      <c r="E1382" s="4">
        <v>43539</v>
      </c>
      <c r="F1382" s="92" t="s">
        <v>28</v>
      </c>
      <c r="G1382" s="32">
        <v>43539</v>
      </c>
      <c r="H1382" s="27">
        <f t="shared" si="170"/>
        <v>104549</v>
      </c>
      <c r="I1382" s="27"/>
      <c r="J1382" s="27"/>
      <c r="K1382" s="99"/>
      <c r="L1382" s="27">
        <v>75412</v>
      </c>
      <c r="M1382" s="29">
        <f t="shared" si="171"/>
        <v>29137</v>
      </c>
      <c r="N1382" s="29"/>
      <c r="O1382" s="44">
        <f t="shared" si="172"/>
        <v>0.27869228782676064</v>
      </c>
    </row>
    <row r="1383" spans="1:15" ht="20.100000000000001" customHeight="1" x14ac:dyDescent="0.25">
      <c r="A1383" s="89">
        <v>153</v>
      </c>
      <c r="B1383" s="4">
        <v>43528</v>
      </c>
      <c r="C1383" s="26" t="s">
        <v>45</v>
      </c>
      <c r="D1383" s="3">
        <v>74898</v>
      </c>
      <c r="E1383" s="4">
        <v>43539</v>
      </c>
      <c r="F1383" s="92" t="s">
        <v>28</v>
      </c>
      <c r="G1383" s="32">
        <v>43557</v>
      </c>
      <c r="H1383" s="27">
        <f t="shared" si="170"/>
        <v>74898</v>
      </c>
      <c r="I1383" s="27"/>
      <c r="J1383" s="27"/>
      <c r="K1383" s="99"/>
      <c r="L1383" s="27">
        <v>49761</v>
      </c>
      <c r="M1383" s="29">
        <f t="shared" si="171"/>
        <v>25137</v>
      </c>
      <c r="N1383" s="29"/>
      <c r="O1383" s="44">
        <f t="shared" si="172"/>
        <v>0.33561643835616439</v>
      </c>
    </row>
    <row r="1384" spans="1:15" ht="20.100000000000001" customHeight="1" x14ac:dyDescent="0.25">
      <c r="A1384" s="89">
        <v>77</v>
      </c>
      <c r="B1384" s="4">
        <v>43515</v>
      </c>
      <c r="C1384" s="26" t="s">
        <v>248</v>
      </c>
      <c r="D1384" s="3">
        <v>13770</v>
      </c>
      <c r="E1384" s="4">
        <v>43539</v>
      </c>
      <c r="F1384" s="92" t="s">
        <v>28</v>
      </c>
      <c r="G1384" s="32">
        <v>43518</v>
      </c>
      <c r="H1384" s="27">
        <f t="shared" si="170"/>
        <v>13770</v>
      </c>
      <c r="I1384" s="27"/>
      <c r="J1384" s="27"/>
      <c r="K1384" s="99"/>
      <c r="L1384" s="27">
        <v>9964</v>
      </c>
      <c r="M1384" s="29">
        <f t="shared" si="171"/>
        <v>3806</v>
      </c>
      <c r="N1384" s="29"/>
      <c r="O1384" s="44">
        <f t="shared" si="172"/>
        <v>0.27639796659404503</v>
      </c>
    </row>
    <row r="1385" spans="1:15" ht="20.100000000000001" customHeight="1" x14ac:dyDescent="0.25">
      <c r="A1385" s="89">
        <v>202</v>
      </c>
      <c r="B1385" s="4">
        <v>43539</v>
      </c>
      <c r="C1385" s="26" t="s">
        <v>91</v>
      </c>
      <c r="D1385" s="3">
        <v>5176</v>
      </c>
      <c r="E1385" s="4">
        <v>43539</v>
      </c>
      <c r="F1385" s="92" t="s">
        <v>28</v>
      </c>
      <c r="G1385" s="32">
        <v>43544</v>
      </c>
      <c r="H1385" s="27">
        <f t="shared" si="170"/>
        <v>5176</v>
      </c>
      <c r="I1385" s="27"/>
      <c r="J1385" s="27"/>
      <c r="K1385" s="99"/>
      <c r="L1385" s="27">
        <v>3862</v>
      </c>
      <c r="M1385" s="29">
        <f t="shared" si="171"/>
        <v>1314</v>
      </c>
      <c r="N1385" s="29"/>
      <c r="O1385" s="44">
        <f t="shared" si="172"/>
        <v>0.25386398763523954</v>
      </c>
    </row>
    <row r="1386" spans="1:15" ht="20.100000000000001" customHeight="1" x14ac:dyDescent="0.25">
      <c r="A1386" s="89">
        <v>139</v>
      </c>
      <c r="B1386" s="4">
        <v>43524</v>
      </c>
      <c r="C1386" s="26" t="s">
        <v>228</v>
      </c>
      <c r="D1386" s="3">
        <v>51860.5</v>
      </c>
      <c r="E1386" s="4">
        <v>43543</v>
      </c>
      <c r="F1386" s="92" t="s">
        <v>28</v>
      </c>
      <c r="G1386" s="32">
        <v>43528</v>
      </c>
      <c r="H1386" s="27">
        <f t="shared" si="170"/>
        <v>51860.5</v>
      </c>
      <c r="I1386" s="27"/>
      <c r="J1386" s="27"/>
      <c r="K1386" s="99"/>
      <c r="L1386" s="27">
        <v>39456</v>
      </c>
      <c r="M1386" s="29">
        <f t="shared" si="171"/>
        <v>12404.5</v>
      </c>
      <c r="N1386" s="29"/>
      <c r="O1386" s="44">
        <f t="shared" si="172"/>
        <v>0.23918974942393537</v>
      </c>
    </row>
    <row r="1387" spans="1:15" ht="20.100000000000001" customHeight="1" x14ac:dyDescent="0.25">
      <c r="A1387" s="89">
        <v>165</v>
      </c>
      <c r="B1387" s="4">
        <v>43530</v>
      </c>
      <c r="C1387" s="26" t="s">
        <v>228</v>
      </c>
      <c r="D1387" s="3">
        <v>55248</v>
      </c>
      <c r="E1387" s="4">
        <v>43543</v>
      </c>
      <c r="F1387" s="92" t="s">
        <v>28</v>
      </c>
      <c r="G1387" s="32">
        <v>43558</v>
      </c>
      <c r="H1387" s="27">
        <f t="shared" si="170"/>
        <v>55248</v>
      </c>
      <c r="I1387" s="27"/>
      <c r="J1387" s="27"/>
      <c r="K1387" s="99">
        <f>2*600</f>
        <v>1200</v>
      </c>
      <c r="L1387" s="27">
        <v>31835</v>
      </c>
      <c r="M1387" s="29">
        <f t="shared" si="171"/>
        <v>22213</v>
      </c>
      <c r="N1387" s="29"/>
      <c r="O1387" s="44">
        <f t="shared" si="172"/>
        <v>0.40205980306979439</v>
      </c>
    </row>
    <row r="1388" spans="1:15" ht="20.100000000000001" customHeight="1" x14ac:dyDescent="0.25">
      <c r="A1388" s="89">
        <v>166</v>
      </c>
      <c r="B1388" s="4">
        <v>43530</v>
      </c>
      <c r="C1388" s="26" t="s">
        <v>228</v>
      </c>
      <c r="D1388" s="3">
        <v>21918</v>
      </c>
      <c r="E1388" s="4">
        <v>43543</v>
      </c>
      <c r="F1388" s="92" t="s">
        <v>28</v>
      </c>
      <c r="G1388" s="32">
        <v>43558</v>
      </c>
      <c r="H1388" s="27">
        <f t="shared" si="170"/>
        <v>21918</v>
      </c>
      <c r="I1388" s="27"/>
      <c r="J1388" s="27"/>
      <c r="K1388" s="99"/>
      <c r="L1388" s="27">
        <v>12737</v>
      </c>
      <c r="M1388" s="29">
        <f t="shared" si="171"/>
        <v>9181</v>
      </c>
      <c r="N1388" s="29"/>
      <c r="O1388" s="44">
        <f t="shared" si="172"/>
        <v>0.41887945980472668</v>
      </c>
    </row>
    <row r="1389" spans="1:15" ht="20.100000000000001" customHeight="1" x14ac:dyDescent="0.25">
      <c r="A1389" s="89">
        <v>187</v>
      </c>
      <c r="B1389" s="4">
        <v>43537</v>
      </c>
      <c r="C1389" s="26" t="s">
        <v>60</v>
      </c>
      <c r="D1389" s="3">
        <v>24595</v>
      </c>
      <c r="E1389" s="4">
        <v>43543</v>
      </c>
      <c r="F1389" s="92" t="s">
        <v>28</v>
      </c>
      <c r="G1389" s="32">
        <v>43537</v>
      </c>
      <c r="H1389" s="27">
        <f t="shared" si="170"/>
        <v>24595</v>
      </c>
      <c r="I1389" s="27"/>
      <c r="J1389" s="27"/>
      <c r="K1389" s="99"/>
      <c r="L1389" s="27">
        <v>8634</v>
      </c>
      <c r="M1389" s="29">
        <f t="shared" si="171"/>
        <v>15961</v>
      </c>
      <c r="N1389" s="29"/>
      <c r="O1389" s="44">
        <f t="shared" si="172"/>
        <v>0.64895303923561698</v>
      </c>
    </row>
    <row r="1390" spans="1:15" ht="20.100000000000001" customHeight="1" x14ac:dyDescent="0.25">
      <c r="A1390" s="89">
        <v>218</v>
      </c>
      <c r="B1390" s="4">
        <v>43544</v>
      </c>
      <c r="C1390" s="26" t="s">
        <v>355</v>
      </c>
      <c r="D1390" s="3">
        <v>19990</v>
      </c>
      <c r="E1390" s="4">
        <v>43545</v>
      </c>
      <c r="F1390" s="92" t="s">
        <v>28</v>
      </c>
      <c r="G1390" s="32">
        <v>43546</v>
      </c>
      <c r="H1390" s="27">
        <f t="shared" si="170"/>
        <v>19990</v>
      </c>
      <c r="I1390" s="27"/>
      <c r="J1390" s="27"/>
      <c r="K1390" s="99"/>
      <c r="L1390" s="27">
        <v>14692</v>
      </c>
      <c r="M1390" s="29">
        <f t="shared" si="171"/>
        <v>5298</v>
      </c>
      <c r="N1390" s="29"/>
      <c r="O1390" s="44">
        <f t="shared" si="172"/>
        <v>0.26503251625812907</v>
      </c>
    </row>
    <row r="1391" spans="1:15" ht="20.100000000000001" customHeight="1" x14ac:dyDescent="0.25">
      <c r="A1391" s="89">
        <v>130</v>
      </c>
      <c r="B1391" s="4">
        <v>43516</v>
      </c>
      <c r="C1391" s="26" t="s">
        <v>13</v>
      </c>
      <c r="D1391" s="3">
        <v>17260</v>
      </c>
      <c r="E1391" s="4">
        <v>43545</v>
      </c>
      <c r="F1391" s="92" t="s">
        <v>28</v>
      </c>
      <c r="G1391" s="32">
        <v>43535</v>
      </c>
      <c r="H1391" s="27">
        <f t="shared" si="170"/>
        <v>17260</v>
      </c>
      <c r="I1391" s="27"/>
      <c r="J1391" s="27"/>
      <c r="K1391" s="99"/>
      <c r="L1391" s="27">
        <v>13086</v>
      </c>
      <c r="M1391" s="29">
        <f t="shared" si="171"/>
        <v>4174</v>
      </c>
      <c r="N1391" s="29"/>
      <c r="O1391" s="44">
        <f t="shared" si="172"/>
        <v>0.2418308227114716</v>
      </c>
    </row>
    <row r="1392" spans="1:15" ht="20.100000000000001" customHeight="1" x14ac:dyDescent="0.25">
      <c r="A1392" s="89">
        <v>112</v>
      </c>
      <c r="B1392" s="4">
        <v>43510</v>
      </c>
      <c r="C1392" s="26" t="s">
        <v>11</v>
      </c>
      <c r="D1392" s="3">
        <v>2412</v>
      </c>
      <c r="E1392" s="4">
        <v>43545</v>
      </c>
      <c r="F1392" s="92" t="s">
        <v>28</v>
      </c>
      <c r="G1392" s="32">
        <v>43552</v>
      </c>
      <c r="H1392" s="27">
        <f t="shared" si="170"/>
        <v>2412</v>
      </c>
      <c r="I1392" s="27"/>
      <c r="J1392" s="27"/>
      <c r="K1392" s="99"/>
      <c r="L1392" s="27">
        <v>1476</v>
      </c>
      <c r="M1392" s="29">
        <f t="shared" si="171"/>
        <v>936</v>
      </c>
      <c r="N1392" s="29"/>
      <c r="O1392" s="44">
        <f t="shared" si="172"/>
        <v>0.38805970149253732</v>
      </c>
    </row>
    <row r="1393" spans="1:15" ht="20.100000000000001" customHeight="1" x14ac:dyDescent="0.25">
      <c r="A1393" s="89">
        <v>222</v>
      </c>
      <c r="B1393" s="4">
        <v>43545</v>
      </c>
      <c r="C1393" s="26" t="s">
        <v>263</v>
      </c>
      <c r="D1393" s="3">
        <v>13277</v>
      </c>
      <c r="E1393" s="4">
        <v>43545</v>
      </c>
      <c r="F1393" s="92" t="s">
        <v>28</v>
      </c>
      <c r="G1393" s="32">
        <v>43546</v>
      </c>
      <c r="H1393" s="27">
        <f t="shared" si="170"/>
        <v>13277</v>
      </c>
      <c r="I1393" s="27"/>
      <c r="J1393" s="27"/>
      <c r="K1393" s="99"/>
      <c r="L1393" s="27">
        <v>10284</v>
      </c>
      <c r="M1393" s="29">
        <f t="shared" si="171"/>
        <v>2993</v>
      </c>
      <c r="N1393" s="29"/>
      <c r="O1393" s="44">
        <f t="shared" si="172"/>
        <v>0.22542743089553363</v>
      </c>
    </row>
    <row r="1394" spans="1:15" ht="20.100000000000001" customHeight="1" x14ac:dyDescent="0.25">
      <c r="A1394" s="89">
        <v>204</v>
      </c>
      <c r="B1394" s="4">
        <v>43542</v>
      </c>
      <c r="C1394" s="26" t="s">
        <v>186</v>
      </c>
      <c r="D1394" s="3">
        <v>39002</v>
      </c>
      <c r="E1394" s="4">
        <v>43546</v>
      </c>
      <c r="F1394" s="92" t="s">
        <v>28</v>
      </c>
      <c r="G1394" s="32">
        <v>43634</v>
      </c>
      <c r="H1394" s="27">
        <f t="shared" si="170"/>
        <v>39002</v>
      </c>
      <c r="I1394" s="27"/>
      <c r="J1394" s="27"/>
      <c r="K1394" s="99"/>
      <c r="L1394" s="27">
        <v>30468</v>
      </c>
      <c r="M1394" s="29">
        <f t="shared" si="171"/>
        <v>8534</v>
      </c>
      <c r="N1394" s="29"/>
      <c r="O1394" s="44">
        <f t="shared" si="172"/>
        <v>0.21880929183118814</v>
      </c>
    </row>
    <row r="1395" spans="1:15" ht="20.100000000000001" customHeight="1" x14ac:dyDescent="0.25">
      <c r="A1395" s="89">
        <v>203</v>
      </c>
      <c r="B1395" s="4">
        <v>43542</v>
      </c>
      <c r="C1395" s="26" t="s">
        <v>329</v>
      </c>
      <c r="D1395" s="3">
        <v>6030</v>
      </c>
      <c r="E1395" s="4">
        <v>43549</v>
      </c>
      <c r="F1395" s="92" t="s">
        <v>28</v>
      </c>
      <c r="G1395" s="32">
        <v>43559</v>
      </c>
      <c r="H1395" s="27">
        <f t="shared" si="170"/>
        <v>6030</v>
      </c>
      <c r="I1395" s="27"/>
      <c r="J1395" s="27"/>
      <c r="K1395" s="99"/>
      <c r="L1395" s="27">
        <v>4703</v>
      </c>
      <c r="M1395" s="29">
        <f t="shared" si="171"/>
        <v>1327</v>
      </c>
      <c r="N1395" s="29"/>
      <c r="O1395" s="44">
        <f t="shared" si="172"/>
        <v>0.22006633499170813</v>
      </c>
    </row>
    <row r="1396" spans="1:15" ht="20.100000000000001" customHeight="1" x14ac:dyDescent="0.25">
      <c r="A1396" s="89">
        <v>162</v>
      </c>
      <c r="B1396" s="4">
        <v>43530</v>
      </c>
      <c r="C1396" s="26" t="s">
        <v>363</v>
      </c>
      <c r="D1396" s="3">
        <v>10760</v>
      </c>
      <c r="E1396" s="4">
        <v>43549</v>
      </c>
      <c r="F1396" s="92" t="s">
        <v>28</v>
      </c>
      <c r="G1396" s="32">
        <v>43556</v>
      </c>
      <c r="H1396" s="27">
        <f t="shared" si="170"/>
        <v>10760</v>
      </c>
      <c r="I1396" s="27"/>
      <c r="J1396" s="27"/>
      <c r="K1396" s="99"/>
      <c r="L1396" s="27">
        <v>8728</v>
      </c>
      <c r="M1396" s="29">
        <f t="shared" si="171"/>
        <v>2032</v>
      </c>
      <c r="N1396" s="29"/>
      <c r="O1396" s="44">
        <f t="shared" si="172"/>
        <v>0.18884758364312268</v>
      </c>
    </row>
    <row r="1397" spans="1:15" ht="20.100000000000001" customHeight="1" x14ac:dyDescent="0.25">
      <c r="A1397" s="89">
        <v>236</v>
      </c>
      <c r="B1397" s="4">
        <v>43550</v>
      </c>
      <c r="C1397" s="5" t="s">
        <v>374</v>
      </c>
      <c r="D1397" s="3">
        <v>77058</v>
      </c>
      <c r="E1397" s="4">
        <v>43550</v>
      </c>
      <c r="F1397" s="92" t="s">
        <v>28</v>
      </c>
      <c r="G1397" s="32">
        <v>43553</v>
      </c>
      <c r="H1397" s="27">
        <f t="shared" si="170"/>
        <v>77058</v>
      </c>
      <c r="I1397" s="27">
        <f>H1397</f>
        <v>77058</v>
      </c>
      <c r="J1397" s="27"/>
      <c r="K1397" s="99">
        <v>600</v>
      </c>
      <c r="L1397" s="27">
        <v>53976</v>
      </c>
      <c r="M1397" s="29">
        <f t="shared" si="171"/>
        <v>22482</v>
      </c>
      <c r="N1397" s="29">
        <f>M1397</f>
        <v>22482</v>
      </c>
      <c r="O1397" s="44">
        <f t="shared" si="172"/>
        <v>0.29175426302265828</v>
      </c>
    </row>
    <row r="1398" spans="1:15" ht="20.100000000000001" customHeight="1" x14ac:dyDescent="0.25">
      <c r="A1398" s="89">
        <v>227</v>
      </c>
      <c r="B1398" s="4">
        <v>43549</v>
      </c>
      <c r="C1398" s="26" t="s">
        <v>139</v>
      </c>
      <c r="D1398" s="3">
        <v>9720</v>
      </c>
      <c r="E1398" s="4">
        <v>43550</v>
      </c>
      <c r="F1398" s="92" t="s">
        <v>28</v>
      </c>
      <c r="G1398" s="32">
        <v>43566</v>
      </c>
      <c r="H1398" s="27">
        <f t="shared" si="170"/>
        <v>9720</v>
      </c>
      <c r="I1398" s="27"/>
      <c r="J1398" s="27"/>
      <c r="K1398" s="99"/>
      <c r="L1398" s="27">
        <v>7580</v>
      </c>
      <c r="M1398" s="29">
        <f t="shared" si="171"/>
        <v>2140</v>
      </c>
      <c r="N1398" s="29"/>
      <c r="O1398" s="44">
        <f t="shared" si="172"/>
        <v>0.22016460905349794</v>
      </c>
    </row>
    <row r="1399" spans="1:15" ht="20.100000000000001" customHeight="1" x14ac:dyDescent="0.25">
      <c r="A1399" s="89">
        <v>212</v>
      </c>
      <c r="B1399" s="4">
        <v>43516</v>
      </c>
      <c r="C1399" s="26" t="s">
        <v>206</v>
      </c>
      <c r="D1399" s="3">
        <v>980</v>
      </c>
      <c r="E1399" s="4">
        <v>43551</v>
      </c>
      <c r="F1399" s="92" t="s">
        <v>28</v>
      </c>
      <c r="G1399" s="32">
        <v>43545</v>
      </c>
      <c r="H1399" s="27">
        <f t="shared" si="170"/>
        <v>980</v>
      </c>
      <c r="I1399" s="27"/>
      <c r="J1399" s="27"/>
      <c r="K1399" s="99"/>
      <c r="L1399" s="27">
        <v>646</v>
      </c>
      <c r="M1399" s="29">
        <f t="shared" si="171"/>
        <v>334</v>
      </c>
      <c r="N1399" s="29"/>
      <c r="O1399" s="44">
        <f t="shared" si="172"/>
        <v>0.34081632653061222</v>
      </c>
    </row>
    <row r="1400" spans="1:15" ht="20.100000000000001" customHeight="1" x14ac:dyDescent="0.25">
      <c r="A1400" s="89">
        <v>213</v>
      </c>
      <c r="B1400" s="4">
        <v>43516</v>
      </c>
      <c r="C1400" s="5" t="s">
        <v>375</v>
      </c>
      <c r="D1400" s="3">
        <v>19990</v>
      </c>
      <c r="E1400" s="4">
        <v>43551</v>
      </c>
      <c r="F1400" s="92" t="s">
        <v>28</v>
      </c>
      <c r="G1400" s="32">
        <v>43559</v>
      </c>
      <c r="H1400" s="27">
        <f t="shared" si="170"/>
        <v>19990</v>
      </c>
      <c r="I1400" s="27">
        <f>H1400</f>
        <v>19990</v>
      </c>
      <c r="J1400" s="27"/>
      <c r="K1400" s="99"/>
      <c r="L1400" s="27">
        <v>14692</v>
      </c>
      <c r="M1400" s="29">
        <f t="shared" si="171"/>
        <v>5298</v>
      </c>
      <c r="N1400" s="29">
        <f>M1400</f>
        <v>5298</v>
      </c>
      <c r="O1400" s="44">
        <f t="shared" si="172"/>
        <v>0.26503251625812907</v>
      </c>
    </row>
    <row r="1401" spans="1:15" ht="20.100000000000001" customHeight="1" x14ac:dyDescent="0.25">
      <c r="A1401" s="89">
        <v>242</v>
      </c>
      <c r="B1401" s="4">
        <v>43551</v>
      </c>
      <c r="C1401" s="26" t="s">
        <v>6</v>
      </c>
      <c r="D1401" s="3">
        <v>7700</v>
      </c>
      <c r="E1401" s="4">
        <v>43552</v>
      </c>
      <c r="F1401" s="92" t="s">
        <v>28</v>
      </c>
      <c r="G1401" s="32">
        <v>43552</v>
      </c>
      <c r="H1401" s="27">
        <f t="shared" si="170"/>
        <v>7700</v>
      </c>
      <c r="I1401" s="27"/>
      <c r="J1401" s="27"/>
      <c r="K1401" s="99"/>
      <c r="L1401" s="27">
        <v>5476</v>
      </c>
      <c r="M1401" s="29">
        <f t="shared" si="171"/>
        <v>2224</v>
      </c>
      <c r="N1401" s="29"/>
      <c r="O1401" s="44">
        <f t="shared" si="172"/>
        <v>0.28883116883116883</v>
      </c>
    </row>
    <row r="1402" spans="1:15" ht="20.100000000000001" customHeight="1" x14ac:dyDescent="0.25">
      <c r="A1402" s="89">
        <v>247</v>
      </c>
      <c r="B1402" s="4">
        <v>43552</v>
      </c>
      <c r="C1402" s="26" t="s">
        <v>194</v>
      </c>
      <c r="D1402" s="3">
        <v>1390</v>
      </c>
      <c r="E1402" s="4">
        <v>43552</v>
      </c>
      <c r="F1402" s="92" t="s">
        <v>28</v>
      </c>
      <c r="G1402" s="32">
        <v>43556</v>
      </c>
      <c r="H1402" s="27">
        <f t="shared" si="170"/>
        <v>1390</v>
      </c>
      <c r="I1402" s="27"/>
      <c r="J1402" s="27"/>
      <c r="K1402" s="99"/>
      <c r="L1402" s="27">
        <v>1084</v>
      </c>
      <c r="M1402" s="29">
        <f t="shared" si="171"/>
        <v>306</v>
      </c>
      <c r="N1402" s="29"/>
      <c r="O1402" s="44">
        <f t="shared" si="172"/>
        <v>0.22014388489208633</v>
      </c>
    </row>
    <row r="1403" spans="1:15" ht="20.100000000000001" customHeight="1" x14ac:dyDescent="0.25">
      <c r="A1403" s="89">
        <v>31</v>
      </c>
      <c r="B1403" s="4">
        <v>43515</v>
      </c>
      <c r="C1403" s="26" t="s">
        <v>65</v>
      </c>
      <c r="D1403" s="3">
        <v>371973</v>
      </c>
      <c r="E1403" s="4">
        <v>43553</v>
      </c>
      <c r="F1403" s="92" t="s">
        <v>28</v>
      </c>
      <c r="G1403" s="32">
        <v>43530</v>
      </c>
      <c r="H1403" s="27">
        <v>196722.6</v>
      </c>
      <c r="I1403" s="27"/>
      <c r="J1403" s="27"/>
      <c r="K1403" s="99">
        <v>36600</v>
      </c>
      <c r="L1403" s="27">
        <v>108618</v>
      </c>
      <c r="M1403" s="29">
        <f t="shared" si="171"/>
        <v>51504.600000000006</v>
      </c>
      <c r="N1403" s="29"/>
      <c r="O1403" s="44">
        <f t="shared" si="172"/>
        <v>0.26181333512265498</v>
      </c>
    </row>
    <row r="1404" spans="1:15" ht="19.5" customHeight="1" x14ac:dyDescent="0.25">
      <c r="A1404" s="89"/>
      <c r="B1404" s="4"/>
      <c r="C1404" s="5"/>
      <c r="D1404" s="3"/>
      <c r="E1404" s="97">
        <v>49200</v>
      </c>
      <c r="F1404" s="98">
        <f>M1404*0.17+N1404*0.06</f>
        <v>49539.419500000004</v>
      </c>
      <c r="G1404" s="21">
        <f>H1404*0.05+I1404*0.02</f>
        <v>50101.127500000002</v>
      </c>
      <c r="H1404" s="16">
        <f t="shared" ref="H1404:N1404" si="173">SUM(H1371:H1403)</f>
        <v>962589.35</v>
      </c>
      <c r="I1404" s="16">
        <f t="shared" si="173"/>
        <v>98583</v>
      </c>
      <c r="J1404" s="16">
        <f t="shared" si="173"/>
        <v>0</v>
      </c>
      <c r="K1404" s="16">
        <f t="shared" si="173"/>
        <v>38400</v>
      </c>
      <c r="L1404" s="16">
        <f t="shared" si="173"/>
        <v>642705</v>
      </c>
      <c r="M1404" s="16">
        <f t="shared" si="173"/>
        <v>281484.34999999998</v>
      </c>
      <c r="N1404" s="16">
        <f t="shared" si="173"/>
        <v>28118</v>
      </c>
      <c r="O1404" s="44">
        <f t="shared" si="172"/>
        <v>0.29242412665380102</v>
      </c>
    </row>
    <row r="1405" spans="1:15" ht="23.25" x14ac:dyDescent="0.35">
      <c r="B1405" s="94"/>
      <c r="C1405" s="94" t="s">
        <v>638</v>
      </c>
    </row>
    <row r="1406" spans="1:15" ht="20.100000000000001" customHeight="1" x14ac:dyDescent="0.25">
      <c r="A1406" s="89">
        <v>244</v>
      </c>
      <c r="B1406" s="4">
        <v>43552</v>
      </c>
      <c r="C1406" s="26" t="s">
        <v>372</v>
      </c>
      <c r="D1406" s="3">
        <v>4613</v>
      </c>
      <c r="E1406" s="4">
        <v>43556</v>
      </c>
      <c r="F1406" s="92" t="s">
        <v>28</v>
      </c>
      <c r="G1406" s="32">
        <v>43565</v>
      </c>
      <c r="H1406" s="27">
        <f t="shared" ref="H1406:H1433" si="174">D1406</f>
        <v>4613</v>
      </c>
      <c r="I1406" s="27"/>
      <c r="J1406" s="27"/>
      <c r="K1406" s="99"/>
      <c r="L1406" s="27">
        <v>3354</v>
      </c>
      <c r="M1406" s="29">
        <f t="shared" ref="M1406:M1446" si="175">H1406-L1406-J1406-K1406</f>
        <v>1259</v>
      </c>
      <c r="N1406" s="29"/>
      <c r="O1406" s="44">
        <f t="shared" ref="O1406:O1447" si="176">M1406/H1406</f>
        <v>0.27292434424452633</v>
      </c>
    </row>
    <row r="1407" spans="1:15" ht="20.100000000000001" customHeight="1" x14ac:dyDescent="0.25">
      <c r="A1407" s="89">
        <v>205</v>
      </c>
      <c r="B1407" s="4">
        <v>43543</v>
      </c>
      <c r="C1407" s="26" t="s">
        <v>11</v>
      </c>
      <c r="D1407" s="3">
        <v>5822</v>
      </c>
      <c r="E1407" s="4">
        <v>43557</v>
      </c>
      <c r="F1407" s="92" t="s">
        <v>28</v>
      </c>
      <c r="G1407" s="32">
        <v>43560</v>
      </c>
      <c r="H1407" s="27">
        <f t="shared" si="174"/>
        <v>5822</v>
      </c>
      <c r="I1407" s="27"/>
      <c r="J1407" s="27"/>
      <c r="K1407" s="99"/>
      <c r="L1407" s="27">
        <v>3841</v>
      </c>
      <c r="M1407" s="29">
        <f t="shared" si="175"/>
        <v>1981</v>
      </c>
      <c r="N1407" s="29"/>
      <c r="O1407" s="44">
        <f t="shared" si="176"/>
        <v>0.34026107866712468</v>
      </c>
    </row>
    <row r="1408" spans="1:15" ht="20.100000000000001" customHeight="1" x14ac:dyDescent="0.25">
      <c r="A1408" s="89">
        <v>273</v>
      </c>
      <c r="B1408" s="4">
        <v>43559</v>
      </c>
      <c r="C1408" s="5" t="s">
        <v>376</v>
      </c>
      <c r="D1408" s="3">
        <v>122942.6</v>
      </c>
      <c r="E1408" s="4">
        <v>43560</v>
      </c>
      <c r="F1408" s="92" t="s">
        <v>28</v>
      </c>
      <c r="G1408" s="32">
        <v>43570</v>
      </c>
      <c r="H1408" s="27">
        <f t="shared" si="174"/>
        <v>122942.6</v>
      </c>
      <c r="I1408" s="27">
        <f>H1408</f>
        <v>122942.6</v>
      </c>
      <c r="J1408" s="27"/>
      <c r="K1408" s="99"/>
      <c r="L1408" s="27">
        <v>96052</v>
      </c>
      <c r="M1408" s="29">
        <f t="shared" si="175"/>
        <v>26890.600000000006</v>
      </c>
      <c r="N1408" s="29">
        <f>M1408</f>
        <v>26890.600000000006</v>
      </c>
      <c r="O1408" s="44">
        <f t="shared" si="176"/>
        <v>0.21872483581769056</v>
      </c>
    </row>
    <row r="1409" spans="1:15" ht="20.100000000000001" customHeight="1" x14ac:dyDescent="0.25">
      <c r="A1409" s="89">
        <v>267</v>
      </c>
      <c r="B1409" s="4">
        <v>43558</v>
      </c>
      <c r="C1409" s="26" t="s">
        <v>149</v>
      </c>
      <c r="D1409" s="3">
        <v>3387</v>
      </c>
      <c r="E1409" s="4">
        <v>43560</v>
      </c>
      <c r="F1409" s="92" t="s">
        <v>28</v>
      </c>
      <c r="G1409" s="32">
        <v>43570</v>
      </c>
      <c r="H1409" s="27">
        <f t="shared" si="174"/>
        <v>3387</v>
      </c>
      <c r="I1409" s="27"/>
      <c r="J1409" s="27"/>
      <c r="K1409" s="99"/>
      <c r="L1409" s="27">
        <v>2640</v>
      </c>
      <c r="M1409" s="29">
        <f t="shared" si="175"/>
        <v>747</v>
      </c>
      <c r="N1409" s="29"/>
      <c r="O1409" s="44">
        <f t="shared" si="176"/>
        <v>0.22054915854738708</v>
      </c>
    </row>
    <row r="1410" spans="1:15" ht="20.100000000000001" customHeight="1" x14ac:dyDescent="0.25">
      <c r="A1410" s="89">
        <v>282</v>
      </c>
      <c r="B1410" s="4">
        <v>43560</v>
      </c>
      <c r="C1410" s="26" t="s">
        <v>149</v>
      </c>
      <c r="D1410" s="3">
        <v>2556</v>
      </c>
      <c r="E1410" s="4">
        <v>43560</v>
      </c>
      <c r="F1410" s="92" t="s">
        <v>28</v>
      </c>
      <c r="G1410" s="32">
        <v>43563</v>
      </c>
      <c r="H1410" s="27">
        <f t="shared" si="174"/>
        <v>2556</v>
      </c>
      <c r="I1410" s="27"/>
      <c r="J1410" s="27"/>
      <c r="K1410" s="99"/>
      <c r="L1410" s="27">
        <v>1992</v>
      </c>
      <c r="M1410" s="29">
        <f t="shared" si="175"/>
        <v>564</v>
      </c>
      <c r="N1410" s="29"/>
      <c r="O1410" s="44">
        <f t="shared" si="176"/>
        <v>0.22065727699530516</v>
      </c>
    </row>
    <row r="1411" spans="1:15" ht="20.100000000000001" customHeight="1" x14ac:dyDescent="0.25">
      <c r="A1411" s="89">
        <v>230</v>
      </c>
      <c r="B1411" s="4">
        <v>43549</v>
      </c>
      <c r="C1411" s="26" t="s">
        <v>99</v>
      </c>
      <c r="D1411" s="3">
        <v>27880</v>
      </c>
      <c r="E1411" s="4">
        <v>43560</v>
      </c>
      <c r="F1411" s="92" t="s">
        <v>28</v>
      </c>
      <c r="G1411" s="32">
        <v>43556</v>
      </c>
      <c r="H1411" s="27">
        <f t="shared" si="174"/>
        <v>27880</v>
      </c>
      <c r="I1411" s="27"/>
      <c r="J1411" s="27"/>
      <c r="K1411" s="99"/>
      <c r="L1411" s="27">
        <v>17260</v>
      </c>
      <c r="M1411" s="29">
        <f t="shared" si="175"/>
        <v>10620</v>
      </c>
      <c r="N1411" s="29"/>
      <c r="O1411" s="44">
        <f t="shared" si="176"/>
        <v>0.38091822094691535</v>
      </c>
    </row>
    <row r="1412" spans="1:15" ht="20.100000000000001" customHeight="1" x14ac:dyDescent="0.25">
      <c r="A1412" s="89">
        <v>206</v>
      </c>
      <c r="B1412" s="4">
        <v>43543</v>
      </c>
      <c r="C1412" s="26" t="s">
        <v>99</v>
      </c>
      <c r="D1412" s="3">
        <v>216495</v>
      </c>
      <c r="E1412" s="4">
        <v>43560</v>
      </c>
      <c r="F1412" s="92" t="s">
        <v>28</v>
      </c>
      <c r="G1412" s="32">
        <v>43549</v>
      </c>
      <c r="H1412" s="27">
        <f t="shared" si="174"/>
        <v>216495</v>
      </c>
      <c r="I1412" s="27"/>
      <c r="J1412" s="99">
        <v>45000</v>
      </c>
      <c r="K1412" s="99"/>
      <c r="L1412" s="27">
        <v>51203</v>
      </c>
      <c r="M1412" s="29">
        <f t="shared" si="175"/>
        <v>120292</v>
      </c>
      <c r="N1412" s="29"/>
      <c r="O1412" s="44">
        <f t="shared" si="176"/>
        <v>0.555634079308991</v>
      </c>
    </row>
    <row r="1413" spans="1:15" ht="20.100000000000001" customHeight="1" x14ac:dyDescent="0.25">
      <c r="A1413" s="89">
        <v>281</v>
      </c>
      <c r="B1413" s="4">
        <v>43560</v>
      </c>
      <c r="C1413" s="26" t="s">
        <v>118</v>
      </c>
      <c r="D1413" s="3">
        <v>24463</v>
      </c>
      <c r="E1413" s="4">
        <v>43560</v>
      </c>
      <c r="F1413" s="92" t="s">
        <v>28</v>
      </c>
      <c r="G1413" s="32">
        <v>43560</v>
      </c>
      <c r="H1413" s="27">
        <f t="shared" si="174"/>
        <v>24463</v>
      </c>
      <c r="I1413" s="27"/>
      <c r="J1413" s="27"/>
      <c r="K1413" s="99"/>
      <c r="L1413" s="27">
        <v>20850</v>
      </c>
      <c r="M1413" s="29">
        <f t="shared" si="175"/>
        <v>3613</v>
      </c>
      <c r="N1413" s="29"/>
      <c r="O1413" s="44">
        <f t="shared" si="176"/>
        <v>0.14769243347095615</v>
      </c>
    </row>
    <row r="1414" spans="1:15" ht="20.100000000000001" customHeight="1" x14ac:dyDescent="0.25">
      <c r="A1414" s="89">
        <v>284</v>
      </c>
      <c r="B1414" s="4">
        <v>43560</v>
      </c>
      <c r="C1414" s="5" t="s">
        <v>377</v>
      </c>
      <c r="D1414" s="3">
        <v>34990</v>
      </c>
      <c r="E1414" s="4">
        <v>43563</v>
      </c>
      <c r="F1414" s="92" t="s">
        <v>28</v>
      </c>
      <c r="G1414" s="32">
        <v>43565</v>
      </c>
      <c r="H1414" s="27">
        <f t="shared" si="174"/>
        <v>34990</v>
      </c>
      <c r="I1414" s="27">
        <f>H1414</f>
        <v>34990</v>
      </c>
      <c r="J1414" s="27"/>
      <c r="K1414" s="99"/>
      <c r="L1414" s="27">
        <v>25717</v>
      </c>
      <c r="M1414" s="29">
        <f t="shared" si="175"/>
        <v>9273</v>
      </c>
      <c r="N1414" s="29">
        <f>M1414</f>
        <v>9273</v>
      </c>
      <c r="O1414" s="44">
        <f t="shared" si="176"/>
        <v>0.26501857673621032</v>
      </c>
    </row>
    <row r="1415" spans="1:15" ht="20.100000000000001" customHeight="1" x14ac:dyDescent="0.25">
      <c r="A1415" s="89">
        <v>132</v>
      </c>
      <c r="B1415" s="4">
        <v>43522</v>
      </c>
      <c r="C1415" s="26" t="s">
        <v>56</v>
      </c>
      <c r="D1415" s="3">
        <v>28492</v>
      </c>
      <c r="E1415" s="4">
        <v>43565</v>
      </c>
      <c r="F1415" s="92" t="s">
        <v>28</v>
      </c>
      <c r="G1415" s="32">
        <v>43556</v>
      </c>
      <c r="H1415" s="27">
        <f t="shared" si="174"/>
        <v>28492</v>
      </c>
      <c r="I1415" s="27"/>
      <c r="J1415" s="27"/>
      <c r="K1415" s="99"/>
      <c r="L1415" s="27">
        <v>22251</v>
      </c>
      <c r="M1415" s="29">
        <f t="shared" si="175"/>
        <v>6241</v>
      </c>
      <c r="N1415" s="29"/>
      <c r="O1415" s="44">
        <f t="shared" si="176"/>
        <v>0.21904394215920259</v>
      </c>
    </row>
    <row r="1416" spans="1:15" ht="20.100000000000001" customHeight="1" x14ac:dyDescent="0.25">
      <c r="A1416" s="89">
        <v>207</v>
      </c>
      <c r="B1416" s="4">
        <v>43543</v>
      </c>
      <c r="C1416" s="26" t="s">
        <v>56</v>
      </c>
      <c r="D1416" s="3">
        <v>29843</v>
      </c>
      <c r="E1416" s="4">
        <v>43565</v>
      </c>
      <c r="F1416" s="92" t="s">
        <v>28</v>
      </c>
      <c r="G1416" s="32">
        <v>43556</v>
      </c>
      <c r="H1416" s="27">
        <f t="shared" si="174"/>
        <v>29843</v>
      </c>
      <c r="I1416" s="27"/>
      <c r="J1416" s="27"/>
      <c r="K1416" s="99"/>
      <c r="L1416" s="27">
        <v>22885</v>
      </c>
      <c r="M1416" s="29">
        <f t="shared" si="175"/>
        <v>6958</v>
      </c>
      <c r="N1416" s="29"/>
      <c r="O1416" s="44">
        <f t="shared" si="176"/>
        <v>0.23315350333411519</v>
      </c>
    </row>
    <row r="1417" spans="1:15" ht="20.100000000000001" customHeight="1" x14ac:dyDescent="0.25">
      <c r="A1417" s="89">
        <v>286</v>
      </c>
      <c r="B1417" s="4">
        <v>43563</v>
      </c>
      <c r="C1417" s="26" t="s">
        <v>209</v>
      </c>
      <c r="D1417" s="3">
        <v>10653.05</v>
      </c>
      <c r="E1417" s="4">
        <v>43565</v>
      </c>
      <c r="F1417" s="92" t="s">
        <v>28</v>
      </c>
      <c r="G1417" s="32">
        <v>43570</v>
      </c>
      <c r="H1417" s="27">
        <f t="shared" si="174"/>
        <v>10653.05</v>
      </c>
      <c r="I1417" s="27"/>
      <c r="J1417" s="27"/>
      <c r="K1417" s="99"/>
      <c r="L1417" s="27">
        <v>9156</v>
      </c>
      <c r="M1417" s="29">
        <f t="shared" si="175"/>
        <v>1497.0499999999993</v>
      </c>
      <c r="N1417" s="29"/>
      <c r="O1417" s="44">
        <f t="shared" si="176"/>
        <v>0.14052783005805844</v>
      </c>
    </row>
    <row r="1418" spans="1:15" ht="20.100000000000001" customHeight="1" x14ac:dyDescent="0.25">
      <c r="A1418" s="89">
        <v>38</v>
      </c>
      <c r="B1418" s="4">
        <v>43522</v>
      </c>
      <c r="C1418" s="26" t="s">
        <v>38</v>
      </c>
      <c r="D1418" s="3">
        <v>806556</v>
      </c>
      <c r="E1418" s="4">
        <v>43566</v>
      </c>
      <c r="F1418" s="92" t="s">
        <v>28</v>
      </c>
      <c r="G1418" s="32">
        <v>43551</v>
      </c>
      <c r="H1418" s="27">
        <f t="shared" si="174"/>
        <v>806556</v>
      </c>
      <c r="I1418" s="27"/>
      <c r="J1418" s="27"/>
      <c r="K1418" s="99"/>
      <c r="L1418" s="27">
        <v>575070</v>
      </c>
      <c r="M1418" s="29">
        <f t="shared" si="175"/>
        <v>231486</v>
      </c>
      <c r="N1418" s="29"/>
      <c r="O1418" s="44">
        <f t="shared" si="176"/>
        <v>0.2870054900093732</v>
      </c>
    </row>
    <row r="1419" spans="1:15" ht="20.100000000000001" customHeight="1" x14ac:dyDescent="0.25">
      <c r="A1419" s="89">
        <v>274</v>
      </c>
      <c r="B1419" s="4">
        <v>43559</v>
      </c>
      <c r="C1419" s="26" t="s">
        <v>49</v>
      </c>
      <c r="D1419" s="3">
        <v>205</v>
      </c>
      <c r="E1419" s="4">
        <v>43570</v>
      </c>
      <c r="F1419" s="92" t="s">
        <v>28</v>
      </c>
      <c r="G1419" s="32">
        <v>43571</v>
      </c>
      <c r="H1419" s="27">
        <f t="shared" si="174"/>
        <v>205</v>
      </c>
      <c r="I1419" s="27"/>
      <c r="J1419" s="27"/>
      <c r="K1419" s="99"/>
      <c r="L1419" s="27">
        <v>135</v>
      </c>
      <c r="M1419" s="29">
        <f t="shared" si="175"/>
        <v>70</v>
      </c>
      <c r="N1419" s="29"/>
      <c r="O1419" s="44">
        <f t="shared" si="176"/>
        <v>0.34146341463414637</v>
      </c>
    </row>
    <row r="1420" spans="1:15" ht="20.100000000000001" customHeight="1" x14ac:dyDescent="0.25">
      <c r="A1420" s="89">
        <v>313</v>
      </c>
      <c r="B1420" s="4">
        <v>43567</v>
      </c>
      <c r="C1420" s="5" t="s">
        <v>379</v>
      </c>
      <c r="D1420" s="3">
        <v>7689</v>
      </c>
      <c r="E1420" s="4">
        <v>43570</v>
      </c>
      <c r="F1420" s="92" t="s">
        <v>28</v>
      </c>
      <c r="G1420" s="32">
        <v>43571</v>
      </c>
      <c r="H1420" s="27">
        <f t="shared" si="174"/>
        <v>7689</v>
      </c>
      <c r="I1420" s="27">
        <f>H1420</f>
        <v>7689</v>
      </c>
      <c r="J1420" s="27"/>
      <c r="K1420" s="99"/>
      <c r="L1420" s="27">
        <v>6026</v>
      </c>
      <c r="M1420" s="29">
        <f t="shared" si="175"/>
        <v>1663</v>
      </c>
      <c r="N1420" s="29">
        <f>M1420</f>
        <v>1663</v>
      </c>
      <c r="O1420" s="44">
        <f t="shared" si="176"/>
        <v>0.21628300169072701</v>
      </c>
    </row>
    <row r="1421" spans="1:15" ht="20.100000000000001" customHeight="1" x14ac:dyDescent="0.25">
      <c r="A1421" s="89">
        <v>317</v>
      </c>
      <c r="B1421" s="4">
        <v>43570</v>
      </c>
      <c r="C1421" s="26" t="s">
        <v>307</v>
      </c>
      <c r="D1421" s="3">
        <v>5118</v>
      </c>
      <c r="E1421" s="4">
        <v>43570</v>
      </c>
      <c r="F1421" s="92" t="s">
        <v>28</v>
      </c>
      <c r="G1421" s="32">
        <v>43598</v>
      </c>
      <c r="H1421" s="27">
        <f t="shared" si="174"/>
        <v>5118</v>
      </c>
      <c r="I1421" s="27"/>
      <c r="J1421" s="27"/>
      <c r="K1421" s="99"/>
      <c r="L1421" s="27">
        <v>3378</v>
      </c>
      <c r="M1421" s="29">
        <f t="shared" si="175"/>
        <v>1740</v>
      </c>
      <c r="N1421" s="29"/>
      <c r="O1421" s="44">
        <f t="shared" si="176"/>
        <v>0.3399765533411489</v>
      </c>
    </row>
    <row r="1422" spans="1:15" ht="20.100000000000001" customHeight="1" x14ac:dyDescent="0.25">
      <c r="A1422" s="89">
        <v>324</v>
      </c>
      <c r="B1422" s="4">
        <v>43570</v>
      </c>
      <c r="C1422" s="26" t="s">
        <v>281</v>
      </c>
      <c r="D1422" s="3">
        <v>2258</v>
      </c>
      <c r="E1422" s="4">
        <v>43571</v>
      </c>
      <c r="F1422" s="92" t="s">
        <v>28</v>
      </c>
      <c r="G1422" s="32">
        <v>43577</v>
      </c>
      <c r="H1422" s="27">
        <f t="shared" si="174"/>
        <v>2258</v>
      </c>
      <c r="I1422" s="27"/>
      <c r="J1422" s="27"/>
      <c r="K1422" s="99"/>
      <c r="L1422" s="27">
        <v>1760</v>
      </c>
      <c r="M1422" s="29">
        <f t="shared" si="175"/>
        <v>498</v>
      </c>
      <c r="N1422" s="29"/>
      <c r="O1422" s="44">
        <f t="shared" si="176"/>
        <v>0.22054915854738708</v>
      </c>
    </row>
    <row r="1423" spans="1:15" ht="20.100000000000001" customHeight="1" x14ac:dyDescent="0.25">
      <c r="A1423" s="89">
        <v>328</v>
      </c>
      <c r="B1423" s="4">
        <v>43571</v>
      </c>
      <c r="C1423" s="26" t="s">
        <v>354</v>
      </c>
      <c r="D1423" s="3">
        <v>4050</v>
      </c>
      <c r="E1423" s="4">
        <v>43571</v>
      </c>
      <c r="F1423" s="92" t="s">
        <v>28</v>
      </c>
      <c r="G1423" s="32">
        <v>43573</v>
      </c>
      <c r="H1423" s="27">
        <f t="shared" si="174"/>
        <v>4050</v>
      </c>
      <c r="I1423" s="27"/>
      <c r="J1423" s="27"/>
      <c r="K1423" s="99"/>
      <c r="L1423" s="27">
        <v>3378</v>
      </c>
      <c r="M1423" s="29">
        <f t="shared" si="175"/>
        <v>672</v>
      </c>
      <c r="N1423" s="29"/>
      <c r="O1423" s="44">
        <f t="shared" si="176"/>
        <v>0.16592592592592592</v>
      </c>
    </row>
    <row r="1424" spans="1:15" ht="20.100000000000001" customHeight="1" x14ac:dyDescent="0.25">
      <c r="A1424" s="89">
        <v>285</v>
      </c>
      <c r="B1424" s="4">
        <v>43563</v>
      </c>
      <c r="C1424" s="26" t="s">
        <v>228</v>
      </c>
      <c r="D1424" s="3">
        <v>5176</v>
      </c>
      <c r="E1424" s="4">
        <v>43571</v>
      </c>
      <c r="F1424" s="92" t="s">
        <v>28</v>
      </c>
      <c r="G1424" s="32">
        <v>43572</v>
      </c>
      <c r="H1424" s="27">
        <f t="shared" si="174"/>
        <v>5176</v>
      </c>
      <c r="I1424" s="27"/>
      <c r="J1424" s="27"/>
      <c r="K1424" s="99"/>
      <c r="L1424" s="27">
        <v>4036</v>
      </c>
      <c r="M1424" s="29">
        <f t="shared" si="175"/>
        <v>1140</v>
      </c>
      <c r="N1424" s="29"/>
      <c r="O1424" s="44">
        <f t="shared" si="176"/>
        <v>0.22024729520865532</v>
      </c>
    </row>
    <row r="1425" spans="1:15" ht="20.100000000000001" customHeight="1" x14ac:dyDescent="0.25">
      <c r="A1425" s="89">
        <v>331</v>
      </c>
      <c r="B1425" s="4">
        <v>43571</v>
      </c>
      <c r="C1425" s="26" t="s">
        <v>16</v>
      </c>
      <c r="D1425" s="3">
        <v>1524</v>
      </c>
      <c r="E1425" s="4">
        <v>43571</v>
      </c>
      <c r="F1425" s="92" t="s">
        <v>28</v>
      </c>
      <c r="G1425" s="32">
        <v>43577</v>
      </c>
      <c r="H1425" s="27">
        <f t="shared" si="174"/>
        <v>1524</v>
      </c>
      <c r="I1425" s="27"/>
      <c r="J1425" s="27"/>
      <c r="K1425" s="99"/>
      <c r="L1425" s="27">
        <v>1024</v>
      </c>
      <c r="M1425" s="29">
        <f t="shared" si="175"/>
        <v>500</v>
      </c>
      <c r="N1425" s="29"/>
      <c r="O1425" s="44">
        <f t="shared" si="176"/>
        <v>0.32808398950131235</v>
      </c>
    </row>
    <row r="1426" spans="1:15" ht="20.100000000000001" customHeight="1" x14ac:dyDescent="0.25">
      <c r="A1426" s="89">
        <v>309</v>
      </c>
      <c r="B1426" s="4">
        <v>43566</v>
      </c>
      <c r="C1426" s="5" t="s">
        <v>378</v>
      </c>
      <c r="D1426" s="3">
        <v>17522</v>
      </c>
      <c r="E1426" s="4">
        <v>43572</v>
      </c>
      <c r="F1426" s="92" t="s">
        <v>28</v>
      </c>
      <c r="G1426" s="32">
        <v>43567</v>
      </c>
      <c r="H1426" s="27">
        <f t="shared" si="174"/>
        <v>17522</v>
      </c>
      <c r="I1426" s="27">
        <f>H1426</f>
        <v>17522</v>
      </c>
      <c r="J1426" s="27"/>
      <c r="K1426" s="99"/>
      <c r="L1426" s="27">
        <v>14549</v>
      </c>
      <c r="M1426" s="29">
        <f t="shared" si="175"/>
        <v>2973</v>
      </c>
      <c r="N1426" s="29">
        <f>M1426</f>
        <v>2973</v>
      </c>
      <c r="O1426" s="44">
        <f t="shared" si="176"/>
        <v>0.16967241182513412</v>
      </c>
    </row>
    <row r="1427" spans="1:15" ht="20.100000000000001" customHeight="1" x14ac:dyDescent="0.25">
      <c r="A1427" s="89">
        <v>339</v>
      </c>
      <c r="B1427" s="4">
        <v>43572</v>
      </c>
      <c r="C1427" s="5" t="s">
        <v>380</v>
      </c>
      <c r="D1427" s="3">
        <v>13770</v>
      </c>
      <c r="E1427" s="4">
        <v>43573</v>
      </c>
      <c r="F1427" s="92" t="s">
        <v>28</v>
      </c>
      <c r="G1427" s="32">
        <v>43573</v>
      </c>
      <c r="H1427" s="27">
        <f t="shared" si="174"/>
        <v>13770</v>
      </c>
      <c r="I1427" s="27">
        <f>H1427</f>
        <v>13770</v>
      </c>
      <c r="J1427" s="27"/>
      <c r="K1427" s="99"/>
      <c r="L1427" s="27">
        <v>10112</v>
      </c>
      <c r="M1427" s="29">
        <f t="shared" si="175"/>
        <v>3658</v>
      </c>
      <c r="N1427" s="29">
        <f>M1427</f>
        <v>3658</v>
      </c>
      <c r="O1427" s="44">
        <f t="shared" si="176"/>
        <v>0.26564996368917937</v>
      </c>
    </row>
    <row r="1428" spans="1:15" ht="20.100000000000001" customHeight="1" x14ac:dyDescent="0.25">
      <c r="A1428" s="89">
        <v>326</v>
      </c>
      <c r="B1428" s="4">
        <v>43571</v>
      </c>
      <c r="C1428" s="26" t="s">
        <v>49</v>
      </c>
      <c r="D1428" s="3">
        <v>869</v>
      </c>
      <c r="E1428" s="4">
        <v>43573</v>
      </c>
      <c r="F1428" s="92" t="s">
        <v>28</v>
      </c>
      <c r="G1428" s="32">
        <v>43571</v>
      </c>
      <c r="H1428" s="27">
        <f t="shared" si="174"/>
        <v>869</v>
      </c>
      <c r="I1428" s="27"/>
      <c r="J1428" s="27"/>
      <c r="K1428" s="99"/>
      <c r="L1428" s="27">
        <v>648</v>
      </c>
      <c r="M1428" s="29">
        <f t="shared" si="175"/>
        <v>221</v>
      </c>
      <c r="N1428" s="29"/>
      <c r="O1428" s="44">
        <f t="shared" si="176"/>
        <v>0.25431530494821636</v>
      </c>
    </row>
    <row r="1429" spans="1:15" ht="20.100000000000001" customHeight="1" x14ac:dyDescent="0.25">
      <c r="A1429" s="89">
        <v>338</v>
      </c>
      <c r="B1429" s="4">
        <v>43572</v>
      </c>
      <c r="C1429" s="26" t="s">
        <v>169</v>
      </c>
      <c r="D1429" s="3">
        <v>15078</v>
      </c>
      <c r="E1429" s="4">
        <v>43573</v>
      </c>
      <c r="F1429" s="92" t="s">
        <v>28</v>
      </c>
      <c r="G1429" s="32">
        <v>43591</v>
      </c>
      <c r="H1429" s="27">
        <f t="shared" si="174"/>
        <v>15078</v>
      </c>
      <c r="I1429" s="27"/>
      <c r="J1429" s="27"/>
      <c r="K1429" s="99"/>
      <c r="L1429" s="27">
        <v>11185</v>
      </c>
      <c r="M1429" s="29">
        <f t="shared" si="175"/>
        <v>3893</v>
      </c>
      <c r="N1429" s="29"/>
      <c r="O1429" s="44">
        <f t="shared" si="176"/>
        <v>0.25819074147764953</v>
      </c>
    </row>
    <row r="1430" spans="1:15" ht="20.100000000000001" customHeight="1" x14ac:dyDescent="0.25">
      <c r="A1430" s="89">
        <v>325</v>
      </c>
      <c r="B1430" s="4">
        <v>43571</v>
      </c>
      <c r="C1430" s="26" t="s">
        <v>363</v>
      </c>
      <c r="D1430" s="3">
        <v>10760</v>
      </c>
      <c r="E1430" s="4">
        <v>43573</v>
      </c>
      <c r="F1430" s="92" t="s">
        <v>28</v>
      </c>
      <c r="G1430" s="32">
        <v>43571</v>
      </c>
      <c r="H1430" s="27">
        <f t="shared" si="174"/>
        <v>10760</v>
      </c>
      <c r="I1430" s="27"/>
      <c r="J1430" s="27"/>
      <c r="K1430" s="99"/>
      <c r="L1430" s="27">
        <v>8728</v>
      </c>
      <c r="M1430" s="29">
        <f t="shared" si="175"/>
        <v>2032</v>
      </c>
      <c r="N1430" s="29"/>
      <c r="O1430" s="44">
        <f t="shared" si="176"/>
        <v>0.18884758364312268</v>
      </c>
    </row>
    <row r="1431" spans="1:15" ht="20.100000000000001" customHeight="1" x14ac:dyDescent="0.25">
      <c r="A1431" s="89">
        <v>183</v>
      </c>
      <c r="B1431" s="4">
        <v>43560</v>
      </c>
      <c r="C1431" s="26" t="s">
        <v>180</v>
      </c>
      <c r="D1431" s="3">
        <v>5551</v>
      </c>
      <c r="E1431" s="4">
        <v>43573</v>
      </c>
      <c r="F1431" s="92" t="s">
        <v>28</v>
      </c>
      <c r="G1431" s="32">
        <v>43565</v>
      </c>
      <c r="H1431" s="27">
        <f t="shared" si="174"/>
        <v>5551</v>
      </c>
      <c r="I1431" s="27"/>
      <c r="J1431" s="27"/>
      <c r="K1431" s="99"/>
      <c r="L1431" s="27">
        <v>4329</v>
      </c>
      <c r="M1431" s="29">
        <f t="shared" si="175"/>
        <v>1222</v>
      </c>
      <c r="N1431" s="29"/>
      <c r="O1431" s="44">
        <f t="shared" si="176"/>
        <v>0.22014051522248243</v>
      </c>
    </row>
    <row r="1432" spans="1:15" ht="20.100000000000001" customHeight="1" x14ac:dyDescent="0.25">
      <c r="A1432" s="89">
        <v>283</v>
      </c>
      <c r="B1432" s="4">
        <v>43560</v>
      </c>
      <c r="C1432" s="26" t="s">
        <v>180</v>
      </c>
      <c r="D1432" s="3">
        <v>5490</v>
      </c>
      <c r="E1432" s="4">
        <v>43573</v>
      </c>
      <c r="F1432" s="92" t="s">
        <v>28</v>
      </c>
      <c r="G1432" s="32">
        <v>43565</v>
      </c>
      <c r="H1432" s="27">
        <f t="shared" si="174"/>
        <v>5490</v>
      </c>
      <c r="I1432" s="27"/>
      <c r="J1432" s="27"/>
      <c r="K1432" s="99"/>
      <c r="L1432" s="27">
        <v>4031</v>
      </c>
      <c r="M1432" s="29">
        <f t="shared" si="175"/>
        <v>1459</v>
      </c>
      <c r="N1432" s="29"/>
      <c r="O1432" s="44">
        <f t="shared" si="176"/>
        <v>0.26575591985428049</v>
      </c>
    </row>
    <row r="1433" spans="1:15" ht="20.100000000000001" customHeight="1" x14ac:dyDescent="0.25">
      <c r="A1433" s="89">
        <v>129</v>
      </c>
      <c r="B1433" s="4">
        <v>43515</v>
      </c>
      <c r="C1433" s="26" t="s">
        <v>65</v>
      </c>
      <c r="D1433" s="3">
        <v>127056</v>
      </c>
      <c r="E1433" s="4">
        <v>43573</v>
      </c>
      <c r="F1433" s="92" t="s">
        <v>28</v>
      </c>
      <c r="G1433" s="32">
        <v>43542</v>
      </c>
      <c r="H1433" s="27">
        <f t="shared" si="174"/>
        <v>127056</v>
      </c>
      <c r="I1433" s="27"/>
      <c r="J1433" s="27"/>
      <c r="K1433" s="99"/>
      <c r="L1433" s="27">
        <v>91984</v>
      </c>
      <c r="M1433" s="29">
        <f t="shared" si="175"/>
        <v>35072</v>
      </c>
      <c r="N1433" s="29"/>
      <c r="O1433" s="44">
        <f t="shared" si="176"/>
        <v>0.27603576375771316</v>
      </c>
    </row>
    <row r="1434" spans="1:15" ht="20.100000000000001" customHeight="1" x14ac:dyDescent="0.25">
      <c r="A1434" s="89">
        <v>31</v>
      </c>
      <c r="B1434" s="4">
        <v>43515</v>
      </c>
      <c r="C1434" s="26" t="s">
        <v>65</v>
      </c>
      <c r="D1434" s="3">
        <v>371973</v>
      </c>
      <c r="E1434" s="4">
        <v>43573</v>
      </c>
      <c r="F1434" s="92" t="s">
        <v>28</v>
      </c>
      <c r="G1434" s="32">
        <v>43542</v>
      </c>
      <c r="H1434" s="27">
        <v>154046.39999999999</v>
      </c>
      <c r="I1434" s="27"/>
      <c r="J1434" s="27"/>
      <c r="K1434" s="99"/>
      <c r="L1434" s="27">
        <v>123408</v>
      </c>
      <c r="M1434" s="29">
        <f t="shared" si="175"/>
        <v>30638.399999999994</v>
      </c>
      <c r="N1434" s="29"/>
      <c r="O1434" s="44">
        <f t="shared" si="176"/>
        <v>0.19889072383385781</v>
      </c>
    </row>
    <row r="1435" spans="1:15" ht="20.100000000000001" customHeight="1" x14ac:dyDescent="0.25">
      <c r="A1435" s="89">
        <v>339</v>
      </c>
      <c r="B1435" s="4">
        <v>43572</v>
      </c>
      <c r="C1435" s="5" t="s">
        <v>381</v>
      </c>
      <c r="D1435" s="3">
        <v>12490</v>
      </c>
      <c r="E1435" s="4">
        <v>43574</v>
      </c>
      <c r="F1435" s="92" t="s">
        <v>28</v>
      </c>
      <c r="G1435" s="32">
        <v>43577</v>
      </c>
      <c r="H1435" s="27">
        <f>D1435</f>
        <v>12490</v>
      </c>
      <c r="I1435" s="27">
        <f>H1435</f>
        <v>12490</v>
      </c>
      <c r="J1435" s="27"/>
      <c r="K1435" s="99"/>
      <c r="L1435" s="27">
        <v>9180</v>
      </c>
      <c r="M1435" s="29">
        <f t="shared" si="175"/>
        <v>3310</v>
      </c>
      <c r="N1435" s="29">
        <f>M1435</f>
        <v>3310</v>
      </c>
      <c r="O1435" s="44">
        <f t="shared" si="176"/>
        <v>0.26501200960768617</v>
      </c>
    </row>
    <row r="1436" spans="1:15" ht="20.100000000000001" customHeight="1" x14ac:dyDescent="0.25">
      <c r="A1436" s="89">
        <v>310</v>
      </c>
      <c r="B1436" s="4">
        <v>43567</v>
      </c>
      <c r="C1436" s="26" t="s">
        <v>383</v>
      </c>
      <c r="D1436" s="3">
        <v>1150</v>
      </c>
      <c r="E1436" s="4">
        <v>43579</v>
      </c>
      <c r="F1436" s="92" t="s">
        <v>28</v>
      </c>
      <c r="G1436" s="32">
        <v>43599</v>
      </c>
      <c r="H1436" s="27">
        <f>D1436</f>
        <v>1150</v>
      </c>
      <c r="I1436" s="27"/>
      <c r="J1436" s="27"/>
      <c r="K1436" s="99"/>
      <c r="L1436" s="27">
        <v>820</v>
      </c>
      <c r="M1436" s="29">
        <f t="shared" si="175"/>
        <v>330</v>
      </c>
      <c r="N1436" s="29"/>
      <c r="O1436" s="44">
        <f t="shared" si="176"/>
        <v>0.28695652173913044</v>
      </c>
    </row>
    <row r="1437" spans="1:15" ht="20.100000000000001" customHeight="1" x14ac:dyDescent="0.25">
      <c r="A1437" s="89">
        <v>355</v>
      </c>
      <c r="B1437" s="4">
        <v>43578</v>
      </c>
      <c r="C1437" s="5" t="s">
        <v>382</v>
      </c>
      <c r="D1437" s="3">
        <v>11119</v>
      </c>
      <c r="E1437" s="4">
        <v>43580</v>
      </c>
      <c r="F1437" s="92" t="s">
        <v>28</v>
      </c>
      <c r="G1437" s="32">
        <v>43579</v>
      </c>
      <c r="H1437" s="27">
        <f>D1437</f>
        <v>11119</v>
      </c>
      <c r="I1437" s="27">
        <f>H1437</f>
        <v>11119</v>
      </c>
      <c r="J1437" s="27"/>
      <c r="K1437" s="99"/>
      <c r="L1437" s="27">
        <v>8216</v>
      </c>
      <c r="M1437" s="29">
        <f t="shared" si="175"/>
        <v>2903</v>
      </c>
      <c r="N1437" s="29">
        <f>M1437</f>
        <v>2903</v>
      </c>
      <c r="O1437" s="44">
        <f t="shared" si="176"/>
        <v>0.26108462991276193</v>
      </c>
    </row>
    <row r="1438" spans="1:15" ht="20.100000000000001" customHeight="1" x14ac:dyDescent="0.25">
      <c r="A1438" s="89">
        <v>145</v>
      </c>
      <c r="B1438" s="4">
        <v>43522</v>
      </c>
      <c r="C1438" s="26" t="s">
        <v>38</v>
      </c>
      <c r="D1438" s="3">
        <v>290937.5</v>
      </c>
      <c r="E1438" s="4">
        <v>43580</v>
      </c>
      <c r="F1438" s="92" t="s">
        <v>28</v>
      </c>
      <c r="G1438" s="32">
        <v>43549</v>
      </c>
      <c r="H1438" s="27">
        <f>D1438</f>
        <v>290937.5</v>
      </c>
      <c r="I1438" s="27"/>
      <c r="J1438" s="27"/>
      <c r="K1438" s="99"/>
      <c r="L1438" s="27">
        <v>218876</v>
      </c>
      <c r="M1438" s="29">
        <f t="shared" si="175"/>
        <v>72061.5</v>
      </c>
      <c r="N1438" s="29"/>
      <c r="O1438" s="44">
        <f t="shared" si="176"/>
        <v>0.24768721804511279</v>
      </c>
    </row>
    <row r="1439" spans="1:15" ht="20.100000000000001" customHeight="1" x14ac:dyDescent="0.25">
      <c r="A1439" s="89">
        <v>31</v>
      </c>
      <c r="B1439" s="4">
        <v>43515</v>
      </c>
      <c r="C1439" s="26" t="s">
        <v>65</v>
      </c>
      <c r="D1439" s="3">
        <v>371973</v>
      </c>
      <c r="E1439" s="4">
        <v>43580</v>
      </c>
      <c r="F1439" s="92" t="s">
        <v>28</v>
      </c>
      <c r="G1439" s="32">
        <v>43556</v>
      </c>
      <c r="H1439" s="27">
        <v>21204</v>
      </c>
      <c r="I1439" s="27"/>
      <c r="J1439" s="27"/>
      <c r="K1439" s="99"/>
      <c r="L1439" s="27">
        <v>17631</v>
      </c>
      <c r="M1439" s="29">
        <f t="shared" si="175"/>
        <v>3573</v>
      </c>
      <c r="N1439" s="29"/>
      <c r="O1439" s="44">
        <f t="shared" si="176"/>
        <v>0.16850594227504245</v>
      </c>
    </row>
    <row r="1440" spans="1:15" ht="20.100000000000001" customHeight="1" x14ac:dyDescent="0.25">
      <c r="A1440" s="89">
        <v>314</v>
      </c>
      <c r="B1440" s="4">
        <v>43567</v>
      </c>
      <c r="C1440" s="26" t="s">
        <v>180</v>
      </c>
      <c r="D1440" s="3">
        <v>1688</v>
      </c>
      <c r="E1440" s="4">
        <v>43580</v>
      </c>
      <c r="F1440" s="92" t="s">
        <v>28</v>
      </c>
      <c r="G1440" s="32">
        <v>43572</v>
      </c>
      <c r="H1440" s="27">
        <f t="shared" ref="H1440:H1446" si="177">D1440</f>
        <v>1688</v>
      </c>
      <c r="I1440" s="27"/>
      <c r="J1440" s="27"/>
      <c r="K1440" s="99"/>
      <c r="L1440" s="27">
        <v>748</v>
      </c>
      <c r="M1440" s="29">
        <f t="shared" si="175"/>
        <v>940</v>
      </c>
      <c r="N1440" s="29"/>
      <c r="O1440" s="44">
        <f t="shared" si="176"/>
        <v>0.55687203791469198</v>
      </c>
    </row>
    <row r="1441" spans="1:15" ht="20.100000000000001" customHeight="1" x14ac:dyDescent="0.25">
      <c r="A1441" s="89">
        <v>356</v>
      </c>
      <c r="B1441" s="4">
        <v>43579</v>
      </c>
      <c r="C1441" s="26" t="s">
        <v>45</v>
      </c>
      <c r="D1441" s="3">
        <v>3148</v>
      </c>
      <c r="E1441" s="4">
        <v>43581</v>
      </c>
      <c r="F1441" s="92" t="s">
        <v>28</v>
      </c>
      <c r="G1441" s="32">
        <v>43584</v>
      </c>
      <c r="H1441" s="27">
        <f t="shared" si="177"/>
        <v>3148</v>
      </c>
      <c r="I1441" s="27"/>
      <c r="J1441" s="27"/>
      <c r="K1441" s="99"/>
      <c r="L1441" s="27">
        <v>2350</v>
      </c>
      <c r="M1441" s="29">
        <f t="shared" si="175"/>
        <v>798</v>
      </c>
      <c r="N1441" s="29"/>
      <c r="O1441" s="44">
        <f t="shared" si="176"/>
        <v>0.25349428208386277</v>
      </c>
    </row>
    <row r="1442" spans="1:15" ht="20.100000000000001" customHeight="1" x14ac:dyDescent="0.25">
      <c r="A1442" s="89">
        <v>334</v>
      </c>
      <c r="B1442" s="4">
        <v>43572</v>
      </c>
      <c r="C1442" s="26" t="s">
        <v>45</v>
      </c>
      <c r="D1442" s="3">
        <v>1232</v>
      </c>
      <c r="E1442" s="4">
        <v>43581</v>
      </c>
      <c r="F1442" s="92" t="s">
        <v>28</v>
      </c>
      <c r="G1442" s="32">
        <v>43592</v>
      </c>
      <c r="H1442" s="27">
        <f t="shared" si="177"/>
        <v>1232</v>
      </c>
      <c r="I1442" s="27"/>
      <c r="J1442" s="27"/>
      <c r="K1442" s="99"/>
      <c r="L1442" s="27">
        <v>961</v>
      </c>
      <c r="M1442" s="29">
        <f t="shared" si="175"/>
        <v>271</v>
      </c>
      <c r="N1442" s="29"/>
      <c r="O1442" s="44">
        <f t="shared" si="176"/>
        <v>0.21996753246753248</v>
      </c>
    </row>
    <row r="1443" spans="1:15" ht="20.100000000000001" customHeight="1" x14ac:dyDescent="0.25">
      <c r="A1443" s="89">
        <v>373</v>
      </c>
      <c r="B1443" s="4">
        <v>43581</v>
      </c>
      <c r="C1443" s="26" t="s">
        <v>149</v>
      </c>
      <c r="D1443" s="3">
        <v>2001</v>
      </c>
      <c r="E1443" s="4">
        <v>43581</v>
      </c>
      <c r="F1443" s="92" t="s">
        <v>28</v>
      </c>
      <c r="G1443" s="32">
        <v>43585</v>
      </c>
      <c r="H1443" s="27">
        <f t="shared" si="177"/>
        <v>2001</v>
      </c>
      <c r="I1443" s="27"/>
      <c r="J1443" s="27"/>
      <c r="K1443" s="99"/>
      <c r="L1443" s="27">
        <v>1376</v>
      </c>
      <c r="M1443" s="29">
        <f t="shared" si="175"/>
        <v>625</v>
      </c>
      <c r="N1443" s="29"/>
      <c r="O1443" s="44">
        <f t="shared" si="176"/>
        <v>0.31234382808595701</v>
      </c>
    </row>
    <row r="1444" spans="1:15" ht="20.100000000000001" customHeight="1" x14ac:dyDescent="0.25">
      <c r="A1444" s="89">
        <v>379</v>
      </c>
      <c r="B1444" s="4">
        <v>43584</v>
      </c>
      <c r="C1444" s="26" t="s">
        <v>12</v>
      </c>
      <c r="D1444" s="3">
        <v>5000</v>
      </c>
      <c r="E1444" s="4">
        <v>43584</v>
      </c>
      <c r="F1444" s="92" t="s">
        <v>28</v>
      </c>
      <c r="G1444" s="32">
        <v>43584</v>
      </c>
      <c r="H1444" s="27">
        <f t="shared" si="177"/>
        <v>5000</v>
      </c>
      <c r="I1444" s="27"/>
      <c r="J1444" s="27"/>
      <c r="K1444" s="99"/>
      <c r="L1444" s="27">
        <v>3000</v>
      </c>
      <c r="M1444" s="29">
        <f t="shared" si="175"/>
        <v>2000</v>
      </c>
      <c r="N1444" s="29"/>
      <c r="O1444" s="44">
        <f t="shared" si="176"/>
        <v>0.4</v>
      </c>
    </row>
    <row r="1445" spans="1:15" ht="20.100000000000001" customHeight="1" x14ac:dyDescent="0.25">
      <c r="A1445" s="89">
        <v>377</v>
      </c>
      <c r="B1445" s="4">
        <v>43581</v>
      </c>
      <c r="C1445" s="26" t="s">
        <v>216</v>
      </c>
      <c r="D1445" s="3">
        <v>1278</v>
      </c>
      <c r="E1445" s="4">
        <v>43584</v>
      </c>
      <c r="F1445" s="92" t="s">
        <v>28</v>
      </c>
      <c r="G1445" s="32">
        <v>43591</v>
      </c>
      <c r="H1445" s="27">
        <f t="shared" si="177"/>
        <v>1278</v>
      </c>
      <c r="I1445" s="27"/>
      <c r="J1445" s="27"/>
      <c r="K1445" s="99"/>
      <c r="L1445" s="27">
        <v>996</v>
      </c>
      <c r="M1445" s="29">
        <f t="shared" si="175"/>
        <v>282</v>
      </c>
      <c r="N1445" s="29"/>
      <c r="O1445" s="44">
        <f t="shared" si="176"/>
        <v>0.22065727699530516</v>
      </c>
    </row>
    <row r="1446" spans="1:15" ht="20.100000000000001" customHeight="1" x14ac:dyDescent="0.25">
      <c r="A1446" s="89">
        <v>386</v>
      </c>
      <c r="B1446" s="4">
        <v>43585</v>
      </c>
      <c r="C1446" s="5" t="s">
        <v>384</v>
      </c>
      <c r="D1446" s="3">
        <v>103113</v>
      </c>
      <c r="E1446" s="4">
        <v>43585</v>
      </c>
      <c r="F1446" s="92" t="s">
        <v>28</v>
      </c>
      <c r="G1446" s="32">
        <v>43585</v>
      </c>
      <c r="H1446" s="27">
        <f t="shared" si="177"/>
        <v>103113</v>
      </c>
      <c r="I1446" s="27">
        <f>H1446</f>
        <v>103113</v>
      </c>
      <c r="J1446" s="27"/>
      <c r="K1446" s="99"/>
      <c r="L1446" s="27">
        <v>82680</v>
      </c>
      <c r="M1446" s="29">
        <f t="shared" si="175"/>
        <v>20433</v>
      </c>
      <c r="N1446" s="29">
        <f>M1446</f>
        <v>20433</v>
      </c>
      <c r="O1446" s="44">
        <f t="shared" si="176"/>
        <v>0.19816124058072213</v>
      </c>
    </row>
    <row r="1447" spans="1:15" ht="19.5" customHeight="1" x14ac:dyDescent="0.25">
      <c r="A1447" s="89"/>
      <c r="B1447" s="4"/>
      <c r="C1447" s="5"/>
      <c r="D1447" s="3"/>
      <c r="E1447" s="97">
        <v>109050</v>
      </c>
      <c r="F1447" s="98">
        <f>M1447*0.17+N1447*0.06</f>
        <v>109054.13950000002</v>
      </c>
      <c r="G1447" s="21">
        <f>H1447*0.05+I1447*0.02</f>
        <v>113933.4895</v>
      </c>
      <c r="H1447" s="16">
        <f t="shared" ref="H1447:N1447" si="178">SUM(H1406:H1446)</f>
        <v>2149215.5499999998</v>
      </c>
      <c r="I1447" s="16">
        <f t="shared" si="178"/>
        <v>323635.59999999998</v>
      </c>
      <c r="J1447" s="16">
        <f t="shared" si="178"/>
        <v>45000</v>
      </c>
      <c r="K1447" s="16">
        <f t="shared" si="178"/>
        <v>0</v>
      </c>
      <c r="L1447" s="16">
        <f t="shared" si="178"/>
        <v>1487816</v>
      </c>
      <c r="M1447" s="16">
        <f t="shared" si="178"/>
        <v>616399.55000000005</v>
      </c>
      <c r="N1447" s="16">
        <f t="shared" si="178"/>
        <v>71103.600000000006</v>
      </c>
      <c r="O1447" s="44">
        <f t="shared" si="176"/>
        <v>0.2868021078667517</v>
      </c>
    </row>
    <row r="1448" spans="1:15" ht="23.25" x14ac:dyDescent="0.35">
      <c r="B1448" s="94"/>
      <c r="C1448" s="94" t="s">
        <v>639</v>
      </c>
    </row>
    <row r="1449" spans="1:15" ht="20.100000000000001" customHeight="1" x14ac:dyDescent="0.25">
      <c r="A1449" s="89">
        <v>374</v>
      </c>
      <c r="B1449" s="4">
        <v>43581</v>
      </c>
      <c r="C1449" s="5" t="s">
        <v>385</v>
      </c>
      <c r="D1449" s="3">
        <v>31890</v>
      </c>
      <c r="E1449" s="4">
        <v>43591</v>
      </c>
      <c r="F1449" s="92" t="s">
        <v>28</v>
      </c>
      <c r="G1449" s="32">
        <v>43599</v>
      </c>
      <c r="H1449" s="27">
        <f t="shared" ref="H1449:H1473" si="179">D1449</f>
        <v>31890</v>
      </c>
      <c r="I1449" s="27">
        <f>H1449</f>
        <v>31890</v>
      </c>
      <c r="J1449" s="27"/>
      <c r="K1449" s="99"/>
      <c r="L1449" s="27">
        <v>20996</v>
      </c>
      <c r="M1449" s="29">
        <f t="shared" ref="M1449:M1473" si="180">H1449-L1449-J1449-K1449</f>
        <v>10894</v>
      </c>
      <c r="N1449" s="29">
        <f>M1449</f>
        <v>10894</v>
      </c>
      <c r="O1449" s="44">
        <f t="shared" ref="O1449:O1474" si="181">M1449/H1449</f>
        <v>0.34161179052994667</v>
      </c>
    </row>
    <row r="1450" spans="1:15" ht="20.100000000000001" customHeight="1" x14ac:dyDescent="0.25">
      <c r="A1450" s="89">
        <v>144</v>
      </c>
      <c r="B1450" s="4">
        <v>43524</v>
      </c>
      <c r="C1450" s="26" t="s">
        <v>38</v>
      </c>
      <c r="D1450" s="3">
        <v>21404</v>
      </c>
      <c r="E1450" s="4">
        <v>43592</v>
      </c>
      <c r="F1450" s="92" t="s">
        <v>28</v>
      </c>
      <c r="G1450" s="32">
        <v>43570</v>
      </c>
      <c r="H1450" s="27">
        <f t="shared" si="179"/>
        <v>21404</v>
      </c>
      <c r="I1450" s="27"/>
      <c r="J1450" s="27"/>
      <c r="K1450" s="99"/>
      <c r="L1450" s="27">
        <v>16443</v>
      </c>
      <c r="M1450" s="29">
        <f t="shared" si="180"/>
        <v>4961</v>
      </c>
      <c r="N1450" s="29"/>
      <c r="O1450" s="44">
        <f t="shared" si="181"/>
        <v>0.23177910670902635</v>
      </c>
    </row>
    <row r="1451" spans="1:15" ht="20.100000000000001" customHeight="1" x14ac:dyDescent="0.25">
      <c r="A1451" s="89">
        <v>191</v>
      </c>
      <c r="B1451" s="92">
        <v>43544</v>
      </c>
      <c r="C1451" s="26" t="s">
        <v>38</v>
      </c>
      <c r="D1451" s="3">
        <v>36921</v>
      </c>
      <c r="E1451" s="4">
        <v>43592</v>
      </c>
      <c r="F1451" s="92" t="s">
        <v>28</v>
      </c>
      <c r="G1451" s="32">
        <v>43570</v>
      </c>
      <c r="H1451" s="27">
        <f t="shared" si="179"/>
        <v>36921</v>
      </c>
      <c r="I1451" s="27"/>
      <c r="J1451" s="27"/>
      <c r="K1451" s="99"/>
      <c r="L1451" s="27">
        <v>28797</v>
      </c>
      <c r="M1451" s="29">
        <f t="shared" si="180"/>
        <v>8124</v>
      </c>
      <c r="N1451" s="29"/>
      <c r="O1451" s="44">
        <f t="shared" si="181"/>
        <v>0.22003737710246202</v>
      </c>
    </row>
    <row r="1452" spans="1:15" ht="20.100000000000001" customHeight="1" x14ac:dyDescent="0.25">
      <c r="A1452" s="89">
        <v>192</v>
      </c>
      <c r="B1452" s="92">
        <v>43544</v>
      </c>
      <c r="C1452" s="26" t="s">
        <v>38</v>
      </c>
      <c r="D1452" s="3">
        <v>63990</v>
      </c>
      <c r="E1452" s="4">
        <v>43592</v>
      </c>
      <c r="F1452" s="92" t="s">
        <v>28</v>
      </c>
      <c r="G1452" s="32">
        <v>43570</v>
      </c>
      <c r="H1452" s="27">
        <f t="shared" si="179"/>
        <v>63990</v>
      </c>
      <c r="I1452" s="27"/>
      <c r="J1452" s="27"/>
      <c r="K1452" s="99"/>
      <c r="L1452" s="27">
        <v>48840</v>
      </c>
      <c r="M1452" s="29">
        <f t="shared" si="180"/>
        <v>15150</v>
      </c>
      <c r="N1452" s="29"/>
      <c r="O1452" s="44">
        <f t="shared" si="181"/>
        <v>0.236755743084857</v>
      </c>
    </row>
    <row r="1453" spans="1:15" ht="20.100000000000001" customHeight="1" x14ac:dyDescent="0.25">
      <c r="A1453" s="89">
        <v>397</v>
      </c>
      <c r="B1453" s="4">
        <v>43585</v>
      </c>
      <c r="C1453" s="26" t="s">
        <v>91</v>
      </c>
      <c r="D1453" s="3">
        <v>10034</v>
      </c>
      <c r="E1453" s="4">
        <v>43598</v>
      </c>
      <c r="F1453" s="92" t="s">
        <v>28</v>
      </c>
      <c r="G1453" s="32">
        <v>43585</v>
      </c>
      <c r="H1453" s="27">
        <f t="shared" si="179"/>
        <v>10034</v>
      </c>
      <c r="I1453" s="27"/>
      <c r="J1453" s="27"/>
      <c r="K1453" s="99"/>
      <c r="L1453" s="27">
        <v>7824</v>
      </c>
      <c r="M1453" s="29">
        <f t="shared" si="180"/>
        <v>2210</v>
      </c>
      <c r="N1453" s="29"/>
      <c r="O1453" s="44">
        <f t="shared" si="181"/>
        <v>0.22025114610324895</v>
      </c>
    </row>
    <row r="1454" spans="1:15" ht="20.100000000000001" customHeight="1" x14ac:dyDescent="0.25">
      <c r="A1454" s="89">
        <v>387</v>
      </c>
      <c r="B1454" s="4">
        <v>43585</v>
      </c>
      <c r="C1454" s="26" t="s">
        <v>149</v>
      </c>
      <c r="D1454" s="3">
        <v>4224</v>
      </c>
      <c r="E1454" s="4">
        <v>43598</v>
      </c>
      <c r="F1454" s="92" t="s">
        <v>28</v>
      </c>
      <c r="G1454" s="32">
        <v>43609</v>
      </c>
      <c r="H1454" s="27">
        <f t="shared" si="179"/>
        <v>4224</v>
      </c>
      <c r="I1454" s="27"/>
      <c r="J1454" s="27"/>
      <c r="K1454" s="99"/>
      <c r="L1454" s="27">
        <v>2788</v>
      </c>
      <c r="M1454" s="29">
        <f t="shared" si="180"/>
        <v>1436</v>
      </c>
      <c r="N1454" s="29"/>
      <c r="O1454" s="44">
        <f t="shared" si="181"/>
        <v>0.33996212121212122</v>
      </c>
    </row>
    <row r="1455" spans="1:15" ht="20.100000000000001" customHeight="1" x14ac:dyDescent="0.25">
      <c r="A1455" s="89">
        <v>404</v>
      </c>
      <c r="B1455" s="4">
        <v>43591</v>
      </c>
      <c r="C1455" s="26" t="s">
        <v>228</v>
      </c>
      <c r="D1455" s="3">
        <v>25165</v>
      </c>
      <c r="E1455" s="4">
        <v>43599</v>
      </c>
      <c r="F1455" s="92" t="s">
        <v>28</v>
      </c>
      <c r="G1455" s="32">
        <v>43629</v>
      </c>
      <c r="H1455" s="27">
        <f t="shared" si="179"/>
        <v>25165</v>
      </c>
      <c r="I1455" s="27"/>
      <c r="J1455" s="27"/>
      <c r="K1455" s="99"/>
      <c r="L1455" s="27">
        <v>18254</v>
      </c>
      <c r="M1455" s="29">
        <f t="shared" si="180"/>
        <v>6911</v>
      </c>
      <c r="N1455" s="29"/>
      <c r="O1455" s="44">
        <f t="shared" si="181"/>
        <v>0.27462745877210409</v>
      </c>
    </row>
    <row r="1456" spans="1:15" ht="20.100000000000001" customHeight="1" x14ac:dyDescent="0.25">
      <c r="A1456" s="89">
        <v>427</v>
      </c>
      <c r="B1456" s="4">
        <v>43599</v>
      </c>
      <c r="C1456" s="26" t="s">
        <v>372</v>
      </c>
      <c r="D1456" s="3">
        <v>6929</v>
      </c>
      <c r="E1456" s="4">
        <v>43600</v>
      </c>
      <c r="F1456" s="92" t="s">
        <v>28</v>
      </c>
      <c r="G1456" s="32">
        <v>43601</v>
      </c>
      <c r="H1456" s="27">
        <f t="shared" si="179"/>
        <v>6929</v>
      </c>
      <c r="I1456" s="27"/>
      <c r="J1456" s="27"/>
      <c r="K1456" s="99"/>
      <c r="L1456" s="27">
        <v>5039</v>
      </c>
      <c r="M1456" s="29">
        <f t="shared" si="180"/>
        <v>1890</v>
      </c>
      <c r="N1456" s="29"/>
      <c r="O1456" s="44">
        <f t="shared" si="181"/>
        <v>0.27276663299177373</v>
      </c>
    </row>
    <row r="1457" spans="1:15" ht="20.100000000000001" customHeight="1" x14ac:dyDescent="0.25">
      <c r="A1457" s="89">
        <v>322</v>
      </c>
      <c r="B1457" s="4">
        <v>43570</v>
      </c>
      <c r="C1457" s="26" t="s">
        <v>209</v>
      </c>
      <c r="D1457" s="3">
        <v>2190</v>
      </c>
      <c r="E1457" s="4">
        <v>43600</v>
      </c>
      <c r="F1457" s="92" t="s">
        <v>28</v>
      </c>
      <c r="G1457" s="32">
        <v>43570</v>
      </c>
      <c r="H1457" s="27">
        <f t="shared" si="179"/>
        <v>2190</v>
      </c>
      <c r="I1457" s="27"/>
      <c r="J1457" s="27"/>
      <c r="K1457" s="99"/>
      <c r="L1457" s="27">
        <v>1358</v>
      </c>
      <c r="M1457" s="29">
        <f t="shared" si="180"/>
        <v>832</v>
      </c>
      <c r="N1457" s="29"/>
      <c r="O1457" s="44">
        <f t="shared" si="181"/>
        <v>0.37990867579908677</v>
      </c>
    </row>
    <row r="1458" spans="1:15" ht="20.100000000000001" customHeight="1" x14ac:dyDescent="0.25">
      <c r="A1458" s="89">
        <v>435</v>
      </c>
      <c r="B1458" s="4">
        <v>43601</v>
      </c>
      <c r="C1458" s="5" t="s">
        <v>386</v>
      </c>
      <c r="D1458" s="3">
        <v>3142</v>
      </c>
      <c r="E1458" s="4">
        <v>43601</v>
      </c>
      <c r="F1458" s="92" t="s">
        <v>28</v>
      </c>
      <c r="G1458" s="32">
        <v>43601</v>
      </c>
      <c r="H1458" s="27">
        <f t="shared" si="179"/>
        <v>3142</v>
      </c>
      <c r="I1458" s="27">
        <f>H1458</f>
        <v>3142</v>
      </c>
      <c r="J1458" s="27"/>
      <c r="K1458" s="99"/>
      <c r="L1458" s="27">
        <v>2450</v>
      </c>
      <c r="M1458" s="29">
        <f t="shared" si="180"/>
        <v>692</v>
      </c>
      <c r="N1458" s="29">
        <f>M1458</f>
        <v>692</v>
      </c>
      <c r="O1458" s="44">
        <f t="shared" si="181"/>
        <v>0.22024188415022278</v>
      </c>
    </row>
    <row r="1459" spans="1:15" ht="20.100000000000001" customHeight="1" x14ac:dyDescent="0.25">
      <c r="A1459" s="89">
        <v>410</v>
      </c>
      <c r="B1459" s="4">
        <v>43592</v>
      </c>
      <c r="C1459" s="5" t="s">
        <v>387</v>
      </c>
      <c r="D1459" s="3">
        <v>44619</v>
      </c>
      <c r="E1459" s="4">
        <v>43601</v>
      </c>
      <c r="F1459" s="92" t="s">
        <v>28</v>
      </c>
      <c r="G1459" s="32">
        <v>43622</v>
      </c>
      <c r="H1459" s="27">
        <f t="shared" si="179"/>
        <v>44619</v>
      </c>
      <c r="I1459" s="27">
        <f>H1459</f>
        <v>44619</v>
      </c>
      <c r="J1459" s="27"/>
      <c r="K1459" s="99"/>
      <c r="L1459" s="27">
        <v>33010</v>
      </c>
      <c r="M1459" s="29">
        <f t="shared" si="180"/>
        <v>11609</v>
      </c>
      <c r="N1459" s="29">
        <f>M1459</f>
        <v>11609</v>
      </c>
      <c r="O1459" s="44">
        <f t="shared" si="181"/>
        <v>0.26018064053430151</v>
      </c>
    </row>
    <row r="1460" spans="1:15" ht="20.100000000000001" customHeight="1" x14ac:dyDescent="0.25">
      <c r="A1460" s="89">
        <v>416</v>
      </c>
      <c r="B1460" s="4">
        <v>43593</v>
      </c>
      <c r="C1460" s="26" t="s">
        <v>230</v>
      </c>
      <c r="D1460" s="3">
        <v>34990</v>
      </c>
      <c r="E1460" s="4">
        <v>43605</v>
      </c>
      <c r="F1460" s="92" t="s">
        <v>28</v>
      </c>
      <c r="G1460" s="32">
        <v>43609</v>
      </c>
      <c r="H1460" s="27">
        <f t="shared" si="179"/>
        <v>34990</v>
      </c>
      <c r="I1460" s="27"/>
      <c r="J1460" s="27"/>
      <c r="K1460" s="99"/>
      <c r="L1460" s="27">
        <v>25717</v>
      </c>
      <c r="M1460" s="29">
        <f t="shared" si="180"/>
        <v>9273</v>
      </c>
      <c r="N1460" s="29"/>
      <c r="O1460" s="44">
        <f t="shared" si="181"/>
        <v>0.26501857673621032</v>
      </c>
    </row>
    <row r="1461" spans="1:15" ht="20.100000000000001" customHeight="1" x14ac:dyDescent="0.25">
      <c r="A1461" s="89">
        <v>441</v>
      </c>
      <c r="B1461" s="4">
        <v>43602</v>
      </c>
      <c r="C1461" s="26" t="s">
        <v>49</v>
      </c>
      <c r="D1461" s="3">
        <v>17815</v>
      </c>
      <c r="E1461" s="4">
        <v>43606</v>
      </c>
      <c r="F1461" s="92" t="s">
        <v>28</v>
      </c>
      <c r="G1461" s="32">
        <v>43622</v>
      </c>
      <c r="H1461" s="27">
        <f t="shared" si="179"/>
        <v>17815</v>
      </c>
      <c r="I1461" s="27"/>
      <c r="J1461" s="27"/>
      <c r="K1461" s="99"/>
      <c r="L1461" s="27">
        <v>11582</v>
      </c>
      <c r="M1461" s="29">
        <f t="shared" si="180"/>
        <v>6233</v>
      </c>
      <c r="N1461" s="29"/>
      <c r="O1461" s="44">
        <f t="shared" si="181"/>
        <v>0.3498737019365703</v>
      </c>
    </row>
    <row r="1462" spans="1:15" ht="20.100000000000001" customHeight="1" x14ac:dyDescent="0.25">
      <c r="A1462" s="89">
        <v>459</v>
      </c>
      <c r="B1462" s="4">
        <v>43606</v>
      </c>
      <c r="C1462" s="26" t="s">
        <v>149</v>
      </c>
      <c r="D1462" s="3">
        <v>4224</v>
      </c>
      <c r="E1462" s="4">
        <v>43606</v>
      </c>
      <c r="F1462" s="92" t="s">
        <v>28</v>
      </c>
      <c r="G1462" s="32">
        <v>43615</v>
      </c>
      <c r="H1462" s="27">
        <f t="shared" si="179"/>
        <v>4224</v>
      </c>
      <c r="I1462" s="27"/>
      <c r="J1462" s="27"/>
      <c r="K1462" s="99"/>
      <c r="L1462" s="27">
        <v>2788</v>
      </c>
      <c r="M1462" s="29">
        <f t="shared" si="180"/>
        <v>1436</v>
      </c>
      <c r="N1462" s="29"/>
      <c r="O1462" s="44">
        <f t="shared" si="181"/>
        <v>0.33996212121212122</v>
      </c>
    </row>
    <row r="1463" spans="1:15" ht="20.100000000000001" customHeight="1" x14ac:dyDescent="0.25">
      <c r="A1463" s="89">
        <v>450</v>
      </c>
      <c r="B1463" s="4">
        <v>43605</v>
      </c>
      <c r="C1463" s="26" t="s">
        <v>370</v>
      </c>
      <c r="D1463" s="3">
        <v>4820</v>
      </c>
      <c r="E1463" s="4">
        <v>43607</v>
      </c>
      <c r="F1463" s="92" t="s">
        <v>28</v>
      </c>
      <c r="G1463" s="32">
        <v>43605</v>
      </c>
      <c r="H1463" s="27">
        <f t="shared" si="179"/>
        <v>4820</v>
      </c>
      <c r="I1463" s="27"/>
      <c r="J1463" s="27"/>
      <c r="K1463" s="99"/>
      <c r="L1463" s="27">
        <v>3759</v>
      </c>
      <c r="M1463" s="29">
        <f t="shared" si="180"/>
        <v>1061</v>
      </c>
      <c r="N1463" s="29"/>
      <c r="O1463" s="44">
        <f t="shared" si="181"/>
        <v>0.22012448132780082</v>
      </c>
    </row>
    <row r="1464" spans="1:15" ht="20.100000000000001" customHeight="1" x14ac:dyDescent="0.25">
      <c r="A1464" s="89">
        <v>443</v>
      </c>
      <c r="B1464" s="4">
        <v>43602</v>
      </c>
      <c r="C1464" s="26" t="s">
        <v>45</v>
      </c>
      <c r="D1464" s="3">
        <v>4360</v>
      </c>
      <c r="E1464" s="4">
        <v>43607</v>
      </c>
      <c r="F1464" s="92" t="s">
        <v>28</v>
      </c>
      <c r="G1464" s="32">
        <v>43633</v>
      </c>
      <c r="H1464" s="27">
        <f t="shared" si="179"/>
        <v>4360</v>
      </c>
      <c r="I1464" s="27"/>
      <c r="J1464" s="27"/>
      <c r="K1464" s="99"/>
      <c r="L1464" s="27">
        <v>3375</v>
      </c>
      <c r="M1464" s="29">
        <f t="shared" si="180"/>
        <v>985</v>
      </c>
      <c r="N1464" s="29"/>
      <c r="O1464" s="44">
        <f t="shared" si="181"/>
        <v>0.22591743119266056</v>
      </c>
    </row>
    <row r="1465" spans="1:15" ht="20.100000000000001" customHeight="1" x14ac:dyDescent="0.25">
      <c r="A1465" s="89">
        <v>351</v>
      </c>
      <c r="B1465" s="92">
        <v>43577</v>
      </c>
      <c r="C1465" s="26" t="s">
        <v>13</v>
      </c>
      <c r="D1465" s="3">
        <v>7700</v>
      </c>
      <c r="E1465" s="4">
        <v>43607</v>
      </c>
      <c r="F1465" s="92" t="s">
        <v>28</v>
      </c>
      <c r="G1465" s="32">
        <v>43593</v>
      </c>
      <c r="H1465" s="27">
        <f t="shared" si="179"/>
        <v>7700</v>
      </c>
      <c r="I1465" s="27"/>
      <c r="J1465" s="27"/>
      <c r="K1465" s="99"/>
      <c r="L1465" s="27">
        <v>6005</v>
      </c>
      <c r="M1465" s="29">
        <f t="shared" si="180"/>
        <v>1695</v>
      </c>
      <c r="N1465" s="29"/>
      <c r="O1465" s="44">
        <f t="shared" si="181"/>
        <v>0.22012987012987012</v>
      </c>
    </row>
    <row r="1466" spans="1:15" ht="20.100000000000001" customHeight="1" x14ac:dyDescent="0.25">
      <c r="A1466" s="89">
        <v>476</v>
      </c>
      <c r="B1466" s="92">
        <v>43605</v>
      </c>
      <c r="C1466" s="26" t="s">
        <v>281</v>
      </c>
      <c r="D1466" s="3">
        <v>2258</v>
      </c>
      <c r="E1466" s="4">
        <v>43607</v>
      </c>
      <c r="F1466" s="92" t="s">
        <v>28</v>
      </c>
      <c r="G1466" s="32">
        <v>43608</v>
      </c>
      <c r="H1466" s="27">
        <f t="shared" si="179"/>
        <v>2258</v>
      </c>
      <c r="I1466" s="27"/>
      <c r="J1466" s="27"/>
      <c r="K1466" s="99"/>
      <c r="L1466" s="27">
        <v>1760</v>
      </c>
      <c r="M1466" s="29">
        <f t="shared" si="180"/>
        <v>498</v>
      </c>
      <c r="N1466" s="29"/>
      <c r="O1466" s="44">
        <f t="shared" si="181"/>
        <v>0.22054915854738708</v>
      </c>
    </row>
    <row r="1467" spans="1:15" ht="20.100000000000001" customHeight="1" x14ac:dyDescent="0.25">
      <c r="A1467" s="89">
        <v>478</v>
      </c>
      <c r="B1467" s="92">
        <v>43608</v>
      </c>
      <c r="C1467" s="5" t="s">
        <v>388</v>
      </c>
      <c r="D1467" s="3">
        <v>13770</v>
      </c>
      <c r="E1467" s="4">
        <v>43608</v>
      </c>
      <c r="F1467" s="92" t="s">
        <v>28</v>
      </c>
      <c r="G1467" s="32">
        <v>43609</v>
      </c>
      <c r="H1467" s="27">
        <f t="shared" si="179"/>
        <v>13770</v>
      </c>
      <c r="I1467" s="27">
        <f>H1467</f>
        <v>13770</v>
      </c>
      <c r="J1467" s="27"/>
      <c r="K1467" s="99"/>
      <c r="L1467" s="27">
        <v>10112</v>
      </c>
      <c r="M1467" s="29">
        <f t="shared" si="180"/>
        <v>3658</v>
      </c>
      <c r="N1467" s="29">
        <f>M1467</f>
        <v>3658</v>
      </c>
      <c r="O1467" s="44">
        <f t="shared" si="181"/>
        <v>0.26564996368917937</v>
      </c>
    </row>
    <row r="1468" spans="1:15" ht="20.100000000000001" customHeight="1" x14ac:dyDescent="0.25">
      <c r="A1468" s="89">
        <v>473</v>
      </c>
      <c r="B1468" s="92">
        <v>43607</v>
      </c>
      <c r="C1468" s="26" t="s">
        <v>83</v>
      </c>
      <c r="D1468" s="3">
        <v>4000</v>
      </c>
      <c r="E1468" s="4">
        <v>43608</v>
      </c>
      <c r="F1468" s="92" t="s">
        <v>28</v>
      </c>
      <c r="G1468" s="32">
        <v>43613</v>
      </c>
      <c r="H1468" s="27">
        <f t="shared" si="179"/>
        <v>4000</v>
      </c>
      <c r="I1468" s="27"/>
      <c r="J1468" s="27"/>
      <c r="K1468" s="99">
        <v>600</v>
      </c>
      <c r="L1468" s="27">
        <v>1574</v>
      </c>
      <c r="M1468" s="29">
        <f t="shared" si="180"/>
        <v>1826</v>
      </c>
      <c r="N1468" s="29"/>
      <c r="O1468" s="44">
        <f t="shared" si="181"/>
        <v>0.45650000000000002</v>
      </c>
    </row>
    <row r="1469" spans="1:15" ht="20.100000000000001" customHeight="1" x14ac:dyDescent="0.25">
      <c r="A1469" s="89">
        <v>481</v>
      </c>
      <c r="B1469" s="92">
        <v>43608</v>
      </c>
      <c r="C1469" s="5" t="s">
        <v>389</v>
      </c>
      <c r="D1469" s="3">
        <v>55580</v>
      </c>
      <c r="E1469" s="4">
        <v>43608</v>
      </c>
      <c r="F1469" s="92" t="s">
        <v>28</v>
      </c>
      <c r="G1469" s="32">
        <v>43609</v>
      </c>
      <c r="H1469" s="27">
        <f t="shared" si="179"/>
        <v>55580</v>
      </c>
      <c r="I1469" s="27">
        <f>H1469</f>
        <v>55580</v>
      </c>
      <c r="J1469" s="27"/>
      <c r="K1469" s="99"/>
      <c r="L1469" s="27">
        <v>40474</v>
      </c>
      <c r="M1469" s="29">
        <f t="shared" si="180"/>
        <v>15106</v>
      </c>
      <c r="N1469" s="29">
        <f>M1469</f>
        <v>15106</v>
      </c>
      <c r="O1469" s="44">
        <f t="shared" si="181"/>
        <v>0.27178841309823676</v>
      </c>
    </row>
    <row r="1470" spans="1:15" ht="20.100000000000001" customHeight="1" x14ac:dyDescent="0.25">
      <c r="A1470" s="89">
        <v>452</v>
      </c>
      <c r="B1470" s="4">
        <v>43605</v>
      </c>
      <c r="C1470" s="26" t="s">
        <v>270</v>
      </c>
      <c r="D1470" s="3">
        <v>3387</v>
      </c>
      <c r="E1470" s="4">
        <v>43612</v>
      </c>
      <c r="F1470" s="92" t="s">
        <v>28</v>
      </c>
      <c r="G1470" s="32">
        <v>43605</v>
      </c>
      <c r="H1470" s="27">
        <f t="shared" si="179"/>
        <v>3387</v>
      </c>
      <c r="I1470" s="27"/>
      <c r="J1470" s="27"/>
      <c r="K1470" s="99"/>
      <c r="L1470" s="27">
        <v>2640</v>
      </c>
      <c r="M1470" s="29">
        <f t="shared" si="180"/>
        <v>747</v>
      </c>
      <c r="N1470" s="29"/>
      <c r="O1470" s="44">
        <f t="shared" si="181"/>
        <v>0.22054915854738708</v>
      </c>
    </row>
    <row r="1471" spans="1:15" ht="20.100000000000001" customHeight="1" x14ac:dyDescent="0.25">
      <c r="A1471" s="89">
        <v>256</v>
      </c>
      <c r="B1471" s="4">
        <v>43602</v>
      </c>
      <c r="C1471" s="26" t="s">
        <v>99</v>
      </c>
      <c r="D1471" s="3">
        <v>208464</v>
      </c>
      <c r="E1471" s="4">
        <v>43613</v>
      </c>
      <c r="F1471" s="92" t="s">
        <v>28</v>
      </c>
      <c r="G1471" s="32">
        <v>43602</v>
      </c>
      <c r="H1471" s="27">
        <f t="shared" si="179"/>
        <v>208464</v>
      </c>
      <c r="I1471" s="27"/>
      <c r="J1471" s="27">
        <v>39000</v>
      </c>
      <c r="K1471" s="99">
        <f>13*600</f>
        <v>7800</v>
      </c>
      <c r="L1471" s="27">
        <v>60357</v>
      </c>
      <c r="M1471" s="29">
        <f t="shared" si="180"/>
        <v>101307</v>
      </c>
      <c r="N1471" s="29"/>
      <c r="O1471" s="44">
        <f t="shared" si="181"/>
        <v>0.48596880036840895</v>
      </c>
    </row>
    <row r="1472" spans="1:15" ht="20.100000000000001" customHeight="1" x14ac:dyDescent="0.25">
      <c r="A1472" s="89">
        <v>502</v>
      </c>
      <c r="B1472" s="4">
        <v>43614</v>
      </c>
      <c r="C1472" s="5" t="s">
        <v>390</v>
      </c>
      <c r="D1472" s="3">
        <v>36990</v>
      </c>
      <c r="E1472" s="4">
        <v>43614</v>
      </c>
      <c r="F1472" s="92" t="s">
        <v>28</v>
      </c>
      <c r="G1472" s="32">
        <v>43615</v>
      </c>
      <c r="H1472" s="27">
        <f t="shared" si="179"/>
        <v>36990</v>
      </c>
      <c r="I1472" s="27">
        <f>H1472</f>
        <v>36990</v>
      </c>
      <c r="J1472" s="27"/>
      <c r="K1472" s="99"/>
      <c r="L1472" s="27">
        <v>27165</v>
      </c>
      <c r="M1472" s="29">
        <f t="shared" si="180"/>
        <v>9825</v>
      </c>
      <c r="N1472" s="29">
        <f>M1472</f>
        <v>9825</v>
      </c>
      <c r="O1472" s="44">
        <f t="shared" si="181"/>
        <v>0.2656123276561233</v>
      </c>
    </row>
    <row r="1473" spans="1:15" ht="20.100000000000001" customHeight="1" x14ac:dyDescent="0.25">
      <c r="A1473" s="89">
        <v>503</v>
      </c>
      <c r="B1473" s="4">
        <v>43614</v>
      </c>
      <c r="C1473" s="5" t="s">
        <v>391</v>
      </c>
      <c r="D1473" s="3">
        <v>14490</v>
      </c>
      <c r="E1473" s="4">
        <v>43615</v>
      </c>
      <c r="F1473" s="92" t="s">
        <v>28</v>
      </c>
      <c r="G1473" s="32">
        <v>43619</v>
      </c>
      <c r="H1473" s="27">
        <f t="shared" si="179"/>
        <v>14490</v>
      </c>
      <c r="I1473" s="27">
        <f>H1473</f>
        <v>14490</v>
      </c>
      <c r="J1473" s="27"/>
      <c r="K1473" s="99"/>
      <c r="L1473" s="27">
        <v>10650</v>
      </c>
      <c r="M1473" s="29">
        <f t="shared" si="180"/>
        <v>3840</v>
      </c>
      <c r="N1473" s="29">
        <f>M1473</f>
        <v>3840</v>
      </c>
      <c r="O1473" s="44">
        <f t="shared" si="181"/>
        <v>0.26501035196687373</v>
      </c>
    </row>
    <row r="1474" spans="1:15" ht="19.5" customHeight="1" x14ac:dyDescent="0.25">
      <c r="A1474" s="89"/>
      <c r="B1474" s="4"/>
      <c r="C1474" s="5"/>
      <c r="D1474" s="3"/>
      <c r="E1474" s="97">
        <v>30000</v>
      </c>
      <c r="F1474" s="98">
        <f>M1474*0.12+N1474*0.06</f>
        <v>30001.319999999996</v>
      </c>
      <c r="G1474" s="21">
        <f>H1474*0.05+I1474*0.02</f>
        <v>37177.420000000006</v>
      </c>
      <c r="H1474" s="16">
        <f t="shared" ref="H1474:N1474" si="182">SUM(H1449:H1473)</f>
        <v>663356</v>
      </c>
      <c r="I1474" s="16">
        <f t="shared" si="182"/>
        <v>200481</v>
      </c>
      <c r="J1474" s="16">
        <f t="shared" si="182"/>
        <v>39000</v>
      </c>
      <c r="K1474" s="16">
        <f t="shared" si="182"/>
        <v>8400</v>
      </c>
      <c r="L1474" s="16">
        <f t="shared" si="182"/>
        <v>393757</v>
      </c>
      <c r="M1474" s="16">
        <f t="shared" si="182"/>
        <v>222199</v>
      </c>
      <c r="N1474" s="16">
        <f t="shared" si="182"/>
        <v>55624</v>
      </c>
      <c r="O1474" s="44">
        <f t="shared" si="181"/>
        <v>0.33496192089918536</v>
      </c>
    </row>
    <row r="1475" spans="1:15" ht="23.25" x14ac:dyDescent="0.35">
      <c r="B1475" s="94"/>
      <c r="C1475" s="94" t="s">
        <v>640</v>
      </c>
    </row>
    <row r="1476" spans="1:15" ht="20.100000000000001" customHeight="1" x14ac:dyDescent="0.25">
      <c r="A1476" s="89">
        <v>426</v>
      </c>
      <c r="B1476" s="4">
        <v>43599</v>
      </c>
      <c r="C1476" s="5" t="s">
        <v>392</v>
      </c>
      <c r="D1476" s="3">
        <v>17640</v>
      </c>
      <c r="E1476" s="4">
        <v>43619</v>
      </c>
      <c r="F1476" s="92" t="s">
        <v>28</v>
      </c>
      <c r="G1476" s="32">
        <v>43622</v>
      </c>
      <c r="H1476" s="27">
        <f t="shared" ref="H1476:H1504" si="183">D1476</f>
        <v>17640</v>
      </c>
      <c r="I1476" s="27">
        <f>H1476</f>
        <v>17640</v>
      </c>
      <c r="J1476" s="27"/>
      <c r="K1476" s="99"/>
      <c r="L1476" s="27">
        <v>12676</v>
      </c>
      <c r="M1476" s="29">
        <f t="shared" ref="M1476:M1509" si="184">H1476-L1476-J1476-K1476</f>
        <v>4964</v>
      </c>
      <c r="N1476" s="29">
        <f>M1476</f>
        <v>4964</v>
      </c>
      <c r="O1476" s="44">
        <f t="shared" ref="O1476:O1510" si="185">M1476/H1476</f>
        <v>0.28140589569160995</v>
      </c>
    </row>
    <row r="1477" spans="1:15" ht="20.100000000000001" customHeight="1" x14ac:dyDescent="0.25">
      <c r="A1477" s="89">
        <v>500</v>
      </c>
      <c r="B1477" s="4">
        <v>43613</v>
      </c>
      <c r="C1477" s="26" t="s">
        <v>45</v>
      </c>
      <c r="D1477" s="3">
        <v>8078</v>
      </c>
      <c r="E1477" s="4">
        <v>43619</v>
      </c>
      <c r="F1477" s="92" t="s">
        <v>28</v>
      </c>
      <c r="G1477" s="32">
        <v>43633</v>
      </c>
      <c r="H1477" s="27">
        <f t="shared" si="183"/>
        <v>8078</v>
      </c>
      <c r="I1477" s="27"/>
      <c r="J1477" s="27"/>
      <c r="K1477" s="99"/>
      <c r="L1477" s="27">
        <v>6301</v>
      </c>
      <c r="M1477" s="29">
        <f t="shared" si="184"/>
        <v>1777</v>
      </c>
      <c r="N1477" s="29"/>
      <c r="O1477" s="44">
        <f t="shared" si="185"/>
        <v>0.2199801931171082</v>
      </c>
    </row>
    <row r="1478" spans="1:15" ht="20.100000000000001" customHeight="1" x14ac:dyDescent="0.25">
      <c r="A1478" s="89">
        <v>515</v>
      </c>
      <c r="B1478" s="4">
        <v>43619</v>
      </c>
      <c r="C1478" s="26" t="s">
        <v>40</v>
      </c>
      <c r="D1478" s="3">
        <v>22180</v>
      </c>
      <c r="E1478" s="4">
        <v>43620</v>
      </c>
      <c r="F1478" s="92" t="s">
        <v>28</v>
      </c>
      <c r="G1478" s="32">
        <v>43619</v>
      </c>
      <c r="H1478" s="27">
        <f t="shared" si="183"/>
        <v>22180</v>
      </c>
      <c r="I1478" s="27"/>
      <c r="J1478" s="27"/>
      <c r="K1478" s="99"/>
      <c r="L1478" s="27">
        <v>16429</v>
      </c>
      <c r="M1478" s="29">
        <f t="shared" si="184"/>
        <v>5751</v>
      </c>
      <c r="N1478" s="29"/>
      <c r="O1478" s="44">
        <f t="shared" si="185"/>
        <v>0.25928764652840397</v>
      </c>
    </row>
    <row r="1479" spans="1:15" ht="20.100000000000001" customHeight="1" x14ac:dyDescent="0.25">
      <c r="A1479" s="89">
        <v>516</v>
      </c>
      <c r="B1479" s="4">
        <v>43619</v>
      </c>
      <c r="C1479" s="26" t="s">
        <v>40</v>
      </c>
      <c r="D1479" s="3">
        <v>3860</v>
      </c>
      <c r="E1479" s="4">
        <v>43620</v>
      </c>
      <c r="F1479" s="92" t="s">
        <v>28</v>
      </c>
      <c r="G1479" s="32">
        <v>43619</v>
      </c>
      <c r="H1479" s="27">
        <f t="shared" si="183"/>
        <v>3860</v>
      </c>
      <c r="I1479" s="27"/>
      <c r="J1479" s="27"/>
      <c r="K1479" s="99"/>
      <c r="L1479" s="27">
        <v>3010</v>
      </c>
      <c r="M1479" s="29">
        <f t="shared" si="184"/>
        <v>850</v>
      </c>
      <c r="N1479" s="29"/>
      <c r="O1479" s="44">
        <f t="shared" si="185"/>
        <v>0.22020725388601037</v>
      </c>
    </row>
    <row r="1480" spans="1:15" ht="20.100000000000001" customHeight="1" x14ac:dyDescent="0.25">
      <c r="A1480" s="89">
        <v>466</v>
      </c>
      <c r="B1480" s="4">
        <v>43619</v>
      </c>
      <c r="C1480" s="26" t="s">
        <v>365</v>
      </c>
      <c r="D1480" s="3">
        <v>4990</v>
      </c>
      <c r="E1480" s="4">
        <v>43621</v>
      </c>
      <c r="F1480" s="92" t="s">
        <v>28</v>
      </c>
      <c r="G1480" s="32">
        <v>43627</v>
      </c>
      <c r="H1480" s="27">
        <f t="shared" si="183"/>
        <v>4990</v>
      </c>
      <c r="I1480" s="27"/>
      <c r="J1480" s="27"/>
      <c r="K1480" s="99"/>
      <c r="L1480" s="27">
        <v>3667</v>
      </c>
      <c r="M1480" s="29">
        <f t="shared" si="184"/>
        <v>1323</v>
      </c>
      <c r="N1480" s="29"/>
      <c r="O1480" s="44">
        <f t="shared" si="185"/>
        <v>0.2651302605210421</v>
      </c>
    </row>
    <row r="1481" spans="1:15" ht="20.100000000000001" customHeight="1" x14ac:dyDescent="0.25">
      <c r="A1481" s="89">
        <v>501</v>
      </c>
      <c r="B1481" s="4">
        <v>43613</v>
      </c>
      <c r="C1481" s="26" t="s">
        <v>228</v>
      </c>
      <c r="D1481" s="3">
        <v>10255</v>
      </c>
      <c r="E1481" s="4">
        <v>43621</v>
      </c>
      <c r="F1481" s="92" t="s">
        <v>28</v>
      </c>
      <c r="G1481" s="32">
        <v>43629</v>
      </c>
      <c r="H1481" s="27">
        <f t="shared" si="183"/>
        <v>10255</v>
      </c>
      <c r="I1481" s="27"/>
      <c r="J1481" s="27"/>
      <c r="K1481" s="99"/>
      <c r="L1481" s="27">
        <v>7998</v>
      </c>
      <c r="M1481" s="29">
        <f t="shared" si="184"/>
        <v>2257</v>
      </c>
      <c r="N1481" s="29"/>
      <c r="O1481" s="44">
        <f t="shared" si="185"/>
        <v>0.22008776206728425</v>
      </c>
    </row>
    <row r="1482" spans="1:15" ht="20.100000000000001" customHeight="1" x14ac:dyDescent="0.25">
      <c r="A1482" s="89">
        <v>451</v>
      </c>
      <c r="B1482" s="4">
        <v>43605</v>
      </c>
      <c r="C1482" s="5" t="s">
        <v>393</v>
      </c>
      <c r="D1482" s="3">
        <v>22653</v>
      </c>
      <c r="E1482" s="4">
        <v>43621</v>
      </c>
      <c r="F1482" s="92" t="s">
        <v>28</v>
      </c>
      <c r="G1482" s="32">
        <v>43634</v>
      </c>
      <c r="H1482" s="27">
        <f t="shared" si="183"/>
        <v>22653</v>
      </c>
      <c r="I1482" s="27">
        <f>H1482</f>
        <v>22653</v>
      </c>
      <c r="J1482" s="27"/>
      <c r="K1482" s="99"/>
      <c r="L1482" s="27">
        <v>16312</v>
      </c>
      <c r="M1482" s="29">
        <f t="shared" si="184"/>
        <v>6341</v>
      </c>
      <c r="N1482" s="29">
        <f>M1482</f>
        <v>6341</v>
      </c>
      <c r="O1482" s="44">
        <f t="shared" si="185"/>
        <v>0.27991877455524655</v>
      </c>
    </row>
    <row r="1483" spans="1:15" ht="20.100000000000001" customHeight="1" x14ac:dyDescent="0.25">
      <c r="A1483" s="89">
        <v>529</v>
      </c>
      <c r="B1483" s="4">
        <v>43621</v>
      </c>
      <c r="C1483" s="26" t="s">
        <v>149</v>
      </c>
      <c r="D1483" s="3">
        <v>1002</v>
      </c>
      <c r="E1483" s="4">
        <v>43622</v>
      </c>
      <c r="F1483" s="92" t="s">
        <v>28</v>
      </c>
      <c r="G1483" s="32">
        <v>43635</v>
      </c>
      <c r="H1483" s="27">
        <f t="shared" si="183"/>
        <v>1002</v>
      </c>
      <c r="I1483" s="27"/>
      <c r="J1483" s="27"/>
      <c r="K1483" s="99"/>
      <c r="L1483" s="27">
        <v>661</v>
      </c>
      <c r="M1483" s="29">
        <f t="shared" si="184"/>
        <v>341</v>
      </c>
      <c r="N1483" s="29"/>
      <c r="O1483" s="44">
        <f t="shared" si="185"/>
        <v>0.34031936127744511</v>
      </c>
    </row>
    <row r="1484" spans="1:15" ht="20.100000000000001" customHeight="1" x14ac:dyDescent="0.25">
      <c r="A1484" s="89">
        <v>534</v>
      </c>
      <c r="B1484" s="4">
        <v>43622</v>
      </c>
      <c r="C1484" s="26" t="s">
        <v>394</v>
      </c>
      <c r="D1484" s="3">
        <v>108390</v>
      </c>
      <c r="E1484" s="4">
        <v>43623</v>
      </c>
      <c r="F1484" s="92" t="s">
        <v>28</v>
      </c>
      <c r="G1484" s="32">
        <v>43626</v>
      </c>
      <c r="H1484" s="27">
        <f t="shared" si="183"/>
        <v>108390</v>
      </c>
      <c r="I1484" s="27"/>
      <c r="J1484" s="27"/>
      <c r="K1484" s="99"/>
      <c r="L1484" s="27">
        <v>67276</v>
      </c>
      <c r="M1484" s="29">
        <f t="shared" si="184"/>
        <v>41114</v>
      </c>
      <c r="N1484" s="29"/>
      <c r="O1484" s="44">
        <f t="shared" si="185"/>
        <v>0.37931543500322906</v>
      </c>
    </row>
    <row r="1485" spans="1:15" ht="20.100000000000001" customHeight="1" x14ac:dyDescent="0.25">
      <c r="A1485" s="89">
        <v>460</v>
      </c>
      <c r="B1485" s="4">
        <v>43606</v>
      </c>
      <c r="C1485" s="26" t="s">
        <v>66</v>
      </c>
      <c r="D1485" s="3">
        <v>32022</v>
      </c>
      <c r="E1485" s="4">
        <v>43627</v>
      </c>
      <c r="F1485" s="92" t="s">
        <v>28</v>
      </c>
      <c r="G1485" s="32">
        <v>43607</v>
      </c>
      <c r="H1485" s="27">
        <f t="shared" si="183"/>
        <v>32022</v>
      </c>
      <c r="I1485" s="27"/>
      <c r="J1485" s="27"/>
      <c r="K1485" s="99"/>
      <c r="L1485" s="27">
        <v>24581</v>
      </c>
      <c r="M1485" s="29">
        <f t="shared" si="184"/>
        <v>7441</v>
      </c>
      <c r="N1485" s="29"/>
      <c r="O1485" s="44">
        <f t="shared" si="185"/>
        <v>0.23237149459746426</v>
      </c>
    </row>
    <row r="1486" spans="1:15" ht="20.100000000000001" customHeight="1" x14ac:dyDescent="0.25">
      <c r="A1486" s="89">
        <v>475</v>
      </c>
      <c r="B1486" s="4">
        <v>43608</v>
      </c>
      <c r="C1486" s="5" t="s">
        <v>395</v>
      </c>
      <c r="D1486" s="3">
        <v>96790</v>
      </c>
      <c r="E1486" s="4">
        <v>43629</v>
      </c>
      <c r="F1486" s="92" t="s">
        <v>28</v>
      </c>
      <c r="G1486" s="32">
        <v>43630</v>
      </c>
      <c r="H1486" s="27">
        <f t="shared" si="183"/>
        <v>96790</v>
      </c>
      <c r="I1486" s="27">
        <f>H1486</f>
        <v>96790</v>
      </c>
      <c r="J1486" s="27"/>
      <c r="K1486" s="99"/>
      <c r="L1486" s="27">
        <v>70224</v>
      </c>
      <c r="M1486" s="29">
        <f t="shared" si="184"/>
        <v>26566</v>
      </c>
      <c r="N1486" s="29">
        <f>M1486</f>
        <v>26566</v>
      </c>
      <c r="O1486" s="44">
        <f t="shared" si="185"/>
        <v>0.27447050315115196</v>
      </c>
    </row>
    <row r="1487" spans="1:15" ht="20.100000000000001" customHeight="1" x14ac:dyDescent="0.25">
      <c r="A1487" s="89">
        <v>555</v>
      </c>
      <c r="B1487" s="4">
        <v>43627</v>
      </c>
      <c r="C1487" s="26" t="s">
        <v>49</v>
      </c>
      <c r="D1487" s="3">
        <v>1252</v>
      </c>
      <c r="E1487" s="4">
        <v>43629</v>
      </c>
      <c r="F1487" s="92" t="s">
        <v>28</v>
      </c>
      <c r="G1487" s="32">
        <v>43637</v>
      </c>
      <c r="H1487" s="27">
        <f t="shared" si="183"/>
        <v>1252</v>
      </c>
      <c r="I1487" s="27"/>
      <c r="J1487" s="27"/>
      <c r="K1487" s="99"/>
      <c r="L1487" s="27">
        <v>826</v>
      </c>
      <c r="M1487" s="29">
        <f t="shared" si="184"/>
        <v>426</v>
      </c>
      <c r="N1487" s="29"/>
      <c r="O1487" s="44">
        <f t="shared" si="185"/>
        <v>0.34025559105431308</v>
      </c>
    </row>
    <row r="1488" spans="1:15" ht="20.100000000000001" customHeight="1" x14ac:dyDescent="0.25">
      <c r="A1488" s="89">
        <v>559</v>
      </c>
      <c r="B1488" s="4">
        <v>43627</v>
      </c>
      <c r="C1488" s="5" t="s">
        <v>396</v>
      </c>
      <c r="D1488" s="3">
        <v>9990</v>
      </c>
      <c r="E1488" s="4">
        <v>43630</v>
      </c>
      <c r="F1488" s="92" t="s">
        <v>28</v>
      </c>
      <c r="G1488" s="32">
        <v>43634</v>
      </c>
      <c r="H1488" s="27">
        <f t="shared" si="183"/>
        <v>9990</v>
      </c>
      <c r="I1488" s="27">
        <f>H1488</f>
        <v>9990</v>
      </c>
      <c r="J1488" s="27"/>
      <c r="K1488" s="99"/>
      <c r="L1488" s="27">
        <v>7342</v>
      </c>
      <c r="M1488" s="29">
        <f t="shared" si="184"/>
        <v>2648</v>
      </c>
      <c r="N1488" s="29">
        <f>M1488</f>
        <v>2648</v>
      </c>
      <c r="O1488" s="44">
        <f t="shared" si="185"/>
        <v>0.26506506506506505</v>
      </c>
    </row>
    <row r="1489" spans="1:15" ht="20.100000000000001" customHeight="1" x14ac:dyDescent="0.25">
      <c r="A1489" s="89">
        <v>584</v>
      </c>
      <c r="B1489" s="4">
        <v>43630</v>
      </c>
      <c r="C1489" s="26" t="s">
        <v>386</v>
      </c>
      <c r="D1489" s="3">
        <v>3142</v>
      </c>
      <c r="E1489" s="4">
        <v>43631</v>
      </c>
      <c r="F1489" s="92" t="s">
        <v>28</v>
      </c>
      <c r="G1489" s="32">
        <v>43630</v>
      </c>
      <c r="H1489" s="27">
        <f t="shared" si="183"/>
        <v>3142</v>
      </c>
      <c r="I1489" s="27"/>
      <c r="J1489" s="27"/>
      <c r="K1489" s="99"/>
      <c r="L1489" s="27">
        <v>2450</v>
      </c>
      <c r="M1489" s="29">
        <f t="shared" si="184"/>
        <v>692</v>
      </c>
      <c r="N1489" s="29"/>
      <c r="O1489" s="44">
        <f t="shared" si="185"/>
        <v>0.22024188415022278</v>
      </c>
    </row>
    <row r="1490" spans="1:15" ht="20.100000000000001" customHeight="1" x14ac:dyDescent="0.25">
      <c r="A1490" s="89">
        <v>514</v>
      </c>
      <c r="B1490" s="4">
        <v>43619</v>
      </c>
      <c r="C1490" s="26" t="s">
        <v>363</v>
      </c>
      <c r="D1490" s="3">
        <v>10760</v>
      </c>
      <c r="E1490" s="4">
        <v>43634</v>
      </c>
      <c r="F1490" s="92" t="s">
        <v>28</v>
      </c>
      <c r="G1490" s="32">
        <v>43619</v>
      </c>
      <c r="H1490" s="27">
        <f t="shared" si="183"/>
        <v>10760</v>
      </c>
      <c r="I1490" s="27"/>
      <c r="J1490" s="27"/>
      <c r="K1490" s="99"/>
      <c r="L1490" s="27">
        <v>9528</v>
      </c>
      <c r="M1490" s="29">
        <f t="shared" si="184"/>
        <v>1232</v>
      </c>
      <c r="N1490" s="29"/>
      <c r="O1490" s="44">
        <f t="shared" si="185"/>
        <v>0.11449814126394052</v>
      </c>
    </row>
    <row r="1491" spans="1:15" ht="20.100000000000001" customHeight="1" x14ac:dyDescent="0.25">
      <c r="A1491" s="89">
        <v>581</v>
      </c>
      <c r="B1491" s="4">
        <v>43630</v>
      </c>
      <c r="C1491" s="26" t="s">
        <v>139</v>
      </c>
      <c r="D1491" s="3">
        <v>41390</v>
      </c>
      <c r="E1491" s="4">
        <v>43634</v>
      </c>
      <c r="F1491" s="92" t="s">
        <v>28</v>
      </c>
      <c r="G1491" s="32">
        <v>43636</v>
      </c>
      <c r="H1491" s="27">
        <f t="shared" si="183"/>
        <v>41390</v>
      </c>
      <c r="I1491" s="27"/>
      <c r="J1491" s="27"/>
      <c r="K1491" s="99"/>
      <c r="L1491" s="27">
        <v>30708</v>
      </c>
      <c r="M1491" s="29">
        <f t="shared" si="184"/>
        <v>10682</v>
      </c>
      <c r="N1491" s="29"/>
      <c r="O1491" s="44">
        <f t="shared" si="185"/>
        <v>0.25808166223725537</v>
      </c>
    </row>
    <row r="1492" spans="1:15" ht="20.100000000000001" customHeight="1" x14ac:dyDescent="0.25">
      <c r="A1492" s="89">
        <v>589</v>
      </c>
      <c r="B1492" s="4">
        <v>43633</v>
      </c>
      <c r="C1492" s="26" t="s">
        <v>372</v>
      </c>
      <c r="D1492" s="3">
        <v>5040</v>
      </c>
      <c r="E1492" s="4">
        <v>43634</v>
      </c>
      <c r="F1492" s="92" t="s">
        <v>28</v>
      </c>
      <c r="G1492" s="32">
        <v>43651</v>
      </c>
      <c r="H1492" s="27">
        <f t="shared" si="183"/>
        <v>5040</v>
      </c>
      <c r="I1492" s="27"/>
      <c r="J1492" s="27"/>
      <c r="K1492" s="99"/>
      <c r="L1492" s="27">
        <v>3931</v>
      </c>
      <c r="M1492" s="29">
        <f t="shared" si="184"/>
        <v>1109</v>
      </c>
      <c r="N1492" s="29"/>
      <c r="O1492" s="44">
        <f t="shared" si="185"/>
        <v>0.22003968253968254</v>
      </c>
    </row>
    <row r="1493" spans="1:15" ht="20.100000000000001" customHeight="1" x14ac:dyDescent="0.25">
      <c r="A1493" s="89">
        <v>599</v>
      </c>
      <c r="B1493" s="4">
        <v>43635</v>
      </c>
      <c r="C1493" s="26" t="s">
        <v>380</v>
      </c>
      <c r="D1493" s="3">
        <v>45818</v>
      </c>
      <c r="E1493" s="4">
        <v>43635</v>
      </c>
      <c r="F1493" s="92" t="s">
        <v>28</v>
      </c>
      <c r="G1493" s="32">
        <v>43656</v>
      </c>
      <c r="H1493" s="27">
        <f t="shared" si="183"/>
        <v>45818</v>
      </c>
      <c r="I1493" s="27"/>
      <c r="J1493" s="27"/>
      <c r="K1493" s="99"/>
      <c r="L1493" s="27">
        <v>32824</v>
      </c>
      <c r="M1493" s="29">
        <f t="shared" si="184"/>
        <v>12994</v>
      </c>
      <c r="N1493" s="29"/>
      <c r="O1493" s="44">
        <f t="shared" si="185"/>
        <v>0.28360033174734822</v>
      </c>
    </row>
    <row r="1494" spans="1:15" ht="20.100000000000001" customHeight="1" x14ac:dyDescent="0.25">
      <c r="A1494" s="89">
        <v>573</v>
      </c>
      <c r="B1494" s="4">
        <v>43630</v>
      </c>
      <c r="C1494" s="26" t="s">
        <v>139</v>
      </c>
      <c r="D1494" s="3">
        <v>292890</v>
      </c>
      <c r="E1494" s="4">
        <v>43635</v>
      </c>
      <c r="F1494" s="92" t="s">
        <v>28</v>
      </c>
      <c r="G1494" s="32">
        <v>43636</v>
      </c>
      <c r="H1494" s="27">
        <f t="shared" si="183"/>
        <v>292890</v>
      </c>
      <c r="I1494" s="27"/>
      <c r="J1494" s="27"/>
      <c r="K1494" s="99"/>
      <c r="L1494" s="27">
        <v>178000</v>
      </c>
      <c r="M1494" s="29">
        <f t="shared" si="184"/>
        <v>114890</v>
      </c>
      <c r="N1494" s="29"/>
      <c r="O1494" s="44">
        <f t="shared" si="185"/>
        <v>0.39226330704359996</v>
      </c>
    </row>
    <row r="1495" spans="1:15" ht="20.100000000000001" customHeight="1" x14ac:dyDescent="0.25">
      <c r="A1495" s="89">
        <v>601</v>
      </c>
      <c r="B1495" s="4">
        <v>43635</v>
      </c>
      <c r="C1495" s="26" t="s">
        <v>397</v>
      </c>
      <c r="D1495" s="3">
        <v>10490</v>
      </c>
      <c r="E1495" s="4">
        <v>43635</v>
      </c>
      <c r="F1495" s="92" t="s">
        <v>28</v>
      </c>
      <c r="G1495" s="32">
        <v>43636</v>
      </c>
      <c r="H1495" s="27">
        <f t="shared" si="183"/>
        <v>10490</v>
      </c>
      <c r="I1495" s="27"/>
      <c r="J1495" s="27"/>
      <c r="K1495" s="99"/>
      <c r="L1495" s="27">
        <v>7703</v>
      </c>
      <c r="M1495" s="29">
        <f t="shared" si="184"/>
        <v>2787</v>
      </c>
      <c r="N1495" s="29"/>
      <c r="O1495" s="44">
        <f t="shared" si="185"/>
        <v>0.26568160152526216</v>
      </c>
    </row>
    <row r="1496" spans="1:15" ht="20.100000000000001" customHeight="1" x14ac:dyDescent="0.25">
      <c r="A1496" s="89">
        <v>517</v>
      </c>
      <c r="B1496" s="4">
        <v>43619</v>
      </c>
      <c r="C1496" s="26" t="s">
        <v>11</v>
      </c>
      <c r="D1496" s="3">
        <v>2412</v>
      </c>
      <c r="E1496" s="4">
        <v>43635</v>
      </c>
      <c r="F1496" s="92" t="s">
        <v>28</v>
      </c>
      <c r="G1496" s="32">
        <v>43643</v>
      </c>
      <c r="H1496" s="27">
        <f t="shared" si="183"/>
        <v>2412</v>
      </c>
      <c r="I1496" s="27"/>
      <c r="J1496" s="27"/>
      <c r="K1496" s="99"/>
      <c r="L1496" s="27">
        <v>1584</v>
      </c>
      <c r="M1496" s="29">
        <f t="shared" si="184"/>
        <v>828</v>
      </c>
      <c r="N1496" s="29"/>
      <c r="O1496" s="44">
        <f t="shared" si="185"/>
        <v>0.34328358208955223</v>
      </c>
    </row>
    <row r="1497" spans="1:15" ht="20.100000000000001" customHeight="1" x14ac:dyDescent="0.25">
      <c r="A1497" s="89">
        <v>449</v>
      </c>
      <c r="B1497" s="4">
        <v>43622</v>
      </c>
      <c r="C1497" s="26" t="s">
        <v>99</v>
      </c>
      <c r="D1497" s="3">
        <v>159515</v>
      </c>
      <c r="E1497" s="4">
        <v>43636</v>
      </c>
      <c r="F1497" s="92" t="s">
        <v>28</v>
      </c>
      <c r="G1497" s="32">
        <v>43622</v>
      </c>
      <c r="H1497" s="27">
        <f t="shared" si="183"/>
        <v>159515</v>
      </c>
      <c r="I1497" s="27"/>
      <c r="J1497" s="27">
        <v>33000</v>
      </c>
      <c r="K1497" s="99">
        <v>4400</v>
      </c>
      <c r="L1497" s="27">
        <v>38412</v>
      </c>
      <c r="M1497" s="29">
        <f t="shared" si="184"/>
        <v>83703</v>
      </c>
      <c r="N1497" s="29"/>
      <c r="O1497" s="44">
        <f t="shared" si="185"/>
        <v>0.52473435100147325</v>
      </c>
    </row>
    <row r="1498" spans="1:15" ht="20.100000000000001" customHeight="1" x14ac:dyDescent="0.25">
      <c r="A1498" s="89">
        <v>613</v>
      </c>
      <c r="B1498" s="4">
        <v>43636</v>
      </c>
      <c r="C1498" s="26" t="s">
        <v>398</v>
      </c>
      <c r="D1498" s="3">
        <v>19990</v>
      </c>
      <c r="E1498" s="4">
        <v>43636</v>
      </c>
      <c r="F1498" s="92" t="s">
        <v>28</v>
      </c>
      <c r="G1498" s="32">
        <v>43636</v>
      </c>
      <c r="H1498" s="27">
        <f t="shared" si="183"/>
        <v>19990</v>
      </c>
      <c r="I1498" s="27"/>
      <c r="J1498" s="27"/>
      <c r="K1498" s="99"/>
      <c r="L1498" s="27">
        <v>14692</v>
      </c>
      <c r="M1498" s="29">
        <f t="shared" si="184"/>
        <v>5298</v>
      </c>
      <c r="N1498" s="29"/>
      <c r="O1498" s="44">
        <f t="shared" si="185"/>
        <v>0.26503251625812907</v>
      </c>
    </row>
    <row r="1499" spans="1:15" ht="20.100000000000001" customHeight="1" x14ac:dyDescent="0.25">
      <c r="A1499" s="89">
        <v>588</v>
      </c>
      <c r="B1499" s="4">
        <v>43633</v>
      </c>
      <c r="C1499" s="26" t="s">
        <v>175</v>
      </c>
      <c r="D1499" s="3">
        <v>22450.400000000001</v>
      </c>
      <c r="E1499" s="4">
        <v>43636</v>
      </c>
      <c r="F1499" s="92" t="s">
        <v>28</v>
      </c>
      <c r="G1499" s="32">
        <v>43654</v>
      </c>
      <c r="H1499" s="27">
        <f t="shared" si="183"/>
        <v>22450.400000000001</v>
      </c>
      <c r="I1499" s="27"/>
      <c r="J1499" s="27"/>
      <c r="K1499" s="99"/>
      <c r="L1499" s="27">
        <v>14476</v>
      </c>
      <c r="M1499" s="29">
        <f t="shared" si="184"/>
        <v>7974.4000000000015</v>
      </c>
      <c r="N1499" s="29"/>
      <c r="O1499" s="44">
        <f t="shared" si="185"/>
        <v>0.35520079820404094</v>
      </c>
    </row>
    <row r="1500" spans="1:15" ht="20.100000000000001" customHeight="1" x14ac:dyDescent="0.25">
      <c r="A1500" s="89">
        <v>570</v>
      </c>
      <c r="B1500" s="4">
        <v>43629</v>
      </c>
      <c r="C1500" s="26" t="s">
        <v>209</v>
      </c>
      <c r="D1500" s="3">
        <v>3735.5</v>
      </c>
      <c r="E1500" s="4">
        <v>43637</v>
      </c>
      <c r="F1500" s="92" t="s">
        <v>28</v>
      </c>
      <c r="G1500" s="32">
        <v>43641</v>
      </c>
      <c r="H1500" s="27">
        <f t="shared" si="183"/>
        <v>3735.5</v>
      </c>
      <c r="I1500" s="27"/>
      <c r="J1500" s="27"/>
      <c r="K1500" s="99"/>
      <c r="L1500" s="27">
        <v>3190</v>
      </c>
      <c r="M1500" s="29">
        <f t="shared" si="184"/>
        <v>545.5</v>
      </c>
      <c r="N1500" s="29"/>
      <c r="O1500" s="44">
        <f t="shared" si="185"/>
        <v>0.14603132110828537</v>
      </c>
    </row>
    <row r="1501" spans="1:15" ht="20.100000000000001" customHeight="1" x14ac:dyDescent="0.25">
      <c r="A1501" s="89">
        <v>594</v>
      </c>
      <c r="B1501" s="4">
        <v>43634</v>
      </c>
      <c r="C1501" s="26" t="s">
        <v>45</v>
      </c>
      <c r="D1501" s="3">
        <v>2183</v>
      </c>
      <c r="E1501" s="4">
        <v>43637</v>
      </c>
      <c r="F1501" s="92" t="s">
        <v>28</v>
      </c>
      <c r="G1501" s="32">
        <v>43656</v>
      </c>
      <c r="H1501" s="27">
        <f t="shared" si="183"/>
        <v>2183</v>
      </c>
      <c r="I1501" s="27"/>
      <c r="J1501" s="27"/>
      <c r="K1501" s="99"/>
      <c r="L1501" s="27">
        <v>1441</v>
      </c>
      <c r="M1501" s="29">
        <f t="shared" si="184"/>
        <v>742</v>
      </c>
      <c r="N1501" s="29"/>
      <c r="O1501" s="44">
        <f t="shared" si="185"/>
        <v>0.33989922125515348</v>
      </c>
    </row>
    <row r="1502" spans="1:15" ht="20.100000000000001" customHeight="1" x14ac:dyDescent="0.25">
      <c r="A1502" s="89">
        <v>621</v>
      </c>
      <c r="B1502" s="4">
        <v>43637</v>
      </c>
      <c r="C1502" s="26" t="s">
        <v>346</v>
      </c>
      <c r="D1502" s="3">
        <v>8388</v>
      </c>
      <c r="E1502" s="4">
        <v>43637</v>
      </c>
      <c r="F1502" s="92" t="s">
        <v>28</v>
      </c>
      <c r="G1502" s="32">
        <v>43649</v>
      </c>
      <c r="H1502" s="27">
        <f t="shared" si="183"/>
        <v>8388</v>
      </c>
      <c r="I1502" s="27"/>
      <c r="J1502" s="27"/>
      <c r="K1502" s="99"/>
      <c r="L1502" s="27">
        <v>6477</v>
      </c>
      <c r="M1502" s="29">
        <f t="shared" si="184"/>
        <v>1911</v>
      </c>
      <c r="N1502" s="29"/>
      <c r="O1502" s="44">
        <f t="shared" si="185"/>
        <v>0.22782546494992847</v>
      </c>
    </row>
    <row r="1503" spans="1:15" ht="20.100000000000001" customHeight="1" x14ac:dyDescent="0.25">
      <c r="A1503" s="89">
        <v>630</v>
      </c>
      <c r="B1503" s="4">
        <v>43642</v>
      </c>
      <c r="C1503" s="5" t="s">
        <v>399</v>
      </c>
      <c r="D1503" s="3">
        <v>6508</v>
      </c>
      <c r="E1503" s="4">
        <v>43642</v>
      </c>
      <c r="F1503" s="92" t="s">
        <v>28</v>
      </c>
      <c r="G1503" s="32">
        <v>43657</v>
      </c>
      <c r="H1503" s="27">
        <f t="shared" si="183"/>
        <v>6508</v>
      </c>
      <c r="I1503" s="27">
        <f>H1503</f>
        <v>6508</v>
      </c>
      <c r="J1503" s="27"/>
      <c r="K1503" s="99">
        <v>600</v>
      </c>
      <c r="L1503" s="27">
        <v>3361</v>
      </c>
      <c r="M1503" s="29">
        <f t="shared" si="184"/>
        <v>2547</v>
      </c>
      <c r="N1503" s="29">
        <f>M1503</f>
        <v>2547</v>
      </c>
      <c r="O1503" s="44">
        <f t="shared" si="185"/>
        <v>0.39136447449293177</v>
      </c>
    </row>
    <row r="1504" spans="1:15" ht="20.100000000000001" customHeight="1" x14ac:dyDescent="0.25">
      <c r="A1504" s="89">
        <v>631</v>
      </c>
      <c r="B1504" s="4">
        <v>43642</v>
      </c>
      <c r="C1504" s="5" t="s">
        <v>400</v>
      </c>
      <c r="D1504" s="3">
        <v>15519</v>
      </c>
      <c r="E1504" s="4">
        <v>43642</v>
      </c>
      <c r="F1504" s="92" t="s">
        <v>28</v>
      </c>
      <c r="G1504" s="32">
        <v>43643</v>
      </c>
      <c r="H1504" s="27">
        <f t="shared" si="183"/>
        <v>15519</v>
      </c>
      <c r="I1504" s="27">
        <f>H1504</f>
        <v>15519</v>
      </c>
      <c r="J1504" s="27"/>
      <c r="K1504" s="99"/>
      <c r="L1504" s="27">
        <v>11448</v>
      </c>
      <c r="M1504" s="29">
        <f t="shared" si="184"/>
        <v>4071</v>
      </c>
      <c r="N1504" s="29">
        <f>M1504</f>
        <v>4071</v>
      </c>
      <c r="O1504" s="44">
        <f t="shared" si="185"/>
        <v>0.26232360332495652</v>
      </c>
    </row>
    <row r="1505" spans="1:15" ht="20.100000000000001" customHeight="1" x14ac:dyDescent="0.25">
      <c r="A1505" s="89">
        <v>489</v>
      </c>
      <c r="B1505" s="4">
        <v>43612</v>
      </c>
      <c r="C1505" s="26" t="s">
        <v>65</v>
      </c>
      <c r="D1505" s="3">
        <v>275817.59999999998</v>
      </c>
      <c r="E1505" s="4">
        <v>43643</v>
      </c>
      <c r="F1505" s="92" t="s">
        <v>28</v>
      </c>
      <c r="G1505" s="32">
        <v>43622</v>
      </c>
      <c r="H1505" s="27">
        <v>137266.79999999999</v>
      </c>
      <c r="I1505" s="27"/>
      <c r="J1505" s="27"/>
      <c r="K1505" s="99">
        <v>6400</v>
      </c>
      <c r="L1505" s="27">
        <v>78204</v>
      </c>
      <c r="M1505" s="29">
        <f t="shared" si="184"/>
        <v>52662.799999999988</v>
      </c>
      <c r="N1505" s="29"/>
      <c r="O1505" s="44">
        <f t="shared" si="185"/>
        <v>0.3836528570637619</v>
      </c>
    </row>
    <row r="1506" spans="1:15" ht="20.100000000000001" customHeight="1" x14ac:dyDescent="0.25">
      <c r="A1506" s="89">
        <v>629</v>
      </c>
      <c r="B1506" s="4">
        <v>43643</v>
      </c>
      <c r="C1506" s="5" t="s">
        <v>401</v>
      </c>
      <c r="D1506" s="3">
        <v>10490</v>
      </c>
      <c r="E1506" s="4">
        <v>43644</v>
      </c>
      <c r="F1506" s="92" t="s">
        <v>28</v>
      </c>
      <c r="G1506" s="32">
        <v>43654</v>
      </c>
      <c r="H1506" s="27">
        <f>D1506</f>
        <v>10490</v>
      </c>
      <c r="I1506" s="27">
        <f>H1506</f>
        <v>10490</v>
      </c>
      <c r="J1506" s="27"/>
      <c r="K1506" s="99"/>
      <c r="L1506" s="27">
        <v>7703</v>
      </c>
      <c r="M1506" s="29">
        <f t="shared" si="184"/>
        <v>2787</v>
      </c>
      <c r="N1506" s="29">
        <f>M1506</f>
        <v>2787</v>
      </c>
      <c r="O1506" s="44">
        <f t="shared" si="185"/>
        <v>0.26568160152526216</v>
      </c>
    </row>
    <row r="1507" spans="1:15" ht="20.100000000000001" customHeight="1" x14ac:dyDescent="0.25">
      <c r="A1507" s="89">
        <v>477</v>
      </c>
      <c r="B1507" s="4">
        <v>43635</v>
      </c>
      <c r="C1507" s="5" t="s">
        <v>395</v>
      </c>
      <c r="D1507" s="3">
        <v>25202</v>
      </c>
      <c r="E1507" s="4">
        <v>43644</v>
      </c>
      <c r="F1507" s="92" t="s">
        <v>28</v>
      </c>
      <c r="G1507" s="32">
        <v>43696</v>
      </c>
      <c r="H1507" s="27">
        <f>D1507</f>
        <v>25202</v>
      </c>
      <c r="I1507" s="27">
        <f>H1507</f>
        <v>25202</v>
      </c>
      <c r="J1507" s="27"/>
      <c r="K1507" s="99">
        <v>1200</v>
      </c>
      <c r="L1507" s="27">
        <v>13479</v>
      </c>
      <c r="M1507" s="29">
        <f t="shared" si="184"/>
        <v>10523</v>
      </c>
      <c r="N1507" s="29">
        <f>M1507</f>
        <v>10523</v>
      </c>
      <c r="O1507" s="44">
        <f t="shared" si="185"/>
        <v>0.41754622648996109</v>
      </c>
    </row>
    <row r="1508" spans="1:15" ht="20.100000000000001" customHeight="1" x14ac:dyDescent="0.25">
      <c r="A1508" s="89">
        <v>628</v>
      </c>
      <c r="B1508" s="4">
        <v>43641</v>
      </c>
      <c r="C1508" s="26" t="s">
        <v>251</v>
      </c>
      <c r="D1508" s="3">
        <v>9076</v>
      </c>
      <c r="E1508" s="4">
        <v>43644</v>
      </c>
      <c r="F1508" s="92" t="s">
        <v>28</v>
      </c>
      <c r="G1508" s="32">
        <v>43654</v>
      </c>
      <c r="H1508" s="27">
        <f>D1508</f>
        <v>9076</v>
      </c>
      <c r="I1508" s="27"/>
      <c r="J1508" s="27"/>
      <c r="K1508" s="99"/>
      <c r="L1508" s="27">
        <v>7078</v>
      </c>
      <c r="M1508" s="29">
        <f t="shared" si="184"/>
        <v>1998</v>
      </c>
      <c r="N1508" s="29"/>
      <c r="O1508" s="44">
        <f t="shared" si="185"/>
        <v>0.22014103129131776</v>
      </c>
    </row>
    <row r="1509" spans="1:15" ht="20.100000000000001" customHeight="1" x14ac:dyDescent="0.25">
      <c r="A1509" s="89">
        <v>635</v>
      </c>
      <c r="B1509" s="4">
        <v>43644</v>
      </c>
      <c r="C1509" s="26" t="s">
        <v>209</v>
      </c>
      <c r="D1509" s="3">
        <v>7269.5</v>
      </c>
      <c r="E1509" s="4">
        <v>43644</v>
      </c>
      <c r="F1509" s="92" t="s">
        <v>28</v>
      </c>
      <c r="G1509" s="32">
        <v>43655</v>
      </c>
      <c r="H1509" s="27">
        <f>D1509</f>
        <v>7269.5</v>
      </c>
      <c r="I1509" s="27"/>
      <c r="J1509" s="27"/>
      <c r="K1509" s="99"/>
      <c r="L1509" s="27">
        <v>6497</v>
      </c>
      <c r="M1509" s="29">
        <f t="shared" si="184"/>
        <v>772.5</v>
      </c>
      <c r="N1509" s="29"/>
      <c r="O1509" s="44">
        <f t="shared" si="185"/>
        <v>0.10626590549556365</v>
      </c>
    </row>
    <row r="1510" spans="1:15" ht="19.5" customHeight="1" x14ac:dyDescent="0.25">
      <c r="A1510" s="89"/>
      <c r="B1510" s="4"/>
      <c r="C1510" s="5"/>
      <c r="D1510" s="3"/>
      <c r="E1510" s="97">
        <v>75450</v>
      </c>
      <c r="F1510" s="98">
        <f>M1510*0.17+N1510*0.06</f>
        <v>75460.013999999996</v>
      </c>
      <c r="G1510" s="21">
        <f>H1510*0.05+I1510*0.02</f>
        <v>63027.7</v>
      </c>
      <c r="H1510" s="16">
        <f t="shared" ref="H1510:N1510" si="186">SUM(H1476:H1509)</f>
        <v>1178637.2</v>
      </c>
      <c r="I1510" s="16">
        <f t="shared" si="186"/>
        <v>204792</v>
      </c>
      <c r="J1510" s="16">
        <f t="shared" si="186"/>
        <v>33000</v>
      </c>
      <c r="K1510" s="16">
        <f t="shared" si="186"/>
        <v>12600</v>
      </c>
      <c r="L1510" s="16">
        <f t="shared" si="186"/>
        <v>710489</v>
      </c>
      <c r="M1510" s="16">
        <f t="shared" si="186"/>
        <v>422548.2</v>
      </c>
      <c r="N1510" s="16">
        <f t="shared" si="186"/>
        <v>60447</v>
      </c>
      <c r="O1510" s="44">
        <f t="shared" si="185"/>
        <v>0.3585057386615661</v>
      </c>
    </row>
    <row r="1511" spans="1:15" ht="23.25" x14ac:dyDescent="0.35">
      <c r="B1511" s="94"/>
      <c r="C1511" s="94" t="s">
        <v>641</v>
      </c>
    </row>
    <row r="1512" spans="1:15" ht="20.100000000000001" customHeight="1" x14ac:dyDescent="0.25">
      <c r="A1512" s="89">
        <v>647</v>
      </c>
      <c r="B1512" s="4">
        <v>43647</v>
      </c>
      <c r="C1512" s="5" t="s">
        <v>402</v>
      </c>
      <c r="D1512" s="3">
        <v>37962</v>
      </c>
      <c r="E1512" s="4">
        <v>43647</v>
      </c>
      <c r="F1512" s="92" t="s">
        <v>28</v>
      </c>
      <c r="G1512" s="32">
        <v>43665</v>
      </c>
      <c r="H1512" s="27">
        <f t="shared" ref="H1512:H1534" si="187">D1512</f>
        <v>37962</v>
      </c>
      <c r="I1512" s="27">
        <f>H1512</f>
        <v>37962</v>
      </c>
      <c r="J1512" s="27"/>
      <c r="K1512" s="99"/>
      <c r="L1512" s="27">
        <v>27923</v>
      </c>
      <c r="M1512" s="29">
        <f t="shared" ref="M1512:M1550" si="188">H1512-L1512-J1512-K1512</f>
        <v>10039</v>
      </c>
      <c r="N1512" s="29">
        <f>M1512</f>
        <v>10039</v>
      </c>
      <c r="O1512" s="44">
        <f t="shared" ref="O1512:O1551" si="189">M1512/H1512</f>
        <v>0.26444865918550131</v>
      </c>
    </row>
    <row r="1513" spans="1:15" ht="20.100000000000001" customHeight="1" x14ac:dyDescent="0.25">
      <c r="A1513" s="89">
        <v>640</v>
      </c>
      <c r="B1513" s="4">
        <v>43644</v>
      </c>
      <c r="C1513" s="26" t="s">
        <v>281</v>
      </c>
      <c r="D1513" s="3">
        <v>14390</v>
      </c>
      <c r="E1513" s="4">
        <v>43647</v>
      </c>
      <c r="F1513" s="92" t="s">
        <v>28</v>
      </c>
      <c r="G1513" s="32">
        <v>43648</v>
      </c>
      <c r="H1513" s="27">
        <f t="shared" si="187"/>
        <v>14390</v>
      </c>
      <c r="I1513" s="27"/>
      <c r="J1513" s="27"/>
      <c r="K1513" s="99"/>
      <c r="L1513" s="27">
        <v>10568</v>
      </c>
      <c r="M1513" s="29">
        <f t="shared" si="188"/>
        <v>3822</v>
      </c>
      <c r="N1513" s="29"/>
      <c r="O1513" s="44">
        <f t="shared" si="189"/>
        <v>0.26560111188325225</v>
      </c>
    </row>
    <row r="1514" spans="1:15" ht="20.100000000000001" customHeight="1" x14ac:dyDescent="0.25">
      <c r="A1514" s="89">
        <v>384</v>
      </c>
      <c r="B1514" s="4">
        <v>43585</v>
      </c>
      <c r="C1514" s="26" t="s">
        <v>56</v>
      </c>
      <c r="D1514" s="3">
        <v>26438</v>
      </c>
      <c r="E1514" s="4">
        <v>43648</v>
      </c>
      <c r="F1514" s="92" t="s">
        <v>28</v>
      </c>
      <c r="G1514" s="32">
        <v>43609</v>
      </c>
      <c r="H1514" s="27">
        <f t="shared" si="187"/>
        <v>26438</v>
      </c>
      <c r="I1514" s="27"/>
      <c r="J1514" s="27"/>
      <c r="K1514" s="99"/>
      <c r="L1514" s="27">
        <v>19658</v>
      </c>
      <c r="M1514" s="29">
        <f t="shared" si="188"/>
        <v>6780</v>
      </c>
      <c r="N1514" s="29"/>
      <c r="O1514" s="44">
        <f t="shared" si="189"/>
        <v>0.25644905060897194</v>
      </c>
    </row>
    <row r="1515" spans="1:15" ht="20.100000000000001" customHeight="1" x14ac:dyDescent="0.25">
      <c r="A1515" s="89">
        <v>623</v>
      </c>
      <c r="B1515" s="4">
        <v>43640</v>
      </c>
      <c r="C1515" s="5" t="s">
        <v>403</v>
      </c>
      <c r="D1515" s="3">
        <v>5431</v>
      </c>
      <c r="E1515" s="4">
        <v>43648</v>
      </c>
      <c r="F1515" s="92" t="s">
        <v>28</v>
      </c>
      <c r="G1515" s="32">
        <v>43651</v>
      </c>
      <c r="H1515" s="27">
        <f t="shared" si="187"/>
        <v>5431</v>
      </c>
      <c r="I1515" s="27">
        <f>H1515</f>
        <v>5431</v>
      </c>
      <c r="J1515" s="27"/>
      <c r="K1515" s="99"/>
      <c r="L1515" s="27">
        <v>3927</v>
      </c>
      <c r="M1515" s="29">
        <f t="shared" si="188"/>
        <v>1504</v>
      </c>
      <c r="N1515" s="29">
        <f>M1515</f>
        <v>1504</v>
      </c>
      <c r="O1515" s="44">
        <f t="shared" si="189"/>
        <v>0.27692874240471366</v>
      </c>
    </row>
    <row r="1516" spans="1:15" ht="20.100000000000001" customHeight="1" x14ac:dyDescent="0.25">
      <c r="A1516" s="89">
        <v>649</v>
      </c>
      <c r="B1516" s="4">
        <v>43647</v>
      </c>
      <c r="C1516" s="26" t="s">
        <v>77</v>
      </c>
      <c r="D1516" s="3">
        <v>3194</v>
      </c>
      <c r="E1516" s="4">
        <v>43648</v>
      </c>
      <c r="F1516" s="92" t="s">
        <v>28</v>
      </c>
      <c r="G1516" s="32">
        <v>43650</v>
      </c>
      <c r="H1516" s="27">
        <f t="shared" si="187"/>
        <v>3194</v>
      </c>
      <c r="I1516" s="27"/>
      <c r="J1516" s="27"/>
      <c r="K1516" s="99"/>
      <c r="L1516" s="27">
        <v>2490</v>
      </c>
      <c r="M1516" s="29">
        <f t="shared" si="188"/>
        <v>704</v>
      </c>
      <c r="N1516" s="29"/>
      <c r="O1516" s="44">
        <f t="shared" si="189"/>
        <v>0.22041327489041954</v>
      </c>
    </row>
    <row r="1517" spans="1:15" ht="20.100000000000001" customHeight="1" x14ac:dyDescent="0.25">
      <c r="A1517" s="89">
        <v>634</v>
      </c>
      <c r="B1517" s="4">
        <v>43642</v>
      </c>
      <c r="C1517" s="26" t="s">
        <v>275</v>
      </c>
      <c r="D1517" s="3">
        <v>37681</v>
      </c>
      <c r="E1517" s="4">
        <v>43648</v>
      </c>
      <c r="F1517" s="92" t="s">
        <v>28</v>
      </c>
      <c r="G1517" s="32">
        <v>43655</v>
      </c>
      <c r="H1517" s="27">
        <f t="shared" si="187"/>
        <v>37681</v>
      </c>
      <c r="I1517" s="27"/>
      <c r="J1517" s="27"/>
      <c r="K1517" s="99">
        <v>4800</v>
      </c>
      <c r="L1517" s="27">
        <v>18120</v>
      </c>
      <c r="M1517" s="29">
        <f t="shared" si="188"/>
        <v>14761</v>
      </c>
      <c r="N1517" s="29"/>
      <c r="O1517" s="44">
        <f t="shared" si="189"/>
        <v>0.39173588811337279</v>
      </c>
    </row>
    <row r="1518" spans="1:15" ht="20.100000000000001" customHeight="1" x14ac:dyDescent="0.25">
      <c r="A1518" s="89">
        <v>648</v>
      </c>
      <c r="B1518" s="4">
        <v>43647</v>
      </c>
      <c r="C1518" s="26" t="s">
        <v>175</v>
      </c>
      <c r="D1518" s="3">
        <v>3667</v>
      </c>
      <c r="E1518" s="4">
        <v>43648</v>
      </c>
      <c r="F1518" s="92" t="s">
        <v>28</v>
      </c>
      <c r="G1518" s="32">
        <v>43650</v>
      </c>
      <c r="H1518" s="27">
        <f t="shared" si="187"/>
        <v>3667</v>
      </c>
      <c r="I1518" s="27"/>
      <c r="J1518" s="27"/>
      <c r="K1518" s="99"/>
      <c r="L1518" s="27">
        <v>3010</v>
      </c>
      <c r="M1518" s="29">
        <f t="shared" si="188"/>
        <v>657</v>
      </c>
      <c r="N1518" s="29"/>
      <c r="O1518" s="44">
        <f t="shared" si="189"/>
        <v>0.17916553040632668</v>
      </c>
    </row>
    <row r="1519" spans="1:15" ht="20.100000000000001" customHeight="1" x14ac:dyDescent="0.25">
      <c r="A1519" s="89">
        <v>654</v>
      </c>
      <c r="B1519" s="4">
        <v>43648</v>
      </c>
      <c r="C1519" s="26" t="s">
        <v>91</v>
      </c>
      <c r="D1519" s="3">
        <v>5176</v>
      </c>
      <c r="E1519" s="4">
        <v>43649</v>
      </c>
      <c r="F1519" s="92" t="s">
        <v>28</v>
      </c>
      <c r="G1519" s="32">
        <v>43654</v>
      </c>
      <c r="H1519" s="27">
        <f t="shared" si="187"/>
        <v>5176</v>
      </c>
      <c r="I1519" s="27"/>
      <c r="J1519" s="27"/>
      <c r="K1519" s="99"/>
      <c r="L1519" s="27">
        <v>4036</v>
      </c>
      <c r="M1519" s="29">
        <f t="shared" si="188"/>
        <v>1140</v>
      </c>
      <c r="N1519" s="29"/>
      <c r="O1519" s="44">
        <f t="shared" si="189"/>
        <v>0.22024729520865532</v>
      </c>
    </row>
    <row r="1520" spans="1:15" ht="20.100000000000001" customHeight="1" x14ac:dyDescent="0.25">
      <c r="A1520" s="89">
        <v>655</v>
      </c>
      <c r="B1520" s="4">
        <v>43648</v>
      </c>
      <c r="C1520" s="26" t="s">
        <v>404</v>
      </c>
      <c r="D1520" s="3">
        <v>14390</v>
      </c>
      <c r="E1520" s="4">
        <v>43649</v>
      </c>
      <c r="F1520" s="92" t="s">
        <v>28</v>
      </c>
      <c r="G1520" s="32">
        <v>43663</v>
      </c>
      <c r="H1520" s="27">
        <f t="shared" si="187"/>
        <v>14390</v>
      </c>
      <c r="I1520" s="27"/>
      <c r="J1520" s="27"/>
      <c r="K1520" s="99"/>
      <c r="L1520" s="27">
        <v>10568</v>
      </c>
      <c r="M1520" s="29">
        <f t="shared" si="188"/>
        <v>3822</v>
      </c>
      <c r="N1520" s="29"/>
      <c r="O1520" s="44">
        <f t="shared" si="189"/>
        <v>0.26560111188325225</v>
      </c>
    </row>
    <row r="1521" spans="1:15" ht="20.100000000000001" customHeight="1" x14ac:dyDescent="0.25">
      <c r="A1521" s="89">
        <v>664</v>
      </c>
      <c r="B1521" s="4">
        <v>43650</v>
      </c>
      <c r="C1521" s="26" t="s">
        <v>396</v>
      </c>
      <c r="D1521" s="3">
        <v>9990</v>
      </c>
      <c r="E1521" s="4">
        <v>43650</v>
      </c>
      <c r="F1521" s="92" t="s">
        <v>28</v>
      </c>
      <c r="G1521" s="32">
        <v>43655</v>
      </c>
      <c r="H1521" s="27">
        <f t="shared" si="187"/>
        <v>9990</v>
      </c>
      <c r="I1521" s="27"/>
      <c r="J1521" s="27"/>
      <c r="K1521" s="99"/>
      <c r="L1521" s="27">
        <v>7342</v>
      </c>
      <c r="M1521" s="29">
        <f t="shared" si="188"/>
        <v>2648</v>
      </c>
      <c r="N1521" s="29"/>
      <c r="O1521" s="44">
        <f t="shared" si="189"/>
        <v>0.26506506506506505</v>
      </c>
    </row>
    <row r="1522" spans="1:15" ht="20.100000000000001" customHeight="1" x14ac:dyDescent="0.25">
      <c r="A1522" s="89">
        <v>656</v>
      </c>
      <c r="B1522" s="4">
        <v>43648</v>
      </c>
      <c r="C1522" s="26" t="s">
        <v>16</v>
      </c>
      <c r="D1522" s="3">
        <v>19705.2</v>
      </c>
      <c r="E1522" s="4">
        <v>43650</v>
      </c>
      <c r="F1522" s="92" t="s">
        <v>28</v>
      </c>
      <c r="G1522" s="32">
        <v>43656</v>
      </c>
      <c r="H1522" s="27">
        <f t="shared" si="187"/>
        <v>19705.2</v>
      </c>
      <c r="I1522" s="27"/>
      <c r="J1522" s="27"/>
      <c r="K1522" s="99"/>
      <c r="L1522" s="27">
        <v>14451</v>
      </c>
      <c r="M1522" s="29">
        <f t="shared" si="188"/>
        <v>5254.2000000000007</v>
      </c>
      <c r="N1522" s="29"/>
      <c r="O1522" s="44">
        <f t="shared" si="189"/>
        <v>0.26664027769319776</v>
      </c>
    </row>
    <row r="1523" spans="1:15" ht="20.100000000000001" customHeight="1" x14ac:dyDescent="0.25">
      <c r="A1523" s="89">
        <v>616</v>
      </c>
      <c r="B1523" s="4">
        <v>43636</v>
      </c>
      <c r="C1523" s="26" t="s">
        <v>60</v>
      </c>
      <c r="D1523" s="3">
        <v>442</v>
      </c>
      <c r="E1523" s="4">
        <v>43651</v>
      </c>
      <c r="F1523" s="92" t="s">
        <v>28</v>
      </c>
      <c r="G1523" s="32">
        <v>43637</v>
      </c>
      <c r="H1523" s="27">
        <f t="shared" si="187"/>
        <v>442</v>
      </c>
      <c r="I1523" s="27"/>
      <c r="J1523" s="27"/>
      <c r="K1523" s="99"/>
      <c r="L1523" s="27">
        <v>290</v>
      </c>
      <c r="M1523" s="29">
        <f t="shared" si="188"/>
        <v>152</v>
      </c>
      <c r="N1523" s="29"/>
      <c r="O1523" s="44">
        <f t="shared" si="189"/>
        <v>0.34389140271493213</v>
      </c>
    </row>
    <row r="1524" spans="1:15" ht="20.100000000000001" customHeight="1" x14ac:dyDescent="0.25">
      <c r="A1524" s="89">
        <v>677</v>
      </c>
      <c r="B1524" s="4">
        <v>43652</v>
      </c>
      <c r="C1524" s="26" t="s">
        <v>386</v>
      </c>
      <c r="D1524" s="3">
        <v>34990</v>
      </c>
      <c r="E1524" s="4">
        <v>43652</v>
      </c>
      <c r="F1524" s="92" t="s">
        <v>28</v>
      </c>
      <c r="G1524" s="32">
        <v>43652</v>
      </c>
      <c r="H1524" s="27">
        <f t="shared" si="187"/>
        <v>34990</v>
      </c>
      <c r="I1524" s="27"/>
      <c r="J1524" s="27"/>
      <c r="K1524" s="99"/>
      <c r="L1524" s="27">
        <v>25717</v>
      </c>
      <c r="M1524" s="29">
        <f t="shared" si="188"/>
        <v>9273</v>
      </c>
      <c r="N1524" s="29"/>
      <c r="O1524" s="44">
        <f t="shared" si="189"/>
        <v>0.26501857673621032</v>
      </c>
    </row>
    <row r="1525" spans="1:15" ht="20.100000000000001" customHeight="1" x14ac:dyDescent="0.25">
      <c r="A1525" s="89">
        <v>659</v>
      </c>
      <c r="B1525" s="4">
        <v>43649</v>
      </c>
      <c r="C1525" s="5" t="s">
        <v>405</v>
      </c>
      <c r="D1525" s="3">
        <v>24990</v>
      </c>
      <c r="E1525" s="4">
        <v>43655</v>
      </c>
      <c r="F1525" s="92" t="s">
        <v>28</v>
      </c>
      <c r="G1525" s="32">
        <v>43657</v>
      </c>
      <c r="H1525" s="27">
        <f t="shared" si="187"/>
        <v>24990</v>
      </c>
      <c r="I1525" s="27">
        <f>H1525</f>
        <v>24990</v>
      </c>
      <c r="J1525" s="27"/>
      <c r="K1525" s="99"/>
      <c r="L1525" s="27">
        <v>19740.88</v>
      </c>
      <c r="M1525" s="29">
        <f t="shared" si="188"/>
        <v>5249.119999999999</v>
      </c>
      <c r="N1525" s="29">
        <f>M1525</f>
        <v>5249.119999999999</v>
      </c>
      <c r="O1525" s="44">
        <f t="shared" si="189"/>
        <v>0.21004881952781107</v>
      </c>
    </row>
    <row r="1526" spans="1:15" ht="20.100000000000001" customHeight="1" x14ac:dyDescent="0.25">
      <c r="A1526" s="89">
        <v>598</v>
      </c>
      <c r="B1526" s="4">
        <v>43635</v>
      </c>
      <c r="C1526" s="26" t="s">
        <v>182</v>
      </c>
      <c r="D1526" s="3">
        <v>306429</v>
      </c>
      <c r="E1526" s="4">
        <v>43655</v>
      </c>
      <c r="F1526" s="92" t="s">
        <v>28</v>
      </c>
      <c r="G1526" s="32">
        <v>43684</v>
      </c>
      <c r="H1526" s="27">
        <f t="shared" si="187"/>
        <v>306429</v>
      </c>
      <c r="I1526" s="27"/>
      <c r="J1526" s="27"/>
      <c r="K1526" s="99">
        <v>600</v>
      </c>
      <c r="L1526" s="27">
        <v>223768</v>
      </c>
      <c r="M1526" s="29">
        <f t="shared" si="188"/>
        <v>82061</v>
      </c>
      <c r="N1526" s="29"/>
      <c r="O1526" s="44">
        <f t="shared" si="189"/>
        <v>0.26779776065581262</v>
      </c>
    </row>
    <row r="1527" spans="1:15" ht="20.100000000000001" customHeight="1" x14ac:dyDescent="0.25">
      <c r="A1527" s="89">
        <v>649</v>
      </c>
      <c r="B1527" s="4">
        <v>43647</v>
      </c>
      <c r="C1527" s="26" t="s">
        <v>14</v>
      </c>
      <c r="D1527" s="3">
        <v>5000</v>
      </c>
      <c r="E1527" s="4">
        <v>43657</v>
      </c>
      <c r="F1527" s="92" t="s">
        <v>28</v>
      </c>
      <c r="G1527" s="32">
        <v>43658</v>
      </c>
      <c r="H1527" s="27">
        <f t="shared" si="187"/>
        <v>5000</v>
      </c>
      <c r="I1527" s="27"/>
      <c r="J1527" s="27"/>
      <c r="K1527" s="99">
        <v>600</v>
      </c>
      <c r="L1527" s="27">
        <v>1982</v>
      </c>
      <c r="M1527" s="29">
        <f t="shared" si="188"/>
        <v>2418</v>
      </c>
      <c r="N1527" s="29"/>
      <c r="O1527" s="44">
        <f t="shared" si="189"/>
        <v>0.48359999999999997</v>
      </c>
    </row>
    <row r="1528" spans="1:15" ht="20.100000000000001" customHeight="1" x14ac:dyDescent="0.25">
      <c r="A1528" s="89">
        <v>697</v>
      </c>
      <c r="B1528" s="4">
        <v>43657</v>
      </c>
      <c r="C1528" s="26" t="s">
        <v>216</v>
      </c>
      <c r="D1528" s="3">
        <v>284</v>
      </c>
      <c r="E1528" s="4">
        <v>43658</v>
      </c>
      <c r="F1528" s="92" t="s">
        <v>28</v>
      </c>
      <c r="G1528" s="32">
        <v>43705</v>
      </c>
      <c r="H1528" s="27">
        <f t="shared" si="187"/>
        <v>284</v>
      </c>
      <c r="I1528" s="27"/>
      <c r="J1528" s="27"/>
      <c r="K1528" s="99"/>
      <c r="L1528" s="27">
        <v>188</v>
      </c>
      <c r="M1528" s="29">
        <f t="shared" si="188"/>
        <v>96</v>
      </c>
      <c r="N1528" s="29"/>
      <c r="O1528" s="44">
        <f t="shared" si="189"/>
        <v>0.3380281690140845</v>
      </c>
    </row>
    <row r="1529" spans="1:15" ht="20.100000000000001" customHeight="1" x14ac:dyDescent="0.25">
      <c r="A1529" s="89">
        <v>702</v>
      </c>
      <c r="B1529" s="4">
        <v>43658</v>
      </c>
      <c r="C1529" s="26" t="s">
        <v>71</v>
      </c>
      <c r="D1529" s="3">
        <v>4792</v>
      </c>
      <c r="E1529" s="4">
        <v>43661</v>
      </c>
      <c r="F1529" s="92" t="s">
        <v>28</v>
      </c>
      <c r="G1529" s="32">
        <v>43661</v>
      </c>
      <c r="H1529" s="27">
        <f t="shared" si="187"/>
        <v>4792</v>
      </c>
      <c r="I1529" s="27"/>
      <c r="J1529" s="27"/>
      <c r="K1529" s="99"/>
      <c r="L1529" s="27">
        <v>3508</v>
      </c>
      <c r="M1529" s="29">
        <f t="shared" si="188"/>
        <v>1284</v>
      </c>
      <c r="N1529" s="29"/>
      <c r="O1529" s="44">
        <f t="shared" si="189"/>
        <v>0.26794657762938229</v>
      </c>
    </row>
    <row r="1530" spans="1:15" ht="20.100000000000001" customHeight="1" x14ac:dyDescent="0.25">
      <c r="A1530" s="89">
        <v>703</v>
      </c>
      <c r="B1530" s="4">
        <v>43658</v>
      </c>
      <c r="C1530" s="26" t="s">
        <v>71</v>
      </c>
      <c r="D1530" s="3">
        <v>8724</v>
      </c>
      <c r="E1530" s="4">
        <v>43661</v>
      </c>
      <c r="F1530" s="92" t="s">
        <v>28</v>
      </c>
      <c r="G1530" s="32">
        <v>43693</v>
      </c>
      <c r="H1530" s="27">
        <f t="shared" si="187"/>
        <v>8724</v>
      </c>
      <c r="I1530" s="27"/>
      <c r="J1530" s="27"/>
      <c r="K1530" s="99"/>
      <c r="L1530" s="27">
        <v>6804</v>
      </c>
      <c r="M1530" s="29">
        <f t="shared" si="188"/>
        <v>1920</v>
      </c>
      <c r="N1530" s="29"/>
      <c r="O1530" s="44">
        <f t="shared" si="189"/>
        <v>0.2200825309491059</v>
      </c>
    </row>
    <row r="1531" spans="1:15" ht="20.100000000000001" customHeight="1" x14ac:dyDescent="0.25">
      <c r="A1531" s="89">
        <v>687</v>
      </c>
      <c r="B1531" s="4">
        <v>43655</v>
      </c>
      <c r="C1531" s="26" t="s">
        <v>147</v>
      </c>
      <c r="D1531" s="3">
        <v>10352</v>
      </c>
      <c r="E1531" s="4">
        <v>43662</v>
      </c>
      <c r="F1531" s="92" t="s">
        <v>28</v>
      </c>
      <c r="G1531" s="32">
        <v>43663</v>
      </c>
      <c r="H1531" s="27">
        <f t="shared" si="187"/>
        <v>10352</v>
      </c>
      <c r="I1531" s="27"/>
      <c r="J1531" s="27"/>
      <c r="K1531" s="99"/>
      <c r="L1531" s="27">
        <v>8072</v>
      </c>
      <c r="M1531" s="29">
        <f t="shared" si="188"/>
        <v>2280</v>
      </c>
      <c r="N1531" s="29"/>
      <c r="O1531" s="44">
        <f t="shared" si="189"/>
        <v>0.22024729520865532</v>
      </c>
    </row>
    <row r="1532" spans="1:15" ht="20.100000000000001" customHeight="1" x14ac:dyDescent="0.25">
      <c r="A1532" s="89">
        <v>535</v>
      </c>
      <c r="B1532" s="4">
        <v>43634</v>
      </c>
      <c r="C1532" s="26" t="s">
        <v>99</v>
      </c>
      <c r="D1532" s="3">
        <v>183658</v>
      </c>
      <c r="E1532" s="4">
        <v>43663</v>
      </c>
      <c r="F1532" s="92" t="s">
        <v>28</v>
      </c>
      <c r="G1532" s="32">
        <v>43635</v>
      </c>
      <c r="H1532" s="27">
        <f t="shared" si="187"/>
        <v>183658</v>
      </c>
      <c r="I1532" s="27"/>
      <c r="J1532" s="27">
        <v>27000</v>
      </c>
      <c r="K1532" s="99">
        <v>3600</v>
      </c>
      <c r="L1532" s="27">
        <v>73284</v>
      </c>
      <c r="M1532" s="29">
        <f t="shared" si="188"/>
        <v>79774</v>
      </c>
      <c r="N1532" s="29"/>
      <c r="O1532" s="44">
        <f t="shared" si="189"/>
        <v>0.43436169401822955</v>
      </c>
    </row>
    <row r="1533" spans="1:15" ht="20.100000000000001" customHeight="1" x14ac:dyDescent="0.25">
      <c r="A1533" s="89">
        <v>602</v>
      </c>
      <c r="B1533" s="4">
        <v>43634</v>
      </c>
      <c r="C1533" s="26" t="s">
        <v>99</v>
      </c>
      <c r="D1533" s="3">
        <v>1812</v>
      </c>
      <c r="E1533" s="4">
        <v>43663</v>
      </c>
      <c r="F1533" s="92" t="s">
        <v>28</v>
      </c>
      <c r="G1533" s="32">
        <v>43655</v>
      </c>
      <c r="H1533" s="27">
        <f t="shared" si="187"/>
        <v>1812</v>
      </c>
      <c r="I1533" s="27"/>
      <c r="J1533" s="27"/>
      <c r="K1533" s="99"/>
      <c r="L1533" s="27">
        <v>1376</v>
      </c>
      <c r="M1533" s="29">
        <f t="shared" si="188"/>
        <v>436</v>
      </c>
      <c r="N1533" s="29"/>
      <c r="O1533" s="44">
        <f t="shared" si="189"/>
        <v>0.24061810154525387</v>
      </c>
    </row>
    <row r="1534" spans="1:15" ht="20.100000000000001" customHeight="1" x14ac:dyDescent="0.25">
      <c r="A1534" s="89">
        <v>724</v>
      </c>
      <c r="B1534" s="4">
        <v>43662</v>
      </c>
      <c r="C1534" s="26" t="s">
        <v>286</v>
      </c>
      <c r="D1534" s="3">
        <v>18598</v>
      </c>
      <c r="E1534" s="4">
        <v>43663</v>
      </c>
      <c r="F1534" s="92" t="s">
        <v>28</v>
      </c>
      <c r="G1534" s="32">
        <v>43664</v>
      </c>
      <c r="H1534" s="27">
        <f t="shared" si="187"/>
        <v>18598</v>
      </c>
      <c r="I1534" s="27"/>
      <c r="J1534" s="27"/>
      <c r="K1534" s="99"/>
      <c r="L1534" s="27">
        <v>14642</v>
      </c>
      <c r="M1534" s="29">
        <f t="shared" si="188"/>
        <v>3956</v>
      </c>
      <c r="N1534" s="29"/>
      <c r="O1534" s="44">
        <f t="shared" si="189"/>
        <v>0.21271104419830089</v>
      </c>
    </row>
    <row r="1535" spans="1:15" ht="20.100000000000001" customHeight="1" x14ac:dyDescent="0.25">
      <c r="A1535" s="89">
        <v>489</v>
      </c>
      <c r="B1535" s="4">
        <v>43612</v>
      </c>
      <c r="C1535" s="26" t="s">
        <v>65</v>
      </c>
      <c r="D1535" s="3">
        <v>275817.59999999998</v>
      </c>
      <c r="E1535" s="4">
        <v>43664</v>
      </c>
      <c r="F1535" s="92" t="s">
        <v>28</v>
      </c>
      <c r="G1535" s="32">
        <v>43633</v>
      </c>
      <c r="H1535" s="27">
        <v>138550.79999999999</v>
      </c>
      <c r="I1535" s="27"/>
      <c r="J1535" s="27"/>
      <c r="K1535" s="99"/>
      <c r="L1535" s="27">
        <v>119124</v>
      </c>
      <c r="M1535" s="29">
        <f t="shared" si="188"/>
        <v>19426.799999999988</v>
      </c>
      <c r="N1535" s="29"/>
      <c r="O1535" s="44">
        <f t="shared" si="189"/>
        <v>0.1402142751972561</v>
      </c>
    </row>
    <row r="1536" spans="1:15" ht="20.100000000000001" customHeight="1" x14ac:dyDescent="0.25">
      <c r="A1536" s="89">
        <v>718</v>
      </c>
      <c r="B1536" s="4">
        <v>43662</v>
      </c>
      <c r="C1536" s="26" t="s">
        <v>386</v>
      </c>
      <c r="D1536" s="3">
        <v>3142</v>
      </c>
      <c r="E1536" s="4">
        <v>43665</v>
      </c>
      <c r="F1536" s="92" t="s">
        <v>28</v>
      </c>
      <c r="G1536" s="32">
        <v>43662</v>
      </c>
      <c r="H1536" s="27">
        <f t="shared" ref="H1536:H1550" si="190">D1536</f>
        <v>3142</v>
      </c>
      <c r="I1536" s="27"/>
      <c r="J1536" s="27"/>
      <c r="K1536" s="99"/>
      <c r="L1536" s="27">
        <v>2450</v>
      </c>
      <c r="M1536" s="29">
        <f t="shared" si="188"/>
        <v>692</v>
      </c>
      <c r="N1536" s="29"/>
      <c r="O1536" s="44">
        <f t="shared" si="189"/>
        <v>0.22024188415022278</v>
      </c>
    </row>
    <row r="1537" spans="1:15" ht="20.100000000000001" customHeight="1" x14ac:dyDescent="0.25">
      <c r="A1537" s="89">
        <v>735</v>
      </c>
      <c r="B1537" s="4">
        <v>43665</v>
      </c>
      <c r="C1537" s="26" t="s">
        <v>386</v>
      </c>
      <c r="D1537" s="3">
        <v>3142</v>
      </c>
      <c r="E1537" s="4">
        <v>43665</v>
      </c>
      <c r="F1537" s="92" t="s">
        <v>28</v>
      </c>
      <c r="G1537" s="32">
        <v>43665</v>
      </c>
      <c r="H1537" s="27">
        <f t="shared" si="190"/>
        <v>3142</v>
      </c>
      <c r="I1537" s="27"/>
      <c r="J1537" s="27"/>
      <c r="K1537" s="99"/>
      <c r="L1537" s="27">
        <v>2450</v>
      </c>
      <c r="M1537" s="29">
        <f t="shared" si="188"/>
        <v>692</v>
      </c>
      <c r="N1537" s="29"/>
      <c r="O1537" s="44">
        <f t="shared" si="189"/>
        <v>0.22024188415022278</v>
      </c>
    </row>
    <row r="1538" spans="1:15" ht="20.100000000000001" customHeight="1" x14ac:dyDescent="0.25">
      <c r="A1538" s="89">
        <v>527</v>
      </c>
      <c r="B1538" s="4">
        <v>43621</v>
      </c>
      <c r="C1538" s="26" t="s">
        <v>56</v>
      </c>
      <c r="D1538" s="3">
        <v>21124</v>
      </c>
      <c r="E1538" s="4">
        <v>43665</v>
      </c>
      <c r="F1538" s="92" t="s">
        <v>28</v>
      </c>
      <c r="G1538" s="32">
        <v>43635</v>
      </c>
      <c r="H1538" s="27">
        <f t="shared" si="190"/>
        <v>21124</v>
      </c>
      <c r="I1538" s="27"/>
      <c r="J1538" s="27"/>
      <c r="K1538" s="99"/>
      <c r="L1538" s="27">
        <v>16426</v>
      </c>
      <c r="M1538" s="29">
        <f t="shared" si="188"/>
        <v>4698</v>
      </c>
      <c r="N1538" s="29"/>
      <c r="O1538" s="44">
        <f t="shared" si="189"/>
        <v>0.22240106040522628</v>
      </c>
    </row>
    <row r="1539" spans="1:15" ht="20.100000000000001" customHeight="1" x14ac:dyDescent="0.25">
      <c r="A1539" s="89">
        <v>582</v>
      </c>
      <c r="B1539" s="4">
        <v>43630</v>
      </c>
      <c r="C1539" s="26" t="s">
        <v>56</v>
      </c>
      <c r="D1539" s="3">
        <v>43487</v>
      </c>
      <c r="E1539" s="4">
        <v>43665</v>
      </c>
      <c r="F1539" s="92" t="s">
        <v>28</v>
      </c>
      <c r="G1539" s="32">
        <v>43655</v>
      </c>
      <c r="H1539" s="27">
        <f t="shared" si="190"/>
        <v>43487</v>
      </c>
      <c r="I1539" s="27"/>
      <c r="J1539" s="27"/>
      <c r="K1539" s="99"/>
      <c r="L1539" s="27">
        <v>32942</v>
      </c>
      <c r="M1539" s="29">
        <f t="shared" si="188"/>
        <v>10545</v>
      </c>
      <c r="N1539" s="29"/>
      <c r="O1539" s="44">
        <f t="shared" si="189"/>
        <v>0.2424862602616874</v>
      </c>
    </row>
    <row r="1540" spans="1:15" ht="20.100000000000001" customHeight="1" x14ac:dyDescent="0.25">
      <c r="A1540" s="89">
        <v>719</v>
      </c>
      <c r="B1540" s="4">
        <v>43662</v>
      </c>
      <c r="C1540" s="26" t="s">
        <v>258</v>
      </c>
      <c r="D1540" s="3">
        <v>1355</v>
      </c>
      <c r="E1540" s="4">
        <v>43665</v>
      </c>
      <c r="F1540" s="92" t="s">
        <v>28</v>
      </c>
      <c r="G1540" s="32">
        <v>43683</v>
      </c>
      <c r="H1540" s="27">
        <f t="shared" si="190"/>
        <v>1355</v>
      </c>
      <c r="I1540" s="27"/>
      <c r="J1540" s="27"/>
      <c r="K1540" s="99"/>
      <c r="L1540" s="27">
        <v>1057</v>
      </c>
      <c r="M1540" s="29">
        <f t="shared" si="188"/>
        <v>298</v>
      </c>
      <c r="N1540" s="29"/>
      <c r="O1540" s="44">
        <f t="shared" si="189"/>
        <v>0.21992619926199261</v>
      </c>
    </row>
    <row r="1541" spans="1:15" ht="20.100000000000001" customHeight="1" x14ac:dyDescent="0.25">
      <c r="A1541" s="89">
        <v>750</v>
      </c>
      <c r="B1541" s="4">
        <v>43669</v>
      </c>
      <c r="C1541" s="5" t="s">
        <v>407</v>
      </c>
      <c r="D1541" s="3">
        <v>17990</v>
      </c>
      <c r="E1541" s="4">
        <v>43669</v>
      </c>
      <c r="F1541" s="92" t="s">
        <v>28</v>
      </c>
      <c r="G1541" s="32">
        <v>43671</v>
      </c>
      <c r="H1541" s="27">
        <f t="shared" si="190"/>
        <v>17990</v>
      </c>
      <c r="I1541" s="27">
        <f>H1541</f>
        <v>17990</v>
      </c>
      <c r="J1541" s="27"/>
      <c r="K1541" s="99"/>
      <c r="L1541" s="27">
        <v>14168</v>
      </c>
      <c r="M1541" s="29">
        <f t="shared" si="188"/>
        <v>3822</v>
      </c>
      <c r="N1541" s="29">
        <f>M1541</f>
        <v>3822</v>
      </c>
      <c r="O1541" s="44">
        <f t="shared" si="189"/>
        <v>0.21245136186770427</v>
      </c>
    </row>
    <row r="1542" spans="1:15" ht="20.100000000000001" customHeight="1" x14ac:dyDescent="0.25">
      <c r="A1542" s="89">
        <v>754</v>
      </c>
      <c r="B1542" s="4">
        <v>43670</v>
      </c>
      <c r="C1542" s="26" t="s">
        <v>149</v>
      </c>
      <c r="D1542" s="3">
        <v>5138</v>
      </c>
      <c r="E1542" s="4">
        <v>43670</v>
      </c>
      <c r="F1542" s="92" t="s">
        <v>28</v>
      </c>
      <c r="G1542" s="32">
        <v>43696</v>
      </c>
      <c r="H1542" s="27">
        <f t="shared" si="190"/>
        <v>5138</v>
      </c>
      <c r="I1542" s="27"/>
      <c r="J1542" s="27"/>
      <c r="K1542" s="99"/>
      <c r="L1542" s="27">
        <v>4007</v>
      </c>
      <c r="M1542" s="29">
        <f t="shared" si="188"/>
        <v>1131</v>
      </c>
      <c r="N1542" s="29"/>
      <c r="O1542" s="44">
        <f t="shared" si="189"/>
        <v>0.22012456208641495</v>
      </c>
    </row>
    <row r="1543" spans="1:15" ht="20.100000000000001" customHeight="1" x14ac:dyDescent="0.25">
      <c r="A1543" s="89">
        <v>695</v>
      </c>
      <c r="B1543" s="4">
        <v>43657</v>
      </c>
      <c r="C1543" s="26" t="s">
        <v>11</v>
      </c>
      <c r="D1543" s="3">
        <v>9285</v>
      </c>
      <c r="E1543" s="4">
        <v>43671</v>
      </c>
      <c r="F1543" s="92" t="s">
        <v>28</v>
      </c>
      <c r="G1543" s="32">
        <v>43703</v>
      </c>
      <c r="H1543" s="27">
        <f t="shared" si="190"/>
        <v>9285</v>
      </c>
      <c r="I1543" s="27"/>
      <c r="J1543" s="27"/>
      <c r="K1543" s="99"/>
      <c r="L1543" s="27">
        <v>5325</v>
      </c>
      <c r="M1543" s="29">
        <f t="shared" si="188"/>
        <v>3960</v>
      </c>
      <c r="N1543" s="29"/>
      <c r="O1543" s="44">
        <f t="shared" si="189"/>
        <v>0.42649434571890144</v>
      </c>
    </row>
    <row r="1544" spans="1:15" ht="20.100000000000001" customHeight="1" x14ac:dyDescent="0.25">
      <c r="A1544" s="89">
        <v>759</v>
      </c>
      <c r="B1544" s="4">
        <v>43671</v>
      </c>
      <c r="C1544" s="5" t="s">
        <v>408</v>
      </c>
      <c r="D1544" s="3">
        <v>30389</v>
      </c>
      <c r="E1544" s="4">
        <v>43671</v>
      </c>
      <c r="F1544" s="92" t="s">
        <v>28</v>
      </c>
      <c r="G1544" s="32">
        <v>43672</v>
      </c>
      <c r="H1544" s="27">
        <f t="shared" si="190"/>
        <v>30389</v>
      </c>
      <c r="I1544" s="27">
        <f>H1544</f>
        <v>30389</v>
      </c>
      <c r="J1544" s="27"/>
      <c r="K1544" s="99"/>
      <c r="L1544" s="27">
        <v>21089</v>
      </c>
      <c r="M1544" s="29">
        <f t="shared" si="188"/>
        <v>9300</v>
      </c>
      <c r="N1544" s="29">
        <f>M1544</f>
        <v>9300</v>
      </c>
      <c r="O1544" s="44">
        <f t="shared" si="189"/>
        <v>0.30603178781796042</v>
      </c>
    </row>
    <row r="1545" spans="1:15" ht="20.100000000000001" customHeight="1" x14ac:dyDescent="0.25">
      <c r="A1545" s="89">
        <v>756</v>
      </c>
      <c r="B1545" s="4">
        <v>43670</v>
      </c>
      <c r="C1545" s="26" t="s">
        <v>243</v>
      </c>
      <c r="D1545" s="3">
        <v>10352</v>
      </c>
      <c r="E1545" s="4">
        <v>43671</v>
      </c>
      <c r="F1545" s="92" t="s">
        <v>28</v>
      </c>
      <c r="G1545" s="32">
        <v>43683</v>
      </c>
      <c r="H1545" s="27">
        <f t="shared" si="190"/>
        <v>10352</v>
      </c>
      <c r="I1545" s="27"/>
      <c r="J1545" s="27"/>
      <c r="K1545" s="99"/>
      <c r="L1545" s="27">
        <v>8072</v>
      </c>
      <c r="M1545" s="29">
        <f t="shared" si="188"/>
        <v>2280</v>
      </c>
      <c r="N1545" s="29"/>
      <c r="O1545" s="44">
        <f t="shared" si="189"/>
        <v>0.22024729520865532</v>
      </c>
    </row>
    <row r="1546" spans="1:15" ht="20.100000000000001" customHeight="1" x14ac:dyDescent="0.25">
      <c r="A1546" s="89">
        <v>714</v>
      </c>
      <c r="B1546" s="4">
        <v>43661</v>
      </c>
      <c r="C1546" s="5" t="s">
        <v>409</v>
      </c>
      <c r="D1546" s="3">
        <v>27149</v>
      </c>
      <c r="E1546" s="4">
        <v>43672</v>
      </c>
      <c r="F1546" s="92" t="s">
        <v>28</v>
      </c>
      <c r="G1546" s="32">
        <v>43677</v>
      </c>
      <c r="H1546" s="27">
        <f t="shared" si="190"/>
        <v>27149</v>
      </c>
      <c r="I1546" s="27">
        <f>H1546</f>
        <v>27149</v>
      </c>
      <c r="J1546" s="27"/>
      <c r="K1546" s="99">
        <v>600</v>
      </c>
      <c r="L1546" s="27">
        <v>19148</v>
      </c>
      <c r="M1546" s="29">
        <f t="shared" si="188"/>
        <v>7401</v>
      </c>
      <c r="N1546" s="29">
        <f>M1546</f>
        <v>7401</v>
      </c>
      <c r="O1546" s="44">
        <f t="shared" si="189"/>
        <v>0.27260672584625584</v>
      </c>
    </row>
    <row r="1547" spans="1:15" ht="20.100000000000001" customHeight="1" x14ac:dyDescent="0.25">
      <c r="A1547" s="89">
        <v>622</v>
      </c>
      <c r="B1547" s="4">
        <v>43649</v>
      </c>
      <c r="C1547" s="26" t="s">
        <v>99</v>
      </c>
      <c r="D1547" s="3">
        <v>136296</v>
      </c>
      <c r="E1547" s="4">
        <v>43675</v>
      </c>
      <c r="F1547" s="92" t="s">
        <v>28</v>
      </c>
      <c r="G1547" s="32">
        <v>43655</v>
      </c>
      <c r="H1547" s="27">
        <f t="shared" si="190"/>
        <v>136296</v>
      </c>
      <c r="I1547" s="27"/>
      <c r="J1547" s="27">
        <v>27000</v>
      </c>
      <c r="K1547" s="99">
        <f>9*600</f>
        <v>5400</v>
      </c>
      <c r="L1547" s="27">
        <v>36002</v>
      </c>
      <c r="M1547" s="29">
        <f t="shared" si="188"/>
        <v>67894</v>
      </c>
      <c r="N1547" s="29"/>
      <c r="O1547" s="44">
        <f t="shared" si="189"/>
        <v>0.49813640899219347</v>
      </c>
    </row>
    <row r="1548" spans="1:15" ht="20.100000000000001" customHeight="1" x14ac:dyDescent="0.25">
      <c r="A1548" s="89">
        <v>767</v>
      </c>
      <c r="B1548" s="4">
        <v>43675</v>
      </c>
      <c r="C1548" s="26" t="s">
        <v>370</v>
      </c>
      <c r="D1548" s="3">
        <v>3142</v>
      </c>
      <c r="E1548" s="4">
        <v>43677</v>
      </c>
      <c r="F1548" s="92" t="s">
        <v>28</v>
      </c>
      <c r="G1548" s="32">
        <v>43677</v>
      </c>
      <c r="H1548" s="27">
        <f t="shared" si="190"/>
        <v>3142</v>
      </c>
      <c r="I1548" s="27"/>
      <c r="J1548" s="27"/>
      <c r="K1548" s="99"/>
      <c r="L1548" s="27">
        <v>2450</v>
      </c>
      <c r="M1548" s="29">
        <f t="shared" si="188"/>
        <v>692</v>
      </c>
      <c r="N1548" s="29"/>
      <c r="O1548" s="44">
        <f t="shared" si="189"/>
        <v>0.22024188415022278</v>
      </c>
    </row>
    <row r="1549" spans="1:15" ht="20.100000000000001" customHeight="1" x14ac:dyDescent="0.25">
      <c r="A1549" s="89">
        <v>769</v>
      </c>
      <c r="B1549" s="4">
        <v>43676</v>
      </c>
      <c r="C1549" s="26" t="s">
        <v>209</v>
      </c>
      <c r="D1549" s="3">
        <v>8292.61</v>
      </c>
      <c r="E1549" s="4">
        <v>43677</v>
      </c>
      <c r="F1549" s="92" t="s">
        <v>28</v>
      </c>
      <c r="G1549" s="32">
        <v>43677</v>
      </c>
      <c r="H1549" s="27">
        <f t="shared" si="190"/>
        <v>8292.61</v>
      </c>
      <c r="I1549" s="27"/>
      <c r="J1549" s="27"/>
      <c r="K1549" s="99"/>
      <c r="L1549" s="27">
        <v>7462</v>
      </c>
      <c r="M1549" s="29">
        <f t="shared" si="188"/>
        <v>830.61000000000058</v>
      </c>
      <c r="N1549" s="29"/>
      <c r="O1549" s="44">
        <f t="shared" si="189"/>
        <v>0.10016267495999456</v>
      </c>
    </row>
    <row r="1550" spans="1:15" ht="20.100000000000001" customHeight="1" x14ac:dyDescent="0.25">
      <c r="A1550" s="89">
        <v>774</v>
      </c>
      <c r="B1550" s="4">
        <v>43677</v>
      </c>
      <c r="C1550" s="5" t="s">
        <v>411</v>
      </c>
      <c r="D1550" s="3">
        <v>17990</v>
      </c>
      <c r="E1550" s="4">
        <v>43677</v>
      </c>
      <c r="F1550" s="92" t="s">
        <v>28</v>
      </c>
      <c r="G1550" s="32">
        <v>43678</v>
      </c>
      <c r="H1550" s="27">
        <f t="shared" si="190"/>
        <v>17990</v>
      </c>
      <c r="I1550" s="27">
        <f>H1550</f>
        <v>17990</v>
      </c>
      <c r="J1550" s="27"/>
      <c r="K1550" s="99"/>
      <c r="L1550" s="27">
        <v>14168</v>
      </c>
      <c r="M1550" s="29">
        <f t="shared" si="188"/>
        <v>3822</v>
      </c>
      <c r="N1550" s="29">
        <f>M1550</f>
        <v>3822</v>
      </c>
      <c r="O1550" s="44">
        <f t="shared" si="189"/>
        <v>0.21245136186770427</v>
      </c>
    </row>
    <row r="1551" spans="1:15" ht="19.5" customHeight="1" x14ac:dyDescent="0.25">
      <c r="A1551" s="89"/>
      <c r="B1551" s="4"/>
      <c r="C1551" s="5"/>
      <c r="D1551" s="3"/>
      <c r="E1551" s="97">
        <v>66650</v>
      </c>
      <c r="F1551" s="98">
        <f>M1551*0.17+N1551*0.06</f>
        <v>66645.731299999999</v>
      </c>
      <c r="G1551" s="21">
        <f>H1551*0.05+I1551*0.02</f>
        <v>65984.000500000009</v>
      </c>
      <c r="H1551" s="16">
        <f t="shared" ref="H1551:N1551" si="191">SUM(H1512:H1550)</f>
        <v>1254919.6100000001</v>
      </c>
      <c r="I1551" s="16">
        <f t="shared" si="191"/>
        <v>161901</v>
      </c>
      <c r="J1551" s="16">
        <f t="shared" si="191"/>
        <v>54000</v>
      </c>
      <c r="K1551" s="16">
        <f t="shared" si="191"/>
        <v>15600</v>
      </c>
      <c r="L1551" s="16">
        <f t="shared" si="191"/>
        <v>807804.88</v>
      </c>
      <c r="M1551" s="16">
        <f t="shared" si="191"/>
        <v>377514.73</v>
      </c>
      <c r="N1551" s="16">
        <f t="shared" si="191"/>
        <v>41137.119999999995</v>
      </c>
      <c r="O1551" s="44">
        <f t="shared" si="189"/>
        <v>0.3008278195604896</v>
      </c>
    </row>
    <row r="1552" spans="1:15" ht="23.25" x14ac:dyDescent="0.35">
      <c r="B1552" s="94"/>
      <c r="C1552" s="94" t="s">
        <v>642</v>
      </c>
    </row>
    <row r="1553" spans="1:15" ht="20.100000000000001" customHeight="1" x14ac:dyDescent="0.25">
      <c r="A1553" s="89">
        <v>764</v>
      </c>
      <c r="B1553" s="4">
        <v>43672</v>
      </c>
      <c r="C1553" s="5" t="s">
        <v>410</v>
      </c>
      <c r="D1553" s="3">
        <v>2001050</v>
      </c>
      <c r="E1553" s="4">
        <v>43676</v>
      </c>
      <c r="F1553" s="92" t="s">
        <v>28</v>
      </c>
      <c r="G1553" s="32">
        <v>43706</v>
      </c>
      <c r="H1553" s="27">
        <f>D1553</f>
        <v>2001050</v>
      </c>
      <c r="I1553" s="27">
        <f>H1553</f>
        <v>2001050</v>
      </c>
      <c r="J1553" s="27">
        <v>30000</v>
      </c>
      <c r="K1553" s="99"/>
      <c r="L1553" s="27">
        <v>1730224</v>
      </c>
      <c r="M1553" s="29">
        <f t="shared" ref="M1553:M1579" si="192">H1553-L1553-J1553-K1553</f>
        <v>240826</v>
      </c>
      <c r="N1553" s="29">
        <f>M1553</f>
        <v>240826</v>
      </c>
      <c r="O1553" s="44">
        <f t="shared" ref="O1553:O1580" si="193">M1553/H1553</f>
        <v>0.12034981634641813</v>
      </c>
    </row>
    <row r="1554" spans="1:15" ht="20.100000000000001" customHeight="1" x14ac:dyDescent="0.25">
      <c r="A1554" s="89">
        <v>785</v>
      </c>
      <c r="B1554" s="4">
        <v>43678</v>
      </c>
      <c r="C1554" s="26" t="s">
        <v>393</v>
      </c>
      <c r="D1554" s="3">
        <v>1314</v>
      </c>
      <c r="E1554" s="4">
        <v>43679</v>
      </c>
      <c r="F1554" s="92" t="s">
        <v>28</v>
      </c>
      <c r="G1554" s="32">
        <v>43682</v>
      </c>
      <c r="H1554" s="27">
        <f>D1554</f>
        <v>1314</v>
      </c>
      <c r="I1554" s="27"/>
      <c r="J1554" s="27"/>
      <c r="K1554" s="99"/>
      <c r="L1554" s="27">
        <v>670</v>
      </c>
      <c r="M1554" s="29">
        <f t="shared" si="192"/>
        <v>644</v>
      </c>
      <c r="N1554" s="29"/>
      <c r="O1554" s="44">
        <f t="shared" si="193"/>
        <v>0.49010654490106542</v>
      </c>
    </row>
    <row r="1555" spans="1:15" ht="20.100000000000001" customHeight="1" x14ac:dyDescent="0.25">
      <c r="A1555" s="89">
        <v>791</v>
      </c>
      <c r="B1555" s="4">
        <v>43682</v>
      </c>
      <c r="C1555" s="26" t="s">
        <v>77</v>
      </c>
      <c r="D1555" s="3">
        <v>34990</v>
      </c>
      <c r="E1555" s="4">
        <v>43682</v>
      </c>
      <c r="F1555" s="92" t="s">
        <v>28</v>
      </c>
      <c r="G1555" s="32">
        <v>43683</v>
      </c>
      <c r="H1555" s="27">
        <f>D1555</f>
        <v>34990</v>
      </c>
      <c r="I1555" s="27"/>
      <c r="J1555" s="27"/>
      <c r="K1555" s="99"/>
      <c r="L1555" s="27">
        <v>25717</v>
      </c>
      <c r="M1555" s="29">
        <f t="shared" si="192"/>
        <v>9273</v>
      </c>
      <c r="N1555" s="29"/>
      <c r="O1555" s="44">
        <f t="shared" si="193"/>
        <v>0.26501857673621032</v>
      </c>
    </row>
    <row r="1556" spans="1:15" ht="20.100000000000001" customHeight="1" x14ac:dyDescent="0.25">
      <c r="A1556" s="89">
        <v>772</v>
      </c>
      <c r="B1556" s="4">
        <v>43677</v>
      </c>
      <c r="C1556" s="26" t="s">
        <v>139</v>
      </c>
      <c r="D1556" s="3">
        <v>2162</v>
      </c>
      <c r="E1556" s="4">
        <v>43683</v>
      </c>
      <c r="F1556" s="92" t="s">
        <v>28</v>
      </c>
      <c r="G1556" s="32">
        <v>43710</v>
      </c>
      <c r="H1556" s="27">
        <f>D1556</f>
        <v>2162</v>
      </c>
      <c r="I1556" s="27"/>
      <c r="J1556" s="27"/>
      <c r="K1556" s="99"/>
      <c r="L1556" s="27">
        <v>1426</v>
      </c>
      <c r="M1556" s="29">
        <f t="shared" si="192"/>
        <v>736</v>
      </c>
      <c r="N1556" s="29"/>
      <c r="O1556" s="44">
        <f t="shared" si="193"/>
        <v>0.34042553191489361</v>
      </c>
    </row>
    <row r="1557" spans="1:15" ht="20.100000000000001" customHeight="1" x14ac:dyDescent="0.25">
      <c r="A1557" s="89">
        <v>792</v>
      </c>
      <c r="B1557" s="4">
        <v>43682</v>
      </c>
      <c r="C1557" s="26" t="s">
        <v>286</v>
      </c>
      <c r="D1557" s="3">
        <v>4986</v>
      </c>
      <c r="E1557" s="4">
        <v>43685</v>
      </c>
      <c r="F1557" s="92" t="s">
        <v>28</v>
      </c>
      <c r="G1557" s="32">
        <v>43686</v>
      </c>
      <c r="H1557" s="27">
        <f>D1557</f>
        <v>4986</v>
      </c>
      <c r="I1557" s="27"/>
      <c r="J1557" s="27"/>
      <c r="K1557" s="99"/>
      <c r="L1557" s="27">
        <v>4194</v>
      </c>
      <c r="M1557" s="29">
        <f t="shared" si="192"/>
        <v>792</v>
      </c>
      <c r="N1557" s="29"/>
      <c r="O1557" s="44">
        <f t="shared" si="193"/>
        <v>0.1588447653429603</v>
      </c>
    </row>
    <row r="1558" spans="1:15" ht="20.100000000000001" customHeight="1" x14ac:dyDescent="0.25">
      <c r="A1558" s="89">
        <v>721</v>
      </c>
      <c r="B1558" s="4">
        <v>43662</v>
      </c>
      <c r="C1558" s="26" t="s">
        <v>179</v>
      </c>
      <c r="D1558" s="3">
        <v>310000</v>
      </c>
      <c r="E1558" s="4">
        <v>43685</v>
      </c>
      <c r="F1558" s="92" t="s">
        <v>28</v>
      </c>
      <c r="G1558" s="32">
        <v>43697</v>
      </c>
      <c r="H1558" s="27">
        <v>248000</v>
      </c>
      <c r="I1558" s="27"/>
      <c r="J1558" s="27"/>
      <c r="K1558" s="99"/>
      <c r="L1558" s="27">
        <v>191000</v>
      </c>
      <c r="M1558" s="29">
        <f t="shared" si="192"/>
        <v>57000</v>
      </c>
      <c r="N1558" s="29"/>
      <c r="O1558" s="44">
        <f t="shared" si="193"/>
        <v>0.22983870967741934</v>
      </c>
    </row>
    <row r="1559" spans="1:15" ht="20.100000000000001" customHeight="1" x14ac:dyDescent="0.25">
      <c r="A1559" s="89">
        <v>638</v>
      </c>
      <c r="B1559" s="4">
        <v>43647</v>
      </c>
      <c r="C1559" s="26" t="s">
        <v>38</v>
      </c>
      <c r="D1559" s="3">
        <v>81758</v>
      </c>
      <c r="E1559" s="4">
        <v>43686</v>
      </c>
      <c r="F1559" s="92" t="s">
        <v>28</v>
      </c>
      <c r="G1559" s="32">
        <v>43656</v>
      </c>
      <c r="H1559" s="27">
        <f>D1559</f>
        <v>81758</v>
      </c>
      <c r="I1559" s="27"/>
      <c r="J1559" s="27"/>
      <c r="K1559" s="99"/>
      <c r="L1559" s="27">
        <v>61044</v>
      </c>
      <c r="M1559" s="29">
        <f t="shared" si="192"/>
        <v>20714</v>
      </c>
      <c r="N1559" s="29"/>
      <c r="O1559" s="44">
        <f t="shared" si="193"/>
        <v>0.25335746960542088</v>
      </c>
    </row>
    <row r="1560" spans="1:15" ht="20.100000000000001" customHeight="1" x14ac:dyDescent="0.25">
      <c r="A1560" s="89">
        <v>802</v>
      </c>
      <c r="B1560" s="4">
        <v>43686</v>
      </c>
      <c r="C1560" s="26" t="s">
        <v>169</v>
      </c>
      <c r="D1560" s="3">
        <v>66090</v>
      </c>
      <c r="E1560" s="4">
        <v>43689</v>
      </c>
      <c r="F1560" s="92" t="s">
        <v>28</v>
      </c>
      <c r="G1560" s="32">
        <v>43692</v>
      </c>
      <c r="H1560" s="27">
        <f>D1560</f>
        <v>66090</v>
      </c>
      <c r="I1560" s="27"/>
      <c r="J1560" s="27"/>
      <c r="K1560" s="99"/>
      <c r="L1560" s="27">
        <v>48320</v>
      </c>
      <c r="M1560" s="29">
        <f t="shared" si="192"/>
        <v>17770</v>
      </c>
      <c r="N1560" s="29"/>
      <c r="O1560" s="44">
        <f t="shared" si="193"/>
        <v>0.26887577545770919</v>
      </c>
    </row>
    <row r="1561" spans="1:15" ht="20.100000000000001" customHeight="1" x14ac:dyDescent="0.25">
      <c r="A1561" s="89">
        <v>790</v>
      </c>
      <c r="B1561" s="4">
        <v>43682</v>
      </c>
      <c r="C1561" s="26" t="s">
        <v>228</v>
      </c>
      <c r="D1561" s="3">
        <v>30086</v>
      </c>
      <c r="E1561" s="4">
        <v>43690</v>
      </c>
      <c r="F1561" s="92" t="s">
        <v>28</v>
      </c>
      <c r="G1561" s="32">
        <v>43731</v>
      </c>
      <c r="H1561" s="27">
        <f>D1561</f>
        <v>30086</v>
      </c>
      <c r="I1561" s="27"/>
      <c r="J1561" s="27"/>
      <c r="K1561" s="99"/>
      <c r="L1561" s="27">
        <v>16583</v>
      </c>
      <c r="M1561" s="29">
        <f t="shared" si="192"/>
        <v>13503</v>
      </c>
      <c r="N1561" s="29"/>
      <c r="O1561" s="44">
        <f t="shared" si="193"/>
        <v>0.44881340158213123</v>
      </c>
    </row>
    <row r="1562" spans="1:15" ht="20.100000000000001" customHeight="1" x14ac:dyDescent="0.25">
      <c r="A1562" s="89">
        <v>795</v>
      </c>
      <c r="B1562" s="4">
        <v>43685</v>
      </c>
      <c r="C1562" s="26" t="s">
        <v>139</v>
      </c>
      <c r="D1562" s="3">
        <v>472173</v>
      </c>
      <c r="E1562" s="4">
        <v>43692</v>
      </c>
      <c r="F1562" s="92" t="s">
        <v>28</v>
      </c>
      <c r="G1562" s="32">
        <v>43710</v>
      </c>
      <c r="H1562" s="27">
        <f>D1562</f>
        <v>472173</v>
      </c>
      <c r="I1562" s="27"/>
      <c r="J1562" s="27"/>
      <c r="K1562" s="99"/>
      <c r="L1562" s="27">
        <v>347643</v>
      </c>
      <c r="M1562" s="29">
        <f t="shared" si="192"/>
        <v>124530</v>
      </c>
      <c r="N1562" s="29"/>
      <c r="O1562" s="44">
        <f t="shared" si="193"/>
        <v>0.26373807905153407</v>
      </c>
    </row>
    <row r="1563" spans="1:15" ht="20.100000000000001" customHeight="1" x14ac:dyDescent="0.25">
      <c r="A1563" s="89">
        <v>803</v>
      </c>
      <c r="B1563" s="4">
        <v>43686</v>
      </c>
      <c r="C1563" s="26" t="s">
        <v>139</v>
      </c>
      <c r="D1563" s="3">
        <v>3324</v>
      </c>
      <c r="E1563" s="4">
        <v>43692</v>
      </c>
      <c r="F1563" s="92" t="s">
        <v>28</v>
      </c>
      <c r="G1563" s="32">
        <v>43710</v>
      </c>
      <c r="H1563" s="27">
        <f>D1563</f>
        <v>3324</v>
      </c>
      <c r="I1563" s="27"/>
      <c r="J1563" s="27"/>
      <c r="K1563" s="99"/>
      <c r="L1563" s="27">
        <v>2194</v>
      </c>
      <c r="M1563" s="29">
        <f t="shared" si="192"/>
        <v>1130</v>
      </c>
      <c r="N1563" s="29"/>
      <c r="O1563" s="44">
        <f t="shared" si="193"/>
        <v>0.33995186522262333</v>
      </c>
    </row>
    <row r="1564" spans="1:15" ht="20.100000000000001" customHeight="1" x14ac:dyDescent="0.25">
      <c r="A1564" s="89">
        <v>721</v>
      </c>
      <c r="B1564" s="4">
        <v>43662</v>
      </c>
      <c r="C1564" s="26" t="s">
        <v>179</v>
      </c>
      <c r="D1564" s="3">
        <v>310000</v>
      </c>
      <c r="E1564" s="4">
        <v>43696</v>
      </c>
      <c r="F1564" s="92" t="s">
        <v>28</v>
      </c>
      <c r="G1564" s="32">
        <v>43697</v>
      </c>
      <c r="H1564" s="27">
        <v>62000</v>
      </c>
      <c r="I1564" s="27"/>
      <c r="J1564" s="27"/>
      <c r="K1564" s="99"/>
      <c r="L1564" s="27">
        <v>48847</v>
      </c>
      <c r="M1564" s="29">
        <f t="shared" si="192"/>
        <v>13153</v>
      </c>
      <c r="N1564" s="29"/>
      <c r="O1564" s="44">
        <f t="shared" si="193"/>
        <v>0.21214516129032257</v>
      </c>
    </row>
    <row r="1565" spans="1:15" ht="20.100000000000001" customHeight="1" x14ac:dyDescent="0.25">
      <c r="A1565" s="89">
        <v>833</v>
      </c>
      <c r="B1565" s="4">
        <v>43696</v>
      </c>
      <c r="C1565" s="26" t="s">
        <v>179</v>
      </c>
      <c r="D1565" s="3">
        <v>62666.75</v>
      </c>
      <c r="E1565" s="4">
        <v>43696</v>
      </c>
      <c r="F1565" s="92" t="s">
        <v>28</v>
      </c>
      <c r="G1565" s="32">
        <v>43707</v>
      </c>
      <c r="H1565" s="27">
        <f t="shared" ref="H1565:H1572" si="194">D1565</f>
        <v>62666.75</v>
      </c>
      <c r="I1565" s="27"/>
      <c r="J1565" s="27"/>
      <c r="K1565" s="99"/>
      <c r="L1565" s="27">
        <v>49050</v>
      </c>
      <c r="M1565" s="29">
        <f t="shared" si="192"/>
        <v>13616.75</v>
      </c>
      <c r="N1565" s="29"/>
      <c r="O1565" s="44">
        <f t="shared" si="193"/>
        <v>0.21728827488261318</v>
      </c>
    </row>
    <row r="1566" spans="1:15" ht="20.100000000000001" customHeight="1" x14ac:dyDescent="0.25">
      <c r="A1566" s="89">
        <v>832</v>
      </c>
      <c r="B1566" s="4">
        <v>43696</v>
      </c>
      <c r="C1566" s="26" t="s">
        <v>270</v>
      </c>
      <c r="D1566" s="3">
        <v>3387</v>
      </c>
      <c r="E1566" s="4">
        <v>43697</v>
      </c>
      <c r="F1566" s="92" t="s">
        <v>28</v>
      </c>
      <c r="G1566" s="32">
        <v>43707</v>
      </c>
      <c r="H1566" s="27">
        <f t="shared" si="194"/>
        <v>3387</v>
      </c>
      <c r="I1566" s="27"/>
      <c r="J1566" s="27"/>
      <c r="K1566" s="99"/>
      <c r="L1566" s="27">
        <v>2643</v>
      </c>
      <c r="M1566" s="29">
        <f t="shared" si="192"/>
        <v>744</v>
      </c>
      <c r="N1566" s="29"/>
      <c r="O1566" s="44">
        <f t="shared" si="193"/>
        <v>0.21966341895482727</v>
      </c>
    </row>
    <row r="1567" spans="1:15" ht="20.100000000000001" customHeight="1" x14ac:dyDescent="0.25">
      <c r="A1567" s="89">
        <v>840</v>
      </c>
      <c r="B1567" s="4">
        <v>43697</v>
      </c>
      <c r="C1567" s="26" t="s">
        <v>211</v>
      </c>
      <c r="D1567" s="3">
        <v>7730</v>
      </c>
      <c r="E1567" s="4">
        <v>43698</v>
      </c>
      <c r="F1567" s="92" t="s">
        <v>28</v>
      </c>
      <c r="G1567" s="32">
        <v>43719</v>
      </c>
      <c r="H1567" s="27">
        <f t="shared" si="194"/>
        <v>7730</v>
      </c>
      <c r="I1567" s="27"/>
      <c r="J1567" s="27"/>
      <c r="K1567" s="99"/>
      <c r="L1567" s="27">
        <v>5952</v>
      </c>
      <c r="M1567" s="29">
        <f t="shared" si="192"/>
        <v>1778</v>
      </c>
      <c r="N1567" s="29"/>
      <c r="O1567" s="44">
        <f t="shared" si="193"/>
        <v>0.23001293661060801</v>
      </c>
    </row>
    <row r="1568" spans="1:15" ht="20.100000000000001" customHeight="1" x14ac:dyDescent="0.25">
      <c r="A1568" s="89">
        <v>851</v>
      </c>
      <c r="B1568" s="4">
        <v>43698</v>
      </c>
      <c r="C1568" s="26" t="s">
        <v>6</v>
      </c>
      <c r="D1568" s="3">
        <v>3590</v>
      </c>
      <c r="E1568" s="4">
        <v>43698</v>
      </c>
      <c r="F1568" s="92" t="s">
        <v>28</v>
      </c>
      <c r="G1568" s="32">
        <v>43699</v>
      </c>
      <c r="H1568" s="27">
        <f t="shared" si="194"/>
        <v>3590</v>
      </c>
      <c r="I1568" s="27"/>
      <c r="J1568" s="27"/>
      <c r="K1568" s="99"/>
      <c r="L1568" s="27">
        <v>2800</v>
      </c>
      <c r="M1568" s="29">
        <f t="shared" si="192"/>
        <v>790</v>
      </c>
      <c r="N1568" s="29"/>
      <c r="O1568" s="44">
        <f t="shared" si="193"/>
        <v>0.22005571030640669</v>
      </c>
    </row>
    <row r="1569" spans="1:15" ht="20.100000000000001" customHeight="1" x14ac:dyDescent="0.25">
      <c r="A1569" s="89">
        <v>760</v>
      </c>
      <c r="B1569" s="4">
        <v>43697</v>
      </c>
      <c r="C1569" s="26" t="s">
        <v>334</v>
      </c>
      <c r="D1569" s="3">
        <v>6161</v>
      </c>
      <c r="E1569" s="4">
        <v>43698</v>
      </c>
      <c r="F1569" s="92" t="s">
        <v>28</v>
      </c>
      <c r="G1569" s="32">
        <v>43697</v>
      </c>
      <c r="H1569" s="27">
        <f t="shared" si="194"/>
        <v>6161</v>
      </c>
      <c r="I1569" s="27"/>
      <c r="J1569" s="27"/>
      <c r="K1569" s="99"/>
      <c r="L1569" s="27">
        <v>4739</v>
      </c>
      <c r="M1569" s="29">
        <f t="shared" si="192"/>
        <v>1422</v>
      </c>
      <c r="N1569" s="29"/>
      <c r="O1569" s="44">
        <f t="shared" si="193"/>
        <v>0.23080668722609965</v>
      </c>
    </row>
    <row r="1570" spans="1:15" ht="20.100000000000001" customHeight="1" x14ac:dyDescent="0.25">
      <c r="A1570" s="89">
        <v>844</v>
      </c>
      <c r="B1570" s="4">
        <v>43698</v>
      </c>
      <c r="C1570" s="26" t="s">
        <v>118</v>
      </c>
      <c r="D1570" s="3">
        <v>4696.5</v>
      </c>
      <c r="E1570" s="4">
        <v>43698</v>
      </c>
      <c r="F1570" s="92" t="s">
        <v>28</v>
      </c>
      <c r="G1570" s="32">
        <v>43698</v>
      </c>
      <c r="H1570" s="27">
        <f t="shared" si="194"/>
        <v>4696.5</v>
      </c>
      <c r="I1570" s="27"/>
      <c r="J1570" s="27"/>
      <c r="K1570" s="99"/>
      <c r="L1570" s="27">
        <v>4143</v>
      </c>
      <c r="M1570" s="29">
        <f t="shared" si="192"/>
        <v>553.5</v>
      </c>
      <c r="N1570" s="29"/>
      <c r="O1570" s="44">
        <f t="shared" si="193"/>
        <v>0.11785372085595656</v>
      </c>
    </row>
    <row r="1571" spans="1:15" ht="20.100000000000001" customHeight="1" x14ac:dyDescent="0.25">
      <c r="A1571" s="89">
        <v>847</v>
      </c>
      <c r="B1571" s="4">
        <v>43698</v>
      </c>
      <c r="C1571" s="26" t="s">
        <v>412</v>
      </c>
      <c r="D1571" s="3">
        <v>9440</v>
      </c>
      <c r="E1571" s="4">
        <v>43699</v>
      </c>
      <c r="F1571" s="92" t="s">
        <v>28</v>
      </c>
      <c r="G1571" s="32">
        <v>43700</v>
      </c>
      <c r="H1571" s="27">
        <f t="shared" si="194"/>
        <v>9440</v>
      </c>
      <c r="I1571" s="27"/>
      <c r="J1571" s="27"/>
      <c r="K1571" s="99"/>
      <c r="L1571" s="27">
        <v>6536</v>
      </c>
      <c r="M1571" s="29">
        <f t="shared" si="192"/>
        <v>2904</v>
      </c>
      <c r="N1571" s="29"/>
      <c r="O1571" s="44">
        <f t="shared" si="193"/>
        <v>0.30762711864406778</v>
      </c>
    </row>
    <row r="1572" spans="1:15" ht="20.100000000000001" customHeight="1" x14ac:dyDescent="0.25">
      <c r="A1572" s="89">
        <v>728</v>
      </c>
      <c r="B1572" s="4">
        <v>43663</v>
      </c>
      <c r="C1572" s="5" t="s">
        <v>406</v>
      </c>
      <c r="D1572" s="3">
        <v>78159</v>
      </c>
      <c r="E1572" s="4">
        <v>43699</v>
      </c>
      <c r="F1572" s="92" t="s">
        <v>28</v>
      </c>
      <c r="G1572" s="32">
        <v>43663</v>
      </c>
      <c r="H1572" s="27">
        <f t="shared" si="194"/>
        <v>78159</v>
      </c>
      <c r="I1572" s="27">
        <f>H1572</f>
        <v>78159</v>
      </c>
      <c r="J1572" s="27"/>
      <c r="K1572" s="99"/>
      <c r="L1572" s="27">
        <v>57342</v>
      </c>
      <c r="M1572" s="29">
        <f t="shared" si="192"/>
        <v>20817</v>
      </c>
      <c r="N1572" s="29">
        <f>M1572</f>
        <v>20817</v>
      </c>
      <c r="O1572" s="44">
        <f t="shared" si="193"/>
        <v>0.26634168809734005</v>
      </c>
    </row>
    <row r="1573" spans="1:15" ht="20.100000000000001" customHeight="1" x14ac:dyDescent="0.25">
      <c r="A1573" s="89">
        <v>642</v>
      </c>
      <c r="B1573" s="4">
        <v>43649</v>
      </c>
      <c r="C1573" s="26" t="s">
        <v>65</v>
      </c>
      <c r="D1573" s="3">
        <v>301672.8</v>
      </c>
      <c r="E1573" s="4">
        <v>43699</v>
      </c>
      <c r="F1573" s="92" t="s">
        <v>28</v>
      </c>
      <c r="G1573" s="32">
        <v>43656</v>
      </c>
      <c r="H1573" s="27">
        <f>155641.2+7473.6</f>
        <v>163114.80000000002</v>
      </c>
      <c r="I1573" s="27"/>
      <c r="J1573" s="27"/>
      <c r="K1573" s="99"/>
      <c r="L1573" s="27">
        <v>130084</v>
      </c>
      <c r="M1573" s="29">
        <f t="shared" si="192"/>
        <v>33030.800000000017</v>
      </c>
      <c r="N1573" s="29"/>
      <c r="O1573" s="44">
        <f t="shared" si="193"/>
        <v>0.20250032492453177</v>
      </c>
    </row>
    <row r="1574" spans="1:15" ht="20.100000000000001" customHeight="1" x14ac:dyDescent="0.25">
      <c r="A1574" s="89">
        <v>642</v>
      </c>
      <c r="B1574" s="4">
        <v>43649</v>
      </c>
      <c r="C1574" s="26" t="s">
        <v>65</v>
      </c>
      <c r="D1574" s="3">
        <v>301672.8</v>
      </c>
      <c r="E1574" s="4">
        <v>43699</v>
      </c>
      <c r="F1574" s="92" t="s">
        <v>28</v>
      </c>
      <c r="G1574" s="32">
        <v>43664</v>
      </c>
      <c r="H1574" s="27">
        <v>134619</v>
      </c>
      <c r="I1574" s="27"/>
      <c r="J1574" s="27"/>
      <c r="K1574" s="99"/>
      <c r="L1574" s="27">
        <v>98873</v>
      </c>
      <c r="M1574" s="29">
        <f t="shared" si="192"/>
        <v>35746</v>
      </c>
      <c r="N1574" s="29"/>
      <c r="O1574" s="44">
        <f t="shared" si="193"/>
        <v>0.26553458278549091</v>
      </c>
    </row>
    <row r="1575" spans="1:15" ht="20.100000000000001" customHeight="1" x14ac:dyDescent="0.25">
      <c r="A1575" s="89">
        <v>863</v>
      </c>
      <c r="B1575" s="4">
        <v>43700</v>
      </c>
      <c r="C1575" s="26" t="s">
        <v>360</v>
      </c>
      <c r="D1575" s="3">
        <v>7962</v>
      </c>
      <c r="E1575" s="4">
        <v>43703</v>
      </c>
      <c r="F1575" s="92" t="s">
        <v>28</v>
      </c>
      <c r="G1575" s="32">
        <v>43705</v>
      </c>
      <c r="H1575" s="27">
        <f>D1575</f>
        <v>7962</v>
      </c>
      <c r="I1575" s="27"/>
      <c r="J1575" s="27"/>
      <c r="K1575" s="99"/>
      <c r="L1575" s="27">
        <v>6096.88</v>
      </c>
      <c r="M1575" s="29">
        <f t="shared" si="192"/>
        <v>1865.12</v>
      </c>
      <c r="N1575" s="29"/>
      <c r="O1575" s="44">
        <f t="shared" si="193"/>
        <v>0.2342527003265511</v>
      </c>
    </row>
    <row r="1576" spans="1:15" ht="20.100000000000001" customHeight="1" x14ac:dyDescent="0.25">
      <c r="A1576" s="89">
        <v>867</v>
      </c>
      <c r="B1576" s="4">
        <v>43703</v>
      </c>
      <c r="C1576" s="26" t="s">
        <v>149</v>
      </c>
      <c r="D1576" s="3">
        <v>5400</v>
      </c>
      <c r="E1576" s="4">
        <v>43703</v>
      </c>
      <c r="F1576" s="92" t="s">
        <v>28</v>
      </c>
      <c r="G1576" s="32">
        <v>43705</v>
      </c>
      <c r="H1576" s="27">
        <f>D1576</f>
        <v>5400</v>
      </c>
      <c r="I1576" s="27"/>
      <c r="J1576" s="27"/>
      <c r="K1576" s="99"/>
      <c r="L1576" s="27">
        <v>3564</v>
      </c>
      <c r="M1576" s="29">
        <f t="shared" si="192"/>
        <v>1836</v>
      </c>
      <c r="N1576" s="29"/>
      <c r="O1576" s="44">
        <f t="shared" si="193"/>
        <v>0.34</v>
      </c>
    </row>
    <row r="1577" spans="1:15" ht="20.100000000000001" customHeight="1" x14ac:dyDescent="0.25">
      <c r="A1577" s="89">
        <v>780</v>
      </c>
      <c r="B1577" s="4">
        <v>43677</v>
      </c>
      <c r="C1577" s="26" t="s">
        <v>209</v>
      </c>
      <c r="D1577" s="3">
        <v>998</v>
      </c>
      <c r="E1577" s="4">
        <v>43706</v>
      </c>
      <c r="F1577" s="92" t="s">
        <v>28</v>
      </c>
      <c r="G1577" s="32">
        <v>43677</v>
      </c>
      <c r="H1577" s="27">
        <f>D1577</f>
        <v>998</v>
      </c>
      <c r="I1577" s="27"/>
      <c r="J1577" s="27"/>
      <c r="K1577" s="99"/>
      <c r="L1577" s="27">
        <v>650</v>
      </c>
      <c r="M1577" s="29">
        <f t="shared" si="192"/>
        <v>348</v>
      </c>
      <c r="N1577" s="29"/>
      <c r="O1577" s="44">
        <f t="shared" si="193"/>
        <v>0.34869739478957917</v>
      </c>
    </row>
    <row r="1578" spans="1:15" ht="20.100000000000001" customHeight="1" x14ac:dyDescent="0.25">
      <c r="A1578" s="89">
        <v>872</v>
      </c>
      <c r="B1578" s="4">
        <v>43705</v>
      </c>
      <c r="C1578" s="26" t="s">
        <v>149</v>
      </c>
      <c r="D1578" s="3">
        <v>12678</v>
      </c>
      <c r="E1578" s="4">
        <v>43706</v>
      </c>
      <c r="F1578" s="92" t="s">
        <v>28</v>
      </c>
      <c r="G1578" s="32">
        <v>43710</v>
      </c>
      <c r="H1578" s="27">
        <f>D1578</f>
        <v>12678</v>
      </c>
      <c r="I1578" s="27"/>
      <c r="J1578" s="27"/>
      <c r="K1578" s="99"/>
      <c r="L1578" s="27">
        <v>9429</v>
      </c>
      <c r="M1578" s="29">
        <f t="shared" si="192"/>
        <v>3249</v>
      </c>
      <c r="N1578" s="29"/>
      <c r="O1578" s="44">
        <f t="shared" si="193"/>
        <v>0.25627070515854233</v>
      </c>
    </row>
    <row r="1579" spans="1:15" ht="20.100000000000001" customHeight="1" x14ac:dyDescent="0.25">
      <c r="A1579" s="89">
        <v>722</v>
      </c>
      <c r="B1579" s="4">
        <v>43662</v>
      </c>
      <c r="C1579" s="26" t="s">
        <v>83</v>
      </c>
      <c r="D1579" s="3">
        <v>2588</v>
      </c>
      <c r="E1579" s="4">
        <v>43706</v>
      </c>
      <c r="F1579" s="92" t="s">
        <v>28</v>
      </c>
      <c r="G1579" s="32">
        <v>43662</v>
      </c>
      <c r="H1579" s="27">
        <f>D1579</f>
        <v>2588</v>
      </c>
      <c r="I1579" s="27"/>
      <c r="J1579" s="27"/>
      <c r="K1579" s="99"/>
      <c r="L1579" s="27">
        <v>2018</v>
      </c>
      <c r="M1579" s="29">
        <f t="shared" si="192"/>
        <v>570</v>
      </c>
      <c r="N1579" s="29"/>
      <c r="O1579" s="44">
        <f t="shared" si="193"/>
        <v>0.22024729520865532</v>
      </c>
    </row>
    <row r="1580" spans="1:15" ht="19.5" customHeight="1" x14ac:dyDescent="0.25">
      <c r="A1580" s="89"/>
      <c r="B1580" s="4"/>
      <c r="C1580" s="5"/>
      <c r="D1580" s="3"/>
      <c r="E1580" s="97">
        <v>90250</v>
      </c>
      <c r="F1580" s="98">
        <f>M1580*0.17+N1580*0.06</f>
        <v>120986.57890000002</v>
      </c>
      <c r="G1580" s="21">
        <f>H1580*0.05+I1580*0.02</f>
        <v>217140.33249999999</v>
      </c>
      <c r="H1580" s="16">
        <f t="shared" ref="H1580:N1580" si="195">SUM(H1553:H1579)</f>
        <v>3511123.05</v>
      </c>
      <c r="I1580" s="16">
        <f t="shared" si="195"/>
        <v>2079209</v>
      </c>
      <c r="J1580" s="16">
        <f t="shared" si="195"/>
        <v>30000</v>
      </c>
      <c r="K1580" s="16">
        <f t="shared" si="195"/>
        <v>0</v>
      </c>
      <c r="L1580" s="16">
        <f t="shared" si="195"/>
        <v>2861781.88</v>
      </c>
      <c r="M1580" s="16">
        <f t="shared" si="195"/>
        <v>619341.17000000004</v>
      </c>
      <c r="N1580" s="16">
        <f t="shared" si="195"/>
        <v>261643</v>
      </c>
      <c r="O1580" s="44">
        <f t="shared" si="193"/>
        <v>0.17639403722976899</v>
      </c>
    </row>
    <row r="1581" spans="1:15" ht="23.25" x14ac:dyDescent="0.35">
      <c r="B1581" s="94"/>
      <c r="C1581" s="94" t="s">
        <v>643</v>
      </c>
    </row>
    <row r="1582" spans="1:15" ht="20.100000000000001" customHeight="1" x14ac:dyDescent="0.25">
      <c r="A1582" s="89">
        <v>880</v>
      </c>
      <c r="B1582" s="4">
        <v>43707</v>
      </c>
      <c r="C1582" s="26" t="s">
        <v>372</v>
      </c>
      <c r="D1582" s="3">
        <v>2588</v>
      </c>
      <c r="E1582" s="4">
        <v>43710</v>
      </c>
      <c r="F1582" s="92" t="s">
        <v>28</v>
      </c>
      <c r="G1582" s="32">
        <v>43711</v>
      </c>
      <c r="H1582" s="27">
        <f t="shared" ref="H1582:H1591" si="196">D1582</f>
        <v>2588</v>
      </c>
      <c r="I1582" s="27"/>
      <c r="J1582" s="27"/>
      <c r="K1582" s="99"/>
      <c r="L1582" s="27">
        <v>2018</v>
      </c>
      <c r="M1582" s="29">
        <f t="shared" ref="M1582:M1613" si="197">H1582-L1582-J1582-K1582</f>
        <v>570</v>
      </c>
      <c r="N1582" s="29"/>
      <c r="O1582" s="44">
        <f t="shared" ref="O1582:O1614" si="198">M1582/H1582</f>
        <v>0.22024729520865532</v>
      </c>
    </row>
    <row r="1583" spans="1:15" ht="20.100000000000001" customHeight="1" x14ac:dyDescent="0.25">
      <c r="A1583" s="89">
        <v>866</v>
      </c>
      <c r="B1583" s="4">
        <v>43703</v>
      </c>
      <c r="C1583" s="26" t="s">
        <v>128</v>
      </c>
      <c r="D1583" s="3">
        <v>12658</v>
      </c>
      <c r="E1583" s="4">
        <v>43710</v>
      </c>
      <c r="F1583" s="92" t="s">
        <v>28</v>
      </c>
      <c r="G1583" s="32">
        <v>43745</v>
      </c>
      <c r="H1583" s="27">
        <f t="shared" si="196"/>
        <v>12658</v>
      </c>
      <c r="I1583" s="27"/>
      <c r="J1583" s="27"/>
      <c r="K1583" s="99"/>
      <c r="L1583" s="27">
        <v>9746</v>
      </c>
      <c r="M1583" s="29">
        <f t="shared" si="197"/>
        <v>2912</v>
      </c>
      <c r="N1583" s="29"/>
      <c r="O1583" s="44">
        <f t="shared" si="198"/>
        <v>0.2300521409385369</v>
      </c>
    </row>
    <row r="1584" spans="1:15" ht="20.100000000000001" customHeight="1" x14ac:dyDescent="0.25">
      <c r="A1584" s="89">
        <v>869</v>
      </c>
      <c r="B1584" s="4">
        <v>43704</v>
      </c>
      <c r="C1584" s="26" t="s">
        <v>403</v>
      </c>
      <c r="D1584" s="3">
        <v>5431</v>
      </c>
      <c r="E1584" s="4">
        <v>43710</v>
      </c>
      <c r="F1584" s="92" t="s">
        <v>28</v>
      </c>
      <c r="G1584" s="32">
        <v>43713</v>
      </c>
      <c r="H1584" s="27">
        <f t="shared" si="196"/>
        <v>5431</v>
      </c>
      <c r="I1584" s="27"/>
      <c r="J1584" s="27"/>
      <c r="K1584" s="99"/>
      <c r="L1584" s="27">
        <v>3927</v>
      </c>
      <c r="M1584" s="29">
        <f t="shared" si="197"/>
        <v>1504</v>
      </c>
      <c r="N1584" s="29"/>
      <c r="O1584" s="44">
        <f t="shared" si="198"/>
        <v>0.27692874240471366</v>
      </c>
    </row>
    <row r="1585" spans="1:15" ht="20.100000000000001" customHeight="1" x14ac:dyDescent="0.25">
      <c r="A1585" s="89">
        <v>834</v>
      </c>
      <c r="B1585" s="4">
        <v>43696</v>
      </c>
      <c r="C1585" s="26" t="s">
        <v>392</v>
      </c>
      <c r="D1585" s="3">
        <v>17108</v>
      </c>
      <c r="E1585" s="4">
        <v>43711</v>
      </c>
      <c r="F1585" s="92" t="s">
        <v>28</v>
      </c>
      <c r="G1585" s="32">
        <v>43726</v>
      </c>
      <c r="H1585" s="27">
        <f t="shared" si="196"/>
        <v>17108</v>
      </c>
      <c r="I1585" s="27"/>
      <c r="J1585" s="27"/>
      <c r="K1585" s="99"/>
      <c r="L1585" s="27">
        <v>11291</v>
      </c>
      <c r="M1585" s="29">
        <f t="shared" si="197"/>
        <v>5817</v>
      </c>
      <c r="N1585" s="29"/>
      <c r="O1585" s="44">
        <f t="shared" si="198"/>
        <v>0.34001636661211132</v>
      </c>
    </row>
    <row r="1586" spans="1:15" ht="20.100000000000001" customHeight="1" x14ac:dyDescent="0.25">
      <c r="A1586" s="89">
        <v>742</v>
      </c>
      <c r="B1586" s="4">
        <v>43668</v>
      </c>
      <c r="C1586" s="26" t="s">
        <v>56</v>
      </c>
      <c r="D1586" s="3">
        <v>147765</v>
      </c>
      <c r="E1586" s="4">
        <v>43711</v>
      </c>
      <c r="F1586" s="92" t="s">
        <v>28</v>
      </c>
      <c r="G1586" s="32">
        <v>43683</v>
      </c>
      <c r="H1586" s="27">
        <f t="shared" si="196"/>
        <v>147765</v>
      </c>
      <c r="I1586" s="27"/>
      <c r="J1586" s="27"/>
      <c r="K1586" s="99"/>
      <c r="L1586" s="27">
        <v>105129</v>
      </c>
      <c r="M1586" s="29">
        <f t="shared" si="197"/>
        <v>42636</v>
      </c>
      <c r="N1586" s="29"/>
      <c r="O1586" s="44">
        <f t="shared" si="198"/>
        <v>0.28853923459547254</v>
      </c>
    </row>
    <row r="1587" spans="1:15" ht="20.100000000000001" customHeight="1" x14ac:dyDescent="0.25">
      <c r="A1587" s="89">
        <v>881</v>
      </c>
      <c r="B1587" s="4">
        <v>43707</v>
      </c>
      <c r="C1587" s="26" t="s">
        <v>45</v>
      </c>
      <c r="D1587" s="3">
        <v>350850</v>
      </c>
      <c r="E1587" s="4">
        <v>43712</v>
      </c>
      <c r="F1587" s="92" t="s">
        <v>28</v>
      </c>
      <c r="G1587" s="32">
        <v>43788</v>
      </c>
      <c r="H1587" s="27">
        <f t="shared" si="196"/>
        <v>350850</v>
      </c>
      <c r="I1587" s="27"/>
      <c r="J1587" s="27"/>
      <c r="K1587" s="99"/>
      <c r="L1587" s="27">
        <v>259127</v>
      </c>
      <c r="M1587" s="29">
        <f t="shared" si="197"/>
        <v>91723</v>
      </c>
      <c r="N1587" s="29"/>
      <c r="O1587" s="44">
        <f t="shared" si="198"/>
        <v>0.26143081088784381</v>
      </c>
    </row>
    <row r="1588" spans="1:15" ht="20.100000000000001" customHeight="1" x14ac:dyDescent="0.25">
      <c r="A1588" s="89">
        <v>796</v>
      </c>
      <c r="B1588" s="4">
        <v>43685</v>
      </c>
      <c r="C1588" s="26" t="s">
        <v>11</v>
      </c>
      <c r="D1588" s="3">
        <v>15220</v>
      </c>
      <c r="E1588" s="4">
        <v>43712</v>
      </c>
      <c r="F1588" s="92" t="s">
        <v>28</v>
      </c>
      <c r="G1588" s="32">
        <v>43714</v>
      </c>
      <c r="H1588" s="27">
        <f t="shared" si="196"/>
        <v>15220</v>
      </c>
      <c r="I1588" s="27"/>
      <c r="J1588" s="27"/>
      <c r="K1588" s="99"/>
      <c r="L1588" s="27">
        <v>11871</v>
      </c>
      <c r="M1588" s="29">
        <f t="shared" si="197"/>
        <v>3349</v>
      </c>
      <c r="N1588" s="29"/>
      <c r="O1588" s="44">
        <f t="shared" si="198"/>
        <v>0.22003942181340341</v>
      </c>
    </row>
    <row r="1589" spans="1:15" ht="20.100000000000001" customHeight="1" x14ac:dyDescent="0.25">
      <c r="A1589" s="89">
        <v>900</v>
      </c>
      <c r="B1589" s="4">
        <v>43712</v>
      </c>
      <c r="C1589" s="5" t="s">
        <v>413</v>
      </c>
      <c r="D1589" s="3">
        <v>31104</v>
      </c>
      <c r="E1589" s="4">
        <v>43712</v>
      </c>
      <c r="F1589" s="92" t="s">
        <v>28</v>
      </c>
      <c r="G1589" s="32">
        <v>43713</v>
      </c>
      <c r="H1589" s="27">
        <f t="shared" si="196"/>
        <v>31104</v>
      </c>
      <c r="I1589" s="27">
        <f>H1589</f>
        <v>31104</v>
      </c>
      <c r="J1589" s="27"/>
      <c r="K1589" s="99"/>
      <c r="L1589" s="27">
        <v>23011</v>
      </c>
      <c r="M1589" s="29">
        <f t="shared" si="197"/>
        <v>8093</v>
      </c>
      <c r="N1589" s="29">
        <f>M1589</f>
        <v>8093</v>
      </c>
      <c r="O1589" s="44">
        <f t="shared" si="198"/>
        <v>0.26019161522633744</v>
      </c>
    </row>
    <row r="1590" spans="1:15" ht="20.100000000000001" customHeight="1" x14ac:dyDescent="0.25">
      <c r="A1590" s="89">
        <v>797</v>
      </c>
      <c r="B1590" s="4">
        <v>43685</v>
      </c>
      <c r="C1590" s="26" t="s">
        <v>99</v>
      </c>
      <c r="D1590" s="3">
        <v>182248</v>
      </c>
      <c r="E1590" s="4">
        <v>43713</v>
      </c>
      <c r="F1590" s="92" t="s">
        <v>28</v>
      </c>
      <c r="G1590" s="32">
        <v>43697</v>
      </c>
      <c r="H1590" s="27">
        <f t="shared" si="196"/>
        <v>182248</v>
      </c>
      <c r="I1590" s="27"/>
      <c r="J1590" s="27">
        <v>24000</v>
      </c>
      <c r="K1590" s="99">
        <v>3200</v>
      </c>
      <c r="L1590" s="27">
        <v>79298</v>
      </c>
      <c r="M1590" s="29">
        <f t="shared" si="197"/>
        <v>75750</v>
      </c>
      <c r="N1590" s="29"/>
      <c r="O1590" s="44">
        <f t="shared" si="198"/>
        <v>0.41564242131600898</v>
      </c>
    </row>
    <row r="1591" spans="1:15" ht="20.100000000000001" customHeight="1" x14ac:dyDescent="0.25">
      <c r="A1591" s="89">
        <v>836</v>
      </c>
      <c r="B1591" s="4">
        <v>43697</v>
      </c>
      <c r="C1591" s="26" t="s">
        <v>99</v>
      </c>
      <c r="D1591" s="3">
        <v>5000</v>
      </c>
      <c r="E1591" s="4">
        <v>43713</v>
      </c>
      <c r="F1591" s="92" t="s">
        <v>28</v>
      </c>
      <c r="G1591" s="32">
        <v>43710</v>
      </c>
      <c r="H1591" s="27">
        <f t="shared" si="196"/>
        <v>5000</v>
      </c>
      <c r="I1591" s="27"/>
      <c r="J1591" s="27"/>
      <c r="K1591" s="99"/>
      <c r="L1591" s="27">
        <v>2550</v>
      </c>
      <c r="M1591" s="29">
        <f t="shared" si="197"/>
        <v>2450</v>
      </c>
      <c r="N1591" s="29"/>
      <c r="O1591" s="44">
        <f t="shared" si="198"/>
        <v>0.49</v>
      </c>
    </row>
    <row r="1592" spans="1:15" ht="20.100000000000001" customHeight="1" x14ac:dyDescent="0.25">
      <c r="A1592" s="89">
        <v>642</v>
      </c>
      <c r="B1592" s="4">
        <v>43649</v>
      </c>
      <c r="C1592" s="26" t="s">
        <v>65</v>
      </c>
      <c r="D1592" s="3">
        <v>301672.8</v>
      </c>
      <c r="E1592" s="4">
        <v>43713</v>
      </c>
      <c r="F1592" s="92" t="s">
        <v>28</v>
      </c>
      <c r="G1592" s="32">
        <v>43683</v>
      </c>
      <c r="H1592" s="27">
        <v>3939</v>
      </c>
      <c r="I1592" s="27"/>
      <c r="J1592" s="27"/>
      <c r="K1592" s="99"/>
      <c r="L1592" s="27">
        <v>3072</v>
      </c>
      <c r="M1592" s="29">
        <f t="shared" si="197"/>
        <v>867</v>
      </c>
      <c r="N1592" s="29"/>
      <c r="O1592" s="44">
        <f t="shared" si="198"/>
        <v>0.22010662604722012</v>
      </c>
    </row>
    <row r="1593" spans="1:15" ht="20.100000000000001" customHeight="1" x14ac:dyDescent="0.25">
      <c r="A1593" s="89">
        <v>712</v>
      </c>
      <c r="B1593" s="4">
        <v>43658</v>
      </c>
      <c r="C1593" s="26" t="s">
        <v>65</v>
      </c>
      <c r="D1593" s="3">
        <v>66780</v>
      </c>
      <c r="E1593" s="4">
        <v>43713</v>
      </c>
      <c r="F1593" s="92" t="s">
        <v>28</v>
      </c>
      <c r="G1593" s="32">
        <v>43683</v>
      </c>
      <c r="H1593" s="27">
        <f t="shared" ref="H1593:H1613" si="199">D1593</f>
        <v>66780</v>
      </c>
      <c r="I1593" s="27"/>
      <c r="J1593" s="27"/>
      <c r="K1593" s="99"/>
      <c r="L1593" s="27">
        <v>50180</v>
      </c>
      <c r="M1593" s="29">
        <f t="shared" si="197"/>
        <v>16600</v>
      </c>
      <c r="N1593" s="29"/>
      <c r="O1593" s="44">
        <f t="shared" si="198"/>
        <v>0.24857741838873915</v>
      </c>
    </row>
    <row r="1594" spans="1:15" ht="20.100000000000001" customHeight="1" x14ac:dyDescent="0.25">
      <c r="A1594" s="89">
        <v>897</v>
      </c>
      <c r="B1594" s="4">
        <v>43711</v>
      </c>
      <c r="C1594" s="26" t="s">
        <v>139</v>
      </c>
      <c r="D1594" s="3">
        <v>6015</v>
      </c>
      <c r="E1594" s="4">
        <v>43713</v>
      </c>
      <c r="F1594" s="92" t="s">
        <v>28</v>
      </c>
      <c r="G1594" s="32">
        <v>43720</v>
      </c>
      <c r="H1594" s="27">
        <f t="shared" si="199"/>
        <v>6015</v>
      </c>
      <c r="I1594" s="27"/>
      <c r="J1594" s="27"/>
      <c r="K1594" s="99"/>
      <c r="L1594" s="27">
        <v>4692</v>
      </c>
      <c r="M1594" s="29">
        <f t="shared" si="197"/>
        <v>1323</v>
      </c>
      <c r="N1594" s="29"/>
      <c r="O1594" s="44">
        <f t="shared" si="198"/>
        <v>0.21995012468827929</v>
      </c>
    </row>
    <row r="1595" spans="1:15" ht="20.100000000000001" customHeight="1" x14ac:dyDescent="0.25">
      <c r="A1595" s="89">
        <v>883</v>
      </c>
      <c r="B1595" s="4">
        <v>43710</v>
      </c>
      <c r="C1595" s="26" t="s">
        <v>45</v>
      </c>
      <c r="D1595" s="3">
        <v>2183</v>
      </c>
      <c r="E1595" s="4">
        <v>43714</v>
      </c>
      <c r="F1595" s="92" t="s">
        <v>28</v>
      </c>
      <c r="G1595" s="32">
        <v>43728</v>
      </c>
      <c r="H1595" s="27">
        <f t="shared" si="199"/>
        <v>2183</v>
      </c>
      <c r="I1595" s="27"/>
      <c r="J1595" s="27"/>
      <c r="K1595" s="99"/>
      <c r="L1595" s="27">
        <v>1440</v>
      </c>
      <c r="M1595" s="29">
        <f t="shared" si="197"/>
        <v>743</v>
      </c>
      <c r="N1595" s="29"/>
      <c r="O1595" s="44">
        <f t="shared" si="198"/>
        <v>0.34035730645900136</v>
      </c>
    </row>
    <row r="1596" spans="1:15" ht="20.100000000000001" customHeight="1" x14ac:dyDescent="0.25">
      <c r="A1596" s="89">
        <v>905</v>
      </c>
      <c r="B1596" s="4">
        <v>43717</v>
      </c>
      <c r="C1596" s="26" t="s">
        <v>209</v>
      </c>
      <c r="D1596" s="3">
        <v>5604.05</v>
      </c>
      <c r="E1596" s="4">
        <v>43717</v>
      </c>
      <c r="F1596" s="92" t="s">
        <v>28</v>
      </c>
      <c r="G1596" s="32">
        <v>43719</v>
      </c>
      <c r="H1596" s="27">
        <f t="shared" si="199"/>
        <v>5604.05</v>
      </c>
      <c r="I1596" s="27"/>
      <c r="J1596" s="27"/>
      <c r="K1596" s="99"/>
      <c r="L1596" s="27">
        <v>4868</v>
      </c>
      <c r="M1596" s="29">
        <f t="shared" si="197"/>
        <v>736.05000000000018</v>
      </c>
      <c r="N1596" s="29"/>
      <c r="O1596" s="44">
        <f t="shared" si="198"/>
        <v>0.13134251121956445</v>
      </c>
    </row>
    <row r="1597" spans="1:15" ht="20.100000000000001" customHeight="1" x14ac:dyDescent="0.25">
      <c r="A1597" s="89">
        <v>859</v>
      </c>
      <c r="B1597" s="4">
        <v>43699</v>
      </c>
      <c r="C1597" s="26" t="s">
        <v>162</v>
      </c>
      <c r="D1597" s="3">
        <v>5786</v>
      </c>
      <c r="E1597" s="4">
        <v>43717</v>
      </c>
      <c r="F1597" s="92" t="s">
        <v>28</v>
      </c>
      <c r="G1597" s="32">
        <v>43720</v>
      </c>
      <c r="H1597" s="27">
        <f t="shared" si="199"/>
        <v>5786</v>
      </c>
      <c r="I1597" s="27"/>
      <c r="J1597" s="27"/>
      <c r="K1597" s="99"/>
      <c r="L1597" s="27">
        <v>4513</v>
      </c>
      <c r="M1597" s="29">
        <f t="shared" si="197"/>
        <v>1273</v>
      </c>
      <c r="N1597" s="29"/>
      <c r="O1597" s="44">
        <f t="shared" si="198"/>
        <v>0.22001382647770482</v>
      </c>
    </row>
    <row r="1598" spans="1:15" ht="20.100000000000001" customHeight="1" x14ac:dyDescent="0.25">
      <c r="A1598" s="89">
        <v>899</v>
      </c>
      <c r="B1598" s="4">
        <v>43712</v>
      </c>
      <c r="C1598" s="26" t="s">
        <v>368</v>
      </c>
      <c r="D1598" s="3">
        <v>49390</v>
      </c>
      <c r="E1598" s="4">
        <v>43719</v>
      </c>
      <c r="F1598" s="92" t="s">
        <v>28</v>
      </c>
      <c r="G1598" s="32">
        <v>43725</v>
      </c>
      <c r="H1598" s="27">
        <f t="shared" si="199"/>
        <v>49390</v>
      </c>
      <c r="I1598" s="27"/>
      <c r="J1598" s="27"/>
      <c r="K1598" s="99"/>
      <c r="L1598" s="27">
        <v>36272</v>
      </c>
      <c r="M1598" s="29">
        <f t="shared" si="197"/>
        <v>13118</v>
      </c>
      <c r="N1598" s="29"/>
      <c r="O1598" s="44">
        <f t="shared" si="198"/>
        <v>0.26560032395221705</v>
      </c>
    </row>
    <row r="1599" spans="1:15" ht="20.100000000000001" customHeight="1" x14ac:dyDescent="0.25">
      <c r="A1599" s="89">
        <v>882</v>
      </c>
      <c r="B1599" s="4">
        <v>43710</v>
      </c>
      <c r="C1599" s="26" t="s">
        <v>368</v>
      </c>
      <c r="D1599" s="3">
        <v>3868</v>
      </c>
      <c r="E1599" s="4">
        <v>43719</v>
      </c>
      <c r="F1599" s="92" t="s">
        <v>28</v>
      </c>
      <c r="G1599" s="32">
        <v>43725</v>
      </c>
      <c r="H1599" s="27">
        <f t="shared" si="199"/>
        <v>3868</v>
      </c>
      <c r="I1599" s="27"/>
      <c r="J1599" s="27"/>
      <c r="K1599" s="99"/>
      <c r="L1599" s="27">
        <v>3016</v>
      </c>
      <c r="M1599" s="29">
        <f t="shared" si="197"/>
        <v>852</v>
      </c>
      <c r="N1599" s="29"/>
      <c r="O1599" s="44">
        <f t="shared" si="198"/>
        <v>0.22026887280248189</v>
      </c>
    </row>
    <row r="1600" spans="1:15" ht="20.100000000000001" customHeight="1" x14ac:dyDescent="0.25">
      <c r="A1600" s="89">
        <v>896</v>
      </c>
      <c r="B1600" s="4">
        <v>43711</v>
      </c>
      <c r="C1600" s="26" t="s">
        <v>13</v>
      </c>
      <c r="D1600" s="3">
        <v>7764</v>
      </c>
      <c r="E1600" s="4">
        <v>43720</v>
      </c>
      <c r="F1600" s="92" t="s">
        <v>28</v>
      </c>
      <c r="G1600" s="32">
        <v>43721</v>
      </c>
      <c r="H1600" s="27">
        <f t="shared" si="199"/>
        <v>7764</v>
      </c>
      <c r="I1600" s="27"/>
      <c r="J1600" s="27"/>
      <c r="K1600" s="99"/>
      <c r="L1600" s="27">
        <v>6054</v>
      </c>
      <c r="M1600" s="29">
        <f t="shared" si="197"/>
        <v>1710</v>
      </c>
      <c r="N1600" s="29"/>
      <c r="O1600" s="44">
        <f t="shared" si="198"/>
        <v>0.22024729520865532</v>
      </c>
    </row>
    <row r="1601" spans="1:15" ht="20.100000000000001" customHeight="1" x14ac:dyDescent="0.25">
      <c r="A1601" s="89">
        <v>903</v>
      </c>
      <c r="B1601" s="4">
        <v>43714</v>
      </c>
      <c r="C1601" s="26" t="s">
        <v>353</v>
      </c>
      <c r="D1601" s="3">
        <v>18834</v>
      </c>
      <c r="E1601" s="4">
        <v>43720</v>
      </c>
      <c r="F1601" s="92" t="s">
        <v>28</v>
      </c>
      <c r="G1601" s="32">
        <v>43760</v>
      </c>
      <c r="H1601" s="27">
        <f t="shared" si="199"/>
        <v>18834</v>
      </c>
      <c r="I1601" s="27"/>
      <c r="J1601" s="27"/>
      <c r="K1601" s="99"/>
      <c r="L1601" s="27">
        <v>14690</v>
      </c>
      <c r="M1601" s="29">
        <f t="shared" si="197"/>
        <v>4144</v>
      </c>
      <c r="N1601" s="29"/>
      <c r="O1601" s="44">
        <f t="shared" si="198"/>
        <v>0.22002760964213655</v>
      </c>
    </row>
    <row r="1602" spans="1:15" ht="20.100000000000001" customHeight="1" x14ac:dyDescent="0.25">
      <c r="A1602" s="89">
        <v>927</v>
      </c>
      <c r="B1602" s="4">
        <v>43724</v>
      </c>
      <c r="C1602" s="26" t="s">
        <v>251</v>
      </c>
      <c r="D1602" s="3">
        <v>2690</v>
      </c>
      <c r="E1602" s="4">
        <v>43725</v>
      </c>
      <c r="F1602" s="92" t="s">
        <v>28</v>
      </c>
      <c r="G1602" s="32">
        <v>43728</v>
      </c>
      <c r="H1602" s="27">
        <f t="shared" si="199"/>
        <v>2690</v>
      </c>
      <c r="I1602" s="27"/>
      <c r="J1602" s="27"/>
      <c r="K1602" s="99"/>
      <c r="L1602" s="27">
        <v>2382</v>
      </c>
      <c r="M1602" s="29">
        <f t="shared" si="197"/>
        <v>308</v>
      </c>
      <c r="N1602" s="29"/>
      <c r="O1602" s="44">
        <f t="shared" si="198"/>
        <v>0.11449814126394052</v>
      </c>
    </row>
    <row r="1603" spans="1:15" ht="20.100000000000001" customHeight="1" x14ac:dyDescent="0.25">
      <c r="A1603" s="89">
        <v>928</v>
      </c>
      <c r="B1603" s="4">
        <v>43726</v>
      </c>
      <c r="C1603" s="26" t="s">
        <v>16</v>
      </c>
      <c r="D1603" s="3">
        <v>22094</v>
      </c>
      <c r="E1603" s="4">
        <v>43726</v>
      </c>
      <c r="F1603" s="92" t="s">
        <v>28</v>
      </c>
      <c r="G1603" s="32">
        <v>43756</v>
      </c>
      <c r="H1603" s="27">
        <f t="shared" si="199"/>
        <v>22094</v>
      </c>
      <c r="I1603" s="27"/>
      <c r="J1603" s="27"/>
      <c r="K1603" s="99"/>
      <c r="L1603" s="27">
        <v>17234</v>
      </c>
      <c r="M1603" s="29">
        <f t="shared" si="197"/>
        <v>4860</v>
      </c>
      <c r="N1603" s="29"/>
      <c r="O1603" s="44">
        <f t="shared" si="198"/>
        <v>0.21996922241332489</v>
      </c>
    </row>
    <row r="1604" spans="1:15" ht="20.100000000000001" customHeight="1" x14ac:dyDescent="0.25">
      <c r="A1604" s="89">
        <v>846</v>
      </c>
      <c r="B1604" s="4">
        <v>43698</v>
      </c>
      <c r="C1604" s="26" t="s">
        <v>56</v>
      </c>
      <c r="D1604" s="3">
        <v>23309</v>
      </c>
      <c r="E1604" s="4">
        <v>43727</v>
      </c>
      <c r="F1604" s="92" t="s">
        <v>28</v>
      </c>
      <c r="G1604" s="32">
        <v>43710</v>
      </c>
      <c r="H1604" s="27">
        <f t="shared" si="199"/>
        <v>23309</v>
      </c>
      <c r="I1604" s="27"/>
      <c r="J1604" s="27"/>
      <c r="K1604" s="99"/>
      <c r="L1604" s="27">
        <v>16455</v>
      </c>
      <c r="M1604" s="29">
        <f t="shared" si="197"/>
        <v>6854</v>
      </c>
      <c r="N1604" s="29"/>
      <c r="O1604" s="44">
        <f t="shared" si="198"/>
        <v>0.29404950877343516</v>
      </c>
    </row>
    <row r="1605" spans="1:15" ht="20.100000000000001" customHeight="1" x14ac:dyDescent="0.25">
      <c r="A1605" s="89">
        <v>848</v>
      </c>
      <c r="B1605" s="4">
        <v>43698</v>
      </c>
      <c r="C1605" s="26" t="s">
        <v>56</v>
      </c>
      <c r="D1605" s="3">
        <v>5000</v>
      </c>
      <c r="E1605" s="4">
        <v>43727</v>
      </c>
      <c r="F1605" s="92" t="s">
        <v>28</v>
      </c>
      <c r="G1605" s="32">
        <v>43710</v>
      </c>
      <c r="H1605" s="27">
        <f t="shared" si="199"/>
        <v>5000</v>
      </c>
      <c r="I1605" s="27"/>
      <c r="J1605" s="27"/>
      <c r="K1605" s="99"/>
      <c r="L1605" s="27">
        <v>2550</v>
      </c>
      <c r="M1605" s="29">
        <f t="shared" si="197"/>
        <v>2450</v>
      </c>
      <c r="N1605" s="29"/>
      <c r="O1605" s="44">
        <f t="shared" si="198"/>
        <v>0.49</v>
      </c>
    </row>
    <row r="1606" spans="1:15" ht="20.100000000000001" customHeight="1" x14ac:dyDescent="0.25">
      <c r="A1606" s="89">
        <v>936</v>
      </c>
      <c r="B1606" s="4">
        <v>43726</v>
      </c>
      <c r="C1606" s="26" t="s">
        <v>91</v>
      </c>
      <c r="D1606" s="3">
        <v>7764</v>
      </c>
      <c r="E1606" s="4">
        <v>43727</v>
      </c>
      <c r="F1606" s="92" t="s">
        <v>28</v>
      </c>
      <c r="G1606" s="32">
        <v>43727</v>
      </c>
      <c r="H1606" s="27">
        <f t="shared" si="199"/>
        <v>7764</v>
      </c>
      <c r="I1606" s="27"/>
      <c r="J1606" s="27"/>
      <c r="K1606" s="99"/>
      <c r="L1606" s="27">
        <v>6054</v>
      </c>
      <c r="M1606" s="29">
        <f t="shared" si="197"/>
        <v>1710</v>
      </c>
      <c r="N1606" s="29"/>
      <c r="O1606" s="44">
        <f t="shared" si="198"/>
        <v>0.22024729520865532</v>
      </c>
    </row>
    <row r="1607" spans="1:15" ht="19.5" customHeight="1" x14ac:dyDescent="0.25">
      <c r="A1607" s="89">
        <v>943</v>
      </c>
      <c r="B1607" s="4">
        <v>43727</v>
      </c>
      <c r="C1607" s="26" t="s">
        <v>149</v>
      </c>
      <c r="D1607" s="3">
        <v>4814</v>
      </c>
      <c r="E1607" s="4">
        <v>43728</v>
      </c>
      <c r="F1607" s="92" t="s">
        <v>28</v>
      </c>
      <c r="G1607" s="32">
        <v>43728</v>
      </c>
      <c r="H1607" s="27">
        <f t="shared" si="199"/>
        <v>4814</v>
      </c>
      <c r="I1607" s="27"/>
      <c r="J1607" s="27"/>
      <c r="K1607" s="99"/>
      <c r="L1607" s="27">
        <v>3752</v>
      </c>
      <c r="M1607" s="29">
        <f t="shared" si="197"/>
        <v>1062</v>
      </c>
      <c r="N1607" s="29"/>
      <c r="O1607" s="44">
        <f t="shared" si="198"/>
        <v>0.22060656418778563</v>
      </c>
    </row>
    <row r="1608" spans="1:15" ht="19.5" customHeight="1" x14ac:dyDescent="0.25">
      <c r="A1608" s="89">
        <v>947</v>
      </c>
      <c r="B1608" s="4">
        <v>43728</v>
      </c>
      <c r="C1608" s="5" t="s">
        <v>414</v>
      </c>
      <c r="D1608" s="3">
        <v>65490</v>
      </c>
      <c r="E1608" s="4">
        <v>43728</v>
      </c>
      <c r="F1608" s="92" t="s">
        <v>28</v>
      </c>
      <c r="G1608" s="32">
        <v>43731</v>
      </c>
      <c r="H1608" s="27">
        <f t="shared" si="199"/>
        <v>65490</v>
      </c>
      <c r="I1608" s="27">
        <f>H1608</f>
        <v>65490</v>
      </c>
      <c r="J1608" s="27"/>
      <c r="K1608" s="99"/>
      <c r="L1608" s="27">
        <v>48095</v>
      </c>
      <c r="M1608" s="29">
        <f t="shared" si="197"/>
        <v>17395</v>
      </c>
      <c r="N1608" s="29">
        <f>M1608</f>
        <v>17395</v>
      </c>
      <c r="O1608" s="44">
        <f t="shared" si="198"/>
        <v>0.26561307069781648</v>
      </c>
    </row>
    <row r="1609" spans="1:15" ht="19.5" customHeight="1" x14ac:dyDescent="0.25">
      <c r="A1609" s="89">
        <v>948</v>
      </c>
      <c r="B1609" s="4">
        <v>43728</v>
      </c>
      <c r="C1609" s="5" t="s">
        <v>414</v>
      </c>
      <c r="D1609" s="3">
        <v>20333</v>
      </c>
      <c r="E1609" s="4">
        <v>43728</v>
      </c>
      <c r="F1609" s="92" t="s">
        <v>28</v>
      </c>
      <c r="G1609" s="32">
        <v>43731</v>
      </c>
      <c r="H1609" s="27">
        <f t="shared" si="199"/>
        <v>20333</v>
      </c>
      <c r="I1609" s="27">
        <f>H1609</f>
        <v>20333</v>
      </c>
      <c r="J1609" s="27"/>
      <c r="K1609" s="99">
        <v>1200</v>
      </c>
      <c r="L1609" s="27">
        <v>9876</v>
      </c>
      <c r="M1609" s="29">
        <f t="shared" si="197"/>
        <v>9257</v>
      </c>
      <c r="N1609" s="29">
        <f>M1609</f>
        <v>9257</v>
      </c>
      <c r="O1609" s="44">
        <f t="shared" si="198"/>
        <v>0.45526975852063151</v>
      </c>
    </row>
    <row r="1610" spans="1:15" ht="19.5" customHeight="1" x14ac:dyDescent="0.25">
      <c r="A1610" s="89">
        <v>935</v>
      </c>
      <c r="B1610" s="4">
        <v>43726</v>
      </c>
      <c r="C1610" s="26" t="s">
        <v>77</v>
      </c>
      <c r="D1610" s="3">
        <v>3194</v>
      </c>
      <c r="E1610" s="4">
        <v>43732</v>
      </c>
      <c r="F1610" s="92" t="s">
        <v>28</v>
      </c>
      <c r="G1610" s="32">
        <v>43733</v>
      </c>
      <c r="H1610" s="27">
        <f t="shared" si="199"/>
        <v>3194</v>
      </c>
      <c r="I1610" s="27"/>
      <c r="J1610" s="27"/>
      <c r="K1610" s="99"/>
      <c r="L1610" s="27">
        <v>2490</v>
      </c>
      <c r="M1610" s="29">
        <f t="shared" si="197"/>
        <v>704</v>
      </c>
      <c r="N1610" s="29"/>
      <c r="O1610" s="44">
        <f t="shared" si="198"/>
        <v>0.22041327489041954</v>
      </c>
    </row>
    <row r="1611" spans="1:15" ht="19.5" customHeight="1" x14ac:dyDescent="0.25">
      <c r="A1611" s="89">
        <v>925</v>
      </c>
      <c r="B1611" s="4">
        <v>43720</v>
      </c>
      <c r="C1611" s="26" t="s">
        <v>33</v>
      </c>
      <c r="D1611" s="3">
        <v>39725</v>
      </c>
      <c r="E1611" s="4">
        <v>43733</v>
      </c>
      <c r="F1611" s="92" t="s">
        <v>28</v>
      </c>
      <c r="G1611" s="32">
        <v>43787</v>
      </c>
      <c r="H1611" s="27">
        <f t="shared" si="199"/>
        <v>39725</v>
      </c>
      <c r="I1611" s="27"/>
      <c r="J1611" s="27"/>
      <c r="K1611" s="99"/>
      <c r="L1611" s="27">
        <v>30157</v>
      </c>
      <c r="M1611" s="29">
        <f t="shared" si="197"/>
        <v>9568</v>
      </c>
      <c r="N1611" s="29"/>
      <c r="O1611" s="44">
        <f t="shared" si="198"/>
        <v>0.24085588420390183</v>
      </c>
    </row>
    <row r="1612" spans="1:15" ht="19.5" customHeight="1" x14ac:dyDescent="0.25">
      <c r="A1612" s="89">
        <v>955</v>
      </c>
      <c r="B1612" s="4">
        <v>43731</v>
      </c>
      <c r="C1612" s="26" t="s">
        <v>353</v>
      </c>
      <c r="D1612" s="3">
        <v>11358</v>
      </c>
      <c r="E1612" s="4">
        <v>43733</v>
      </c>
      <c r="F1612" s="92" t="s">
        <v>28</v>
      </c>
      <c r="G1612" s="32">
        <v>43760</v>
      </c>
      <c r="H1612" s="27">
        <f t="shared" si="199"/>
        <v>11358</v>
      </c>
      <c r="I1612" s="27"/>
      <c r="J1612" s="27"/>
      <c r="K1612" s="99"/>
      <c r="L1612" s="27">
        <v>8856</v>
      </c>
      <c r="M1612" s="29">
        <f t="shared" si="197"/>
        <v>2502</v>
      </c>
      <c r="N1612" s="29"/>
      <c r="O1612" s="44">
        <f t="shared" si="198"/>
        <v>0.2202852614896989</v>
      </c>
    </row>
    <row r="1613" spans="1:15" ht="19.5" customHeight="1" x14ac:dyDescent="0.25">
      <c r="A1613" s="89">
        <v>959</v>
      </c>
      <c r="B1613" s="4">
        <v>43733</v>
      </c>
      <c r="C1613" s="26" t="s">
        <v>316</v>
      </c>
      <c r="D1613" s="3">
        <v>2700</v>
      </c>
      <c r="E1613" s="4">
        <v>43735</v>
      </c>
      <c r="F1613" s="92" t="s">
        <v>28</v>
      </c>
      <c r="G1613" s="32">
        <v>43745</v>
      </c>
      <c r="H1613" s="27">
        <f t="shared" si="199"/>
        <v>2700</v>
      </c>
      <c r="I1613" s="27"/>
      <c r="J1613" s="27"/>
      <c r="K1613" s="99"/>
      <c r="L1613" s="27">
        <v>2307</v>
      </c>
      <c r="M1613" s="29">
        <f t="shared" si="197"/>
        <v>393</v>
      </c>
      <c r="N1613" s="29"/>
      <c r="O1613" s="44">
        <f t="shared" si="198"/>
        <v>0.14555555555555555</v>
      </c>
    </row>
    <row r="1614" spans="1:15" ht="19.5" customHeight="1" x14ac:dyDescent="0.25">
      <c r="A1614" s="89"/>
      <c r="B1614" s="4"/>
      <c r="C1614" s="5"/>
      <c r="D1614" s="3"/>
      <c r="E1614" s="97">
        <v>89050</v>
      </c>
      <c r="F1614" s="98">
        <f>M1614*0.17+N1614*0.06</f>
        <v>58734.318500000001</v>
      </c>
      <c r="G1614" s="21">
        <f>H1614*0.05+I1614*0.02</f>
        <v>59768.842500000006</v>
      </c>
      <c r="H1614" s="16">
        <f t="shared" ref="H1614:N1614" si="200">SUM(H1582:H1613)</f>
        <v>1148606.05</v>
      </c>
      <c r="I1614" s="16">
        <f t="shared" si="200"/>
        <v>116927</v>
      </c>
      <c r="J1614" s="16">
        <f t="shared" si="200"/>
        <v>24000</v>
      </c>
      <c r="K1614" s="16">
        <f t="shared" si="200"/>
        <v>4400</v>
      </c>
      <c r="L1614" s="16">
        <f t="shared" si="200"/>
        <v>786973</v>
      </c>
      <c r="M1614" s="16">
        <f t="shared" si="200"/>
        <v>333233.05</v>
      </c>
      <c r="N1614" s="16">
        <f t="shared" si="200"/>
        <v>34745</v>
      </c>
      <c r="O1614" s="44">
        <f t="shared" si="198"/>
        <v>0.29011953228001885</v>
      </c>
    </row>
    <row r="1615" spans="1:15" ht="23.25" x14ac:dyDescent="0.35">
      <c r="B1615" s="94"/>
      <c r="C1615" s="94" t="s">
        <v>644</v>
      </c>
    </row>
    <row r="1616" spans="1:15" ht="20.100000000000001" customHeight="1" x14ac:dyDescent="0.25">
      <c r="A1616" s="89">
        <v>971</v>
      </c>
      <c r="B1616" s="4">
        <v>43739</v>
      </c>
      <c r="C1616" s="5" t="s">
        <v>415</v>
      </c>
      <c r="D1616" s="3">
        <v>60750</v>
      </c>
      <c r="E1616" s="4">
        <v>43739</v>
      </c>
      <c r="F1616" s="92" t="s">
        <v>28</v>
      </c>
      <c r="G1616" s="32">
        <v>43739</v>
      </c>
      <c r="H1616" s="27">
        <f t="shared" ref="H1616:H1629" si="201">D1616</f>
        <v>60750</v>
      </c>
      <c r="I1616" s="27">
        <f>H1616</f>
        <v>60750</v>
      </c>
      <c r="J1616" s="27"/>
      <c r="K1616" s="99"/>
      <c r="L1616" s="27">
        <v>44614</v>
      </c>
      <c r="M1616" s="29">
        <f t="shared" ref="M1616:M1642" si="202">H1616-L1616-J1616-K1616</f>
        <v>16136</v>
      </c>
      <c r="N1616" s="29">
        <f>M1616</f>
        <v>16136</v>
      </c>
      <c r="O1616" s="44">
        <f t="shared" ref="O1616:O1643" si="203">M1616/H1616</f>
        <v>0.26561316872427981</v>
      </c>
    </row>
    <row r="1617" spans="1:15" ht="20.100000000000001" customHeight="1" x14ac:dyDescent="0.25">
      <c r="A1617" s="89">
        <v>957</v>
      </c>
      <c r="B1617" s="4">
        <v>43732</v>
      </c>
      <c r="C1617" s="5" t="s">
        <v>416</v>
      </c>
      <c r="D1617" s="3">
        <v>38490</v>
      </c>
      <c r="E1617" s="4">
        <v>43739</v>
      </c>
      <c r="F1617" s="92" t="s">
        <v>28</v>
      </c>
      <c r="G1617" s="32">
        <v>43741</v>
      </c>
      <c r="H1617" s="27">
        <f t="shared" si="201"/>
        <v>38490</v>
      </c>
      <c r="I1617" s="27">
        <f>H1617</f>
        <v>38490</v>
      </c>
      <c r="J1617" s="27"/>
      <c r="K1617" s="99"/>
      <c r="L1617" s="27">
        <v>28290</v>
      </c>
      <c r="M1617" s="29">
        <f t="shared" si="202"/>
        <v>10200</v>
      </c>
      <c r="N1617" s="29">
        <f>M1617</f>
        <v>10200</v>
      </c>
      <c r="O1617" s="44">
        <f t="shared" si="203"/>
        <v>0.26500389711613404</v>
      </c>
    </row>
    <row r="1618" spans="1:15" ht="20.100000000000001" customHeight="1" x14ac:dyDescent="0.25">
      <c r="A1618" s="89">
        <v>813</v>
      </c>
      <c r="B1618" s="4">
        <v>43689</v>
      </c>
      <c r="C1618" s="26" t="s">
        <v>60</v>
      </c>
      <c r="D1618" s="3">
        <v>10654</v>
      </c>
      <c r="E1618" s="4">
        <v>43739</v>
      </c>
      <c r="F1618" s="92" t="s">
        <v>28</v>
      </c>
      <c r="G1618" s="32">
        <v>43725</v>
      </c>
      <c r="H1618" s="27">
        <f t="shared" si="201"/>
        <v>10654</v>
      </c>
      <c r="I1618" s="27"/>
      <c r="J1618" s="27"/>
      <c r="K1618" s="99"/>
      <c r="L1618" s="27">
        <v>8183</v>
      </c>
      <c r="M1618" s="29">
        <f t="shared" si="202"/>
        <v>2471</v>
      </c>
      <c r="N1618" s="29"/>
      <c r="O1618" s="44">
        <f t="shared" si="203"/>
        <v>0.23193166885676741</v>
      </c>
    </row>
    <row r="1619" spans="1:15" ht="20.100000000000001" customHeight="1" x14ac:dyDescent="0.25">
      <c r="A1619" s="89">
        <v>976</v>
      </c>
      <c r="B1619" s="4">
        <v>43740</v>
      </c>
      <c r="C1619" s="5" t="s">
        <v>232</v>
      </c>
      <c r="D1619" s="3">
        <v>4880</v>
      </c>
      <c r="E1619" s="4">
        <v>43740</v>
      </c>
      <c r="F1619" s="92" t="s">
        <v>28</v>
      </c>
      <c r="G1619" s="32">
        <v>43741</v>
      </c>
      <c r="H1619" s="27">
        <f t="shared" si="201"/>
        <v>4880</v>
      </c>
      <c r="I1619" s="27">
        <f>H1619</f>
        <v>4880</v>
      </c>
      <c r="J1619" s="27"/>
      <c r="K1619" s="99"/>
      <c r="L1619" s="27">
        <v>4119</v>
      </c>
      <c r="M1619" s="29">
        <f t="shared" si="202"/>
        <v>761</v>
      </c>
      <c r="N1619" s="29">
        <f>M1619</f>
        <v>761</v>
      </c>
      <c r="O1619" s="44">
        <f t="shared" si="203"/>
        <v>0.15594262295081968</v>
      </c>
    </row>
    <row r="1620" spans="1:15" ht="20.100000000000001" customHeight="1" x14ac:dyDescent="0.25">
      <c r="A1620" s="89">
        <v>978</v>
      </c>
      <c r="B1620" s="4">
        <v>43740</v>
      </c>
      <c r="C1620" s="26" t="s">
        <v>281</v>
      </c>
      <c r="D1620" s="3">
        <v>2258</v>
      </c>
      <c r="E1620" s="4">
        <v>43741</v>
      </c>
      <c r="F1620" s="92" t="s">
        <v>28</v>
      </c>
      <c r="G1620" s="32">
        <v>43742</v>
      </c>
      <c r="H1620" s="27">
        <f t="shared" si="201"/>
        <v>2258</v>
      </c>
      <c r="I1620" s="27"/>
      <c r="J1620" s="27"/>
      <c r="K1620" s="99"/>
      <c r="L1620" s="27">
        <v>1760</v>
      </c>
      <c r="M1620" s="29">
        <f t="shared" si="202"/>
        <v>498</v>
      </c>
      <c r="N1620" s="29"/>
      <c r="O1620" s="44">
        <f t="shared" si="203"/>
        <v>0.22054915854738708</v>
      </c>
    </row>
    <row r="1621" spans="1:15" ht="20.100000000000001" customHeight="1" x14ac:dyDescent="0.25">
      <c r="A1621" s="89">
        <v>942</v>
      </c>
      <c r="B1621" s="4">
        <v>43727</v>
      </c>
      <c r="C1621" s="26" t="s">
        <v>363</v>
      </c>
      <c r="D1621" s="3">
        <v>10760</v>
      </c>
      <c r="E1621" s="4">
        <v>43742</v>
      </c>
      <c r="F1621" s="92" t="s">
        <v>28</v>
      </c>
      <c r="G1621" s="32">
        <v>43742</v>
      </c>
      <c r="H1621" s="27">
        <f t="shared" si="201"/>
        <v>10760</v>
      </c>
      <c r="I1621" s="27"/>
      <c r="J1621" s="27"/>
      <c r="K1621" s="99"/>
      <c r="L1621" s="27">
        <v>9528</v>
      </c>
      <c r="M1621" s="29">
        <f t="shared" si="202"/>
        <v>1232</v>
      </c>
      <c r="N1621" s="29"/>
      <c r="O1621" s="44">
        <f t="shared" si="203"/>
        <v>0.11449814126394052</v>
      </c>
    </row>
    <row r="1622" spans="1:15" ht="20.100000000000001" customHeight="1" x14ac:dyDescent="0.25">
      <c r="A1622" s="89">
        <v>988</v>
      </c>
      <c r="B1622" s="4">
        <v>43745</v>
      </c>
      <c r="C1622" s="5" t="s">
        <v>417</v>
      </c>
      <c r="D1622" s="3">
        <v>12007</v>
      </c>
      <c r="E1622" s="4">
        <v>43745</v>
      </c>
      <c r="F1622" s="92" t="s">
        <v>28</v>
      </c>
      <c r="G1622" s="32">
        <v>43746</v>
      </c>
      <c r="H1622" s="27">
        <f t="shared" si="201"/>
        <v>12007</v>
      </c>
      <c r="I1622" s="27">
        <f>H1622</f>
        <v>12007</v>
      </c>
      <c r="J1622" s="27"/>
      <c r="K1622" s="99"/>
      <c r="L1622" s="27">
        <v>8886</v>
      </c>
      <c r="M1622" s="29">
        <f t="shared" si="202"/>
        <v>3121</v>
      </c>
      <c r="N1622" s="29">
        <f>M1622</f>
        <v>3121</v>
      </c>
      <c r="O1622" s="44">
        <f t="shared" si="203"/>
        <v>0.25993170650453901</v>
      </c>
    </row>
    <row r="1623" spans="1:15" ht="20.100000000000001" customHeight="1" x14ac:dyDescent="0.25">
      <c r="A1623" s="89">
        <v>970</v>
      </c>
      <c r="B1623" s="4">
        <v>43738</v>
      </c>
      <c r="C1623" s="5" t="s">
        <v>418</v>
      </c>
      <c r="D1623" s="3">
        <v>4909</v>
      </c>
      <c r="E1623" s="4">
        <v>43745</v>
      </c>
      <c r="F1623" s="92" t="s">
        <v>28</v>
      </c>
      <c r="G1623" s="32">
        <v>43770</v>
      </c>
      <c r="H1623" s="27">
        <f t="shared" si="201"/>
        <v>4909</v>
      </c>
      <c r="I1623" s="27">
        <f>H1623</f>
        <v>4909</v>
      </c>
      <c r="J1623" s="27"/>
      <c r="K1623" s="99"/>
      <c r="L1623" s="27">
        <v>3780</v>
      </c>
      <c r="M1623" s="29">
        <f t="shared" si="202"/>
        <v>1129</v>
      </c>
      <c r="N1623" s="29">
        <f>M1623</f>
        <v>1129</v>
      </c>
      <c r="O1623" s="44">
        <f t="shared" si="203"/>
        <v>0.2299857404766755</v>
      </c>
    </row>
    <row r="1624" spans="1:15" ht="20.100000000000001" customHeight="1" x14ac:dyDescent="0.25">
      <c r="A1624" s="89">
        <v>962</v>
      </c>
      <c r="B1624" s="4">
        <v>43735</v>
      </c>
      <c r="C1624" s="5" t="s">
        <v>416</v>
      </c>
      <c r="D1624" s="3">
        <v>4374</v>
      </c>
      <c r="E1624" s="4">
        <v>43747</v>
      </c>
      <c r="F1624" s="92" t="s">
        <v>28</v>
      </c>
      <c r="G1624" s="32">
        <v>43770</v>
      </c>
      <c r="H1624" s="27">
        <f t="shared" si="201"/>
        <v>4374</v>
      </c>
      <c r="I1624" s="27">
        <f>H1624</f>
        <v>4374</v>
      </c>
      <c r="J1624" s="27"/>
      <c r="K1624" s="99"/>
      <c r="L1624" s="27">
        <v>2413</v>
      </c>
      <c r="M1624" s="29">
        <f t="shared" si="202"/>
        <v>1961</v>
      </c>
      <c r="N1624" s="29">
        <f>M1624</f>
        <v>1961</v>
      </c>
      <c r="O1624" s="44">
        <f t="shared" si="203"/>
        <v>0.4483310470964792</v>
      </c>
    </row>
    <row r="1625" spans="1:15" ht="20.100000000000001" customHeight="1" x14ac:dyDescent="0.25">
      <c r="A1625" s="89">
        <v>996</v>
      </c>
      <c r="B1625" s="4">
        <v>43749</v>
      </c>
      <c r="C1625" s="26" t="s">
        <v>300</v>
      </c>
      <c r="D1625" s="3">
        <v>8223</v>
      </c>
      <c r="E1625" s="4">
        <v>43752</v>
      </c>
      <c r="F1625" s="92" t="s">
        <v>28</v>
      </c>
      <c r="G1625" s="32">
        <v>43769</v>
      </c>
      <c r="H1625" s="27">
        <f t="shared" si="201"/>
        <v>8223</v>
      </c>
      <c r="I1625" s="27"/>
      <c r="J1625" s="27"/>
      <c r="K1625" s="99"/>
      <c r="L1625" s="27">
        <v>6414</v>
      </c>
      <c r="M1625" s="29">
        <f t="shared" si="202"/>
        <v>1809</v>
      </c>
      <c r="N1625" s="29"/>
      <c r="O1625" s="44">
        <f t="shared" si="203"/>
        <v>0.21999270339292229</v>
      </c>
    </row>
    <row r="1626" spans="1:15" ht="20.100000000000001" customHeight="1" x14ac:dyDescent="0.25">
      <c r="A1626" s="89">
        <v>940</v>
      </c>
      <c r="B1626" s="4">
        <v>43727</v>
      </c>
      <c r="C1626" s="26" t="s">
        <v>11</v>
      </c>
      <c r="D1626" s="3">
        <v>4570</v>
      </c>
      <c r="E1626" s="4">
        <v>43753</v>
      </c>
      <c r="F1626" s="92" t="s">
        <v>28</v>
      </c>
      <c r="G1626" s="32">
        <v>43756</v>
      </c>
      <c r="H1626" s="27">
        <f t="shared" si="201"/>
        <v>4570</v>
      </c>
      <c r="I1626" s="27"/>
      <c r="J1626" s="27"/>
      <c r="K1626" s="99"/>
      <c r="L1626" s="27">
        <v>3560</v>
      </c>
      <c r="M1626" s="29">
        <f t="shared" si="202"/>
        <v>1010</v>
      </c>
      <c r="N1626" s="29"/>
      <c r="O1626" s="44">
        <f t="shared" si="203"/>
        <v>0.22100656455142231</v>
      </c>
    </row>
    <row r="1627" spans="1:15" ht="20.100000000000001" customHeight="1" x14ac:dyDescent="0.25">
      <c r="A1627" s="89">
        <v>1015</v>
      </c>
      <c r="B1627" s="4">
        <v>43755</v>
      </c>
      <c r="C1627" s="26" t="s">
        <v>101</v>
      </c>
      <c r="D1627" s="3">
        <v>6450</v>
      </c>
      <c r="E1627" s="4">
        <v>43755</v>
      </c>
      <c r="F1627" s="92" t="s">
        <v>28</v>
      </c>
      <c r="G1627" s="32">
        <v>43755</v>
      </c>
      <c r="H1627" s="27">
        <f t="shared" si="201"/>
        <v>6450</v>
      </c>
      <c r="I1627" s="27"/>
      <c r="J1627" s="27"/>
      <c r="K1627" s="99"/>
      <c r="L1627" s="27">
        <v>4963</v>
      </c>
      <c r="M1627" s="29">
        <f t="shared" si="202"/>
        <v>1487</v>
      </c>
      <c r="N1627" s="29"/>
      <c r="O1627" s="44">
        <f t="shared" si="203"/>
        <v>0.23054263565891472</v>
      </c>
    </row>
    <row r="1628" spans="1:15" ht="20.100000000000001" customHeight="1" x14ac:dyDescent="0.25">
      <c r="A1628" s="89">
        <v>1016</v>
      </c>
      <c r="B1628" s="4">
        <v>43755</v>
      </c>
      <c r="C1628" s="26" t="s">
        <v>169</v>
      </c>
      <c r="D1628" s="3">
        <v>22111</v>
      </c>
      <c r="E1628" s="4">
        <v>43755</v>
      </c>
      <c r="F1628" s="92" t="s">
        <v>28</v>
      </c>
      <c r="G1628" s="32">
        <v>43755</v>
      </c>
      <c r="H1628" s="27">
        <f t="shared" si="201"/>
        <v>22111</v>
      </c>
      <c r="I1628" s="27"/>
      <c r="J1628" s="27"/>
      <c r="K1628" s="99"/>
      <c r="L1628" s="27">
        <v>15998</v>
      </c>
      <c r="M1628" s="29">
        <f t="shared" si="202"/>
        <v>6113</v>
      </c>
      <c r="N1628" s="29"/>
      <c r="O1628" s="44">
        <f t="shared" si="203"/>
        <v>0.27646872597349736</v>
      </c>
    </row>
    <row r="1629" spans="1:15" ht="20.100000000000001" customHeight="1" x14ac:dyDescent="0.25">
      <c r="A1629" s="89">
        <v>995</v>
      </c>
      <c r="B1629" s="4">
        <v>43748</v>
      </c>
      <c r="C1629" s="26" t="s">
        <v>206</v>
      </c>
      <c r="D1629" s="3">
        <v>2315</v>
      </c>
      <c r="E1629" s="4">
        <v>43755</v>
      </c>
      <c r="F1629" s="92" t="s">
        <v>28</v>
      </c>
      <c r="G1629" s="32">
        <v>43748</v>
      </c>
      <c r="H1629" s="27">
        <f t="shared" si="201"/>
        <v>2315</v>
      </c>
      <c r="I1629" s="27"/>
      <c r="J1629" s="27"/>
      <c r="K1629" s="99"/>
      <c r="L1629" s="27">
        <v>1805</v>
      </c>
      <c r="M1629" s="29">
        <f t="shared" si="202"/>
        <v>510</v>
      </c>
      <c r="N1629" s="29"/>
      <c r="O1629" s="44">
        <f t="shared" si="203"/>
        <v>0.2203023758099352</v>
      </c>
    </row>
    <row r="1630" spans="1:15" ht="20.100000000000001" customHeight="1" x14ac:dyDescent="0.25">
      <c r="A1630" s="89">
        <v>898</v>
      </c>
      <c r="B1630" s="4">
        <v>43712</v>
      </c>
      <c r="C1630" s="26" t="s">
        <v>65</v>
      </c>
      <c r="D1630" s="3">
        <v>194446.8</v>
      </c>
      <c r="E1630" s="4">
        <v>43755</v>
      </c>
      <c r="F1630" s="92" t="s">
        <v>28</v>
      </c>
      <c r="G1630" s="32">
        <v>43726</v>
      </c>
      <c r="H1630" s="27">
        <v>177622.8</v>
      </c>
      <c r="I1630" s="27"/>
      <c r="J1630" s="27"/>
      <c r="K1630" s="99">
        <v>6400</v>
      </c>
      <c r="L1630" s="27">
        <v>107471</v>
      </c>
      <c r="M1630" s="29">
        <f t="shared" si="202"/>
        <v>63751.799999999988</v>
      </c>
      <c r="N1630" s="29"/>
      <c r="O1630" s="44">
        <f t="shared" si="203"/>
        <v>0.3589167606861281</v>
      </c>
    </row>
    <row r="1631" spans="1:15" ht="20.100000000000001" customHeight="1" x14ac:dyDescent="0.25">
      <c r="A1631" s="89">
        <v>994</v>
      </c>
      <c r="B1631" s="4">
        <v>43747</v>
      </c>
      <c r="C1631" s="26" t="s">
        <v>13</v>
      </c>
      <c r="D1631" s="3">
        <v>12940</v>
      </c>
      <c r="E1631" s="4">
        <v>43756</v>
      </c>
      <c r="F1631" s="92" t="s">
        <v>28</v>
      </c>
      <c r="G1631" s="32">
        <v>43748</v>
      </c>
      <c r="H1631" s="27">
        <f t="shared" ref="H1631:H1639" si="204">D1631</f>
        <v>12940</v>
      </c>
      <c r="I1631" s="27"/>
      <c r="J1631" s="27"/>
      <c r="K1631" s="99"/>
      <c r="L1631" s="27">
        <v>10090</v>
      </c>
      <c r="M1631" s="29">
        <f t="shared" si="202"/>
        <v>2850</v>
      </c>
      <c r="N1631" s="29"/>
      <c r="O1631" s="44">
        <f t="shared" si="203"/>
        <v>0.22024729520865532</v>
      </c>
    </row>
    <row r="1632" spans="1:15" ht="20.100000000000001" customHeight="1" x14ac:dyDescent="0.25">
      <c r="A1632" s="89">
        <v>1019</v>
      </c>
      <c r="B1632" s="4">
        <v>43756</v>
      </c>
      <c r="C1632" s="26" t="s">
        <v>216</v>
      </c>
      <c r="D1632" s="3">
        <v>2895</v>
      </c>
      <c r="E1632" s="4">
        <v>43756</v>
      </c>
      <c r="F1632" s="92" t="s">
        <v>28</v>
      </c>
      <c r="G1632" s="32">
        <v>43763</v>
      </c>
      <c r="H1632" s="27">
        <f t="shared" si="204"/>
        <v>2895</v>
      </c>
      <c r="I1632" s="27"/>
      <c r="J1632" s="27"/>
      <c r="K1632" s="99"/>
      <c r="L1632" s="27">
        <v>2050</v>
      </c>
      <c r="M1632" s="29">
        <f t="shared" si="202"/>
        <v>845</v>
      </c>
      <c r="N1632" s="29"/>
      <c r="O1632" s="44">
        <f t="shared" si="203"/>
        <v>0.2918825561312608</v>
      </c>
    </row>
    <row r="1633" spans="1:16" ht="20.100000000000001" customHeight="1" x14ac:dyDescent="0.25">
      <c r="A1633" s="89">
        <v>843</v>
      </c>
      <c r="B1633" s="4">
        <v>43711</v>
      </c>
      <c r="C1633" s="26" t="s">
        <v>99</v>
      </c>
      <c r="D1633" s="3">
        <v>242962</v>
      </c>
      <c r="E1633" s="4">
        <v>43760</v>
      </c>
      <c r="F1633" s="92" t="s">
        <v>28</v>
      </c>
      <c r="G1633" s="32">
        <v>43714</v>
      </c>
      <c r="H1633" s="27">
        <f t="shared" si="204"/>
        <v>242962</v>
      </c>
      <c r="I1633" s="27"/>
      <c r="J1633" s="27">
        <v>27000</v>
      </c>
      <c r="K1633" s="99">
        <v>3600</v>
      </c>
      <c r="L1633" s="27">
        <v>118715</v>
      </c>
      <c r="M1633" s="29">
        <f t="shared" si="202"/>
        <v>93647</v>
      </c>
      <c r="N1633" s="29"/>
      <c r="O1633" s="44">
        <f t="shared" si="203"/>
        <v>0.38543887521505421</v>
      </c>
    </row>
    <row r="1634" spans="1:16" ht="20.100000000000001" customHeight="1" x14ac:dyDescent="0.25">
      <c r="A1634" s="89">
        <v>902</v>
      </c>
      <c r="B1634" s="4">
        <v>43714</v>
      </c>
      <c r="C1634" s="26" t="s">
        <v>99</v>
      </c>
      <c r="D1634" s="3">
        <v>20775</v>
      </c>
      <c r="E1634" s="4">
        <v>43760</v>
      </c>
      <c r="F1634" s="92" t="s">
        <v>28</v>
      </c>
      <c r="G1634" s="32">
        <v>43752</v>
      </c>
      <c r="H1634" s="27">
        <f t="shared" si="204"/>
        <v>20775</v>
      </c>
      <c r="I1634" s="27"/>
      <c r="J1634" s="27">
        <v>3000</v>
      </c>
      <c r="K1634" s="99"/>
      <c r="L1634" s="27">
        <v>5503</v>
      </c>
      <c r="M1634" s="29">
        <f t="shared" si="202"/>
        <v>12272</v>
      </c>
      <c r="N1634" s="29"/>
      <c r="O1634" s="44">
        <f t="shared" si="203"/>
        <v>0.59070998796630569</v>
      </c>
    </row>
    <row r="1635" spans="1:16" ht="20.100000000000001" customHeight="1" x14ac:dyDescent="0.25">
      <c r="A1635" s="89">
        <v>1031</v>
      </c>
      <c r="B1635" s="4">
        <v>43760</v>
      </c>
      <c r="C1635" s="26" t="s">
        <v>83</v>
      </c>
      <c r="D1635" s="3">
        <v>9706</v>
      </c>
      <c r="E1635" s="4">
        <v>43760</v>
      </c>
      <c r="F1635" s="92" t="s">
        <v>28</v>
      </c>
      <c r="G1635" s="32">
        <v>43760</v>
      </c>
      <c r="H1635" s="27">
        <f t="shared" si="204"/>
        <v>9706</v>
      </c>
      <c r="I1635" s="27"/>
      <c r="J1635" s="27"/>
      <c r="K1635" s="99"/>
      <c r="L1635" s="27">
        <v>6947</v>
      </c>
      <c r="M1635" s="29">
        <f t="shared" si="202"/>
        <v>2759</v>
      </c>
      <c r="N1635" s="29"/>
      <c r="O1635" s="44">
        <f t="shared" si="203"/>
        <v>0.28425716051926642</v>
      </c>
    </row>
    <row r="1636" spans="1:16" ht="20.100000000000001" customHeight="1" x14ac:dyDescent="0.25">
      <c r="A1636" s="89">
        <v>1028</v>
      </c>
      <c r="B1636" s="4">
        <v>43760</v>
      </c>
      <c r="C1636" s="26" t="s">
        <v>338</v>
      </c>
      <c r="D1636" s="3">
        <v>13294</v>
      </c>
      <c r="E1636" s="4">
        <v>43761</v>
      </c>
      <c r="F1636" s="92" t="s">
        <v>28</v>
      </c>
      <c r="G1636" s="32">
        <v>43767</v>
      </c>
      <c r="H1636" s="27">
        <f t="shared" si="204"/>
        <v>13294</v>
      </c>
      <c r="I1636" s="27"/>
      <c r="J1636" s="27"/>
      <c r="K1636" s="99">
        <v>300</v>
      </c>
      <c r="L1636" s="27">
        <v>6402</v>
      </c>
      <c r="M1636" s="29">
        <f t="shared" si="202"/>
        <v>6592</v>
      </c>
      <c r="N1636" s="29"/>
      <c r="O1636" s="44">
        <f t="shared" si="203"/>
        <v>0.49586279524597565</v>
      </c>
    </row>
    <row r="1637" spans="1:16" ht="20.100000000000001" customHeight="1" x14ac:dyDescent="0.25">
      <c r="A1637" s="89">
        <v>1030</v>
      </c>
      <c r="B1637" s="4">
        <v>43762</v>
      </c>
      <c r="C1637" s="26" t="s">
        <v>419</v>
      </c>
      <c r="D1637" s="3">
        <v>9184</v>
      </c>
      <c r="E1637" s="4">
        <v>43762</v>
      </c>
      <c r="F1637" s="92" t="s">
        <v>28</v>
      </c>
      <c r="G1637" s="32">
        <v>43763</v>
      </c>
      <c r="H1637" s="27">
        <f t="shared" si="204"/>
        <v>9184</v>
      </c>
      <c r="I1637" s="27"/>
      <c r="J1637" s="27"/>
      <c r="K1637" s="99">
        <v>300</v>
      </c>
      <c r="L1637" s="27">
        <v>5424</v>
      </c>
      <c r="M1637" s="29">
        <f t="shared" si="202"/>
        <v>3460</v>
      </c>
      <c r="N1637" s="29"/>
      <c r="O1637" s="44">
        <f t="shared" si="203"/>
        <v>0.37674216027874563</v>
      </c>
    </row>
    <row r="1638" spans="1:16" ht="20.100000000000001" customHeight="1" x14ac:dyDescent="0.25">
      <c r="A1638" s="89">
        <v>901</v>
      </c>
      <c r="B1638" s="4">
        <v>43714</v>
      </c>
      <c r="C1638" s="26" t="s">
        <v>248</v>
      </c>
      <c r="D1638" s="3">
        <v>9769</v>
      </c>
      <c r="E1638" s="4">
        <v>43763</v>
      </c>
      <c r="F1638" s="92" t="s">
        <v>28</v>
      </c>
      <c r="G1638" s="32">
        <v>43714</v>
      </c>
      <c r="H1638" s="27">
        <f t="shared" si="204"/>
        <v>9769</v>
      </c>
      <c r="I1638" s="27"/>
      <c r="J1638" s="27"/>
      <c r="K1638" s="99"/>
      <c r="L1638" s="27">
        <v>7576</v>
      </c>
      <c r="M1638" s="29">
        <f t="shared" si="202"/>
        <v>2193</v>
      </c>
      <c r="N1638" s="29"/>
      <c r="O1638" s="44">
        <f t="shared" si="203"/>
        <v>0.22448561777049852</v>
      </c>
    </row>
    <row r="1639" spans="1:16" ht="20.100000000000001" customHeight="1" x14ac:dyDescent="0.25">
      <c r="A1639" s="89">
        <v>858</v>
      </c>
      <c r="B1639" s="4">
        <v>43705</v>
      </c>
      <c r="C1639" s="26" t="s">
        <v>38</v>
      </c>
      <c r="D1639" s="3">
        <v>50611</v>
      </c>
      <c r="E1639" s="4">
        <v>43763</v>
      </c>
      <c r="F1639" s="92" t="s">
        <v>28</v>
      </c>
      <c r="G1639" s="32">
        <v>43734</v>
      </c>
      <c r="H1639" s="27">
        <f t="shared" si="204"/>
        <v>50611</v>
      </c>
      <c r="I1639" s="27"/>
      <c r="J1639" s="27"/>
      <c r="K1639" s="99">
        <v>2400</v>
      </c>
      <c r="L1639" s="27">
        <v>19618</v>
      </c>
      <c r="M1639" s="29">
        <f t="shared" si="202"/>
        <v>28593</v>
      </c>
      <c r="N1639" s="29"/>
      <c r="O1639" s="44">
        <f t="shared" si="203"/>
        <v>0.5649562348106143</v>
      </c>
      <c r="P1639" s="28"/>
    </row>
    <row r="1640" spans="1:16" ht="20.100000000000001" customHeight="1" x14ac:dyDescent="0.25">
      <c r="A1640" s="89">
        <v>898</v>
      </c>
      <c r="B1640" s="4">
        <v>43712</v>
      </c>
      <c r="C1640" s="26" t="s">
        <v>65</v>
      </c>
      <c r="D1640" s="3">
        <v>194446.8</v>
      </c>
      <c r="E1640" s="4">
        <v>43767</v>
      </c>
      <c r="F1640" s="92" t="s">
        <v>28</v>
      </c>
      <c r="G1640" s="32">
        <v>43739</v>
      </c>
      <c r="H1640" s="27">
        <v>16824</v>
      </c>
      <c r="I1640" s="27"/>
      <c r="J1640" s="27"/>
      <c r="K1640" s="99"/>
      <c r="L1640" s="27">
        <v>13180</v>
      </c>
      <c r="M1640" s="29">
        <f t="shared" si="202"/>
        <v>3644</v>
      </c>
      <c r="N1640" s="29"/>
      <c r="O1640" s="44">
        <f t="shared" si="203"/>
        <v>0.21659533999048977</v>
      </c>
    </row>
    <row r="1641" spans="1:16" ht="20.100000000000001" customHeight="1" x14ac:dyDescent="0.25">
      <c r="A1641" s="89">
        <v>990</v>
      </c>
      <c r="B1641" s="4">
        <v>43746</v>
      </c>
      <c r="C1641" s="26" t="s">
        <v>182</v>
      </c>
      <c r="D1641" s="3">
        <v>6990</v>
      </c>
      <c r="E1641" s="4">
        <v>43769</v>
      </c>
      <c r="F1641" s="92" t="s">
        <v>28</v>
      </c>
      <c r="G1641" s="32">
        <v>43777</v>
      </c>
      <c r="H1641" s="27">
        <f>D1641</f>
        <v>6990</v>
      </c>
      <c r="I1641" s="27"/>
      <c r="J1641" s="27"/>
      <c r="K1641" s="99"/>
      <c r="L1641" s="27">
        <v>5872</v>
      </c>
      <c r="M1641" s="29">
        <f t="shared" si="202"/>
        <v>1118</v>
      </c>
      <c r="N1641" s="29"/>
      <c r="O1641" s="44">
        <f t="shared" si="203"/>
        <v>0.15994277539341917</v>
      </c>
    </row>
    <row r="1642" spans="1:16" ht="20.100000000000001" customHeight="1" x14ac:dyDescent="0.25">
      <c r="A1642" s="89">
        <v>1037</v>
      </c>
      <c r="B1642" s="4">
        <v>43768</v>
      </c>
      <c r="C1642" s="5" t="s">
        <v>420</v>
      </c>
      <c r="D1642" s="3">
        <v>3142</v>
      </c>
      <c r="E1642" s="4">
        <v>43769</v>
      </c>
      <c r="F1642" s="92" t="s">
        <v>28</v>
      </c>
      <c r="G1642" s="32">
        <v>43770</v>
      </c>
      <c r="H1642" s="27">
        <f>D1642</f>
        <v>3142</v>
      </c>
      <c r="I1642" s="27">
        <f>H1642</f>
        <v>3142</v>
      </c>
      <c r="J1642" s="27"/>
      <c r="K1642" s="99"/>
      <c r="L1642" s="27">
        <v>2450</v>
      </c>
      <c r="M1642" s="29">
        <f t="shared" si="202"/>
        <v>692</v>
      </c>
      <c r="N1642" s="29">
        <f>M1642</f>
        <v>692</v>
      </c>
      <c r="O1642" s="44">
        <f t="shared" si="203"/>
        <v>0.22024188415022278</v>
      </c>
    </row>
    <row r="1643" spans="1:16" ht="19.5" customHeight="1" x14ac:dyDescent="0.25">
      <c r="A1643" s="89"/>
      <c r="B1643" s="4"/>
      <c r="C1643" s="5"/>
      <c r="D1643" s="3"/>
      <c r="E1643" s="97">
        <v>48100</v>
      </c>
      <c r="F1643" s="98">
        <f>M1643*0.17+N1643*0.06</f>
        <v>48085.315999999999</v>
      </c>
      <c r="G1643" s="21">
        <f>H1643*0.05+I1643*0.02</f>
        <v>41044.33</v>
      </c>
      <c r="H1643" s="16">
        <f t="shared" ref="H1643:N1643" si="205">SUM(H1616:H1642)</f>
        <v>769465.8</v>
      </c>
      <c r="I1643" s="16">
        <f t="shared" si="205"/>
        <v>128552</v>
      </c>
      <c r="J1643" s="16">
        <f t="shared" si="205"/>
        <v>30000</v>
      </c>
      <c r="K1643" s="16">
        <f t="shared" si="205"/>
        <v>13000</v>
      </c>
      <c r="L1643" s="16">
        <f t="shared" si="205"/>
        <v>455611</v>
      </c>
      <c r="M1643" s="16">
        <f t="shared" si="205"/>
        <v>270854.8</v>
      </c>
      <c r="N1643" s="16">
        <f t="shared" si="205"/>
        <v>34000</v>
      </c>
      <c r="O1643" s="44">
        <f t="shared" si="203"/>
        <v>0.35200368879292615</v>
      </c>
    </row>
    <row r="1644" spans="1:16" ht="23.25" x14ac:dyDescent="0.35">
      <c r="B1644" s="94"/>
      <c r="C1644" s="94" t="s">
        <v>645</v>
      </c>
    </row>
    <row r="1645" spans="1:16" ht="20.100000000000001" customHeight="1" x14ac:dyDescent="0.25">
      <c r="A1645" s="89">
        <v>1059</v>
      </c>
      <c r="B1645" s="4">
        <v>43769</v>
      </c>
      <c r="C1645" s="5" t="s">
        <v>421</v>
      </c>
      <c r="D1645" s="3">
        <v>17190</v>
      </c>
      <c r="E1645" s="4">
        <v>43770</v>
      </c>
      <c r="F1645" s="92" t="s">
        <v>28</v>
      </c>
      <c r="G1645" s="32">
        <v>43774</v>
      </c>
      <c r="H1645" s="27">
        <f t="shared" ref="H1645:H1665" si="206">D1645</f>
        <v>17190</v>
      </c>
      <c r="I1645" s="27">
        <f>H1645</f>
        <v>17190</v>
      </c>
      <c r="J1645" s="27"/>
      <c r="K1645" s="99"/>
      <c r="L1645" s="27">
        <v>12624</v>
      </c>
      <c r="M1645" s="29">
        <f t="shared" ref="M1645:M1665" si="207">H1645-L1645-J1645-K1645</f>
        <v>4566</v>
      </c>
      <c r="N1645" s="29">
        <f>M1645</f>
        <v>4566</v>
      </c>
      <c r="O1645" s="44">
        <f t="shared" ref="O1645:O1666" si="208">M1645/H1645</f>
        <v>0.26561954624781847</v>
      </c>
    </row>
    <row r="1646" spans="1:16" ht="20.100000000000001" customHeight="1" x14ac:dyDescent="0.25">
      <c r="A1646" s="89">
        <v>1062</v>
      </c>
      <c r="B1646" s="4">
        <v>43770</v>
      </c>
      <c r="C1646" s="26" t="s">
        <v>139</v>
      </c>
      <c r="D1646" s="3">
        <v>2916</v>
      </c>
      <c r="E1646" s="4">
        <v>43774</v>
      </c>
      <c r="F1646" s="92" t="s">
        <v>28</v>
      </c>
      <c r="G1646" s="32">
        <v>43781</v>
      </c>
      <c r="H1646" s="27">
        <f t="shared" si="206"/>
        <v>2916</v>
      </c>
      <c r="I1646" s="27"/>
      <c r="J1646" s="27"/>
      <c r="K1646" s="99"/>
      <c r="L1646" s="27">
        <v>2274</v>
      </c>
      <c r="M1646" s="29">
        <f t="shared" si="207"/>
        <v>642</v>
      </c>
      <c r="N1646" s="29"/>
      <c r="O1646" s="44">
        <f t="shared" si="208"/>
        <v>0.22016460905349794</v>
      </c>
    </row>
    <row r="1647" spans="1:16" ht="20.100000000000001" customHeight="1" x14ac:dyDescent="0.25">
      <c r="A1647" s="89">
        <v>1020</v>
      </c>
      <c r="B1647" s="4">
        <v>43759</v>
      </c>
      <c r="C1647" s="26" t="s">
        <v>228</v>
      </c>
      <c r="D1647" s="3">
        <v>37619</v>
      </c>
      <c r="E1647" s="4">
        <v>43774</v>
      </c>
      <c r="F1647" s="92" t="s">
        <v>28</v>
      </c>
      <c r="G1647" s="32">
        <v>43777</v>
      </c>
      <c r="H1647" s="27">
        <f t="shared" si="206"/>
        <v>37619</v>
      </c>
      <c r="I1647" s="27"/>
      <c r="J1647" s="27"/>
      <c r="K1647" s="99"/>
      <c r="L1647" s="27">
        <v>25363</v>
      </c>
      <c r="M1647" s="29">
        <f t="shared" si="207"/>
        <v>12256</v>
      </c>
      <c r="N1647" s="29"/>
      <c r="O1647" s="44">
        <f t="shared" si="208"/>
        <v>0.32579281745926258</v>
      </c>
    </row>
    <row r="1648" spans="1:16" ht="20.100000000000001" customHeight="1" x14ac:dyDescent="0.25">
      <c r="A1648" s="89">
        <v>134</v>
      </c>
      <c r="B1648" s="4">
        <v>43517</v>
      </c>
      <c r="C1648" s="26" t="s">
        <v>228</v>
      </c>
      <c r="D1648" s="3">
        <v>8000</v>
      </c>
      <c r="E1648" s="4">
        <v>43775</v>
      </c>
      <c r="F1648" s="92" t="s">
        <v>28</v>
      </c>
      <c r="G1648" s="32">
        <v>43565</v>
      </c>
      <c r="H1648" s="27">
        <f t="shared" si="206"/>
        <v>8000</v>
      </c>
      <c r="I1648" s="27"/>
      <c r="J1648" s="27"/>
      <c r="K1648" s="99"/>
      <c r="L1648" s="27">
        <v>5392</v>
      </c>
      <c r="M1648" s="29">
        <f t="shared" si="207"/>
        <v>2608</v>
      </c>
      <c r="N1648" s="29"/>
      <c r="O1648" s="44">
        <f t="shared" si="208"/>
        <v>0.32600000000000001</v>
      </c>
    </row>
    <row r="1649" spans="1:15" ht="20.100000000000001" customHeight="1" x14ac:dyDescent="0.25">
      <c r="A1649" s="89">
        <v>1054</v>
      </c>
      <c r="B1649" s="4">
        <v>43768</v>
      </c>
      <c r="C1649" s="5" t="s">
        <v>422</v>
      </c>
      <c r="D1649" s="3">
        <v>13770</v>
      </c>
      <c r="E1649" s="4">
        <v>43775</v>
      </c>
      <c r="F1649" s="92" t="s">
        <v>28</v>
      </c>
      <c r="G1649" s="32">
        <v>43768</v>
      </c>
      <c r="H1649" s="27">
        <f t="shared" si="206"/>
        <v>13770</v>
      </c>
      <c r="I1649" s="27">
        <f>H1649</f>
        <v>13770</v>
      </c>
      <c r="J1649" s="27"/>
      <c r="K1649" s="99"/>
      <c r="L1649" s="27">
        <v>10112</v>
      </c>
      <c r="M1649" s="29">
        <f t="shared" si="207"/>
        <v>3658</v>
      </c>
      <c r="N1649" s="29">
        <f>M1649</f>
        <v>3658</v>
      </c>
      <c r="O1649" s="44">
        <f t="shared" si="208"/>
        <v>0.26564996368917937</v>
      </c>
    </row>
    <row r="1650" spans="1:15" ht="20.100000000000001" customHeight="1" x14ac:dyDescent="0.25">
      <c r="A1650" s="89">
        <v>1058</v>
      </c>
      <c r="B1650" s="4">
        <v>43769</v>
      </c>
      <c r="C1650" s="26" t="s">
        <v>319</v>
      </c>
      <c r="D1650" s="3">
        <v>4221</v>
      </c>
      <c r="E1650" s="4">
        <v>43776</v>
      </c>
      <c r="F1650" s="92" t="s">
        <v>28</v>
      </c>
      <c r="G1650" s="32">
        <v>43839</v>
      </c>
      <c r="H1650" s="27">
        <f t="shared" si="206"/>
        <v>4221</v>
      </c>
      <c r="I1650" s="27"/>
      <c r="J1650" s="27"/>
      <c r="K1650" s="99"/>
      <c r="L1650" s="27">
        <v>3847</v>
      </c>
      <c r="M1650" s="29">
        <f t="shared" si="207"/>
        <v>374</v>
      </c>
      <c r="N1650" s="29"/>
      <c r="O1650" s="44">
        <f t="shared" si="208"/>
        <v>8.8604596067282632E-2</v>
      </c>
    </row>
    <row r="1651" spans="1:15" ht="20.100000000000001" customHeight="1" x14ac:dyDescent="0.25">
      <c r="A1651" s="89">
        <v>1083</v>
      </c>
      <c r="B1651" s="4">
        <v>43777</v>
      </c>
      <c r="C1651" s="26" t="s">
        <v>403</v>
      </c>
      <c r="D1651" s="3">
        <v>5431</v>
      </c>
      <c r="E1651" s="4">
        <v>43780</v>
      </c>
      <c r="F1651" s="92" t="s">
        <v>28</v>
      </c>
      <c r="G1651" s="32">
        <v>43782</v>
      </c>
      <c r="H1651" s="27">
        <f t="shared" si="206"/>
        <v>5431</v>
      </c>
      <c r="I1651" s="27"/>
      <c r="J1651" s="27"/>
      <c r="K1651" s="99"/>
      <c r="L1651" s="27">
        <v>4181</v>
      </c>
      <c r="M1651" s="29">
        <f t="shared" si="207"/>
        <v>1250</v>
      </c>
      <c r="N1651" s="29"/>
      <c r="O1651" s="44">
        <f t="shared" si="208"/>
        <v>0.23016019149327932</v>
      </c>
    </row>
    <row r="1652" spans="1:15" ht="20.100000000000001" customHeight="1" x14ac:dyDescent="0.25">
      <c r="A1652" s="89">
        <v>1106</v>
      </c>
      <c r="B1652" s="4">
        <v>43783</v>
      </c>
      <c r="C1652" s="26" t="s">
        <v>51</v>
      </c>
      <c r="D1652" s="3">
        <v>6950</v>
      </c>
      <c r="E1652" s="4">
        <v>43784</v>
      </c>
      <c r="F1652" s="92" t="s">
        <v>28</v>
      </c>
      <c r="G1652" s="32">
        <v>43805</v>
      </c>
      <c r="H1652" s="27">
        <f t="shared" si="206"/>
        <v>6950</v>
      </c>
      <c r="I1652" s="27"/>
      <c r="J1652" s="27"/>
      <c r="K1652" s="99"/>
      <c r="L1652" s="27">
        <v>4587</v>
      </c>
      <c r="M1652" s="29">
        <f t="shared" si="207"/>
        <v>2363</v>
      </c>
      <c r="N1652" s="29"/>
      <c r="O1652" s="44">
        <f t="shared" si="208"/>
        <v>0.34</v>
      </c>
    </row>
    <row r="1653" spans="1:15" ht="20.100000000000001" customHeight="1" x14ac:dyDescent="0.25">
      <c r="A1653" s="89">
        <v>1108</v>
      </c>
      <c r="B1653" s="4">
        <v>43783</v>
      </c>
      <c r="C1653" s="26" t="s">
        <v>281</v>
      </c>
      <c r="D1653" s="3">
        <v>4500</v>
      </c>
      <c r="E1653" s="4">
        <v>43784</v>
      </c>
      <c r="F1653" s="92" t="s">
        <v>28</v>
      </c>
      <c r="G1653" s="32">
        <v>43805</v>
      </c>
      <c r="H1653" s="27">
        <f t="shared" si="206"/>
        <v>4500</v>
      </c>
      <c r="I1653" s="27"/>
      <c r="J1653" s="27"/>
      <c r="K1653" s="99"/>
      <c r="L1653" s="27">
        <v>3511</v>
      </c>
      <c r="M1653" s="29">
        <f t="shared" si="207"/>
        <v>989</v>
      </c>
      <c r="N1653" s="29"/>
      <c r="O1653" s="44">
        <f t="shared" si="208"/>
        <v>0.21977777777777777</v>
      </c>
    </row>
    <row r="1654" spans="1:15" ht="20.100000000000001" customHeight="1" x14ac:dyDescent="0.25">
      <c r="A1654" s="89">
        <v>1100</v>
      </c>
      <c r="B1654" s="4">
        <v>43781</v>
      </c>
      <c r="C1654" s="26" t="s">
        <v>228</v>
      </c>
      <c r="D1654" s="3">
        <v>9942</v>
      </c>
      <c r="E1654" s="4">
        <v>43788</v>
      </c>
      <c r="F1654" s="92" t="s">
        <v>28</v>
      </c>
      <c r="G1654" s="32">
        <v>43809</v>
      </c>
      <c r="H1654" s="27">
        <f t="shared" si="206"/>
        <v>9942</v>
      </c>
      <c r="I1654" s="27"/>
      <c r="J1654" s="27"/>
      <c r="K1654" s="99"/>
      <c r="L1654" s="27">
        <v>6404</v>
      </c>
      <c r="M1654" s="29">
        <f t="shared" si="207"/>
        <v>3538</v>
      </c>
      <c r="N1654" s="29"/>
      <c r="O1654" s="44">
        <f t="shared" si="208"/>
        <v>0.35586401126533895</v>
      </c>
    </row>
    <row r="1655" spans="1:15" ht="20.100000000000001" customHeight="1" x14ac:dyDescent="0.25">
      <c r="A1655" s="89">
        <v>1129</v>
      </c>
      <c r="B1655" s="4">
        <v>43789</v>
      </c>
      <c r="C1655" s="5" t="s">
        <v>423</v>
      </c>
      <c r="D1655" s="3">
        <v>65490</v>
      </c>
      <c r="E1655" s="4">
        <v>43790</v>
      </c>
      <c r="F1655" s="92" t="s">
        <v>28</v>
      </c>
      <c r="G1655" s="32">
        <v>43798</v>
      </c>
      <c r="H1655" s="27">
        <f t="shared" si="206"/>
        <v>65490</v>
      </c>
      <c r="I1655" s="27">
        <f>H1655</f>
        <v>65490</v>
      </c>
      <c r="J1655" s="27"/>
      <c r="K1655" s="99"/>
      <c r="L1655" s="27">
        <v>48095</v>
      </c>
      <c r="M1655" s="29">
        <f t="shared" si="207"/>
        <v>17395</v>
      </c>
      <c r="N1655" s="29">
        <f>M1655</f>
        <v>17395</v>
      </c>
      <c r="O1655" s="44">
        <f t="shared" si="208"/>
        <v>0.26561307069781648</v>
      </c>
    </row>
    <row r="1656" spans="1:15" ht="20.100000000000001" customHeight="1" x14ac:dyDescent="0.25">
      <c r="A1656" s="89">
        <v>1140</v>
      </c>
      <c r="B1656" s="4">
        <v>43791</v>
      </c>
      <c r="C1656" s="26" t="s">
        <v>278</v>
      </c>
      <c r="D1656" s="3">
        <v>12998</v>
      </c>
      <c r="E1656" s="4">
        <v>43794</v>
      </c>
      <c r="F1656" s="92" t="s">
        <v>28</v>
      </c>
      <c r="G1656" s="32">
        <v>43796</v>
      </c>
      <c r="H1656" s="27">
        <f t="shared" si="206"/>
        <v>12998</v>
      </c>
      <c r="I1656" s="27"/>
      <c r="J1656" s="27"/>
      <c r="K1656" s="99"/>
      <c r="L1656" s="27">
        <v>6973</v>
      </c>
      <c r="M1656" s="29">
        <f t="shared" si="207"/>
        <v>6025</v>
      </c>
      <c r="N1656" s="29"/>
      <c r="O1656" s="44">
        <f t="shared" si="208"/>
        <v>0.46353285120787813</v>
      </c>
    </row>
    <row r="1657" spans="1:15" ht="20.100000000000001" customHeight="1" x14ac:dyDescent="0.25">
      <c r="A1657" s="89">
        <v>1145</v>
      </c>
      <c r="B1657" s="4">
        <v>43794</v>
      </c>
      <c r="C1657" s="26" t="s">
        <v>149</v>
      </c>
      <c r="D1657" s="3">
        <v>3834</v>
      </c>
      <c r="E1657" s="4">
        <v>43795</v>
      </c>
      <c r="F1657" s="92" t="s">
        <v>28</v>
      </c>
      <c r="G1657" s="32">
        <v>43795</v>
      </c>
      <c r="H1657" s="27">
        <f t="shared" si="206"/>
        <v>3834</v>
      </c>
      <c r="I1657" s="27"/>
      <c r="J1657" s="27"/>
      <c r="K1657" s="99"/>
      <c r="L1657" s="27">
        <v>2988</v>
      </c>
      <c r="M1657" s="29">
        <f t="shared" si="207"/>
        <v>846</v>
      </c>
      <c r="N1657" s="29"/>
      <c r="O1657" s="44">
        <f t="shared" si="208"/>
        <v>0.22065727699530516</v>
      </c>
    </row>
    <row r="1658" spans="1:15" ht="20.100000000000001" customHeight="1" x14ac:dyDescent="0.25">
      <c r="A1658" s="89">
        <v>1142</v>
      </c>
      <c r="B1658" s="4">
        <v>43794</v>
      </c>
      <c r="C1658" s="26" t="s">
        <v>270</v>
      </c>
      <c r="D1658" s="3">
        <v>13770</v>
      </c>
      <c r="E1658" s="4">
        <v>43795</v>
      </c>
      <c r="F1658" s="92" t="s">
        <v>28</v>
      </c>
      <c r="G1658" s="32">
        <v>43795</v>
      </c>
      <c r="H1658" s="27">
        <f t="shared" si="206"/>
        <v>13770</v>
      </c>
      <c r="I1658" s="27"/>
      <c r="J1658" s="27"/>
      <c r="K1658" s="99"/>
      <c r="L1658" s="27">
        <v>10112</v>
      </c>
      <c r="M1658" s="29">
        <f t="shared" si="207"/>
        <v>3658</v>
      </c>
      <c r="N1658" s="29"/>
      <c r="O1658" s="44">
        <f t="shared" si="208"/>
        <v>0.26564996368917937</v>
      </c>
    </row>
    <row r="1659" spans="1:15" ht="20.100000000000001" customHeight="1" x14ac:dyDescent="0.25">
      <c r="A1659" s="89">
        <v>964</v>
      </c>
      <c r="B1659" s="4">
        <v>43738</v>
      </c>
      <c r="C1659" s="26" t="s">
        <v>270</v>
      </c>
      <c r="D1659" s="3">
        <v>14390</v>
      </c>
      <c r="E1659" s="4">
        <v>43795</v>
      </c>
      <c r="F1659" s="92" t="s">
        <v>28</v>
      </c>
      <c r="G1659" s="32">
        <v>43795</v>
      </c>
      <c r="H1659" s="27">
        <f t="shared" si="206"/>
        <v>14390</v>
      </c>
      <c r="I1659" s="27"/>
      <c r="J1659" s="27"/>
      <c r="K1659" s="99"/>
      <c r="L1659" s="27">
        <v>10568</v>
      </c>
      <c r="M1659" s="29">
        <f t="shared" si="207"/>
        <v>3822</v>
      </c>
      <c r="N1659" s="29"/>
      <c r="O1659" s="44">
        <f t="shared" si="208"/>
        <v>0.26560111188325225</v>
      </c>
    </row>
    <row r="1660" spans="1:15" ht="20.100000000000001" customHeight="1" x14ac:dyDescent="0.25">
      <c r="A1660" s="89">
        <v>1141</v>
      </c>
      <c r="B1660" s="4">
        <v>43791</v>
      </c>
      <c r="C1660" s="26" t="s">
        <v>179</v>
      </c>
      <c r="D1660" s="3">
        <v>10862</v>
      </c>
      <c r="E1660" s="4">
        <v>43795</v>
      </c>
      <c r="F1660" s="92" t="s">
        <v>28</v>
      </c>
      <c r="G1660" s="32">
        <v>43801</v>
      </c>
      <c r="H1660" s="27">
        <f t="shared" si="206"/>
        <v>10862</v>
      </c>
      <c r="I1660" s="27"/>
      <c r="J1660" s="27"/>
      <c r="K1660" s="99"/>
      <c r="L1660" s="27">
        <v>8108</v>
      </c>
      <c r="M1660" s="29">
        <f t="shared" si="207"/>
        <v>2754</v>
      </c>
      <c r="N1660" s="29"/>
      <c r="O1660" s="44">
        <f t="shared" si="208"/>
        <v>0.25354446694899652</v>
      </c>
    </row>
    <row r="1661" spans="1:15" ht="20.100000000000001" customHeight="1" x14ac:dyDescent="0.25">
      <c r="A1661" s="89">
        <v>965</v>
      </c>
      <c r="B1661" s="4">
        <v>43738</v>
      </c>
      <c r="C1661" s="26" t="s">
        <v>56</v>
      </c>
      <c r="D1661" s="3">
        <v>32877</v>
      </c>
      <c r="E1661" s="4">
        <v>43795</v>
      </c>
      <c r="F1661" s="92" t="s">
        <v>28</v>
      </c>
      <c r="G1661" s="32">
        <v>43754</v>
      </c>
      <c r="H1661" s="27">
        <f t="shared" si="206"/>
        <v>32877</v>
      </c>
      <c r="I1661" s="27"/>
      <c r="J1661" s="27"/>
      <c r="K1661" s="99"/>
      <c r="L1661" s="27">
        <v>24840</v>
      </c>
      <c r="M1661" s="29">
        <f t="shared" si="207"/>
        <v>8037</v>
      </c>
      <c r="N1661" s="29"/>
      <c r="O1661" s="44">
        <f t="shared" si="208"/>
        <v>0.24445661100465371</v>
      </c>
    </row>
    <row r="1662" spans="1:15" ht="20.100000000000001" customHeight="1" x14ac:dyDescent="0.25">
      <c r="A1662" s="89">
        <v>1052</v>
      </c>
      <c r="B1662" s="4">
        <v>43768</v>
      </c>
      <c r="C1662" s="26" t="s">
        <v>56</v>
      </c>
      <c r="D1662" s="3">
        <v>32961</v>
      </c>
      <c r="E1662" s="4">
        <v>43795</v>
      </c>
      <c r="F1662" s="92" t="s">
        <v>28</v>
      </c>
      <c r="G1662" s="32">
        <v>43781</v>
      </c>
      <c r="H1662" s="27">
        <f t="shared" si="206"/>
        <v>32961</v>
      </c>
      <c r="I1662" s="27"/>
      <c r="J1662" s="27"/>
      <c r="K1662" s="99"/>
      <c r="L1662" s="27">
        <v>24358</v>
      </c>
      <c r="M1662" s="29">
        <f t="shared" si="207"/>
        <v>8603</v>
      </c>
      <c r="N1662" s="29"/>
      <c r="O1662" s="44">
        <f t="shared" si="208"/>
        <v>0.26100543066047754</v>
      </c>
    </row>
    <row r="1663" spans="1:15" ht="20.100000000000001" customHeight="1" x14ac:dyDescent="0.25">
      <c r="A1663" s="89">
        <v>1149</v>
      </c>
      <c r="B1663" s="4">
        <v>43796</v>
      </c>
      <c r="C1663" s="26" t="s">
        <v>424</v>
      </c>
      <c r="D1663" s="3">
        <v>2609</v>
      </c>
      <c r="E1663" s="4">
        <v>43796</v>
      </c>
      <c r="F1663" s="92" t="s">
        <v>28</v>
      </c>
      <c r="G1663" s="32">
        <v>43808</v>
      </c>
      <c r="H1663" s="27">
        <f t="shared" si="206"/>
        <v>2609</v>
      </c>
      <c r="I1663" s="27"/>
      <c r="J1663" s="27"/>
      <c r="K1663" s="99"/>
      <c r="L1663" s="27">
        <v>2034</v>
      </c>
      <c r="M1663" s="29">
        <f t="shared" si="207"/>
        <v>575</v>
      </c>
      <c r="N1663" s="29"/>
      <c r="O1663" s="44">
        <f t="shared" si="208"/>
        <v>0.22039095438865466</v>
      </c>
    </row>
    <row r="1664" spans="1:15" ht="20.100000000000001" customHeight="1" x14ac:dyDescent="0.25">
      <c r="A1664" s="89">
        <v>1082</v>
      </c>
      <c r="B1664" s="4">
        <v>43776</v>
      </c>
      <c r="C1664" s="26" t="s">
        <v>13</v>
      </c>
      <c r="D1664" s="3">
        <v>21909</v>
      </c>
      <c r="E1664" s="4">
        <v>43798</v>
      </c>
      <c r="F1664" s="92" t="s">
        <v>28</v>
      </c>
      <c r="G1664" s="32">
        <v>43788</v>
      </c>
      <c r="H1664" s="27">
        <f t="shared" si="206"/>
        <v>21909</v>
      </c>
      <c r="I1664" s="27"/>
      <c r="J1664" s="27"/>
      <c r="K1664" s="99"/>
      <c r="L1664" s="27">
        <v>17087</v>
      </c>
      <c r="M1664" s="29">
        <f t="shared" si="207"/>
        <v>4822</v>
      </c>
      <c r="N1664" s="29"/>
      <c r="O1664" s="44">
        <f t="shared" si="208"/>
        <v>0.22009219955269524</v>
      </c>
    </row>
    <row r="1665" spans="1:15" ht="20.100000000000001" customHeight="1" x14ac:dyDescent="0.25">
      <c r="A1665" s="89">
        <v>1112</v>
      </c>
      <c r="B1665" s="4">
        <v>43784</v>
      </c>
      <c r="C1665" s="26" t="s">
        <v>338</v>
      </c>
      <c r="D1665" s="3">
        <v>5500</v>
      </c>
      <c r="E1665" s="4">
        <v>43798</v>
      </c>
      <c r="F1665" s="92" t="s">
        <v>28</v>
      </c>
      <c r="G1665" s="32">
        <v>43805</v>
      </c>
      <c r="H1665" s="27">
        <f t="shared" si="206"/>
        <v>5500</v>
      </c>
      <c r="I1665" s="27"/>
      <c r="J1665" s="27"/>
      <c r="K1665" s="99"/>
      <c r="L1665" s="27">
        <v>2662</v>
      </c>
      <c r="M1665" s="29">
        <f t="shared" si="207"/>
        <v>2838</v>
      </c>
      <c r="N1665" s="29"/>
      <c r="O1665" s="44">
        <f t="shared" si="208"/>
        <v>0.51600000000000001</v>
      </c>
    </row>
    <row r="1666" spans="1:15" ht="19.5" customHeight="1" x14ac:dyDescent="0.25">
      <c r="A1666" s="89"/>
      <c r="B1666" s="4"/>
      <c r="C1666" s="5"/>
      <c r="D1666" s="3"/>
      <c r="E1666" s="97">
        <v>6100</v>
      </c>
      <c r="F1666" s="98">
        <f>M1666*0.05+N1666*0.06</f>
        <v>6118.09</v>
      </c>
      <c r="G1666" s="21">
        <f>H1666*0.02+I1666*0.02</f>
        <v>8483.7799999999988</v>
      </c>
      <c r="H1666" s="16">
        <f t="shared" ref="H1666:N1666" si="209">SUM(H1645:H1665)</f>
        <v>327739</v>
      </c>
      <c r="I1666" s="16">
        <f t="shared" si="209"/>
        <v>96450</v>
      </c>
      <c r="J1666" s="16">
        <f t="shared" si="209"/>
        <v>0</v>
      </c>
      <c r="K1666" s="16">
        <f t="shared" si="209"/>
        <v>0</v>
      </c>
      <c r="L1666" s="16">
        <f t="shared" si="209"/>
        <v>236120</v>
      </c>
      <c r="M1666" s="16">
        <f t="shared" si="209"/>
        <v>91619</v>
      </c>
      <c r="N1666" s="16">
        <f t="shared" si="209"/>
        <v>25619</v>
      </c>
      <c r="O1666" s="44">
        <f t="shared" si="208"/>
        <v>0.27954866524887184</v>
      </c>
    </row>
    <row r="1667" spans="1:15" ht="23.25" x14ac:dyDescent="0.35">
      <c r="B1667" s="94"/>
      <c r="C1667" s="94" t="s">
        <v>646</v>
      </c>
    </row>
    <row r="1668" spans="1:15" ht="20.100000000000001" customHeight="1" x14ac:dyDescent="0.25">
      <c r="A1668" s="89">
        <v>1089</v>
      </c>
      <c r="B1668" s="4">
        <v>43794</v>
      </c>
      <c r="C1668" s="26" t="s">
        <v>302</v>
      </c>
      <c r="D1668" s="3">
        <v>6600</v>
      </c>
      <c r="E1668" s="4">
        <v>43803</v>
      </c>
      <c r="F1668" s="92" t="s">
        <v>28</v>
      </c>
      <c r="G1668" s="32">
        <v>43794</v>
      </c>
      <c r="H1668" s="27">
        <f t="shared" ref="H1668:H1676" si="210">D1668</f>
        <v>6600</v>
      </c>
      <c r="I1668" s="27"/>
      <c r="J1668" s="27"/>
      <c r="K1668" s="99"/>
      <c r="L1668" s="27">
        <v>5071</v>
      </c>
      <c r="M1668" s="29">
        <f t="shared" ref="M1668:M1699" si="211">H1668-L1668-J1668-K1668</f>
        <v>1529</v>
      </c>
      <c r="N1668" s="29"/>
      <c r="O1668" s="44">
        <f t="shared" ref="O1668:O1700" si="212">M1668/H1668</f>
        <v>0.23166666666666666</v>
      </c>
    </row>
    <row r="1669" spans="1:15" ht="20.100000000000001" customHeight="1" x14ac:dyDescent="0.25">
      <c r="A1669" s="89">
        <v>1138</v>
      </c>
      <c r="B1669" s="4">
        <v>43790</v>
      </c>
      <c r="C1669" s="26" t="s">
        <v>258</v>
      </c>
      <c r="D1669" s="3">
        <v>1597</v>
      </c>
      <c r="E1669" s="4">
        <v>43803</v>
      </c>
      <c r="F1669" s="92" t="s">
        <v>28</v>
      </c>
      <c r="G1669" s="32">
        <v>43804</v>
      </c>
      <c r="H1669" s="27">
        <f t="shared" si="210"/>
        <v>1597</v>
      </c>
      <c r="I1669" s="27"/>
      <c r="J1669" s="27"/>
      <c r="K1669" s="99"/>
      <c r="L1669" s="27">
        <v>1245</v>
      </c>
      <c r="M1669" s="29">
        <f t="shared" si="211"/>
        <v>352</v>
      </c>
      <c r="N1669" s="29"/>
      <c r="O1669" s="44">
        <f t="shared" si="212"/>
        <v>0.22041327489041954</v>
      </c>
    </row>
    <row r="1670" spans="1:15" ht="20.100000000000001" customHeight="1" x14ac:dyDescent="0.25">
      <c r="A1670" s="89">
        <v>1081</v>
      </c>
      <c r="B1670" s="4">
        <v>43776</v>
      </c>
      <c r="C1670" s="26" t="s">
        <v>426</v>
      </c>
      <c r="D1670" s="3">
        <v>9990</v>
      </c>
      <c r="E1670" s="4">
        <v>43803</v>
      </c>
      <c r="F1670" s="92" t="s">
        <v>28</v>
      </c>
      <c r="G1670" s="32">
        <v>43875</v>
      </c>
      <c r="H1670" s="27">
        <f t="shared" si="210"/>
        <v>9990</v>
      </c>
      <c r="I1670" s="27"/>
      <c r="J1670" s="27"/>
      <c r="K1670" s="99"/>
      <c r="L1670" s="27">
        <v>7342</v>
      </c>
      <c r="M1670" s="29">
        <f t="shared" si="211"/>
        <v>2648</v>
      </c>
      <c r="N1670" s="29"/>
      <c r="O1670" s="44">
        <f t="shared" si="212"/>
        <v>0.26506506506506505</v>
      </c>
    </row>
    <row r="1671" spans="1:15" ht="20.100000000000001" customHeight="1" x14ac:dyDescent="0.25">
      <c r="A1671" s="89">
        <v>1080</v>
      </c>
      <c r="B1671" s="4">
        <v>43776</v>
      </c>
      <c r="C1671" s="26" t="s">
        <v>209</v>
      </c>
      <c r="D1671" s="3">
        <v>972</v>
      </c>
      <c r="E1671" s="4">
        <v>43804</v>
      </c>
      <c r="F1671" s="92" t="s">
        <v>28</v>
      </c>
      <c r="G1671" s="32">
        <v>43776</v>
      </c>
      <c r="H1671" s="27">
        <f t="shared" si="210"/>
        <v>972</v>
      </c>
      <c r="I1671" s="27"/>
      <c r="J1671" s="27"/>
      <c r="K1671" s="99"/>
      <c r="L1671" s="27">
        <v>758</v>
      </c>
      <c r="M1671" s="29">
        <f t="shared" si="211"/>
        <v>214</v>
      </c>
      <c r="N1671" s="29"/>
      <c r="O1671" s="44">
        <f t="shared" si="212"/>
        <v>0.22016460905349794</v>
      </c>
    </row>
    <row r="1672" spans="1:15" ht="20.100000000000001" customHeight="1" x14ac:dyDescent="0.25">
      <c r="A1672" s="89">
        <v>1076</v>
      </c>
      <c r="B1672" s="4">
        <v>43776</v>
      </c>
      <c r="C1672" s="26" t="s">
        <v>209</v>
      </c>
      <c r="D1672" s="3">
        <v>2012.8</v>
      </c>
      <c r="E1672" s="4">
        <v>43804</v>
      </c>
      <c r="F1672" s="92" t="s">
        <v>28</v>
      </c>
      <c r="G1672" s="32">
        <v>43812</v>
      </c>
      <c r="H1672" s="27">
        <f t="shared" si="210"/>
        <v>2012.8</v>
      </c>
      <c r="I1672" s="27"/>
      <c r="J1672" s="27"/>
      <c r="K1672" s="99"/>
      <c r="L1672" s="27">
        <v>1847</v>
      </c>
      <c r="M1672" s="29">
        <f t="shared" si="211"/>
        <v>165.79999999999995</v>
      </c>
      <c r="N1672" s="29"/>
      <c r="O1672" s="44">
        <f t="shared" si="212"/>
        <v>8.2372813990461022E-2</v>
      </c>
    </row>
    <row r="1673" spans="1:15" ht="20.100000000000001" customHeight="1" x14ac:dyDescent="0.25">
      <c r="A1673" s="89">
        <v>1159</v>
      </c>
      <c r="B1673" s="4">
        <v>43801</v>
      </c>
      <c r="C1673" s="26" t="s">
        <v>427</v>
      </c>
      <c r="D1673" s="3">
        <v>6583</v>
      </c>
      <c r="E1673" s="4">
        <v>43805</v>
      </c>
      <c r="F1673" s="92" t="s">
        <v>28</v>
      </c>
      <c r="G1673" s="32">
        <v>43845</v>
      </c>
      <c r="H1673" s="27">
        <f t="shared" si="210"/>
        <v>6583</v>
      </c>
      <c r="I1673" s="27"/>
      <c r="J1673" s="27"/>
      <c r="K1673" s="99"/>
      <c r="L1673" s="27">
        <v>4729</v>
      </c>
      <c r="M1673" s="29">
        <f t="shared" si="211"/>
        <v>1854</v>
      </c>
      <c r="N1673" s="29"/>
      <c r="O1673" s="44">
        <f t="shared" si="212"/>
        <v>0.28163451313990584</v>
      </c>
    </row>
    <row r="1674" spans="1:15" ht="20.100000000000001" customHeight="1" x14ac:dyDescent="0.25">
      <c r="A1674" s="89">
        <v>1171</v>
      </c>
      <c r="B1674" s="4">
        <v>43804</v>
      </c>
      <c r="C1674" s="26" t="s">
        <v>403</v>
      </c>
      <c r="D1674" s="3">
        <v>5431</v>
      </c>
      <c r="E1674" s="4">
        <v>43808</v>
      </c>
      <c r="F1674" s="92" t="s">
        <v>28</v>
      </c>
      <c r="G1674" s="32">
        <v>43812</v>
      </c>
      <c r="H1674" s="27">
        <f t="shared" si="210"/>
        <v>5431</v>
      </c>
      <c r="I1674" s="27"/>
      <c r="J1674" s="27"/>
      <c r="K1674" s="99"/>
      <c r="L1674" s="27">
        <v>4181</v>
      </c>
      <c r="M1674" s="29">
        <f t="shared" si="211"/>
        <v>1250</v>
      </c>
      <c r="N1674" s="29"/>
      <c r="O1674" s="44">
        <f t="shared" si="212"/>
        <v>0.23016019149327932</v>
      </c>
    </row>
    <row r="1675" spans="1:15" ht="20.100000000000001" customHeight="1" x14ac:dyDescent="0.25">
      <c r="A1675" s="89">
        <v>1154</v>
      </c>
      <c r="B1675" s="4">
        <v>43796</v>
      </c>
      <c r="C1675" s="26" t="s">
        <v>424</v>
      </c>
      <c r="D1675" s="3">
        <v>1220</v>
      </c>
      <c r="E1675" s="4">
        <v>43810</v>
      </c>
      <c r="F1675" s="92" t="s">
        <v>28</v>
      </c>
      <c r="G1675" s="32">
        <v>43852</v>
      </c>
      <c r="H1675" s="27">
        <f t="shared" si="210"/>
        <v>1220</v>
      </c>
      <c r="I1675" s="27"/>
      <c r="J1675" s="27"/>
      <c r="K1675" s="99"/>
      <c r="L1675" s="27">
        <v>1140</v>
      </c>
      <c r="M1675" s="29">
        <f t="shared" si="211"/>
        <v>80</v>
      </c>
      <c r="N1675" s="29"/>
      <c r="O1675" s="44">
        <f t="shared" si="212"/>
        <v>6.5573770491803282E-2</v>
      </c>
    </row>
    <row r="1676" spans="1:15" ht="20.100000000000001" customHeight="1" x14ac:dyDescent="0.25">
      <c r="A1676" s="89">
        <v>1188</v>
      </c>
      <c r="B1676" s="4">
        <v>43809</v>
      </c>
      <c r="C1676" s="26" t="s">
        <v>410</v>
      </c>
      <c r="D1676" s="3">
        <v>1118370</v>
      </c>
      <c r="E1676" s="4">
        <v>43810</v>
      </c>
      <c r="F1676" s="92" t="s">
        <v>28</v>
      </c>
      <c r="G1676" s="32">
        <v>43817</v>
      </c>
      <c r="H1676" s="27">
        <f t="shared" si="210"/>
        <v>1118370</v>
      </c>
      <c r="I1676" s="27"/>
      <c r="J1676" s="27">
        <v>15000</v>
      </c>
      <c r="K1676" s="99"/>
      <c r="L1676" s="27">
        <v>976783.4</v>
      </c>
      <c r="M1676" s="29">
        <f t="shared" si="211"/>
        <v>126586.59999999998</v>
      </c>
      <c r="N1676" s="29"/>
      <c r="O1676" s="44">
        <f t="shared" si="212"/>
        <v>0.11318847966236574</v>
      </c>
    </row>
    <row r="1677" spans="1:15" ht="20.100000000000001" customHeight="1" x14ac:dyDescent="0.25">
      <c r="A1677" s="89">
        <v>1017</v>
      </c>
      <c r="B1677" s="4">
        <v>43787</v>
      </c>
      <c r="C1677" s="5" t="s">
        <v>425</v>
      </c>
      <c r="D1677" s="3">
        <v>235000</v>
      </c>
      <c r="E1677" s="4">
        <v>43811</v>
      </c>
      <c r="F1677" s="92" t="s">
        <v>28</v>
      </c>
      <c r="G1677" s="32">
        <v>43826</v>
      </c>
      <c r="H1677" s="27">
        <v>117500</v>
      </c>
      <c r="I1677" s="27">
        <f>H1677</f>
        <v>117500</v>
      </c>
      <c r="J1677" s="27"/>
      <c r="K1677" s="99"/>
      <c r="L1677" s="27">
        <v>90768</v>
      </c>
      <c r="M1677" s="29">
        <f t="shared" si="211"/>
        <v>26732</v>
      </c>
      <c r="N1677" s="29">
        <f>M1677</f>
        <v>26732</v>
      </c>
      <c r="O1677" s="44">
        <f t="shared" si="212"/>
        <v>0.22750638297872341</v>
      </c>
    </row>
    <row r="1678" spans="1:15" ht="20.100000000000001" customHeight="1" x14ac:dyDescent="0.25">
      <c r="A1678" s="89">
        <v>1033</v>
      </c>
      <c r="B1678" s="4">
        <v>43762</v>
      </c>
      <c r="C1678" s="26" t="s">
        <v>65</v>
      </c>
      <c r="D1678" s="3">
        <v>261134.4</v>
      </c>
      <c r="E1678" s="4">
        <v>43811</v>
      </c>
      <c r="F1678" s="92" t="s">
        <v>28</v>
      </c>
      <c r="G1678" s="32">
        <v>43791</v>
      </c>
      <c r="H1678" s="27">
        <f t="shared" ref="H1678:H1687" si="213">D1678</f>
        <v>261134.4</v>
      </c>
      <c r="I1678" s="27"/>
      <c r="J1678" s="27"/>
      <c r="K1678" s="99">
        <f>16*1200</f>
        <v>19200</v>
      </c>
      <c r="L1678" s="27">
        <v>182654</v>
      </c>
      <c r="M1678" s="29">
        <f t="shared" si="211"/>
        <v>59280.399999999994</v>
      </c>
      <c r="N1678" s="29"/>
      <c r="O1678" s="44">
        <f t="shared" si="212"/>
        <v>0.22701107169335022</v>
      </c>
    </row>
    <row r="1679" spans="1:15" ht="20.100000000000001" customHeight="1" x14ac:dyDescent="0.25">
      <c r="A1679" s="89">
        <v>1200</v>
      </c>
      <c r="B1679" s="4">
        <v>43812</v>
      </c>
      <c r="C1679" s="26" t="s">
        <v>171</v>
      </c>
      <c r="D1679" s="3">
        <v>34990</v>
      </c>
      <c r="E1679" s="4">
        <v>43812</v>
      </c>
      <c r="F1679" s="92" t="s">
        <v>28</v>
      </c>
      <c r="G1679" s="32">
        <v>43815</v>
      </c>
      <c r="H1679" s="27">
        <f t="shared" si="213"/>
        <v>34990</v>
      </c>
      <c r="I1679" s="27"/>
      <c r="J1679" s="27"/>
      <c r="K1679" s="99"/>
      <c r="L1679" s="27">
        <v>25717</v>
      </c>
      <c r="M1679" s="29">
        <f t="shared" si="211"/>
        <v>9273</v>
      </c>
      <c r="N1679" s="29"/>
      <c r="O1679" s="44">
        <f t="shared" si="212"/>
        <v>0.26501857673621032</v>
      </c>
    </row>
    <row r="1680" spans="1:15" ht="20.100000000000001" customHeight="1" x14ac:dyDescent="0.25">
      <c r="A1680" s="89">
        <v>1066</v>
      </c>
      <c r="B1680" s="4">
        <v>43775</v>
      </c>
      <c r="C1680" s="26" t="s">
        <v>99</v>
      </c>
      <c r="D1680" s="3">
        <v>177516</v>
      </c>
      <c r="E1680" s="4">
        <v>43812</v>
      </c>
      <c r="F1680" s="92" t="s">
        <v>28</v>
      </c>
      <c r="G1680" s="32">
        <v>43791</v>
      </c>
      <c r="H1680" s="27">
        <f t="shared" si="213"/>
        <v>177516</v>
      </c>
      <c r="I1680" s="27"/>
      <c r="J1680" s="27">
        <v>30000</v>
      </c>
      <c r="K1680" s="99">
        <f>600*10</f>
        <v>6000</v>
      </c>
      <c r="L1680" s="27">
        <v>60491</v>
      </c>
      <c r="M1680" s="29">
        <f t="shared" si="211"/>
        <v>81025</v>
      </c>
      <c r="N1680" s="29"/>
      <c r="O1680" s="44">
        <f t="shared" si="212"/>
        <v>0.45643772955677236</v>
      </c>
    </row>
    <row r="1681" spans="1:15" ht="20.100000000000001" customHeight="1" x14ac:dyDescent="0.25">
      <c r="A1681" s="89">
        <v>1152</v>
      </c>
      <c r="B1681" s="4">
        <v>43796</v>
      </c>
      <c r="C1681" s="26" t="s">
        <v>424</v>
      </c>
      <c r="D1681" s="3">
        <v>4320</v>
      </c>
      <c r="E1681" s="4">
        <v>43816</v>
      </c>
      <c r="F1681" s="92" t="s">
        <v>28</v>
      </c>
      <c r="G1681" s="32">
        <v>43852</v>
      </c>
      <c r="H1681" s="27">
        <f t="shared" si="213"/>
        <v>4320</v>
      </c>
      <c r="I1681" s="27"/>
      <c r="J1681" s="27"/>
      <c r="K1681" s="99"/>
      <c r="L1681" s="27">
        <v>3888</v>
      </c>
      <c r="M1681" s="29">
        <f t="shared" si="211"/>
        <v>432</v>
      </c>
      <c r="N1681" s="29"/>
      <c r="O1681" s="44">
        <f t="shared" si="212"/>
        <v>0.1</v>
      </c>
    </row>
    <row r="1682" spans="1:15" ht="20.100000000000001" customHeight="1" x14ac:dyDescent="0.25">
      <c r="A1682" s="89">
        <v>1204</v>
      </c>
      <c r="B1682" s="4">
        <v>43812</v>
      </c>
      <c r="C1682" s="26" t="s">
        <v>211</v>
      </c>
      <c r="D1682" s="3">
        <v>4516</v>
      </c>
      <c r="E1682" s="4">
        <v>43816</v>
      </c>
      <c r="F1682" s="92" t="s">
        <v>28</v>
      </c>
      <c r="G1682" s="32">
        <v>43823</v>
      </c>
      <c r="H1682" s="27">
        <f t="shared" si="213"/>
        <v>4516</v>
      </c>
      <c r="I1682" s="27"/>
      <c r="J1682" s="27"/>
      <c r="K1682" s="99"/>
      <c r="L1682" s="27">
        <v>3520</v>
      </c>
      <c r="M1682" s="29">
        <f t="shared" si="211"/>
        <v>996</v>
      </c>
      <c r="N1682" s="29"/>
      <c r="O1682" s="44">
        <f t="shared" si="212"/>
        <v>0.22054915854738708</v>
      </c>
    </row>
    <row r="1683" spans="1:15" ht="20.100000000000001" customHeight="1" x14ac:dyDescent="0.25">
      <c r="A1683" s="89">
        <v>1194</v>
      </c>
      <c r="B1683" s="4">
        <v>43811</v>
      </c>
      <c r="C1683" s="26" t="s">
        <v>77</v>
      </c>
      <c r="D1683" s="3">
        <v>588</v>
      </c>
      <c r="E1683" s="4">
        <v>43816</v>
      </c>
      <c r="F1683" s="92" t="s">
        <v>28</v>
      </c>
      <c r="G1683" s="32">
        <v>43817</v>
      </c>
      <c r="H1683" s="27">
        <f t="shared" si="213"/>
        <v>588</v>
      </c>
      <c r="I1683" s="27"/>
      <c r="J1683" s="27"/>
      <c r="K1683" s="99"/>
      <c r="L1683" s="27">
        <v>420</v>
      </c>
      <c r="M1683" s="29">
        <f t="shared" si="211"/>
        <v>168</v>
      </c>
      <c r="N1683" s="29"/>
      <c r="O1683" s="44">
        <f t="shared" si="212"/>
        <v>0.2857142857142857</v>
      </c>
    </row>
    <row r="1684" spans="1:15" ht="20.100000000000001" customHeight="1" x14ac:dyDescent="0.25">
      <c r="A1684" s="89">
        <v>1203</v>
      </c>
      <c r="B1684" s="4">
        <v>43817</v>
      </c>
      <c r="C1684" s="26" t="s">
        <v>231</v>
      </c>
      <c r="D1684" s="3">
        <v>670</v>
      </c>
      <c r="E1684" s="4">
        <v>43817</v>
      </c>
      <c r="F1684" s="92" t="s">
        <v>28</v>
      </c>
      <c r="G1684" s="32">
        <v>43818</v>
      </c>
      <c r="H1684" s="27">
        <f t="shared" si="213"/>
        <v>670</v>
      </c>
      <c r="I1684" s="27"/>
      <c r="J1684" s="27"/>
      <c r="K1684" s="99"/>
      <c r="L1684" s="27">
        <v>409</v>
      </c>
      <c r="M1684" s="29">
        <f t="shared" si="211"/>
        <v>261</v>
      </c>
      <c r="N1684" s="29"/>
      <c r="O1684" s="44">
        <f t="shared" si="212"/>
        <v>0.38955223880597017</v>
      </c>
    </row>
    <row r="1685" spans="1:15" ht="20.100000000000001" customHeight="1" x14ac:dyDescent="0.25">
      <c r="A1685" s="89">
        <v>1155</v>
      </c>
      <c r="B1685" s="4">
        <v>43797</v>
      </c>
      <c r="C1685" s="26" t="s">
        <v>270</v>
      </c>
      <c r="D1685" s="3">
        <v>5182</v>
      </c>
      <c r="E1685" s="4">
        <v>43817</v>
      </c>
      <c r="F1685" s="92" t="s">
        <v>28</v>
      </c>
      <c r="G1685" s="32">
        <v>43812</v>
      </c>
      <c r="H1685" s="27">
        <f t="shared" si="213"/>
        <v>5182</v>
      </c>
      <c r="I1685" s="27"/>
      <c r="J1685" s="27"/>
      <c r="K1685" s="99"/>
      <c r="L1685" s="27">
        <v>4040</v>
      </c>
      <c r="M1685" s="29">
        <f t="shared" si="211"/>
        <v>1142</v>
      </c>
      <c r="N1685" s="29"/>
      <c r="O1685" s="44">
        <f t="shared" si="212"/>
        <v>0.22037823234272483</v>
      </c>
    </row>
    <row r="1686" spans="1:15" ht="20.100000000000001" customHeight="1" x14ac:dyDescent="0.25">
      <c r="A1686" s="89">
        <v>1184</v>
      </c>
      <c r="B1686" s="4">
        <v>43808</v>
      </c>
      <c r="C1686" s="26" t="s">
        <v>11</v>
      </c>
      <c r="D1686" s="3">
        <v>118043</v>
      </c>
      <c r="E1686" s="4">
        <v>43818</v>
      </c>
      <c r="F1686" s="92" t="s">
        <v>28</v>
      </c>
      <c r="G1686" s="32">
        <v>43822</v>
      </c>
      <c r="H1686" s="27">
        <f t="shared" si="213"/>
        <v>118043</v>
      </c>
      <c r="I1686" s="27"/>
      <c r="J1686" s="27"/>
      <c r="K1686" s="99"/>
      <c r="L1686" s="27">
        <v>87130</v>
      </c>
      <c r="M1686" s="29">
        <f t="shared" si="211"/>
        <v>30913</v>
      </c>
      <c r="N1686" s="29"/>
      <c r="O1686" s="44">
        <f t="shared" si="212"/>
        <v>0.26187914573502874</v>
      </c>
    </row>
    <row r="1687" spans="1:15" ht="20.100000000000001" customHeight="1" x14ac:dyDescent="0.25">
      <c r="A1687" s="89">
        <v>1189</v>
      </c>
      <c r="B1687" s="4">
        <v>43810</v>
      </c>
      <c r="C1687" s="26" t="s">
        <v>86</v>
      </c>
      <c r="D1687" s="3">
        <v>62215.5</v>
      </c>
      <c r="E1687" s="4">
        <v>43818</v>
      </c>
      <c r="F1687" s="92" t="s">
        <v>28</v>
      </c>
      <c r="G1687" s="32">
        <v>43819</v>
      </c>
      <c r="H1687" s="27">
        <f t="shared" si="213"/>
        <v>62215.5</v>
      </c>
      <c r="I1687" s="27"/>
      <c r="J1687" s="27"/>
      <c r="K1687" s="99"/>
      <c r="L1687" s="27">
        <v>48095</v>
      </c>
      <c r="M1687" s="29">
        <f t="shared" si="211"/>
        <v>14120.5</v>
      </c>
      <c r="N1687" s="29"/>
      <c r="O1687" s="44">
        <f t="shared" si="212"/>
        <v>0.22696112705033311</v>
      </c>
    </row>
    <row r="1688" spans="1:15" ht="20.100000000000001" customHeight="1" x14ac:dyDescent="0.25">
      <c r="A1688" s="89">
        <v>1224</v>
      </c>
      <c r="B1688" s="4">
        <v>43819</v>
      </c>
      <c r="C1688" s="26" t="s">
        <v>303</v>
      </c>
      <c r="D1688" s="3">
        <v>3591.25</v>
      </c>
      <c r="E1688" s="4">
        <v>43819</v>
      </c>
      <c r="F1688" s="92" t="s">
        <v>28</v>
      </c>
      <c r="G1688" s="32">
        <v>43819</v>
      </c>
      <c r="H1688" s="27">
        <v>2012.8</v>
      </c>
      <c r="I1688" s="27"/>
      <c r="J1688" s="27"/>
      <c r="K1688" s="99"/>
      <c r="L1688" s="27">
        <v>1847</v>
      </c>
      <c r="M1688" s="29">
        <f t="shared" si="211"/>
        <v>165.79999999999995</v>
      </c>
      <c r="N1688" s="29"/>
      <c r="O1688" s="44">
        <f t="shared" si="212"/>
        <v>8.2372813990461022E-2</v>
      </c>
    </row>
    <row r="1689" spans="1:15" ht="20.100000000000001" customHeight="1" x14ac:dyDescent="0.25">
      <c r="A1689" s="89">
        <v>1226</v>
      </c>
      <c r="B1689" s="4">
        <v>43822</v>
      </c>
      <c r="C1689" s="5" t="s">
        <v>428</v>
      </c>
      <c r="D1689" s="3">
        <v>5551</v>
      </c>
      <c r="E1689" s="4">
        <v>43822</v>
      </c>
      <c r="F1689" s="92" t="s">
        <v>28</v>
      </c>
      <c r="G1689" s="32">
        <v>43823</v>
      </c>
      <c r="H1689" s="27">
        <f t="shared" ref="H1689:H1699" si="214">D1689</f>
        <v>5551</v>
      </c>
      <c r="I1689" s="27">
        <f>H1689</f>
        <v>5551</v>
      </c>
      <c r="J1689" s="27"/>
      <c r="K1689" s="99"/>
      <c r="L1689" s="27">
        <v>4253</v>
      </c>
      <c r="M1689" s="29">
        <f t="shared" si="211"/>
        <v>1298</v>
      </c>
      <c r="N1689" s="29">
        <f>M1689</f>
        <v>1298</v>
      </c>
      <c r="O1689" s="44">
        <f t="shared" si="212"/>
        <v>0.23383174202846335</v>
      </c>
    </row>
    <row r="1690" spans="1:15" ht="20.100000000000001" customHeight="1" x14ac:dyDescent="0.25">
      <c r="A1690" s="89">
        <v>1143</v>
      </c>
      <c r="B1690" s="4">
        <v>43794</v>
      </c>
      <c r="C1690" s="26" t="s">
        <v>56</v>
      </c>
      <c r="D1690" s="3">
        <v>30752</v>
      </c>
      <c r="E1690" s="4">
        <v>43823</v>
      </c>
      <c r="F1690" s="92" t="s">
        <v>28</v>
      </c>
      <c r="G1690" s="32">
        <v>43808</v>
      </c>
      <c r="H1690" s="27">
        <f t="shared" si="214"/>
        <v>30752</v>
      </c>
      <c r="I1690" s="27"/>
      <c r="J1690" s="27"/>
      <c r="K1690" s="99"/>
      <c r="L1690" s="27">
        <v>22634</v>
      </c>
      <c r="M1690" s="29">
        <f t="shared" si="211"/>
        <v>8118</v>
      </c>
      <c r="N1690" s="29"/>
      <c r="O1690" s="44">
        <f t="shared" si="212"/>
        <v>0.26398283038501563</v>
      </c>
    </row>
    <row r="1691" spans="1:15" ht="20.100000000000001" customHeight="1" x14ac:dyDescent="0.25">
      <c r="A1691" s="89">
        <v>1223</v>
      </c>
      <c r="B1691" s="4">
        <v>43819</v>
      </c>
      <c r="C1691" s="26" t="s">
        <v>423</v>
      </c>
      <c r="D1691" s="3">
        <v>16900.5</v>
      </c>
      <c r="E1691" s="4">
        <v>43823</v>
      </c>
      <c r="F1691" s="92" t="s">
        <v>28</v>
      </c>
      <c r="G1691" s="32">
        <v>43858</v>
      </c>
      <c r="H1691" s="27">
        <f t="shared" si="214"/>
        <v>16900.5</v>
      </c>
      <c r="I1691" s="27"/>
      <c r="J1691" s="27"/>
      <c r="K1691" s="99"/>
      <c r="L1691" s="27">
        <v>15371</v>
      </c>
      <c r="M1691" s="29">
        <f t="shared" si="211"/>
        <v>1529.5</v>
      </c>
      <c r="N1691" s="29"/>
      <c r="O1691" s="44">
        <f t="shared" si="212"/>
        <v>9.0500281056773463E-2</v>
      </c>
    </row>
    <row r="1692" spans="1:15" ht="20.100000000000001" customHeight="1" x14ac:dyDescent="0.25">
      <c r="A1692" s="89">
        <v>1190</v>
      </c>
      <c r="B1692" s="4">
        <v>43810</v>
      </c>
      <c r="C1692" s="26" t="s">
        <v>11</v>
      </c>
      <c r="D1692" s="3">
        <v>8358</v>
      </c>
      <c r="E1692" s="4">
        <v>43824</v>
      </c>
      <c r="F1692" s="92" t="s">
        <v>28</v>
      </c>
      <c r="G1692" s="32">
        <v>43824</v>
      </c>
      <c r="H1692" s="27">
        <f t="shared" si="214"/>
        <v>8358</v>
      </c>
      <c r="I1692" s="27"/>
      <c r="J1692" s="27"/>
      <c r="K1692" s="99"/>
      <c r="L1692" s="27">
        <v>5463</v>
      </c>
      <c r="M1692" s="29">
        <f t="shared" si="211"/>
        <v>2895</v>
      </c>
      <c r="N1692" s="29"/>
      <c r="O1692" s="44">
        <f t="shared" si="212"/>
        <v>0.34637473079684133</v>
      </c>
    </row>
    <row r="1693" spans="1:15" ht="20.100000000000001" customHeight="1" x14ac:dyDescent="0.25">
      <c r="A1693" s="89">
        <v>1114</v>
      </c>
      <c r="B1693" s="4">
        <v>43787</v>
      </c>
      <c r="C1693" s="26" t="s">
        <v>13</v>
      </c>
      <c r="D1693" s="3">
        <v>39690</v>
      </c>
      <c r="E1693" s="4">
        <v>43824</v>
      </c>
      <c r="F1693" s="92" t="s">
        <v>28</v>
      </c>
      <c r="G1693" s="32">
        <v>43852</v>
      </c>
      <c r="H1693" s="27">
        <f t="shared" si="214"/>
        <v>39690</v>
      </c>
      <c r="I1693" s="27"/>
      <c r="J1693" s="27"/>
      <c r="K1693" s="99"/>
      <c r="L1693" s="27">
        <v>29148</v>
      </c>
      <c r="M1693" s="29">
        <f t="shared" si="211"/>
        <v>10542</v>
      </c>
      <c r="N1693" s="29"/>
      <c r="O1693" s="44">
        <f t="shared" si="212"/>
        <v>0.26560846560846563</v>
      </c>
    </row>
    <row r="1694" spans="1:15" ht="20.100000000000001" customHeight="1" x14ac:dyDescent="0.25">
      <c r="A1694" s="89">
        <v>1231</v>
      </c>
      <c r="B1694" s="4">
        <v>43823</v>
      </c>
      <c r="C1694" s="5" t="s">
        <v>429</v>
      </c>
      <c r="D1694" s="3">
        <v>71276</v>
      </c>
      <c r="E1694" s="4">
        <v>43824</v>
      </c>
      <c r="F1694" s="92" t="s">
        <v>28</v>
      </c>
      <c r="G1694" s="32">
        <v>43825</v>
      </c>
      <c r="H1694" s="27">
        <f t="shared" si="214"/>
        <v>71276</v>
      </c>
      <c r="I1694" s="27">
        <f>H1694</f>
        <v>71276</v>
      </c>
      <c r="J1694" s="27"/>
      <c r="K1694" s="99"/>
      <c r="L1694" s="27">
        <v>53428</v>
      </c>
      <c r="M1694" s="29">
        <f t="shared" si="211"/>
        <v>17848</v>
      </c>
      <c r="N1694" s="29">
        <f>M1694</f>
        <v>17848</v>
      </c>
      <c r="O1694" s="44">
        <f t="shared" si="212"/>
        <v>0.2504068690723385</v>
      </c>
    </row>
    <row r="1695" spans="1:15" ht="20.100000000000001" customHeight="1" x14ac:dyDescent="0.25">
      <c r="A1695" s="89">
        <v>1215</v>
      </c>
      <c r="B1695" s="4">
        <v>43817</v>
      </c>
      <c r="C1695" s="26" t="s">
        <v>353</v>
      </c>
      <c r="D1695" s="3">
        <v>1378</v>
      </c>
      <c r="E1695" s="4">
        <v>43824</v>
      </c>
      <c r="F1695" s="92" t="s">
        <v>28</v>
      </c>
      <c r="G1695" s="32">
        <v>43850</v>
      </c>
      <c r="H1695" s="27">
        <f t="shared" si="214"/>
        <v>1378</v>
      </c>
      <c r="I1695" s="27"/>
      <c r="J1695" s="27"/>
      <c r="K1695" s="99"/>
      <c r="L1695" s="27">
        <v>799</v>
      </c>
      <c r="M1695" s="29">
        <f t="shared" si="211"/>
        <v>579</v>
      </c>
      <c r="N1695" s="29"/>
      <c r="O1695" s="44">
        <f t="shared" si="212"/>
        <v>0.42017416545718433</v>
      </c>
    </row>
    <row r="1696" spans="1:15" ht="20.100000000000001" customHeight="1" x14ac:dyDescent="0.25">
      <c r="A1696" s="89">
        <v>1202</v>
      </c>
      <c r="B1696" s="4">
        <v>43812</v>
      </c>
      <c r="C1696" s="26" t="s">
        <v>248</v>
      </c>
      <c r="D1696" s="3">
        <v>9769</v>
      </c>
      <c r="E1696" s="4">
        <v>43825</v>
      </c>
      <c r="F1696" s="92" t="s">
        <v>28</v>
      </c>
      <c r="G1696" s="32">
        <v>43812</v>
      </c>
      <c r="H1696" s="27">
        <f t="shared" si="214"/>
        <v>9769</v>
      </c>
      <c r="I1696" s="27"/>
      <c r="J1696" s="27"/>
      <c r="K1696" s="99"/>
      <c r="L1696" s="27">
        <v>8110</v>
      </c>
      <c r="M1696" s="29">
        <f t="shared" si="211"/>
        <v>1659</v>
      </c>
      <c r="N1696" s="29"/>
      <c r="O1696" s="44">
        <f t="shared" si="212"/>
        <v>0.16982290920257959</v>
      </c>
    </row>
    <row r="1697" spans="1:15" ht="20.100000000000001" customHeight="1" x14ac:dyDescent="0.25">
      <c r="A1697" s="89">
        <v>1234</v>
      </c>
      <c r="B1697" s="4">
        <v>43824</v>
      </c>
      <c r="C1697" s="26" t="s">
        <v>231</v>
      </c>
      <c r="D1697" s="3">
        <v>670</v>
      </c>
      <c r="E1697" s="4">
        <v>43829</v>
      </c>
      <c r="F1697" s="92" t="s">
        <v>28</v>
      </c>
      <c r="G1697" s="32">
        <v>43851</v>
      </c>
      <c r="H1697" s="27">
        <f t="shared" si="214"/>
        <v>670</v>
      </c>
      <c r="I1697" s="27"/>
      <c r="J1697" s="27"/>
      <c r="K1697" s="99"/>
      <c r="L1697" s="27">
        <v>409</v>
      </c>
      <c r="M1697" s="29">
        <f t="shared" si="211"/>
        <v>261</v>
      </c>
      <c r="N1697" s="29"/>
      <c r="O1697" s="44">
        <f t="shared" si="212"/>
        <v>0.38955223880597017</v>
      </c>
    </row>
    <row r="1698" spans="1:15" ht="20.100000000000001" customHeight="1" x14ac:dyDescent="0.25">
      <c r="A1698" s="89">
        <v>1242</v>
      </c>
      <c r="B1698" s="4">
        <v>43826</v>
      </c>
      <c r="C1698" s="26" t="s">
        <v>430</v>
      </c>
      <c r="D1698" s="3">
        <v>1079</v>
      </c>
      <c r="E1698" s="4">
        <v>43829</v>
      </c>
      <c r="F1698" s="92" t="s">
        <v>28</v>
      </c>
      <c r="G1698" s="32">
        <v>43903</v>
      </c>
      <c r="H1698" s="27">
        <f t="shared" si="214"/>
        <v>1079</v>
      </c>
      <c r="I1698" s="27"/>
      <c r="J1698" s="27"/>
      <c r="K1698" s="99"/>
      <c r="L1698" s="27">
        <v>711</v>
      </c>
      <c r="M1698" s="29">
        <f t="shared" si="211"/>
        <v>368</v>
      </c>
      <c r="N1698" s="29"/>
      <c r="O1698" s="44">
        <f t="shared" si="212"/>
        <v>0.34105653382761819</v>
      </c>
    </row>
    <row r="1699" spans="1:15" ht="20.100000000000001" customHeight="1" x14ac:dyDescent="0.25">
      <c r="A1699" s="89">
        <v>1240</v>
      </c>
      <c r="B1699" s="4">
        <v>43812</v>
      </c>
      <c r="C1699" s="26" t="s">
        <v>169</v>
      </c>
      <c r="D1699" s="3">
        <v>5772</v>
      </c>
      <c r="E1699" s="4">
        <v>43829</v>
      </c>
      <c r="F1699" s="92" t="s">
        <v>28</v>
      </c>
      <c r="G1699" s="32">
        <v>43826</v>
      </c>
      <c r="H1699" s="27">
        <f t="shared" si="214"/>
        <v>5772</v>
      </c>
      <c r="I1699" s="27"/>
      <c r="J1699" s="27"/>
      <c r="K1699" s="99"/>
      <c r="L1699" s="27">
        <v>4195</v>
      </c>
      <c r="M1699" s="29">
        <f t="shared" si="211"/>
        <v>1577</v>
      </c>
      <c r="N1699" s="29"/>
      <c r="O1699" s="44">
        <f t="shared" si="212"/>
        <v>0.27321552321552323</v>
      </c>
    </row>
    <row r="1700" spans="1:15" ht="19.5" customHeight="1" x14ac:dyDescent="0.25">
      <c r="A1700" s="89"/>
      <c r="B1700" s="4"/>
      <c r="C1700" s="5"/>
      <c r="D1700" s="3"/>
      <c r="E1700" s="97">
        <v>45400</v>
      </c>
      <c r="F1700" s="98">
        <f>M1700*0.17+N1700*0.06</f>
        <v>71749.321999999986</v>
      </c>
      <c r="G1700" s="21">
        <f>H1700*0.05+I1700*0.02</f>
        <v>110519.49</v>
      </c>
      <c r="H1700" s="16">
        <f t="shared" ref="H1700:N1700" si="215">SUM(H1668:H1699)</f>
        <v>2132659</v>
      </c>
      <c r="I1700" s="16">
        <f t="shared" si="215"/>
        <v>194327</v>
      </c>
      <c r="J1700" s="16">
        <f t="shared" si="215"/>
        <v>45000</v>
      </c>
      <c r="K1700" s="16">
        <f t="shared" si="215"/>
        <v>25200</v>
      </c>
      <c r="L1700" s="16">
        <f t="shared" si="215"/>
        <v>1656596.4</v>
      </c>
      <c r="M1700" s="16">
        <f t="shared" si="215"/>
        <v>405862.59999999992</v>
      </c>
      <c r="N1700" s="16">
        <f t="shared" si="215"/>
        <v>45878</v>
      </c>
      <c r="O1700" s="44">
        <f t="shared" si="212"/>
        <v>0.19030824899808169</v>
      </c>
    </row>
    <row r="1701" spans="1:15" ht="23.25" x14ac:dyDescent="0.35">
      <c r="B1701" s="94"/>
      <c r="C1701" s="105">
        <v>43831</v>
      </c>
    </row>
    <row r="1702" spans="1:15" ht="20.100000000000001" customHeight="1" x14ac:dyDescent="0.25">
      <c r="A1702" s="89">
        <v>1134</v>
      </c>
      <c r="B1702" s="4">
        <v>43789</v>
      </c>
      <c r="C1702" s="26" t="s">
        <v>99</v>
      </c>
      <c r="D1702" s="3">
        <v>165266</v>
      </c>
      <c r="E1702" s="4">
        <v>43844</v>
      </c>
      <c r="F1702" s="92" t="s">
        <v>28</v>
      </c>
      <c r="G1702" s="32">
        <v>43808</v>
      </c>
      <c r="H1702" s="27">
        <f>D1702</f>
        <v>165266</v>
      </c>
      <c r="I1702" s="27"/>
      <c r="J1702" s="27">
        <v>30000</v>
      </c>
      <c r="K1702" s="99">
        <f>600*10</f>
        <v>6000</v>
      </c>
      <c r="L1702" s="27">
        <v>50855</v>
      </c>
      <c r="M1702" s="29">
        <f t="shared" ref="M1702:M1720" si="216">H1702-L1702-J1702-K1702</f>
        <v>78411</v>
      </c>
      <c r="N1702" s="29"/>
      <c r="O1702" s="44">
        <f t="shared" ref="O1702:O1721" si="217">M1702/H1702</f>
        <v>0.47445330558009513</v>
      </c>
    </row>
    <row r="1703" spans="1:15" ht="20.100000000000001" customHeight="1" x14ac:dyDescent="0.25">
      <c r="A1703" s="89">
        <v>1017</v>
      </c>
      <c r="B1703" s="4">
        <v>43787</v>
      </c>
      <c r="C1703" s="26" t="s">
        <v>425</v>
      </c>
      <c r="D1703" s="3">
        <v>235000</v>
      </c>
      <c r="E1703" s="4">
        <v>43845</v>
      </c>
      <c r="F1703" s="92" t="s">
        <v>28</v>
      </c>
      <c r="G1703" s="32">
        <v>43826</v>
      </c>
      <c r="H1703" s="27">
        <v>117500</v>
      </c>
      <c r="I1703" s="27"/>
      <c r="J1703" s="27"/>
      <c r="K1703" s="99"/>
      <c r="L1703" s="27">
        <v>90768</v>
      </c>
      <c r="M1703" s="29">
        <f t="shared" si="216"/>
        <v>26732</v>
      </c>
      <c r="N1703" s="29"/>
      <c r="O1703" s="44">
        <f t="shared" si="217"/>
        <v>0.22750638297872341</v>
      </c>
    </row>
    <row r="1704" spans="1:15" ht="20.100000000000001" customHeight="1" x14ac:dyDescent="0.25">
      <c r="A1704" s="89">
        <v>1191</v>
      </c>
      <c r="B1704" s="4">
        <v>43810</v>
      </c>
      <c r="C1704" s="26" t="s">
        <v>65</v>
      </c>
      <c r="D1704" s="3">
        <v>116130</v>
      </c>
      <c r="E1704" s="4">
        <v>43846</v>
      </c>
      <c r="F1704" s="92" t="s">
        <v>28</v>
      </c>
      <c r="G1704" s="32">
        <v>43816</v>
      </c>
      <c r="H1704" s="27">
        <v>24600</v>
      </c>
      <c r="I1704" s="27"/>
      <c r="J1704" s="27"/>
      <c r="K1704" s="99"/>
      <c r="L1704" s="27">
        <v>20180</v>
      </c>
      <c r="M1704" s="29">
        <f t="shared" si="216"/>
        <v>4420</v>
      </c>
      <c r="N1704" s="29"/>
      <c r="O1704" s="44">
        <f t="shared" si="217"/>
        <v>0.17967479674796749</v>
      </c>
    </row>
    <row r="1705" spans="1:15" ht="20.100000000000001" customHeight="1" x14ac:dyDescent="0.25">
      <c r="A1705" s="89">
        <v>1172</v>
      </c>
      <c r="B1705" s="4">
        <v>43804</v>
      </c>
      <c r="C1705" s="26" t="s">
        <v>363</v>
      </c>
      <c r="D1705" s="3">
        <v>5000</v>
      </c>
      <c r="E1705" s="4">
        <v>43846</v>
      </c>
      <c r="F1705" s="92" t="s">
        <v>28</v>
      </c>
      <c r="G1705" s="32">
        <v>43861</v>
      </c>
      <c r="H1705" s="27">
        <f t="shared" ref="H1705:H1717" si="218">D1705</f>
        <v>5000</v>
      </c>
      <c r="I1705" s="27"/>
      <c r="J1705" s="27"/>
      <c r="K1705" s="99"/>
      <c r="L1705" s="27">
        <v>4602</v>
      </c>
      <c r="M1705" s="29">
        <f t="shared" si="216"/>
        <v>398</v>
      </c>
      <c r="N1705" s="29"/>
      <c r="O1705" s="44">
        <f t="shared" si="217"/>
        <v>7.9600000000000004E-2</v>
      </c>
    </row>
    <row r="1706" spans="1:15" ht="20.100000000000001" customHeight="1" x14ac:dyDescent="0.25">
      <c r="A1706" s="89">
        <v>17</v>
      </c>
      <c r="B1706" s="4">
        <v>43845</v>
      </c>
      <c r="C1706" s="26" t="s">
        <v>211</v>
      </c>
      <c r="D1706" s="3">
        <v>51590</v>
      </c>
      <c r="E1706" s="4">
        <v>43846</v>
      </c>
      <c r="F1706" s="92" t="s">
        <v>28</v>
      </c>
      <c r="G1706" s="32">
        <v>43850</v>
      </c>
      <c r="H1706" s="27">
        <f t="shared" si="218"/>
        <v>51590</v>
      </c>
      <c r="I1706" s="27"/>
      <c r="J1706" s="27"/>
      <c r="K1706" s="99"/>
      <c r="L1706" s="27">
        <v>37447</v>
      </c>
      <c r="M1706" s="29">
        <f t="shared" si="216"/>
        <v>14143</v>
      </c>
      <c r="N1706" s="29"/>
      <c r="O1706" s="44">
        <f t="shared" si="217"/>
        <v>0.27414227563481297</v>
      </c>
    </row>
    <row r="1707" spans="1:15" ht="20.100000000000001" customHeight="1" x14ac:dyDescent="0.25">
      <c r="A1707" s="89">
        <v>31</v>
      </c>
      <c r="B1707" s="4">
        <v>43851</v>
      </c>
      <c r="C1707" s="26" t="s">
        <v>49</v>
      </c>
      <c r="D1707" s="3">
        <v>1333</v>
      </c>
      <c r="E1707" s="4">
        <v>43851</v>
      </c>
      <c r="F1707" s="92" t="s">
        <v>28</v>
      </c>
      <c r="G1707" s="32">
        <v>43851</v>
      </c>
      <c r="H1707" s="27">
        <f t="shared" si="218"/>
        <v>1333</v>
      </c>
      <c r="I1707" s="27"/>
      <c r="J1707" s="27"/>
      <c r="K1707" s="99"/>
      <c r="L1707" s="27">
        <v>908</v>
      </c>
      <c r="M1707" s="29">
        <f t="shared" si="216"/>
        <v>425</v>
      </c>
      <c r="N1707" s="29"/>
      <c r="O1707" s="44">
        <f t="shared" si="217"/>
        <v>0.31882970742685673</v>
      </c>
    </row>
    <row r="1708" spans="1:15" ht="20.100000000000001" customHeight="1" x14ac:dyDescent="0.25">
      <c r="A1708" s="89">
        <v>35</v>
      </c>
      <c r="B1708" s="4">
        <v>43852</v>
      </c>
      <c r="C1708" s="5" t="s">
        <v>431</v>
      </c>
      <c r="D1708" s="3">
        <v>7465</v>
      </c>
      <c r="E1708" s="4">
        <v>43852</v>
      </c>
      <c r="F1708" s="92" t="s">
        <v>28</v>
      </c>
      <c r="G1708" s="32">
        <v>43868</v>
      </c>
      <c r="H1708" s="27">
        <f t="shared" si="218"/>
        <v>7465</v>
      </c>
      <c r="I1708" s="27">
        <f>H1708</f>
        <v>7465</v>
      </c>
      <c r="J1708" s="27"/>
      <c r="K1708" s="99"/>
      <c r="L1708" s="27">
        <v>5823</v>
      </c>
      <c r="M1708" s="29">
        <f t="shared" si="216"/>
        <v>1642</v>
      </c>
      <c r="N1708" s="29">
        <f>M1708</f>
        <v>1642</v>
      </c>
      <c r="O1708" s="44">
        <f t="shared" si="217"/>
        <v>0.21995981245813798</v>
      </c>
    </row>
    <row r="1709" spans="1:15" ht="20.100000000000001" customHeight="1" x14ac:dyDescent="0.25">
      <c r="A1709" s="89">
        <v>34</v>
      </c>
      <c r="B1709" s="4">
        <v>43852</v>
      </c>
      <c r="C1709" s="26" t="s">
        <v>372</v>
      </c>
      <c r="D1709" s="3">
        <v>4341</v>
      </c>
      <c r="E1709" s="4">
        <v>43853</v>
      </c>
      <c r="F1709" s="92" t="s">
        <v>28</v>
      </c>
      <c r="G1709" s="32">
        <v>43854</v>
      </c>
      <c r="H1709" s="27">
        <f t="shared" si="218"/>
        <v>4341</v>
      </c>
      <c r="I1709" s="27"/>
      <c r="J1709" s="27"/>
      <c r="K1709" s="99"/>
      <c r="L1709" s="27">
        <v>3931</v>
      </c>
      <c r="M1709" s="29">
        <f t="shared" si="216"/>
        <v>410</v>
      </c>
      <c r="N1709" s="29"/>
      <c r="O1709" s="44">
        <f t="shared" si="217"/>
        <v>9.4448283805574754E-2</v>
      </c>
    </row>
    <row r="1710" spans="1:15" ht="20.100000000000001" customHeight="1" x14ac:dyDescent="0.25">
      <c r="A1710" s="89">
        <v>1247</v>
      </c>
      <c r="B1710" s="4">
        <v>43826</v>
      </c>
      <c r="C1710" s="26" t="s">
        <v>49</v>
      </c>
      <c r="D1710" s="3">
        <v>19960</v>
      </c>
      <c r="E1710" s="4">
        <v>43853</v>
      </c>
      <c r="F1710" s="92" t="s">
        <v>28</v>
      </c>
      <c r="G1710" s="32">
        <v>43854</v>
      </c>
      <c r="H1710" s="27">
        <f t="shared" si="218"/>
        <v>19960</v>
      </c>
      <c r="I1710" s="27"/>
      <c r="J1710" s="27"/>
      <c r="K1710" s="99"/>
      <c r="L1710" s="27">
        <v>13170</v>
      </c>
      <c r="M1710" s="29">
        <f t="shared" si="216"/>
        <v>6790</v>
      </c>
      <c r="N1710" s="29"/>
      <c r="O1710" s="44">
        <f t="shared" si="217"/>
        <v>0.34018036072144286</v>
      </c>
    </row>
    <row r="1711" spans="1:15" ht="20.100000000000001" customHeight="1" x14ac:dyDescent="0.25">
      <c r="A1711" s="89">
        <v>19</v>
      </c>
      <c r="B1711" s="4">
        <v>43846</v>
      </c>
      <c r="C1711" s="26" t="s">
        <v>65</v>
      </c>
      <c r="D1711" s="3">
        <v>50688</v>
      </c>
      <c r="E1711" s="4">
        <v>43853</v>
      </c>
      <c r="F1711" s="92" t="s">
        <v>28</v>
      </c>
      <c r="G1711" s="32">
        <v>43868</v>
      </c>
      <c r="H1711" s="27">
        <f t="shared" si="218"/>
        <v>50688</v>
      </c>
      <c r="I1711" s="27"/>
      <c r="J1711" s="27"/>
      <c r="K1711" s="99"/>
      <c r="L1711" s="27">
        <v>40832</v>
      </c>
      <c r="M1711" s="29">
        <f t="shared" si="216"/>
        <v>9856</v>
      </c>
      <c r="N1711" s="29"/>
      <c r="O1711" s="44">
        <f t="shared" si="217"/>
        <v>0.19444444444444445</v>
      </c>
    </row>
    <row r="1712" spans="1:15" ht="20.100000000000001" customHeight="1" x14ac:dyDescent="0.25">
      <c r="A1712" s="89">
        <v>39</v>
      </c>
      <c r="B1712" s="4">
        <v>43853</v>
      </c>
      <c r="C1712" s="5" t="s">
        <v>432</v>
      </c>
      <c r="D1712" s="3">
        <v>66195</v>
      </c>
      <c r="E1712" s="4">
        <v>43853</v>
      </c>
      <c r="F1712" s="92" t="s">
        <v>28</v>
      </c>
      <c r="G1712" s="32">
        <v>43859</v>
      </c>
      <c r="H1712" s="27">
        <f t="shared" si="218"/>
        <v>66195</v>
      </c>
      <c r="I1712" s="27">
        <f>H1712</f>
        <v>66195</v>
      </c>
      <c r="J1712" s="27"/>
      <c r="K1712" s="99"/>
      <c r="L1712" s="27">
        <v>48748</v>
      </c>
      <c r="M1712" s="29">
        <f t="shared" si="216"/>
        <v>17447</v>
      </c>
      <c r="N1712" s="29">
        <f>M1712</f>
        <v>17447</v>
      </c>
      <c r="O1712" s="44">
        <f t="shared" si="217"/>
        <v>0.2635697560238689</v>
      </c>
    </row>
    <row r="1713" spans="1:15" ht="20.100000000000001" customHeight="1" x14ac:dyDescent="0.25">
      <c r="A1713" s="89">
        <v>1224</v>
      </c>
      <c r="B1713" s="4">
        <v>43819</v>
      </c>
      <c r="C1713" s="26" t="s">
        <v>303</v>
      </c>
      <c r="D1713" s="3">
        <v>1943.95</v>
      </c>
      <c r="E1713" s="4">
        <v>43854</v>
      </c>
      <c r="F1713" s="92" t="s">
        <v>28</v>
      </c>
      <c r="G1713" s="32">
        <v>43854</v>
      </c>
      <c r="H1713" s="27">
        <f t="shared" si="218"/>
        <v>1943.95</v>
      </c>
      <c r="I1713" s="27"/>
      <c r="J1713" s="27"/>
      <c r="K1713" s="99"/>
      <c r="L1713" s="27">
        <v>1783</v>
      </c>
      <c r="M1713" s="29">
        <f t="shared" si="216"/>
        <v>160.95000000000005</v>
      </c>
      <c r="N1713" s="29"/>
      <c r="O1713" s="44">
        <f t="shared" si="217"/>
        <v>8.2795339386301112E-2</v>
      </c>
    </row>
    <row r="1714" spans="1:15" ht="20.100000000000001" customHeight="1" x14ac:dyDescent="0.25">
      <c r="A1714" s="89">
        <v>29</v>
      </c>
      <c r="B1714" s="4">
        <v>43851</v>
      </c>
      <c r="C1714" s="26" t="s">
        <v>403</v>
      </c>
      <c r="D1714" s="3">
        <v>5431</v>
      </c>
      <c r="E1714" s="4">
        <v>43857</v>
      </c>
      <c r="F1714" s="92" t="s">
        <v>28</v>
      </c>
      <c r="G1714" s="32">
        <v>43860</v>
      </c>
      <c r="H1714" s="27">
        <f t="shared" si="218"/>
        <v>5431</v>
      </c>
      <c r="I1714" s="27"/>
      <c r="J1714" s="27"/>
      <c r="K1714" s="99"/>
      <c r="L1714" s="27">
        <v>4181</v>
      </c>
      <c r="M1714" s="29">
        <f t="shared" si="216"/>
        <v>1250</v>
      </c>
      <c r="N1714" s="29"/>
      <c r="O1714" s="44">
        <f t="shared" si="217"/>
        <v>0.23016019149327932</v>
      </c>
    </row>
    <row r="1715" spans="1:15" ht="20.100000000000001" customHeight="1" x14ac:dyDescent="0.25">
      <c r="A1715" s="89">
        <v>45</v>
      </c>
      <c r="B1715" s="4">
        <v>43854</v>
      </c>
      <c r="C1715" s="26" t="s">
        <v>281</v>
      </c>
      <c r="D1715" s="3">
        <v>2282</v>
      </c>
      <c r="E1715" s="4">
        <v>43857</v>
      </c>
      <c r="F1715" s="92" t="s">
        <v>28</v>
      </c>
      <c r="G1715" s="32">
        <v>43858</v>
      </c>
      <c r="H1715" s="27">
        <f t="shared" si="218"/>
        <v>2282</v>
      </c>
      <c r="I1715" s="27"/>
      <c r="J1715" s="27"/>
      <c r="K1715" s="99"/>
      <c r="L1715" s="27">
        <v>1760</v>
      </c>
      <c r="M1715" s="29">
        <f t="shared" si="216"/>
        <v>522</v>
      </c>
      <c r="N1715" s="29"/>
      <c r="O1715" s="44">
        <f t="shared" si="217"/>
        <v>0.22874671340929009</v>
      </c>
    </row>
    <row r="1716" spans="1:15" ht="20.100000000000001" customHeight="1" x14ac:dyDescent="0.25">
      <c r="A1716" s="89">
        <v>1201</v>
      </c>
      <c r="B1716" s="4">
        <v>43812</v>
      </c>
      <c r="C1716" s="26" t="s">
        <v>209</v>
      </c>
      <c r="D1716" s="3">
        <v>1325.15</v>
      </c>
      <c r="E1716" s="4">
        <v>43858</v>
      </c>
      <c r="F1716" s="92" t="s">
        <v>28</v>
      </c>
      <c r="G1716" s="32">
        <v>43812</v>
      </c>
      <c r="H1716" s="27">
        <f t="shared" si="218"/>
        <v>1325.15</v>
      </c>
      <c r="I1716" s="27"/>
      <c r="J1716" s="27"/>
      <c r="K1716" s="99"/>
      <c r="L1716" s="27">
        <v>1215</v>
      </c>
      <c r="M1716" s="29">
        <f t="shared" si="216"/>
        <v>110.15000000000009</v>
      </c>
      <c r="N1716" s="29"/>
      <c r="O1716" s="44">
        <f t="shared" si="217"/>
        <v>8.3122665358638714E-2</v>
      </c>
    </row>
    <row r="1717" spans="1:15" ht="20.100000000000001" customHeight="1" x14ac:dyDescent="0.25">
      <c r="A1717" s="89">
        <v>25</v>
      </c>
      <c r="B1717" s="4">
        <v>43847</v>
      </c>
      <c r="C1717" s="26" t="s">
        <v>209</v>
      </c>
      <c r="D1717" s="3">
        <v>2101.5</v>
      </c>
      <c r="E1717" s="4">
        <v>43858</v>
      </c>
      <c r="F1717" s="92" t="s">
        <v>28</v>
      </c>
      <c r="G1717" s="32">
        <v>43847</v>
      </c>
      <c r="H1717" s="27">
        <f t="shared" si="218"/>
        <v>2101.5</v>
      </c>
      <c r="I1717" s="27"/>
      <c r="J1717" s="27"/>
      <c r="K1717" s="99"/>
      <c r="L1717" s="27">
        <v>1818</v>
      </c>
      <c r="M1717" s="29">
        <f t="shared" si="216"/>
        <v>283.5</v>
      </c>
      <c r="N1717" s="29"/>
      <c r="O1717" s="44">
        <f t="shared" si="217"/>
        <v>0.13490364025695931</v>
      </c>
    </row>
    <row r="1718" spans="1:15" ht="20.100000000000001" customHeight="1" x14ac:dyDescent="0.25">
      <c r="A1718" s="89">
        <v>1191</v>
      </c>
      <c r="B1718" s="4">
        <v>43810</v>
      </c>
      <c r="C1718" s="26" t="s">
        <v>65</v>
      </c>
      <c r="D1718" s="3">
        <v>116130</v>
      </c>
      <c r="E1718" s="4">
        <v>43860</v>
      </c>
      <c r="F1718" s="92" t="s">
        <v>28</v>
      </c>
      <c r="G1718" s="32">
        <v>43826</v>
      </c>
      <c r="H1718" s="27">
        <v>72540.399999999994</v>
      </c>
      <c r="I1718" s="27"/>
      <c r="J1718" s="27"/>
      <c r="K1718" s="99"/>
      <c r="L1718" s="27">
        <v>54986</v>
      </c>
      <c r="M1718" s="29">
        <f t="shared" si="216"/>
        <v>17554.399999999994</v>
      </c>
      <c r="N1718" s="29"/>
      <c r="O1718" s="44">
        <f t="shared" si="217"/>
        <v>0.24199480565312564</v>
      </c>
    </row>
    <row r="1719" spans="1:15" ht="20.100000000000001" customHeight="1" x14ac:dyDescent="0.25">
      <c r="A1719" s="89">
        <v>3</v>
      </c>
      <c r="B1719" s="4">
        <v>43840</v>
      </c>
      <c r="C1719" s="26" t="s">
        <v>11</v>
      </c>
      <c r="D1719" s="3">
        <v>3213</v>
      </c>
      <c r="E1719" s="4">
        <v>43860</v>
      </c>
      <c r="F1719" s="92" t="s">
        <v>28</v>
      </c>
      <c r="G1719" s="32">
        <v>43866</v>
      </c>
      <c r="H1719" s="27">
        <f>D1719</f>
        <v>3213</v>
      </c>
      <c r="I1719" s="27"/>
      <c r="J1719" s="27"/>
      <c r="K1719" s="99"/>
      <c r="L1719" s="27">
        <v>2329</v>
      </c>
      <c r="M1719" s="29">
        <f t="shared" si="216"/>
        <v>884</v>
      </c>
      <c r="N1719" s="29"/>
      <c r="O1719" s="44">
        <f t="shared" si="217"/>
        <v>0.27513227513227512</v>
      </c>
    </row>
    <row r="1720" spans="1:15" ht="20.100000000000001" customHeight="1" x14ac:dyDescent="0.25">
      <c r="A1720" s="89">
        <v>1217</v>
      </c>
      <c r="B1720" s="4">
        <v>43818</v>
      </c>
      <c r="C1720" s="5" t="s">
        <v>433</v>
      </c>
      <c r="D1720" s="3">
        <v>22852</v>
      </c>
      <c r="E1720" s="4">
        <v>43861</v>
      </c>
      <c r="F1720" s="92" t="s">
        <v>28</v>
      </c>
      <c r="G1720" s="32">
        <v>43886</v>
      </c>
      <c r="H1720" s="27">
        <f>D1720</f>
        <v>22852</v>
      </c>
      <c r="I1720" s="27">
        <f>H1720</f>
        <v>22852</v>
      </c>
      <c r="J1720" s="27"/>
      <c r="K1720" s="99"/>
      <c r="L1720" s="27">
        <v>16877</v>
      </c>
      <c r="M1720" s="29">
        <f t="shared" si="216"/>
        <v>5975</v>
      </c>
      <c r="N1720" s="29">
        <f>M1720</f>
        <v>5975</v>
      </c>
      <c r="O1720" s="44">
        <f t="shared" si="217"/>
        <v>0.26146507964291965</v>
      </c>
    </row>
    <row r="1721" spans="1:15" ht="19.5" customHeight="1" x14ac:dyDescent="0.25">
      <c r="A1721" s="89"/>
      <c r="B1721" s="4"/>
      <c r="C1721" s="5"/>
      <c r="D1721" s="3"/>
      <c r="E1721" s="97">
        <v>69700</v>
      </c>
      <c r="F1721" s="98">
        <f>M1721*0.17+N1721*0.06+10000</f>
        <v>43364.22</v>
      </c>
      <c r="G1721" s="21">
        <f>H1721*0.05+I1721*0.02+10000</f>
        <v>43211.590000000004</v>
      </c>
      <c r="H1721" s="16">
        <f t="shared" ref="H1721:N1721" si="219">SUM(H1702:H1720)</f>
        <v>625627</v>
      </c>
      <c r="I1721" s="16">
        <f t="shared" si="219"/>
        <v>96512</v>
      </c>
      <c r="J1721" s="16">
        <f t="shared" si="219"/>
        <v>30000</v>
      </c>
      <c r="K1721" s="16">
        <f t="shared" si="219"/>
        <v>6000</v>
      </c>
      <c r="L1721" s="16">
        <f t="shared" si="219"/>
        <v>402213</v>
      </c>
      <c r="M1721" s="16">
        <f t="shared" si="219"/>
        <v>187414</v>
      </c>
      <c r="N1721" s="16">
        <f t="shared" si="219"/>
        <v>25064</v>
      </c>
      <c r="O1721" s="44">
        <f t="shared" si="217"/>
        <v>0.29956187952246305</v>
      </c>
    </row>
    <row r="1722" spans="1:15" ht="23.25" x14ac:dyDescent="0.35">
      <c r="B1722" s="94"/>
      <c r="C1722" s="94" t="s">
        <v>648</v>
      </c>
    </row>
    <row r="1723" spans="1:15" ht="20.100000000000001" customHeight="1" x14ac:dyDescent="0.25">
      <c r="A1723" s="89">
        <v>20</v>
      </c>
      <c r="B1723" s="4">
        <v>43846</v>
      </c>
      <c r="C1723" s="26" t="s">
        <v>11</v>
      </c>
      <c r="D1723" s="3">
        <v>3807</v>
      </c>
      <c r="E1723" s="4">
        <v>43864</v>
      </c>
      <c r="F1723" s="92" t="s">
        <v>28</v>
      </c>
      <c r="G1723" s="32">
        <v>43866</v>
      </c>
      <c r="H1723" s="27">
        <f t="shared" ref="H1723:H1743" si="220">D1723</f>
        <v>3807</v>
      </c>
      <c r="I1723" s="27"/>
      <c r="J1723" s="27"/>
      <c r="K1723" s="99"/>
      <c r="L1723" s="27">
        <v>2930</v>
      </c>
      <c r="M1723" s="29">
        <f t="shared" ref="M1723:M1747" si="221">H1723-L1723-J1723-K1723</f>
        <v>877</v>
      </c>
      <c r="N1723" s="29"/>
      <c r="O1723" s="44">
        <f t="shared" ref="O1723:O1748" si="222">M1723/H1723</f>
        <v>0.23036511688993958</v>
      </c>
    </row>
    <row r="1724" spans="1:15" ht="20.100000000000001" customHeight="1" x14ac:dyDescent="0.25">
      <c r="A1724" s="89">
        <v>21</v>
      </c>
      <c r="B1724" s="4">
        <v>43846</v>
      </c>
      <c r="C1724" s="26" t="s">
        <v>11</v>
      </c>
      <c r="D1724" s="3">
        <v>17484</v>
      </c>
      <c r="E1724" s="4">
        <v>43864</v>
      </c>
      <c r="F1724" s="92" t="s">
        <v>28</v>
      </c>
      <c r="G1724" s="32">
        <v>43866</v>
      </c>
      <c r="H1724" s="27">
        <f t="shared" si="220"/>
        <v>17484</v>
      </c>
      <c r="I1724" s="27"/>
      <c r="J1724" s="27"/>
      <c r="K1724" s="99"/>
      <c r="L1724" s="27">
        <v>11538</v>
      </c>
      <c r="M1724" s="29">
        <f t="shared" si="221"/>
        <v>5946</v>
      </c>
      <c r="N1724" s="29"/>
      <c r="O1724" s="44">
        <f t="shared" si="222"/>
        <v>0.34008236101578587</v>
      </c>
    </row>
    <row r="1725" spans="1:15" ht="20.100000000000001" customHeight="1" x14ac:dyDescent="0.25">
      <c r="A1725" s="89">
        <v>78</v>
      </c>
      <c r="B1725" s="4">
        <v>43861</v>
      </c>
      <c r="C1725" s="26" t="s">
        <v>16</v>
      </c>
      <c r="D1725" s="3">
        <v>16458</v>
      </c>
      <c r="E1725" s="4">
        <v>43864</v>
      </c>
      <c r="F1725" s="92" t="s">
        <v>28</v>
      </c>
      <c r="G1725" s="32">
        <v>43867</v>
      </c>
      <c r="H1725" s="27">
        <f t="shared" si="220"/>
        <v>16458</v>
      </c>
      <c r="I1725" s="27"/>
      <c r="J1725" s="27"/>
      <c r="K1725" s="99"/>
      <c r="L1725" s="27">
        <v>12543</v>
      </c>
      <c r="M1725" s="29">
        <f t="shared" si="221"/>
        <v>3915</v>
      </c>
      <c r="N1725" s="29"/>
      <c r="O1725" s="44">
        <f t="shared" si="222"/>
        <v>0.23787823550856727</v>
      </c>
    </row>
    <row r="1726" spans="1:15" ht="20.100000000000001" customHeight="1" x14ac:dyDescent="0.25">
      <c r="A1726" s="89">
        <v>68</v>
      </c>
      <c r="B1726" s="4">
        <v>43861</v>
      </c>
      <c r="C1726" s="26" t="s">
        <v>139</v>
      </c>
      <c r="D1726" s="3">
        <v>32970</v>
      </c>
      <c r="E1726" s="4">
        <v>43864</v>
      </c>
      <c r="F1726" s="92" t="s">
        <v>28</v>
      </c>
      <c r="G1726" s="32">
        <v>43888</v>
      </c>
      <c r="H1726" s="27">
        <f t="shared" si="220"/>
        <v>32970</v>
      </c>
      <c r="I1726" s="27"/>
      <c r="J1726" s="27"/>
      <c r="K1726" s="99"/>
      <c r="L1726" s="27">
        <f>8078*3</f>
        <v>24234</v>
      </c>
      <c r="M1726" s="29">
        <f t="shared" si="221"/>
        <v>8736</v>
      </c>
      <c r="N1726" s="29"/>
      <c r="O1726" s="44">
        <f t="shared" si="222"/>
        <v>0.26496815286624203</v>
      </c>
    </row>
    <row r="1727" spans="1:15" ht="20.100000000000001" customHeight="1" x14ac:dyDescent="0.25">
      <c r="A1727" s="89">
        <v>1228</v>
      </c>
      <c r="B1727" s="4">
        <v>43823</v>
      </c>
      <c r="C1727" s="26" t="s">
        <v>56</v>
      </c>
      <c r="D1727" s="3">
        <v>72488</v>
      </c>
      <c r="E1727" s="4">
        <v>43865</v>
      </c>
      <c r="F1727" s="92" t="s">
        <v>28</v>
      </c>
      <c r="G1727" s="32">
        <v>43857</v>
      </c>
      <c r="H1727" s="27">
        <f t="shared" si="220"/>
        <v>72488</v>
      </c>
      <c r="I1727" s="27"/>
      <c r="J1727" s="27"/>
      <c r="K1727" s="99"/>
      <c r="L1727" s="27">
        <v>55183</v>
      </c>
      <c r="M1727" s="29">
        <f t="shared" si="221"/>
        <v>17305</v>
      </c>
      <c r="N1727" s="29"/>
      <c r="O1727" s="44">
        <f t="shared" si="222"/>
        <v>0.2387291689658978</v>
      </c>
    </row>
    <row r="1728" spans="1:15" ht="20.100000000000001" customHeight="1" x14ac:dyDescent="0.25">
      <c r="A1728" s="89">
        <v>1179</v>
      </c>
      <c r="B1728" s="4">
        <v>43811</v>
      </c>
      <c r="C1728" s="26" t="s">
        <v>50</v>
      </c>
      <c r="D1728" s="3">
        <v>22465</v>
      </c>
      <c r="E1728" s="4">
        <v>43865</v>
      </c>
      <c r="F1728" s="92" t="s">
        <v>28</v>
      </c>
      <c r="G1728" s="32">
        <v>43851</v>
      </c>
      <c r="H1728" s="27">
        <f t="shared" si="220"/>
        <v>22465</v>
      </c>
      <c r="I1728" s="27"/>
      <c r="J1728" s="27"/>
      <c r="K1728" s="99"/>
      <c r="L1728" s="27">
        <v>18443</v>
      </c>
      <c r="M1728" s="29">
        <f t="shared" si="221"/>
        <v>4022</v>
      </c>
      <c r="N1728" s="29"/>
      <c r="O1728" s="44">
        <f t="shared" si="222"/>
        <v>0.17903405297128866</v>
      </c>
    </row>
    <row r="1729" spans="1:15" ht="20.100000000000001" customHeight="1" x14ac:dyDescent="0.25">
      <c r="A1729" s="89">
        <v>113</v>
      </c>
      <c r="B1729" s="4">
        <v>43871</v>
      </c>
      <c r="C1729" s="5" t="s">
        <v>434</v>
      </c>
      <c r="D1729" s="3">
        <v>13990</v>
      </c>
      <c r="E1729" s="4">
        <v>43871</v>
      </c>
      <c r="F1729" s="92" t="s">
        <v>28</v>
      </c>
      <c r="G1729" s="32">
        <v>43871</v>
      </c>
      <c r="H1729" s="27">
        <f t="shared" si="220"/>
        <v>13990</v>
      </c>
      <c r="I1729" s="27">
        <f>H1729</f>
        <v>13990</v>
      </c>
      <c r="J1729" s="27"/>
      <c r="K1729" s="99"/>
      <c r="L1729" s="27">
        <v>10112</v>
      </c>
      <c r="M1729" s="29">
        <f t="shared" si="221"/>
        <v>3878</v>
      </c>
      <c r="N1729" s="29">
        <f>M1729</f>
        <v>3878</v>
      </c>
      <c r="O1729" s="44">
        <f t="shared" si="222"/>
        <v>0.27719799857040744</v>
      </c>
    </row>
    <row r="1730" spans="1:15" ht="20.100000000000001" customHeight="1" x14ac:dyDescent="0.25">
      <c r="A1730" s="89">
        <v>114</v>
      </c>
      <c r="B1730" s="4">
        <v>43871</v>
      </c>
      <c r="C1730" s="26" t="s">
        <v>149</v>
      </c>
      <c r="D1730" s="3">
        <v>505</v>
      </c>
      <c r="E1730" s="4">
        <v>43872</v>
      </c>
      <c r="F1730" s="92" t="s">
        <v>28</v>
      </c>
      <c r="G1730" s="32">
        <v>43889</v>
      </c>
      <c r="H1730" s="27">
        <f t="shared" si="220"/>
        <v>505</v>
      </c>
      <c r="I1730" s="27"/>
      <c r="J1730" s="27"/>
      <c r="K1730" s="99"/>
      <c r="L1730" s="27">
        <v>396</v>
      </c>
      <c r="M1730" s="29">
        <f t="shared" si="221"/>
        <v>109</v>
      </c>
      <c r="N1730" s="29"/>
      <c r="O1730" s="44">
        <f t="shared" si="222"/>
        <v>0.21584158415841584</v>
      </c>
    </row>
    <row r="1731" spans="1:15" ht="20.100000000000001" customHeight="1" x14ac:dyDescent="0.25">
      <c r="A1731" s="89">
        <v>93</v>
      </c>
      <c r="B1731" s="4">
        <v>43866</v>
      </c>
      <c r="C1731" s="26" t="s">
        <v>186</v>
      </c>
      <c r="D1731" s="3">
        <v>6742</v>
      </c>
      <c r="E1731" s="4">
        <v>43872</v>
      </c>
      <c r="F1731" s="92" t="s">
        <v>28</v>
      </c>
      <c r="G1731" s="32">
        <v>43893</v>
      </c>
      <c r="H1731" s="27">
        <f t="shared" si="220"/>
        <v>6742</v>
      </c>
      <c r="I1731" s="27"/>
      <c r="J1731" s="27"/>
      <c r="K1731" s="99"/>
      <c r="L1731" s="27">
        <v>5073</v>
      </c>
      <c r="M1731" s="29">
        <f t="shared" si="221"/>
        <v>1669</v>
      </c>
      <c r="N1731" s="29"/>
      <c r="O1731" s="44">
        <f t="shared" si="222"/>
        <v>0.24755265499851675</v>
      </c>
    </row>
    <row r="1732" spans="1:15" ht="20.100000000000001" customHeight="1" x14ac:dyDescent="0.25">
      <c r="A1732" s="89">
        <v>115</v>
      </c>
      <c r="B1732" s="4">
        <v>43871</v>
      </c>
      <c r="C1732" s="5" t="s">
        <v>435</v>
      </c>
      <c r="D1732" s="3">
        <v>4372</v>
      </c>
      <c r="E1732" s="4">
        <v>43872</v>
      </c>
      <c r="F1732" s="92" t="s">
        <v>28</v>
      </c>
      <c r="G1732" s="4">
        <v>43892</v>
      </c>
      <c r="H1732" s="27">
        <f t="shared" si="220"/>
        <v>4372</v>
      </c>
      <c r="I1732" s="27">
        <f>H1732</f>
        <v>4372</v>
      </c>
      <c r="J1732" s="27"/>
      <c r="K1732" s="99"/>
      <c r="L1732" s="27">
        <v>3075</v>
      </c>
      <c r="M1732" s="29">
        <f t="shared" si="221"/>
        <v>1297</v>
      </c>
      <c r="N1732" s="29">
        <f>M1732</f>
        <v>1297</v>
      </c>
      <c r="O1732" s="44">
        <f t="shared" si="222"/>
        <v>0.29666056724611162</v>
      </c>
    </row>
    <row r="1733" spans="1:15" ht="20.100000000000001" customHeight="1" x14ac:dyDescent="0.25">
      <c r="A1733" s="89">
        <v>53</v>
      </c>
      <c r="B1733" s="4">
        <v>43858</v>
      </c>
      <c r="C1733" s="26" t="s">
        <v>11</v>
      </c>
      <c r="D1733" s="3">
        <v>2538</v>
      </c>
      <c r="E1733" s="4">
        <v>43875</v>
      </c>
      <c r="F1733" s="92" t="s">
        <v>28</v>
      </c>
      <c r="G1733" s="32">
        <v>43866</v>
      </c>
      <c r="H1733" s="27">
        <f t="shared" si="220"/>
        <v>2538</v>
      </c>
      <c r="I1733" s="27"/>
      <c r="J1733" s="27"/>
      <c r="K1733" s="99"/>
      <c r="L1733" s="27">
        <v>1584</v>
      </c>
      <c r="M1733" s="29">
        <f t="shared" si="221"/>
        <v>954</v>
      </c>
      <c r="N1733" s="29"/>
      <c r="O1733" s="44">
        <f t="shared" si="222"/>
        <v>0.37588652482269502</v>
      </c>
    </row>
    <row r="1734" spans="1:15" ht="20.100000000000001" customHeight="1" x14ac:dyDescent="0.25">
      <c r="A1734" s="89">
        <v>133</v>
      </c>
      <c r="B1734" s="4">
        <v>43878</v>
      </c>
      <c r="C1734" s="26" t="s">
        <v>91</v>
      </c>
      <c r="D1734" s="3">
        <v>9732</v>
      </c>
      <c r="E1734" s="4">
        <v>43879</v>
      </c>
      <c r="F1734" s="92" t="s">
        <v>28</v>
      </c>
      <c r="G1734" s="32">
        <v>43913</v>
      </c>
      <c r="H1734" s="27">
        <f t="shared" si="220"/>
        <v>9732</v>
      </c>
      <c r="I1734" s="27"/>
      <c r="J1734" s="27"/>
      <c r="K1734" s="99"/>
      <c r="L1734" s="27">
        <v>7548</v>
      </c>
      <c r="M1734" s="29">
        <f t="shared" si="221"/>
        <v>2184</v>
      </c>
      <c r="N1734" s="29"/>
      <c r="O1734" s="44">
        <f t="shared" si="222"/>
        <v>0.22441430332922319</v>
      </c>
    </row>
    <row r="1735" spans="1:15" ht="20.100000000000001" customHeight="1" x14ac:dyDescent="0.25">
      <c r="A1735" s="89">
        <v>57</v>
      </c>
      <c r="B1735" s="4">
        <v>43858</v>
      </c>
      <c r="C1735" s="5" t="s">
        <v>436</v>
      </c>
      <c r="D1735" s="3">
        <v>78748</v>
      </c>
      <c r="E1735" s="4">
        <v>43879</v>
      </c>
      <c r="F1735" s="92" t="s">
        <v>28</v>
      </c>
      <c r="G1735" s="32">
        <v>43880</v>
      </c>
      <c r="H1735" s="27">
        <f t="shared" si="220"/>
        <v>78748</v>
      </c>
      <c r="I1735" s="27">
        <f>H1735</f>
        <v>78748</v>
      </c>
      <c r="J1735" s="27"/>
      <c r="K1735" s="99"/>
      <c r="L1735" s="27">
        <v>55700</v>
      </c>
      <c r="M1735" s="29">
        <f t="shared" si="221"/>
        <v>23048</v>
      </c>
      <c r="N1735" s="29">
        <f>M1735</f>
        <v>23048</v>
      </c>
      <c r="O1735" s="44">
        <f t="shared" si="222"/>
        <v>0.29268044902727686</v>
      </c>
    </row>
    <row r="1736" spans="1:15" ht="20.100000000000001" customHeight="1" x14ac:dyDescent="0.25">
      <c r="A1736" s="89">
        <v>134</v>
      </c>
      <c r="B1736" s="4">
        <v>43878</v>
      </c>
      <c r="C1736" s="26" t="s">
        <v>175</v>
      </c>
      <c r="D1736" s="3">
        <v>19236</v>
      </c>
      <c r="E1736" s="4">
        <v>43881</v>
      </c>
      <c r="F1736" s="92" t="s">
        <v>28</v>
      </c>
      <c r="G1736" s="32">
        <v>43888</v>
      </c>
      <c r="H1736" s="27">
        <f t="shared" si="220"/>
        <v>19236</v>
      </c>
      <c r="I1736" s="27"/>
      <c r="J1736" s="27"/>
      <c r="K1736" s="99"/>
      <c r="L1736" s="27">
        <v>12692</v>
      </c>
      <c r="M1736" s="29">
        <f t="shared" si="221"/>
        <v>6544</v>
      </c>
      <c r="N1736" s="29"/>
      <c r="O1736" s="44">
        <f t="shared" si="222"/>
        <v>0.34019546683302143</v>
      </c>
    </row>
    <row r="1737" spans="1:15" ht="20.100000000000001" customHeight="1" x14ac:dyDescent="0.25">
      <c r="A1737" s="89">
        <v>132</v>
      </c>
      <c r="B1737" s="4">
        <v>43878</v>
      </c>
      <c r="C1737" s="5" t="s">
        <v>437</v>
      </c>
      <c r="D1737" s="3">
        <v>3142</v>
      </c>
      <c r="E1737" s="4">
        <v>43881</v>
      </c>
      <c r="F1737" s="92" t="s">
        <v>28</v>
      </c>
      <c r="G1737" s="32">
        <v>43881</v>
      </c>
      <c r="H1737" s="27">
        <f t="shared" si="220"/>
        <v>3142</v>
      </c>
      <c r="I1737" s="27">
        <f>H1737</f>
        <v>3142</v>
      </c>
      <c r="J1737" s="27"/>
      <c r="K1737" s="99"/>
      <c r="L1737" s="27">
        <v>2450</v>
      </c>
      <c r="M1737" s="29">
        <f t="shared" si="221"/>
        <v>692</v>
      </c>
      <c r="N1737" s="29">
        <f>M1737</f>
        <v>692</v>
      </c>
      <c r="O1737" s="44">
        <f t="shared" si="222"/>
        <v>0.22024188415022278</v>
      </c>
    </row>
    <row r="1738" spans="1:15" ht="20.100000000000001" customHeight="1" x14ac:dyDescent="0.25">
      <c r="A1738" s="89">
        <v>155</v>
      </c>
      <c r="B1738" s="4">
        <v>43886</v>
      </c>
      <c r="C1738" s="5" t="s">
        <v>438</v>
      </c>
      <c r="D1738" s="3">
        <v>2494</v>
      </c>
      <c r="E1738" s="4">
        <v>43886</v>
      </c>
      <c r="F1738" s="92" t="s">
        <v>28</v>
      </c>
      <c r="G1738" s="32">
        <v>43887</v>
      </c>
      <c r="H1738" s="27">
        <f t="shared" si="220"/>
        <v>2494</v>
      </c>
      <c r="I1738" s="27">
        <f>H1738</f>
        <v>2494</v>
      </c>
      <c r="J1738" s="27"/>
      <c r="K1738" s="99"/>
      <c r="L1738" s="27">
        <v>1421</v>
      </c>
      <c r="M1738" s="29">
        <f t="shared" si="221"/>
        <v>1073</v>
      </c>
      <c r="N1738" s="29">
        <f>M1738</f>
        <v>1073</v>
      </c>
      <c r="O1738" s="44">
        <f t="shared" si="222"/>
        <v>0.43023255813953487</v>
      </c>
    </row>
    <row r="1739" spans="1:15" ht="20.100000000000001" customHeight="1" x14ac:dyDescent="0.25">
      <c r="A1739" s="89">
        <v>30</v>
      </c>
      <c r="B1739" s="4">
        <v>43852</v>
      </c>
      <c r="C1739" s="26" t="s">
        <v>56</v>
      </c>
      <c r="D1739" s="3">
        <v>73472</v>
      </c>
      <c r="E1739" s="4">
        <v>43886</v>
      </c>
      <c r="F1739" s="92" t="s">
        <v>28</v>
      </c>
      <c r="G1739" s="32">
        <v>43868</v>
      </c>
      <c r="H1739" s="27">
        <f t="shared" si="220"/>
        <v>73472</v>
      </c>
      <c r="I1739" s="27"/>
      <c r="J1739" s="27"/>
      <c r="K1739" s="99"/>
      <c r="L1739" s="27">
        <v>55607</v>
      </c>
      <c r="M1739" s="29">
        <f t="shared" si="221"/>
        <v>17865</v>
      </c>
      <c r="N1739" s="29"/>
      <c r="O1739" s="44">
        <f t="shared" si="222"/>
        <v>0.24315385452961671</v>
      </c>
    </row>
    <row r="1740" spans="1:15" ht="20.100000000000001" customHeight="1" x14ac:dyDescent="0.25">
      <c r="A1740" s="89">
        <v>156</v>
      </c>
      <c r="B1740" s="4">
        <v>43886</v>
      </c>
      <c r="C1740" s="26" t="s">
        <v>149</v>
      </c>
      <c r="D1740" s="3">
        <v>3834</v>
      </c>
      <c r="E1740" s="4">
        <v>43886</v>
      </c>
      <c r="F1740" s="92" t="s">
        <v>28</v>
      </c>
      <c r="G1740" s="32">
        <v>43889</v>
      </c>
      <c r="H1740" s="27">
        <f t="shared" si="220"/>
        <v>3834</v>
      </c>
      <c r="I1740" s="27"/>
      <c r="J1740" s="27"/>
      <c r="K1740" s="99"/>
      <c r="L1740" s="27">
        <v>2988</v>
      </c>
      <c r="M1740" s="29">
        <f t="shared" si="221"/>
        <v>846</v>
      </c>
      <c r="N1740" s="29"/>
      <c r="O1740" s="44">
        <f t="shared" si="222"/>
        <v>0.22065727699530516</v>
      </c>
    </row>
    <row r="1741" spans="1:15" ht="20.100000000000001" customHeight="1" x14ac:dyDescent="0.25">
      <c r="A1741" s="89">
        <v>162</v>
      </c>
      <c r="B1741" s="4">
        <v>43886</v>
      </c>
      <c r="C1741" s="26" t="s">
        <v>424</v>
      </c>
      <c r="D1741" s="3">
        <v>914</v>
      </c>
      <c r="E1741" s="4">
        <v>43888</v>
      </c>
      <c r="F1741" s="92" t="s">
        <v>28</v>
      </c>
      <c r="G1741" s="32">
        <v>44035</v>
      </c>
      <c r="H1741" s="27">
        <f t="shared" si="220"/>
        <v>914</v>
      </c>
      <c r="I1741" s="27"/>
      <c r="J1741" s="27"/>
      <c r="K1741" s="99"/>
      <c r="L1741" s="27">
        <v>712</v>
      </c>
      <c r="M1741" s="29">
        <f t="shared" si="221"/>
        <v>202</v>
      </c>
      <c r="N1741" s="29"/>
      <c r="O1741" s="44">
        <f t="shared" si="222"/>
        <v>0.22100656455142231</v>
      </c>
    </row>
    <row r="1742" spans="1:15" ht="20.100000000000001" customHeight="1" x14ac:dyDescent="0.25">
      <c r="A1742" s="89">
        <v>159</v>
      </c>
      <c r="B1742" s="4">
        <v>43886</v>
      </c>
      <c r="C1742" s="26" t="s">
        <v>83</v>
      </c>
      <c r="D1742" s="3">
        <v>49990</v>
      </c>
      <c r="E1742" s="4">
        <v>43888</v>
      </c>
      <c r="F1742" s="92" t="s">
        <v>28</v>
      </c>
      <c r="G1742" s="32">
        <v>43901</v>
      </c>
      <c r="H1742" s="27">
        <f t="shared" si="220"/>
        <v>49990</v>
      </c>
      <c r="I1742" s="27"/>
      <c r="J1742" s="27"/>
      <c r="K1742" s="99"/>
      <c r="L1742" s="27">
        <v>36713</v>
      </c>
      <c r="M1742" s="29">
        <f t="shared" si="221"/>
        <v>13277</v>
      </c>
      <c r="N1742" s="29"/>
      <c r="O1742" s="44">
        <f t="shared" si="222"/>
        <v>0.26559311862372476</v>
      </c>
    </row>
    <row r="1743" spans="1:15" ht="20.100000000000001" customHeight="1" x14ac:dyDescent="0.25">
      <c r="A1743" s="89">
        <v>23</v>
      </c>
      <c r="B1743" s="4">
        <v>43847</v>
      </c>
      <c r="C1743" s="26" t="s">
        <v>65</v>
      </c>
      <c r="D1743" s="3">
        <v>5820</v>
      </c>
      <c r="E1743" s="4">
        <v>43888</v>
      </c>
      <c r="F1743" s="92" t="s">
        <v>28</v>
      </c>
      <c r="G1743" s="32">
        <v>43868</v>
      </c>
      <c r="H1743" s="27">
        <f t="shared" si="220"/>
        <v>5820</v>
      </c>
      <c r="I1743" s="27"/>
      <c r="J1743" s="27"/>
      <c r="K1743" s="99"/>
      <c r="L1743" s="27">
        <v>4991</v>
      </c>
      <c r="M1743" s="29">
        <f t="shared" si="221"/>
        <v>829</v>
      </c>
      <c r="N1743" s="29"/>
      <c r="O1743" s="44">
        <f t="shared" si="222"/>
        <v>0.14243986254295532</v>
      </c>
    </row>
    <row r="1744" spans="1:15" ht="20.100000000000001" customHeight="1" x14ac:dyDescent="0.25">
      <c r="A1744" s="89">
        <v>1191</v>
      </c>
      <c r="B1744" s="4">
        <v>43810</v>
      </c>
      <c r="C1744" s="26" t="s">
        <v>65</v>
      </c>
      <c r="D1744" s="3">
        <v>116130</v>
      </c>
      <c r="E1744" s="4">
        <v>43888</v>
      </c>
      <c r="F1744" s="92" t="s">
        <v>28</v>
      </c>
      <c r="G1744" s="32">
        <v>43868</v>
      </c>
      <c r="H1744" s="27">
        <v>18990</v>
      </c>
      <c r="I1744" s="27"/>
      <c r="J1744" s="27"/>
      <c r="K1744" s="99"/>
      <c r="L1744" s="27">
        <v>14684</v>
      </c>
      <c r="M1744" s="29">
        <f t="shared" si="221"/>
        <v>4306</v>
      </c>
      <c r="N1744" s="29"/>
      <c r="O1744" s="44">
        <f t="shared" si="222"/>
        <v>0.22675092153765139</v>
      </c>
    </row>
    <row r="1745" spans="1:15" ht="20.100000000000001" customHeight="1" x14ac:dyDescent="0.25">
      <c r="A1745" s="89">
        <v>151</v>
      </c>
      <c r="B1745" s="4">
        <v>43886</v>
      </c>
      <c r="C1745" s="26" t="s">
        <v>410</v>
      </c>
      <c r="D1745" s="3">
        <v>1934920</v>
      </c>
      <c r="E1745" s="4">
        <v>43889</v>
      </c>
      <c r="F1745" s="92" t="s">
        <v>28</v>
      </c>
      <c r="G1745" s="32">
        <v>43914</v>
      </c>
      <c r="H1745" s="27">
        <f>D1745</f>
        <v>1934920</v>
      </c>
      <c r="I1745" s="27"/>
      <c r="J1745" s="27">
        <v>30000</v>
      </c>
      <c r="K1745" s="99"/>
      <c r="L1745" s="27">
        <f>792685*2+80000</f>
        <v>1665370</v>
      </c>
      <c r="M1745" s="29">
        <f t="shared" si="221"/>
        <v>239550</v>
      </c>
      <c r="N1745" s="29"/>
      <c r="O1745" s="44">
        <f t="shared" si="222"/>
        <v>0.12380356810617493</v>
      </c>
    </row>
    <row r="1746" spans="1:15" ht="20.100000000000001" customHeight="1" x14ac:dyDescent="0.25">
      <c r="A1746" s="89">
        <v>152</v>
      </c>
      <c r="B1746" s="4">
        <v>43882</v>
      </c>
      <c r="C1746" s="26" t="s">
        <v>270</v>
      </c>
      <c r="D1746" s="3">
        <v>2559</v>
      </c>
      <c r="E1746" s="4">
        <v>43889</v>
      </c>
      <c r="F1746" s="92" t="s">
        <v>28</v>
      </c>
      <c r="G1746" s="32">
        <v>43896</v>
      </c>
      <c r="H1746" s="27">
        <f>D1746</f>
        <v>2559</v>
      </c>
      <c r="I1746" s="27"/>
      <c r="J1746" s="27"/>
      <c r="K1746" s="99"/>
      <c r="L1746" s="27">
        <v>1996</v>
      </c>
      <c r="M1746" s="29">
        <f t="shared" si="221"/>
        <v>563</v>
      </c>
      <c r="N1746" s="29"/>
      <c r="O1746" s="44">
        <f t="shared" si="222"/>
        <v>0.22000781555295038</v>
      </c>
    </row>
    <row r="1747" spans="1:15" ht="20.100000000000001" customHeight="1" x14ac:dyDescent="0.25">
      <c r="A1747" s="89">
        <v>76</v>
      </c>
      <c r="B1747" s="4">
        <v>43882</v>
      </c>
      <c r="C1747" s="5" t="s">
        <v>439</v>
      </c>
      <c r="D1747" s="3">
        <v>602770</v>
      </c>
      <c r="E1747" s="4">
        <v>43889</v>
      </c>
      <c r="F1747" s="92" t="s">
        <v>28</v>
      </c>
      <c r="G1747" s="32">
        <v>43928</v>
      </c>
      <c r="H1747" s="27">
        <f>D1747/2</f>
        <v>301385</v>
      </c>
      <c r="I1747" s="27">
        <f>H1747</f>
        <v>301385</v>
      </c>
      <c r="J1747" s="27"/>
      <c r="K1747" s="99"/>
      <c r="L1747" s="27">
        <v>220859.5</v>
      </c>
      <c r="M1747" s="29">
        <f t="shared" si="221"/>
        <v>80525.5</v>
      </c>
      <c r="N1747" s="29">
        <f>M1747</f>
        <v>80525.5</v>
      </c>
      <c r="O1747" s="44">
        <f t="shared" si="222"/>
        <v>0.26718483003467325</v>
      </c>
    </row>
    <row r="1748" spans="1:15" ht="19.5" customHeight="1" x14ac:dyDescent="0.25">
      <c r="A1748" s="89"/>
      <c r="B1748" s="4"/>
      <c r="C1748" s="5"/>
      <c r="D1748" s="3"/>
      <c r="E1748" s="97">
        <v>91400</v>
      </c>
      <c r="F1748" s="98">
        <f>M1748*0.17+N1748*0.06+10000</f>
        <v>91466.934999999998</v>
      </c>
      <c r="G1748" s="21">
        <f>H1748*0.05+I1748*0.02+10000</f>
        <v>153035.37</v>
      </c>
      <c r="H1748" s="16">
        <f t="shared" ref="H1748:N1748" si="223">SUM(H1723:H1747)</f>
        <v>2699055</v>
      </c>
      <c r="I1748" s="16">
        <f t="shared" si="223"/>
        <v>404131</v>
      </c>
      <c r="J1748" s="16">
        <f t="shared" si="223"/>
        <v>30000</v>
      </c>
      <c r="K1748" s="16">
        <f t="shared" si="223"/>
        <v>0</v>
      </c>
      <c r="L1748" s="16">
        <f t="shared" si="223"/>
        <v>2228842.5</v>
      </c>
      <c r="M1748" s="16">
        <f t="shared" si="223"/>
        <v>440212.5</v>
      </c>
      <c r="N1748" s="16">
        <f t="shared" si="223"/>
        <v>110513.5</v>
      </c>
      <c r="O1748" s="44">
        <f t="shared" si="222"/>
        <v>0.16309875122959702</v>
      </c>
    </row>
    <row r="1749" spans="1:15" ht="23.25" x14ac:dyDescent="0.35">
      <c r="B1749" s="94"/>
      <c r="C1749" s="94" t="s">
        <v>637</v>
      </c>
    </row>
    <row r="1750" spans="1:15" ht="20.100000000000001" customHeight="1" x14ac:dyDescent="0.25">
      <c r="A1750" s="89">
        <v>142</v>
      </c>
      <c r="B1750" s="4">
        <v>43910</v>
      </c>
      <c r="C1750" s="26" t="s">
        <v>166</v>
      </c>
      <c r="D1750" s="3">
        <v>47490.5</v>
      </c>
      <c r="E1750" s="4">
        <v>43892</v>
      </c>
      <c r="F1750" s="92" t="s">
        <v>28</v>
      </c>
      <c r="G1750" s="32">
        <v>43893</v>
      </c>
      <c r="H1750" s="27">
        <f t="shared" ref="H1750:H1789" si="224">D1750</f>
        <v>47490.5</v>
      </c>
      <c r="I1750" s="27"/>
      <c r="J1750" s="27"/>
      <c r="K1750" s="99"/>
      <c r="L1750" s="27">
        <v>36712</v>
      </c>
      <c r="M1750" s="29">
        <f t="shared" ref="M1750:M1789" si="225">H1750-L1750-J1750-K1750</f>
        <v>10778.5</v>
      </c>
      <c r="N1750" s="29"/>
      <c r="O1750" s="44">
        <f t="shared" ref="O1750:O1790" si="226">M1750/H1750</f>
        <v>0.22696118171002622</v>
      </c>
    </row>
    <row r="1751" spans="1:15" ht="20.100000000000001" customHeight="1" x14ac:dyDescent="0.25">
      <c r="A1751" s="89">
        <v>161</v>
      </c>
      <c r="B1751" s="4">
        <v>43886</v>
      </c>
      <c r="C1751" s="26" t="s">
        <v>403</v>
      </c>
      <c r="D1751" s="3">
        <v>5486</v>
      </c>
      <c r="E1751" s="4">
        <v>43892</v>
      </c>
      <c r="F1751" s="92" t="s">
        <v>28</v>
      </c>
      <c r="G1751" s="32">
        <v>43893</v>
      </c>
      <c r="H1751" s="27">
        <f t="shared" si="224"/>
        <v>5486</v>
      </c>
      <c r="I1751" s="27"/>
      <c r="J1751" s="27"/>
      <c r="K1751" s="99"/>
      <c r="L1751" s="27">
        <v>4224</v>
      </c>
      <c r="M1751" s="29">
        <f t="shared" si="225"/>
        <v>1262</v>
      </c>
      <c r="N1751" s="29"/>
      <c r="O1751" s="44">
        <f t="shared" si="226"/>
        <v>0.23004010207801678</v>
      </c>
    </row>
    <row r="1752" spans="1:15" ht="20.100000000000001" customHeight="1" x14ac:dyDescent="0.25">
      <c r="A1752" s="89">
        <v>139</v>
      </c>
      <c r="B1752" s="4">
        <v>43893</v>
      </c>
      <c r="C1752" s="26" t="s">
        <v>179</v>
      </c>
      <c r="D1752" s="3">
        <v>11202</v>
      </c>
      <c r="E1752" s="4">
        <v>43893</v>
      </c>
      <c r="F1752" s="92" t="s">
        <v>28</v>
      </c>
      <c r="G1752" s="32">
        <v>43910</v>
      </c>
      <c r="H1752" s="27">
        <f t="shared" si="224"/>
        <v>11202</v>
      </c>
      <c r="I1752" s="27"/>
      <c r="J1752" s="27"/>
      <c r="K1752" s="99"/>
      <c r="L1752" s="27">
        <v>8738</v>
      </c>
      <c r="M1752" s="29">
        <f t="shared" si="225"/>
        <v>2464</v>
      </c>
      <c r="N1752" s="29"/>
      <c r="O1752" s="44">
        <f t="shared" si="226"/>
        <v>0.2199607212997679</v>
      </c>
    </row>
    <row r="1753" spans="1:15" ht="20.100000000000001" customHeight="1" x14ac:dyDescent="0.25">
      <c r="A1753" s="89">
        <v>138</v>
      </c>
      <c r="B1753" s="4">
        <v>43893</v>
      </c>
      <c r="C1753" s="26" t="s">
        <v>149</v>
      </c>
      <c r="D1753" s="3">
        <v>32490</v>
      </c>
      <c r="E1753" s="4">
        <v>43893</v>
      </c>
      <c r="F1753" s="92" t="s">
        <v>28</v>
      </c>
      <c r="G1753" s="32">
        <v>43908</v>
      </c>
      <c r="H1753" s="27">
        <f t="shared" si="224"/>
        <v>32490</v>
      </c>
      <c r="I1753" s="27"/>
      <c r="J1753" s="27"/>
      <c r="K1753" s="99"/>
      <c r="L1753" s="27">
        <v>23861</v>
      </c>
      <c r="M1753" s="29">
        <f t="shared" si="225"/>
        <v>8629</v>
      </c>
      <c r="N1753" s="29"/>
      <c r="O1753" s="44">
        <f t="shared" si="226"/>
        <v>0.26558941212680826</v>
      </c>
    </row>
    <row r="1754" spans="1:15" ht="20.100000000000001" customHeight="1" x14ac:dyDescent="0.25">
      <c r="A1754" s="89">
        <v>182</v>
      </c>
      <c r="B1754" s="4">
        <v>43894</v>
      </c>
      <c r="C1754" s="26" t="s">
        <v>303</v>
      </c>
      <c r="D1754" s="3">
        <v>541.45000000000005</v>
      </c>
      <c r="E1754" s="4">
        <v>43894</v>
      </c>
      <c r="F1754" s="92" t="s">
        <v>28</v>
      </c>
      <c r="G1754" s="32">
        <v>43894</v>
      </c>
      <c r="H1754" s="27">
        <f t="shared" si="224"/>
        <v>541.45000000000005</v>
      </c>
      <c r="I1754" s="27"/>
      <c r="J1754" s="27"/>
      <c r="K1754" s="99"/>
      <c r="L1754" s="27">
        <v>492</v>
      </c>
      <c r="M1754" s="29">
        <f t="shared" si="225"/>
        <v>49.450000000000045</v>
      </c>
      <c r="N1754" s="29"/>
      <c r="O1754" s="44">
        <f t="shared" si="226"/>
        <v>9.1328839227998962E-2</v>
      </c>
    </row>
    <row r="1755" spans="1:15" ht="20.100000000000001" customHeight="1" x14ac:dyDescent="0.25">
      <c r="A1755" s="89">
        <v>183</v>
      </c>
      <c r="B1755" s="4">
        <v>43894</v>
      </c>
      <c r="C1755" s="26" t="s">
        <v>440</v>
      </c>
      <c r="D1755" s="3">
        <v>1818</v>
      </c>
      <c r="E1755" s="4">
        <v>43894</v>
      </c>
      <c r="F1755" s="92" t="s">
        <v>28</v>
      </c>
      <c r="G1755" s="32">
        <v>43894</v>
      </c>
      <c r="H1755" s="27">
        <f t="shared" si="224"/>
        <v>1818</v>
      </c>
      <c r="I1755" s="27"/>
      <c r="J1755" s="27"/>
      <c r="K1755" s="99"/>
      <c r="L1755" s="27">
        <v>1400</v>
      </c>
      <c r="M1755" s="29">
        <f t="shared" si="225"/>
        <v>418</v>
      </c>
      <c r="N1755" s="29"/>
      <c r="O1755" s="44">
        <f t="shared" si="226"/>
        <v>0.22992299229922991</v>
      </c>
    </row>
    <row r="1756" spans="1:15" ht="20.100000000000001" customHeight="1" x14ac:dyDescent="0.25">
      <c r="A1756" s="89">
        <v>167</v>
      </c>
      <c r="B1756" s="4">
        <v>43888</v>
      </c>
      <c r="C1756" s="26" t="s">
        <v>441</v>
      </c>
      <c r="D1756" s="3">
        <v>3805</v>
      </c>
      <c r="E1756" s="4">
        <v>43895</v>
      </c>
      <c r="F1756" s="92" t="s">
        <v>28</v>
      </c>
      <c r="G1756" s="32">
        <v>43909</v>
      </c>
      <c r="H1756" s="27">
        <f t="shared" si="224"/>
        <v>3805</v>
      </c>
      <c r="I1756" s="27"/>
      <c r="J1756" s="27"/>
      <c r="K1756" s="99"/>
      <c r="L1756" s="27">
        <v>2511</v>
      </c>
      <c r="M1756" s="29">
        <f t="shared" si="225"/>
        <v>1294</v>
      </c>
      <c r="N1756" s="29"/>
      <c r="O1756" s="44">
        <f t="shared" si="226"/>
        <v>0.34007884362680685</v>
      </c>
    </row>
    <row r="1757" spans="1:15" ht="20.100000000000001" customHeight="1" x14ac:dyDescent="0.25">
      <c r="A1757" s="89">
        <v>190</v>
      </c>
      <c r="B1757" s="4">
        <v>43895</v>
      </c>
      <c r="C1757" s="5" t="s">
        <v>442</v>
      </c>
      <c r="D1757" s="3">
        <v>2498</v>
      </c>
      <c r="E1757" s="4">
        <v>43896</v>
      </c>
      <c r="F1757" s="92" t="s">
        <v>28</v>
      </c>
      <c r="G1757" s="32">
        <v>43901</v>
      </c>
      <c r="H1757" s="27">
        <f t="shared" si="224"/>
        <v>2498</v>
      </c>
      <c r="I1757" s="27">
        <f>H1757</f>
        <v>2498</v>
      </c>
      <c r="J1757" s="27"/>
      <c r="K1757" s="99"/>
      <c r="L1757" s="27">
        <v>1948</v>
      </c>
      <c r="M1757" s="29">
        <f t="shared" si="225"/>
        <v>550</v>
      </c>
      <c r="N1757" s="29">
        <f>M1757</f>
        <v>550</v>
      </c>
      <c r="O1757" s="44">
        <f t="shared" si="226"/>
        <v>0.22017614091273019</v>
      </c>
    </row>
    <row r="1758" spans="1:15" ht="20.100000000000001" customHeight="1" x14ac:dyDescent="0.25">
      <c r="A1758" s="89">
        <v>193</v>
      </c>
      <c r="B1758" s="4">
        <v>43896</v>
      </c>
      <c r="C1758" s="26" t="s">
        <v>30</v>
      </c>
      <c r="D1758" s="3">
        <v>2282</v>
      </c>
      <c r="E1758" s="4">
        <v>43896</v>
      </c>
      <c r="F1758" s="92" t="s">
        <v>28</v>
      </c>
      <c r="G1758" s="32">
        <v>43900</v>
      </c>
      <c r="H1758" s="27">
        <f t="shared" si="224"/>
        <v>2282</v>
      </c>
      <c r="I1758" s="27"/>
      <c r="J1758" s="27"/>
      <c r="K1758" s="99"/>
      <c r="L1758" s="27">
        <v>1760</v>
      </c>
      <c r="M1758" s="29">
        <f t="shared" si="225"/>
        <v>522</v>
      </c>
      <c r="N1758" s="29"/>
      <c r="O1758" s="44">
        <f t="shared" si="226"/>
        <v>0.22874671340929009</v>
      </c>
    </row>
    <row r="1759" spans="1:15" ht="20.100000000000001" customHeight="1" x14ac:dyDescent="0.25">
      <c r="A1759" s="89">
        <v>36</v>
      </c>
      <c r="B1759" s="4">
        <v>43852</v>
      </c>
      <c r="C1759" s="26" t="s">
        <v>99</v>
      </c>
      <c r="D1759" s="3">
        <v>181136</v>
      </c>
      <c r="E1759" s="4">
        <v>43900</v>
      </c>
      <c r="F1759" s="92" t="s">
        <v>28</v>
      </c>
      <c r="G1759" s="32">
        <v>43868</v>
      </c>
      <c r="H1759" s="27">
        <f t="shared" si="224"/>
        <v>181136</v>
      </c>
      <c r="I1759" s="27"/>
      <c r="J1759" s="27">
        <v>30000</v>
      </c>
      <c r="K1759" s="99">
        <f>10*600</f>
        <v>6000</v>
      </c>
      <c r="L1759" s="27">
        <v>62081</v>
      </c>
      <c r="M1759" s="29">
        <f t="shared" si="225"/>
        <v>83055</v>
      </c>
      <c r="N1759" s="29"/>
      <c r="O1759" s="44">
        <f t="shared" si="226"/>
        <v>0.45852287783764684</v>
      </c>
    </row>
    <row r="1760" spans="1:15" ht="20.100000000000001" customHeight="1" x14ac:dyDescent="0.25">
      <c r="A1760" s="89">
        <v>187</v>
      </c>
      <c r="B1760" s="4">
        <v>43895</v>
      </c>
      <c r="C1760" s="26" t="s">
        <v>440</v>
      </c>
      <c r="D1760" s="3">
        <v>1818</v>
      </c>
      <c r="E1760" s="4">
        <v>43901</v>
      </c>
      <c r="F1760" s="92" t="s">
        <v>28</v>
      </c>
      <c r="G1760" s="32">
        <v>43895</v>
      </c>
      <c r="H1760" s="27">
        <f t="shared" si="224"/>
        <v>1818</v>
      </c>
      <c r="I1760" s="27"/>
      <c r="J1760" s="27"/>
      <c r="K1760" s="99"/>
      <c r="L1760" s="27">
        <v>1400</v>
      </c>
      <c r="M1760" s="29">
        <f t="shared" si="225"/>
        <v>418</v>
      </c>
      <c r="N1760" s="29"/>
      <c r="O1760" s="44">
        <f t="shared" si="226"/>
        <v>0.22992299229922991</v>
      </c>
    </row>
    <row r="1761" spans="1:15" ht="20.100000000000001" customHeight="1" x14ac:dyDescent="0.25">
      <c r="A1761" s="89">
        <v>186</v>
      </c>
      <c r="B1761" s="4">
        <v>43895</v>
      </c>
      <c r="C1761" s="26" t="s">
        <v>353</v>
      </c>
      <c r="D1761" s="3">
        <v>335490</v>
      </c>
      <c r="E1761" s="4">
        <v>43901</v>
      </c>
      <c r="F1761" s="92" t="s">
        <v>28</v>
      </c>
      <c r="G1761" s="32">
        <v>43908</v>
      </c>
      <c r="H1761" s="27">
        <f t="shared" si="224"/>
        <v>335490</v>
      </c>
      <c r="I1761" s="27"/>
      <c r="J1761" s="27"/>
      <c r="K1761" s="99"/>
      <c r="L1761" s="27">
        <v>246384</v>
      </c>
      <c r="M1761" s="29">
        <f t="shared" si="225"/>
        <v>89106</v>
      </c>
      <c r="N1761" s="29"/>
      <c r="O1761" s="44">
        <f t="shared" si="226"/>
        <v>0.26559957077707236</v>
      </c>
    </row>
    <row r="1762" spans="1:15" ht="20.100000000000001" customHeight="1" x14ac:dyDescent="0.25">
      <c r="A1762" s="89">
        <v>185</v>
      </c>
      <c r="B1762" s="4">
        <v>43895</v>
      </c>
      <c r="C1762" s="26" t="s">
        <v>353</v>
      </c>
      <c r="D1762" s="3">
        <v>3952</v>
      </c>
      <c r="E1762" s="4">
        <v>43901</v>
      </c>
      <c r="F1762" s="92" t="s">
        <v>28</v>
      </c>
      <c r="G1762" s="32">
        <v>43908</v>
      </c>
      <c r="H1762" s="27">
        <f t="shared" si="224"/>
        <v>3952</v>
      </c>
      <c r="I1762" s="27"/>
      <c r="J1762" s="27"/>
      <c r="K1762" s="99"/>
      <c r="L1762" s="27">
        <v>3083</v>
      </c>
      <c r="M1762" s="29">
        <f t="shared" si="225"/>
        <v>869</v>
      </c>
      <c r="N1762" s="29"/>
      <c r="O1762" s="44">
        <f t="shared" si="226"/>
        <v>0.21988866396761134</v>
      </c>
    </row>
    <row r="1763" spans="1:15" ht="20.100000000000001" customHeight="1" x14ac:dyDescent="0.25">
      <c r="A1763" s="89">
        <v>176</v>
      </c>
      <c r="B1763" s="4">
        <v>43893</v>
      </c>
      <c r="C1763" s="26" t="s">
        <v>169</v>
      </c>
      <c r="D1763" s="3">
        <v>102084</v>
      </c>
      <c r="E1763" s="4">
        <v>43901</v>
      </c>
      <c r="F1763" s="92" t="s">
        <v>28</v>
      </c>
      <c r="G1763" s="32">
        <v>43907</v>
      </c>
      <c r="H1763" s="27">
        <f t="shared" si="224"/>
        <v>102084</v>
      </c>
      <c r="I1763" s="27"/>
      <c r="J1763" s="27"/>
      <c r="K1763" s="99">
        <v>600</v>
      </c>
      <c r="L1763" s="27">
        <v>72309</v>
      </c>
      <c r="M1763" s="29">
        <f t="shared" si="225"/>
        <v>29175</v>
      </c>
      <c r="N1763" s="29"/>
      <c r="O1763" s="44">
        <f t="shared" si="226"/>
        <v>0.28579405195721169</v>
      </c>
    </row>
    <row r="1764" spans="1:15" ht="20.100000000000001" customHeight="1" x14ac:dyDescent="0.25">
      <c r="A1764" s="89">
        <v>171</v>
      </c>
      <c r="B1764" s="4">
        <v>43889</v>
      </c>
      <c r="C1764" s="26" t="s">
        <v>209</v>
      </c>
      <c r="D1764" s="3">
        <v>3959.3</v>
      </c>
      <c r="E1764" s="4">
        <v>43902</v>
      </c>
      <c r="F1764" s="92" t="s">
        <v>28</v>
      </c>
      <c r="G1764" s="32">
        <v>43889</v>
      </c>
      <c r="H1764" s="27">
        <f t="shared" si="224"/>
        <v>3959.3</v>
      </c>
      <c r="I1764" s="27"/>
      <c r="J1764" s="27"/>
      <c r="K1764" s="99"/>
      <c r="L1764" s="27">
        <v>3633</v>
      </c>
      <c r="M1764" s="29">
        <f t="shared" si="225"/>
        <v>326.30000000000018</v>
      </c>
      <c r="N1764" s="29"/>
      <c r="O1764" s="44">
        <f t="shared" si="226"/>
        <v>8.2413557952163305E-2</v>
      </c>
    </row>
    <row r="1765" spans="1:15" ht="20.100000000000001" customHeight="1" x14ac:dyDescent="0.25">
      <c r="A1765" s="89">
        <v>206</v>
      </c>
      <c r="B1765" s="4">
        <v>43901</v>
      </c>
      <c r="C1765" s="26" t="s">
        <v>209</v>
      </c>
      <c r="D1765" s="3">
        <v>2901.9</v>
      </c>
      <c r="E1765" s="4">
        <v>43902</v>
      </c>
      <c r="F1765" s="92" t="s">
        <v>28</v>
      </c>
      <c r="G1765" s="32">
        <v>43917</v>
      </c>
      <c r="H1765" s="27">
        <f t="shared" si="224"/>
        <v>2901.9</v>
      </c>
      <c r="I1765" s="27"/>
      <c r="J1765" s="27"/>
      <c r="K1765" s="99"/>
      <c r="L1765" s="27">
        <v>2619</v>
      </c>
      <c r="M1765" s="29">
        <f t="shared" si="225"/>
        <v>282.90000000000009</v>
      </c>
      <c r="N1765" s="29"/>
      <c r="O1765" s="44">
        <f t="shared" si="226"/>
        <v>9.748785278610568E-2</v>
      </c>
    </row>
    <row r="1766" spans="1:15" ht="20.100000000000001" customHeight="1" x14ac:dyDescent="0.25">
      <c r="A1766" s="89">
        <v>214</v>
      </c>
      <c r="B1766" s="4">
        <v>43903</v>
      </c>
      <c r="C1766" s="5" t="s">
        <v>443</v>
      </c>
      <c r="D1766" s="3">
        <v>61125</v>
      </c>
      <c r="E1766" s="4">
        <v>43903</v>
      </c>
      <c r="F1766" s="92" t="s">
        <v>28</v>
      </c>
      <c r="G1766" s="32">
        <v>43906</v>
      </c>
      <c r="H1766" s="27">
        <f t="shared" si="224"/>
        <v>61125</v>
      </c>
      <c r="I1766" s="27">
        <f>H1766</f>
        <v>61125</v>
      </c>
      <c r="J1766" s="27"/>
      <c r="K1766" s="99"/>
      <c r="L1766" s="27">
        <v>44637</v>
      </c>
      <c r="M1766" s="29">
        <f t="shared" si="225"/>
        <v>16488</v>
      </c>
      <c r="N1766" s="29">
        <f>M1766</f>
        <v>16488</v>
      </c>
      <c r="O1766" s="44">
        <f t="shared" si="226"/>
        <v>0.26974233128834357</v>
      </c>
    </row>
    <row r="1767" spans="1:15" ht="20.100000000000001" customHeight="1" x14ac:dyDescent="0.25">
      <c r="A1767" s="89">
        <v>210</v>
      </c>
      <c r="B1767" s="4">
        <v>43902</v>
      </c>
      <c r="C1767" s="26" t="s">
        <v>281</v>
      </c>
      <c r="D1767" s="3">
        <v>20980</v>
      </c>
      <c r="E1767" s="4">
        <v>43903</v>
      </c>
      <c r="F1767" s="92" t="s">
        <v>28</v>
      </c>
      <c r="G1767" s="32">
        <v>43903</v>
      </c>
      <c r="H1767" s="27">
        <f t="shared" si="224"/>
        <v>20980</v>
      </c>
      <c r="I1767" s="27"/>
      <c r="J1767" s="27"/>
      <c r="K1767" s="99"/>
      <c r="L1767" s="27">
        <v>15406</v>
      </c>
      <c r="M1767" s="29">
        <f t="shared" si="225"/>
        <v>5574</v>
      </c>
      <c r="N1767" s="29"/>
      <c r="O1767" s="44">
        <f t="shared" si="226"/>
        <v>0.26568160152526216</v>
      </c>
    </row>
    <row r="1768" spans="1:15" ht="20.100000000000001" customHeight="1" x14ac:dyDescent="0.25">
      <c r="A1768" s="89">
        <v>201</v>
      </c>
      <c r="B1768" s="4">
        <v>43901</v>
      </c>
      <c r="C1768" s="26" t="s">
        <v>270</v>
      </c>
      <c r="D1768" s="3">
        <v>3423</v>
      </c>
      <c r="E1768" s="4">
        <v>43903</v>
      </c>
      <c r="F1768" s="92" t="s">
        <v>28</v>
      </c>
      <c r="G1768" s="32">
        <v>43910</v>
      </c>
      <c r="H1768" s="27">
        <f t="shared" si="224"/>
        <v>3423</v>
      </c>
      <c r="I1768" s="27"/>
      <c r="J1768" s="27"/>
      <c r="K1768" s="99"/>
      <c r="L1768" s="27">
        <v>2640</v>
      </c>
      <c r="M1768" s="29">
        <f t="shared" si="225"/>
        <v>783</v>
      </c>
      <c r="N1768" s="29"/>
      <c r="O1768" s="44">
        <f t="shared" si="226"/>
        <v>0.22874671340929009</v>
      </c>
    </row>
    <row r="1769" spans="1:15" ht="20.100000000000001" customHeight="1" x14ac:dyDescent="0.25">
      <c r="A1769" s="89">
        <v>177</v>
      </c>
      <c r="B1769" s="4">
        <v>43893</v>
      </c>
      <c r="C1769" s="26" t="s">
        <v>49</v>
      </c>
      <c r="D1769" s="3">
        <v>2697</v>
      </c>
      <c r="E1769" s="4">
        <v>43907</v>
      </c>
      <c r="F1769" s="92" t="s">
        <v>28</v>
      </c>
      <c r="G1769" s="32">
        <v>43894</v>
      </c>
      <c r="H1769" s="27">
        <f t="shared" si="224"/>
        <v>2697</v>
      </c>
      <c r="I1769" s="27"/>
      <c r="J1769" s="27"/>
      <c r="K1769" s="99"/>
      <c r="L1769" s="27">
        <v>1365</v>
      </c>
      <c r="M1769" s="29">
        <f t="shared" si="225"/>
        <v>1332</v>
      </c>
      <c r="N1769" s="29"/>
      <c r="O1769" s="44">
        <f t="shared" si="226"/>
        <v>0.4938820912124583</v>
      </c>
    </row>
    <row r="1770" spans="1:15" ht="20.100000000000001" customHeight="1" x14ac:dyDescent="0.25">
      <c r="A1770" s="89">
        <v>221</v>
      </c>
      <c r="B1770" s="4">
        <v>43907</v>
      </c>
      <c r="C1770" s="26" t="s">
        <v>444</v>
      </c>
      <c r="D1770" s="3">
        <v>1290</v>
      </c>
      <c r="E1770" s="4">
        <v>43907</v>
      </c>
      <c r="F1770" s="92" t="s">
        <v>28</v>
      </c>
      <c r="G1770" s="32">
        <v>43909</v>
      </c>
      <c r="H1770" s="27">
        <f t="shared" si="224"/>
        <v>1290</v>
      </c>
      <c r="I1770" s="27"/>
      <c r="J1770" s="27"/>
      <c r="K1770" s="99"/>
      <c r="L1770" s="27">
        <v>1005</v>
      </c>
      <c r="M1770" s="29">
        <f t="shared" si="225"/>
        <v>285</v>
      </c>
      <c r="N1770" s="29"/>
      <c r="O1770" s="44">
        <f t="shared" si="226"/>
        <v>0.22093023255813954</v>
      </c>
    </row>
    <row r="1771" spans="1:15" ht="20.100000000000001" customHeight="1" x14ac:dyDescent="0.25">
      <c r="A1771" s="89">
        <v>220</v>
      </c>
      <c r="B1771" s="4">
        <v>43907</v>
      </c>
      <c r="C1771" s="26" t="s">
        <v>169</v>
      </c>
      <c r="D1771" s="3">
        <v>12000</v>
      </c>
      <c r="E1771" s="4">
        <v>43908</v>
      </c>
      <c r="F1771" s="92" t="s">
        <v>28</v>
      </c>
      <c r="G1771" s="32">
        <v>43917</v>
      </c>
      <c r="H1771" s="27">
        <f t="shared" si="224"/>
        <v>12000</v>
      </c>
      <c r="I1771" s="27"/>
      <c r="J1771" s="27"/>
      <c r="K1771" s="99">
        <v>1200</v>
      </c>
      <c r="L1771" s="27">
        <v>3117</v>
      </c>
      <c r="M1771" s="29">
        <f t="shared" si="225"/>
        <v>7683</v>
      </c>
      <c r="N1771" s="29"/>
      <c r="O1771" s="44">
        <f t="shared" si="226"/>
        <v>0.64024999999999999</v>
      </c>
    </row>
    <row r="1772" spans="1:15" ht="20.100000000000001" customHeight="1" x14ac:dyDescent="0.25">
      <c r="A1772" s="89">
        <v>227</v>
      </c>
      <c r="B1772" s="4">
        <v>43908</v>
      </c>
      <c r="C1772" s="5" t="s">
        <v>445</v>
      </c>
      <c r="D1772" s="3">
        <v>8689</v>
      </c>
      <c r="E1772" s="4">
        <v>43909</v>
      </c>
      <c r="F1772" s="92" t="s">
        <v>28</v>
      </c>
      <c r="G1772" s="32">
        <v>43908</v>
      </c>
      <c r="H1772" s="27">
        <f t="shared" si="224"/>
        <v>8689</v>
      </c>
      <c r="I1772" s="27">
        <f>H1772</f>
        <v>8689</v>
      </c>
      <c r="J1772" s="27"/>
      <c r="K1772" s="99"/>
      <c r="L1772" s="27">
        <v>5682</v>
      </c>
      <c r="M1772" s="29">
        <f t="shared" si="225"/>
        <v>3007</v>
      </c>
      <c r="N1772" s="29">
        <f>M1772</f>
        <v>3007</v>
      </c>
      <c r="O1772" s="44">
        <f t="shared" si="226"/>
        <v>0.34606974335366553</v>
      </c>
    </row>
    <row r="1773" spans="1:15" ht="20.100000000000001" customHeight="1" x14ac:dyDescent="0.25">
      <c r="A1773" s="89">
        <v>216</v>
      </c>
      <c r="B1773" s="4">
        <v>43906</v>
      </c>
      <c r="C1773" s="26" t="s">
        <v>139</v>
      </c>
      <c r="D1773" s="3">
        <v>24920</v>
      </c>
      <c r="E1773" s="4">
        <v>43909</v>
      </c>
      <c r="F1773" s="92" t="s">
        <v>28</v>
      </c>
      <c r="G1773" s="32">
        <v>43930</v>
      </c>
      <c r="H1773" s="27">
        <f t="shared" si="224"/>
        <v>24920</v>
      </c>
      <c r="I1773" s="27"/>
      <c r="J1773" s="27"/>
      <c r="K1773" s="99"/>
      <c r="L1773" s="27">
        <v>18360</v>
      </c>
      <c r="M1773" s="29">
        <f t="shared" si="225"/>
        <v>6560</v>
      </c>
      <c r="N1773" s="29"/>
      <c r="O1773" s="44">
        <f t="shared" si="226"/>
        <v>0.26324237560192615</v>
      </c>
    </row>
    <row r="1774" spans="1:15" ht="20.100000000000001" customHeight="1" x14ac:dyDescent="0.25">
      <c r="A1774" s="89">
        <v>240</v>
      </c>
      <c r="B1774" s="4">
        <v>43910</v>
      </c>
      <c r="C1774" s="26" t="s">
        <v>209</v>
      </c>
      <c r="D1774" s="3">
        <v>7669.55</v>
      </c>
      <c r="E1774" s="4">
        <v>43910</v>
      </c>
      <c r="F1774" s="92" t="s">
        <v>28</v>
      </c>
      <c r="G1774" s="32">
        <v>43913</v>
      </c>
      <c r="H1774" s="27">
        <f t="shared" si="224"/>
        <v>7669.55</v>
      </c>
      <c r="I1774" s="27"/>
      <c r="J1774" s="27"/>
      <c r="K1774" s="99"/>
      <c r="L1774" s="27">
        <v>5952</v>
      </c>
      <c r="M1774" s="29">
        <f t="shared" si="225"/>
        <v>1717.5500000000002</v>
      </c>
      <c r="N1774" s="29"/>
      <c r="O1774" s="44">
        <f t="shared" si="226"/>
        <v>0.22394403843771801</v>
      </c>
    </row>
    <row r="1775" spans="1:15" ht="20.100000000000001" customHeight="1" x14ac:dyDescent="0.25">
      <c r="A1775" s="89">
        <v>235</v>
      </c>
      <c r="B1775" s="4">
        <v>43909</v>
      </c>
      <c r="C1775" s="26" t="s">
        <v>403</v>
      </c>
      <c r="D1775" s="3">
        <v>5486</v>
      </c>
      <c r="E1775" s="4">
        <v>43913</v>
      </c>
      <c r="F1775" s="92" t="s">
        <v>28</v>
      </c>
      <c r="G1775" s="32">
        <v>43914</v>
      </c>
      <c r="H1775" s="27">
        <f t="shared" si="224"/>
        <v>5486</v>
      </c>
      <c r="I1775" s="27"/>
      <c r="J1775" s="27"/>
      <c r="K1775" s="99"/>
      <c r="L1775" s="27">
        <v>4224</v>
      </c>
      <c r="M1775" s="29">
        <f t="shared" si="225"/>
        <v>1262</v>
      </c>
      <c r="N1775" s="29"/>
      <c r="O1775" s="44">
        <f t="shared" si="226"/>
        <v>0.23004010207801678</v>
      </c>
    </row>
    <row r="1776" spans="1:15" ht="20.100000000000001" customHeight="1" x14ac:dyDescent="0.25">
      <c r="A1776" s="89">
        <v>239</v>
      </c>
      <c r="B1776" s="4">
        <v>43910</v>
      </c>
      <c r="C1776" s="26" t="s">
        <v>179</v>
      </c>
      <c r="D1776" s="3">
        <v>5486</v>
      </c>
      <c r="E1776" s="4">
        <v>43913</v>
      </c>
      <c r="F1776" s="92" t="s">
        <v>28</v>
      </c>
      <c r="G1776" s="32">
        <v>43915</v>
      </c>
      <c r="H1776" s="27">
        <f t="shared" si="224"/>
        <v>5486</v>
      </c>
      <c r="I1776" s="27"/>
      <c r="J1776" s="27"/>
      <c r="K1776" s="99"/>
      <c r="L1776" s="27">
        <v>4224</v>
      </c>
      <c r="M1776" s="29">
        <f t="shared" si="225"/>
        <v>1262</v>
      </c>
      <c r="N1776" s="29"/>
      <c r="O1776" s="44">
        <f t="shared" si="226"/>
        <v>0.23004010207801678</v>
      </c>
    </row>
    <row r="1777" spans="1:15" ht="20.100000000000001" customHeight="1" x14ac:dyDescent="0.25">
      <c r="A1777" s="89">
        <v>242</v>
      </c>
      <c r="B1777" s="4">
        <v>43910</v>
      </c>
      <c r="C1777" s="26" t="s">
        <v>404</v>
      </c>
      <c r="D1777" s="3">
        <v>3858</v>
      </c>
      <c r="E1777" s="4">
        <v>43913</v>
      </c>
      <c r="F1777" s="92" t="s">
        <v>28</v>
      </c>
      <c r="G1777" s="32">
        <v>43931</v>
      </c>
      <c r="H1777" s="27">
        <f t="shared" si="224"/>
        <v>3858</v>
      </c>
      <c r="I1777" s="27"/>
      <c r="J1777" s="27"/>
      <c r="K1777" s="99"/>
      <c r="L1777" s="27">
        <v>2626</v>
      </c>
      <c r="M1777" s="29">
        <f t="shared" si="225"/>
        <v>1232</v>
      </c>
      <c r="N1777" s="29"/>
      <c r="O1777" s="44">
        <f t="shared" si="226"/>
        <v>0.31933644375324</v>
      </c>
    </row>
    <row r="1778" spans="1:15" ht="20.100000000000001" customHeight="1" x14ac:dyDescent="0.25">
      <c r="A1778" s="89">
        <v>245</v>
      </c>
      <c r="B1778" s="4">
        <v>43913</v>
      </c>
      <c r="C1778" s="26" t="s">
        <v>230</v>
      </c>
      <c r="D1778" s="3">
        <v>15043</v>
      </c>
      <c r="E1778" s="4">
        <v>43913</v>
      </c>
      <c r="F1778" s="92" t="s">
        <v>28</v>
      </c>
      <c r="G1778" s="32">
        <v>43920</v>
      </c>
      <c r="H1778" s="27">
        <f t="shared" si="224"/>
        <v>15043</v>
      </c>
      <c r="I1778" s="27"/>
      <c r="J1778" s="27"/>
      <c r="K1778" s="99"/>
      <c r="L1778" s="27">
        <v>8892</v>
      </c>
      <c r="M1778" s="29">
        <f t="shared" si="225"/>
        <v>6151</v>
      </c>
      <c r="N1778" s="29"/>
      <c r="O1778" s="44">
        <f t="shared" si="226"/>
        <v>0.4088945024263777</v>
      </c>
    </row>
    <row r="1779" spans="1:15" ht="20.100000000000001" customHeight="1" x14ac:dyDescent="0.25">
      <c r="A1779" s="89">
        <v>254</v>
      </c>
      <c r="B1779" s="4">
        <v>43914</v>
      </c>
      <c r="C1779" s="5" t="s">
        <v>446</v>
      </c>
      <c r="D1779" s="3">
        <v>7990</v>
      </c>
      <c r="E1779" s="4">
        <v>43914</v>
      </c>
      <c r="F1779" s="92" t="s">
        <v>28</v>
      </c>
      <c r="G1779" s="32">
        <v>43916</v>
      </c>
      <c r="H1779" s="27">
        <f t="shared" si="224"/>
        <v>7990</v>
      </c>
      <c r="I1779" s="27">
        <f>H1779</f>
        <v>7990</v>
      </c>
      <c r="J1779" s="27"/>
      <c r="K1779" s="99"/>
      <c r="L1779" s="27">
        <v>5505</v>
      </c>
      <c r="M1779" s="29">
        <f t="shared" si="225"/>
        <v>2485</v>
      </c>
      <c r="N1779" s="29">
        <f>M1779</f>
        <v>2485</v>
      </c>
      <c r="O1779" s="44">
        <f t="shared" si="226"/>
        <v>0.31101376720901125</v>
      </c>
    </row>
    <row r="1780" spans="1:15" ht="20.100000000000001" customHeight="1" x14ac:dyDescent="0.25">
      <c r="A1780" s="89">
        <v>251</v>
      </c>
      <c r="B1780" s="4">
        <v>43914</v>
      </c>
      <c r="C1780" s="26" t="s">
        <v>149</v>
      </c>
      <c r="D1780" s="3">
        <v>2055</v>
      </c>
      <c r="E1780" s="4">
        <v>43914</v>
      </c>
      <c r="F1780" s="92" t="s">
        <v>28</v>
      </c>
      <c r="G1780" s="32">
        <v>43917</v>
      </c>
      <c r="H1780" s="27">
        <f t="shared" si="224"/>
        <v>2055</v>
      </c>
      <c r="I1780" s="27"/>
      <c r="J1780" s="27"/>
      <c r="K1780" s="99"/>
      <c r="L1780" s="27">
        <v>613</v>
      </c>
      <c r="M1780" s="29">
        <f t="shared" si="225"/>
        <v>1442</v>
      </c>
      <c r="N1780" s="29"/>
      <c r="O1780" s="44">
        <f t="shared" si="226"/>
        <v>0.70170316301703162</v>
      </c>
    </row>
    <row r="1781" spans="1:15" ht="20.100000000000001" customHeight="1" x14ac:dyDescent="0.25">
      <c r="A1781" s="89">
        <v>116</v>
      </c>
      <c r="B1781" s="4">
        <v>43871</v>
      </c>
      <c r="C1781" s="26" t="s">
        <v>99</v>
      </c>
      <c r="D1781" s="3">
        <v>200523</v>
      </c>
      <c r="E1781" s="4">
        <v>43915</v>
      </c>
      <c r="F1781" s="92" t="s">
        <v>28</v>
      </c>
      <c r="G1781" s="32">
        <v>43878</v>
      </c>
      <c r="H1781" s="27">
        <f t="shared" si="224"/>
        <v>200523</v>
      </c>
      <c r="I1781" s="27"/>
      <c r="J1781" s="27">
        <v>30000</v>
      </c>
      <c r="K1781" s="99">
        <f>10*600</f>
        <v>6000</v>
      </c>
      <c r="L1781" s="27">
        <v>77148</v>
      </c>
      <c r="M1781" s="29">
        <f t="shared" si="225"/>
        <v>87375</v>
      </c>
      <c r="N1781" s="29"/>
      <c r="O1781" s="44">
        <f t="shared" si="226"/>
        <v>0.4357355515327419</v>
      </c>
    </row>
    <row r="1782" spans="1:15" ht="20.100000000000001" customHeight="1" x14ac:dyDescent="0.25">
      <c r="A1782" s="89">
        <v>178</v>
      </c>
      <c r="B1782" s="4">
        <v>43893</v>
      </c>
      <c r="C1782" s="26" t="s">
        <v>77</v>
      </c>
      <c r="D1782" s="3">
        <v>6464</v>
      </c>
      <c r="E1782" s="4">
        <v>43916</v>
      </c>
      <c r="F1782" s="92" t="s">
        <v>28</v>
      </c>
      <c r="G1782" s="32">
        <v>43917</v>
      </c>
      <c r="H1782" s="27">
        <f t="shared" si="224"/>
        <v>6464</v>
      </c>
      <c r="I1782" s="27"/>
      <c r="J1782" s="27"/>
      <c r="K1782" s="99"/>
      <c r="L1782" s="27">
        <v>4995</v>
      </c>
      <c r="M1782" s="29">
        <f t="shared" si="225"/>
        <v>1469</v>
      </c>
      <c r="N1782" s="29"/>
      <c r="O1782" s="44">
        <f t="shared" si="226"/>
        <v>0.22725866336633663</v>
      </c>
    </row>
    <row r="1783" spans="1:15" ht="20.100000000000001" customHeight="1" x14ac:dyDescent="0.25">
      <c r="A1783" s="89">
        <v>218</v>
      </c>
      <c r="B1783" s="4">
        <v>43907</v>
      </c>
      <c r="C1783" s="26" t="s">
        <v>13</v>
      </c>
      <c r="D1783" s="3">
        <v>615</v>
      </c>
      <c r="E1783" s="4">
        <v>43917</v>
      </c>
      <c r="F1783" s="92" t="s">
        <v>28</v>
      </c>
      <c r="G1783" s="32">
        <v>43907</v>
      </c>
      <c r="H1783" s="27">
        <f t="shared" si="224"/>
        <v>615</v>
      </c>
      <c r="I1783" s="27"/>
      <c r="J1783" s="27"/>
      <c r="K1783" s="99"/>
      <c r="L1783" s="27">
        <v>488</v>
      </c>
      <c r="M1783" s="29">
        <f t="shared" si="225"/>
        <v>127</v>
      </c>
      <c r="N1783" s="29"/>
      <c r="O1783" s="44">
        <f t="shared" si="226"/>
        <v>0.20650406504065041</v>
      </c>
    </row>
    <row r="1784" spans="1:15" ht="20.100000000000001" customHeight="1" x14ac:dyDescent="0.25">
      <c r="A1784" s="89">
        <v>223</v>
      </c>
      <c r="B1784" s="4">
        <v>43908</v>
      </c>
      <c r="C1784" s="26" t="s">
        <v>174</v>
      </c>
      <c r="D1784" s="3">
        <v>2690</v>
      </c>
      <c r="E1784" s="4">
        <v>43917</v>
      </c>
      <c r="F1784" s="92" t="s">
        <v>28</v>
      </c>
      <c r="G1784" s="4">
        <v>43938</v>
      </c>
      <c r="H1784" s="27">
        <f t="shared" si="224"/>
        <v>2690</v>
      </c>
      <c r="I1784" s="27"/>
      <c r="J1784" s="27"/>
      <c r="K1784" s="99"/>
      <c r="L1784" s="27">
        <v>2382</v>
      </c>
      <c r="M1784" s="29">
        <f t="shared" si="225"/>
        <v>308</v>
      </c>
      <c r="N1784" s="29"/>
      <c r="O1784" s="44">
        <f t="shared" si="226"/>
        <v>0.11449814126394052</v>
      </c>
    </row>
    <row r="1785" spans="1:15" ht="20.100000000000001" customHeight="1" x14ac:dyDescent="0.25">
      <c r="A1785" s="89">
        <v>69</v>
      </c>
      <c r="B1785" s="4">
        <v>43901</v>
      </c>
      <c r="C1785" s="26" t="s">
        <v>228</v>
      </c>
      <c r="D1785" s="3">
        <v>73382</v>
      </c>
      <c r="E1785" s="4">
        <v>43917</v>
      </c>
      <c r="F1785" s="92" t="s">
        <v>28</v>
      </c>
      <c r="G1785" s="32">
        <v>43903</v>
      </c>
      <c r="H1785" s="27">
        <f t="shared" si="224"/>
        <v>73382</v>
      </c>
      <c r="I1785" s="27"/>
      <c r="J1785" s="27"/>
      <c r="K1785" s="99">
        <v>1200</v>
      </c>
      <c r="L1785" s="27">
        <v>43493</v>
      </c>
      <c r="M1785" s="29">
        <f t="shared" si="225"/>
        <v>28689</v>
      </c>
      <c r="N1785" s="29"/>
      <c r="O1785" s="44">
        <f t="shared" si="226"/>
        <v>0.39095418494998774</v>
      </c>
    </row>
    <row r="1786" spans="1:15" ht="20.100000000000001" customHeight="1" x14ac:dyDescent="0.25">
      <c r="A1786" s="89">
        <v>204</v>
      </c>
      <c r="B1786" s="4">
        <v>43901</v>
      </c>
      <c r="C1786" s="26" t="s">
        <v>228</v>
      </c>
      <c r="D1786" s="3">
        <v>28055</v>
      </c>
      <c r="E1786" s="4">
        <v>43917</v>
      </c>
      <c r="F1786" s="92" t="s">
        <v>28</v>
      </c>
      <c r="G1786" s="32">
        <v>43959</v>
      </c>
      <c r="H1786" s="27">
        <f t="shared" si="224"/>
        <v>28055</v>
      </c>
      <c r="I1786" s="27"/>
      <c r="J1786" s="27"/>
      <c r="K1786" s="99"/>
      <c r="L1786" s="27">
        <v>19838</v>
      </c>
      <c r="M1786" s="29">
        <f t="shared" si="225"/>
        <v>8217</v>
      </c>
      <c r="N1786" s="29"/>
      <c r="O1786" s="44">
        <f t="shared" si="226"/>
        <v>0.29288896809837817</v>
      </c>
    </row>
    <row r="1787" spans="1:15" ht="20.100000000000001" customHeight="1" x14ac:dyDescent="0.25">
      <c r="A1787" s="89">
        <v>262</v>
      </c>
      <c r="B1787" s="4">
        <v>43917</v>
      </c>
      <c r="C1787" s="5" t="s">
        <v>447</v>
      </c>
      <c r="D1787" s="3">
        <v>22490</v>
      </c>
      <c r="E1787" s="4">
        <v>43920</v>
      </c>
      <c r="F1787" s="92" t="s">
        <v>28</v>
      </c>
      <c r="G1787" s="32">
        <v>43927</v>
      </c>
      <c r="H1787" s="27">
        <f t="shared" si="224"/>
        <v>22490</v>
      </c>
      <c r="I1787" s="27">
        <f>H1787</f>
        <v>22490</v>
      </c>
      <c r="J1787" s="27"/>
      <c r="K1787" s="99"/>
      <c r="L1787" s="27">
        <v>14112</v>
      </c>
      <c r="M1787" s="29">
        <f t="shared" si="225"/>
        <v>8378</v>
      </c>
      <c r="N1787" s="29">
        <f>M1787</f>
        <v>8378</v>
      </c>
      <c r="O1787" s="44">
        <f t="shared" si="226"/>
        <v>0.37252112049799913</v>
      </c>
    </row>
    <row r="1788" spans="1:15" ht="20.100000000000001" customHeight="1" x14ac:dyDescent="0.25">
      <c r="A1788" s="89">
        <v>249</v>
      </c>
      <c r="B1788" s="4">
        <v>43913</v>
      </c>
      <c r="C1788" s="26" t="s">
        <v>278</v>
      </c>
      <c r="D1788" s="3">
        <v>5458</v>
      </c>
      <c r="E1788" s="4">
        <v>43921</v>
      </c>
      <c r="F1788" s="92" t="s">
        <v>28</v>
      </c>
      <c r="G1788" s="32">
        <v>43934</v>
      </c>
      <c r="H1788" s="27">
        <f t="shared" si="224"/>
        <v>5458</v>
      </c>
      <c r="I1788" s="27"/>
      <c r="J1788" s="27"/>
      <c r="K1788" s="99"/>
      <c r="L1788" s="27">
        <v>4703</v>
      </c>
      <c r="M1788" s="29">
        <f t="shared" si="225"/>
        <v>755</v>
      </c>
      <c r="N1788" s="29"/>
      <c r="O1788" s="44">
        <f t="shared" si="226"/>
        <v>0.13832905826310005</v>
      </c>
    </row>
    <row r="1789" spans="1:15" ht="20.100000000000001" customHeight="1" x14ac:dyDescent="0.25">
      <c r="A1789" s="89">
        <v>264</v>
      </c>
      <c r="B1789" s="4">
        <v>43917</v>
      </c>
      <c r="C1789" s="26" t="s">
        <v>209</v>
      </c>
      <c r="D1789" s="3">
        <v>6093.95</v>
      </c>
      <c r="E1789" s="4">
        <v>43921</v>
      </c>
      <c r="F1789" s="92" t="s">
        <v>28</v>
      </c>
      <c r="G1789" s="32">
        <v>43966</v>
      </c>
      <c r="H1789" s="27">
        <f t="shared" si="224"/>
        <v>6093.95</v>
      </c>
      <c r="I1789" s="27"/>
      <c r="J1789" s="27"/>
      <c r="K1789" s="99"/>
      <c r="L1789" s="27">
        <v>5258</v>
      </c>
      <c r="M1789" s="29">
        <f t="shared" si="225"/>
        <v>835.94999999999982</v>
      </c>
      <c r="N1789" s="29"/>
      <c r="O1789" s="44">
        <f t="shared" si="226"/>
        <v>0.1371770362408618</v>
      </c>
    </row>
    <row r="1790" spans="1:15" ht="19.5" customHeight="1" x14ac:dyDescent="0.25">
      <c r="A1790" s="89"/>
      <c r="B1790" s="4"/>
      <c r="C1790" s="5"/>
      <c r="D1790" s="3"/>
      <c r="E1790" s="97">
        <v>83750</v>
      </c>
      <c r="F1790" s="98">
        <f>M1790*0.17+N1790*0.06+10000</f>
        <v>83699.310500000007</v>
      </c>
      <c r="G1790" s="21">
        <f>H1790*0.05+I1790*0.02+10000</f>
        <v>75427.672500000015</v>
      </c>
      <c r="H1790" s="16">
        <f t="shared" ref="H1790:N1790" si="227">SUM(H1750:H1789)</f>
        <v>1267436.6500000001</v>
      </c>
      <c r="I1790" s="16">
        <f t="shared" si="227"/>
        <v>102792</v>
      </c>
      <c r="J1790" s="16">
        <f t="shared" si="227"/>
        <v>60000</v>
      </c>
      <c r="K1790" s="16">
        <f t="shared" si="227"/>
        <v>15000</v>
      </c>
      <c r="L1790" s="16">
        <f t="shared" si="227"/>
        <v>769820</v>
      </c>
      <c r="M1790" s="16">
        <f t="shared" si="227"/>
        <v>422616.65</v>
      </c>
      <c r="N1790" s="16">
        <f t="shared" si="227"/>
        <v>30908</v>
      </c>
      <c r="O1790" s="44">
        <f t="shared" si="226"/>
        <v>0.33344203041627363</v>
      </c>
    </row>
    <row r="1791" spans="1:15" ht="23.25" x14ac:dyDescent="0.35">
      <c r="B1791" s="94"/>
      <c r="C1791" s="94" t="s">
        <v>638</v>
      </c>
    </row>
    <row r="1792" spans="1:15" ht="20.100000000000001" customHeight="1" x14ac:dyDescent="0.25">
      <c r="A1792" s="89">
        <v>120</v>
      </c>
      <c r="B1792" s="4">
        <v>43872</v>
      </c>
      <c r="C1792" s="26" t="s">
        <v>60</v>
      </c>
      <c r="D1792" s="3">
        <v>10766</v>
      </c>
      <c r="E1792" s="4">
        <v>43922</v>
      </c>
      <c r="F1792" s="92" t="s">
        <v>28</v>
      </c>
      <c r="G1792" s="32">
        <v>43900</v>
      </c>
      <c r="H1792" s="27">
        <f>D1792</f>
        <v>10766</v>
      </c>
      <c r="I1792" s="27"/>
      <c r="J1792" s="27"/>
      <c r="K1792" s="99"/>
      <c r="L1792" s="27">
        <v>8369</v>
      </c>
      <c r="M1792" s="29">
        <f t="shared" ref="M1792:M1809" si="228">H1792-L1792-J1792-K1792</f>
        <v>2397</v>
      </c>
      <c r="N1792" s="29"/>
      <c r="O1792" s="44">
        <f t="shared" ref="O1792:O1810" si="229">M1792/H1792</f>
        <v>0.22264536503808285</v>
      </c>
    </row>
    <row r="1793" spans="1:15" ht="20.100000000000001" customHeight="1" x14ac:dyDescent="0.25">
      <c r="A1793" s="89">
        <v>166</v>
      </c>
      <c r="B1793" s="4">
        <v>43888</v>
      </c>
      <c r="C1793" s="26" t="s">
        <v>56</v>
      </c>
      <c r="D1793" s="3">
        <v>78992</v>
      </c>
      <c r="E1793" s="4">
        <v>43930</v>
      </c>
      <c r="F1793" s="92" t="s">
        <v>28</v>
      </c>
      <c r="G1793" s="32">
        <v>43896</v>
      </c>
      <c r="H1793" s="27">
        <f>D1793</f>
        <v>78992</v>
      </c>
      <c r="I1793" s="27"/>
      <c r="J1793" s="27"/>
      <c r="K1793" s="99"/>
      <c r="L1793" s="27">
        <v>59642</v>
      </c>
      <c r="M1793" s="29">
        <f t="shared" si="228"/>
        <v>19350</v>
      </c>
      <c r="N1793" s="29"/>
      <c r="O1793" s="44">
        <f t="shared" si="229"/>
        <v>0.24496151509013572</v>
      </c>
    </row>
    <row r="1794" spans="1:15" ht="20.100000000000001" customHeight="1" x14ac:dyDescent="0.25">
      <c r="A1794" s="89">
        <v>294</v>
      </c>
      <c r="B1794" s="4">
        <v>43934</v>
      </c>
      <c r="C1794" s="5" t="s">
        <v>448</v>
      </c>
      <c r="D1794" s="3">
        <v>23640</v>
      </c>
      <c r="E1794" s="4">
        <v>43938</v>
      </c>
      <c r="F1794" s="92" t="s">
        <v>28</v>
      </c>
      <c r="G1794" s="32">
        <v>43942</v>
      </c>
      <c r="H1794" s="27">
        <v>7092</v>
      </c>
      <c r="I1794" s="27">
        <f>H1794</f>
        <v>7092</v>
      </c>
      <c r="J1794" s="27"/>
      <c r="K1794" s="99"/>
      <c r="L1794" s="27">
        <v>5205</v>
      </c>
      <c r="M1794" s="29">
        <f t="shared" si="228"/>
        <v>1887</v>
      </c>
      <c r="N1794" s="29">
        <f>M1794</f>
        <v>1887</v>
      </c>
      <c r="O1794" s="44">
        <f t="shared" si="229"/>
        <v>0.26607445008460234</v>
      </c>
    </row>
    <row r="1795" spans="1:15" ht="20.100000000000001" customHeight="1" x14ac:dyDescent="0.25">
      <c r="A1795" s="89">
        <v>304</v>
      </c>
      <c r="B1795" s="4">
        <v>43937</v>
      </c>
      <c r="C1795" s="26" t="s">
        <v>169</v>
      </c>
      <c r="D1795" s="3">
        <v>6703</v>
      </c>
      <c r="E1795" s="4">
        <v>43938</v>
      </c>
      <c r="F1795" s="92" t="s">
        <v>28</v>
      </c>
      <c r="G1795" s="32">
        <v>43937</v>
      </c>
      <c r="H1795" s="27">
        <f t="shared" ref="H1795:H1801" si="230">D1795</f>
        <v>6703</v>
      </c>
      <c r="I1795" s="27"/>
      <c r="J1795" s="27"/>
      <c r="K1795" s="99"/>
      <c r="L1795" s="27">
        <v>4513</v>
      </c>
      <c r="M1795" s="29">
        <f t="shared" si="228"/>
        <v>2190</v>
      </c>
      <c r="N1795" s="29"/>
      <c r="O1795" s="44">
        <f t="shared" si="229"/>
        <v>0.32671937938236612</v>
      </c>
    </row>
    <row r="1796" spans="1:15" ht="20.100000000000001" customHeight="1" x14ac:dyDescent="0.25">
      <c r="A1796" s="89">
        <v>319</v>
      </c>
      <c r="B1796" s="4">
        <v>43942</v>
      </c>
      <c r="C1796" s="5" t="s">
        <v>449</v>
      </c>
      <c r="D1796" s="3">
        <v>41580</v>
      </c>
      <c r="E1796" s="4">
        <v>43943</v>
      </c>
      <c r="F1796" s="92" t="s">
        <v>28</v>
      </c>
      <c r="G1796" s="32">
        <v>43945</v>
      </c>
      <c r="H1796" s="27">
        <f t="shared" si="230"/>
        <v>41580</v>
      </c>
      <c r="I1796" s="27">
        <f>H1796</f>
        <v>41580</v>
      </c>
      <c r="J1796" s="27"/>
      <c r="K1796" s="99"/>
      <c r="L1796" s="27">
        <v>30630.400000000001</v>
      </c>
      <c r="M1796" s="29">
        <f t="shared" si="228"/>
        <v>10949.599999999999</v>
      </c>
      <c r="N1796" s="29">
        <f>M1796</f>
        <v>10949.599999999999</v>
      </c>
      <c r="O1796" s="44">
        <f t="shared" si="229"/>
        <v>0.26333814333814332</v>
      </c>
    </row>
    <row r="1797" spans="1:15" ht="20.100000000000001" customHeight="1" x14ac:dyDescent="0.25">
      <c r="A1797" s="89">
        <v>320</v>
      </c>
      <c r="B1797" s="4">
        <v>43942</v>
      </c>
      <c r="C1797" s="5" t="s">
        <v>450</v>
      </c>
      <c r="D1797" s="3">
        <v>257754</v>
      </c>
      <c r="E1797" s="4">
        <v>43944</v>
      </c>
      <c r="F1797" s="92" t="s">
        <v>28</v>
      </c>
      <c r="G1797" s="32">
        <v>43951</v>
      </c>
      <c r="H1797" s="27">
        <f t="shared" si="230"/>
        <v>257754</v>
      </c>
      <c r="I1797" s="27">
        <f>H1797</f>
        <v>257754</v>
      </c>
      <c r="J1797" s="27"/>
      <c r="K1797" s="99"/>
      <c r="L1797" s="27">
        <v>188013</v>
      </c>
      <c r="M1797" s="29">
        <f t="shared" si="228"/>
        <v>69741</v>
      </c>
      <c r="N1797" s="29">
        <f>M1797</f>
        <v>69741</v>
      </c>
      <c r="O1797" s="44">
        <f t="shared" si="229"/>
        <v>0.27057194068763241</v>
      </c>
    </row>
    <row r="1798" spans="1:15" ht="20.100000000000001" customHeight="1" x14ac:dyDescent="0.25">
      <c r="A1798" s="89">
        <v>321</v>
      </c>
      <c r="B1798" s="4">
        <v>43942</v>
      </c>
      <c r="C1798" s="5" t="s">
        <v>450</v>
      </c>
      <c r="D1798" s="3">
        <v>1350</v>
      </c>
      <c r="E1798" s="4">
        <v>43944</v>
      </c>
      <c r="F1798" s="92" t="s">
        <v>28</v>
      </c>
      <c r="G1798" s="32">
        <v>43951</v>
      </c>
      <c r="H1798" s="27">
        <f t="shared" si="230"/>
        <v>1350</v>
      </c>
      <c r="I1798" s="27">
        <f>H1798</f>
        <v>1350</v>
      </c>
      <c r="J1798" s="27"/>
      <c r="K1798" s="99"/>
      <c r="L1798" s="27">
        <v>1181</v>
      </c>
      <c r="M1798" s="29">
        <f t="shared" si="228"/>
        <v>169</v>
      </c>
      <c r="N1798" s="29">
        <f>M1798</f>
        <v>169</v>
      </c>
      <c r="O1798" s="44">
        <f t="shared" si="229"/>
        <v>0.12518518518518518</v>
      </c>
    </row>
    <row r="1799" spans="1:15" ht="20.100000000000001" customHeight="1" x14ac:dyDescent="0.25">
      <c r="A1799" s="89">
        <v>195</v>
      </c>
      <c r="B1799" s="4">
        <v>43896</v>
      </c>
      <c r="C1799" s="26" t="s">
        <v>99</v>
      </c>
      <c r="D1799" s="3">
        <v>190664</v>
      </c>
      <c r="E1799" s="4">
        <v>43944</v>
      </c>
      <c r="F1799" s="92" t="s">
        <v>28</v>
      </c>
      <c r="G1799" s="32">
        <v>43916</v>
      </c>
      <c r="H1799" s="27">
        <f t="shared" si="230"/>
        <v>190664</v>
      </c>
      <c r="I1799" s="27"/>
      <c r="J1799" s="27">
        <v>30000</v>
      </c>
      <c r="K1799" s="99">
        <f>10*600</f>
        <v>6000</v>
      </c>
      <c r="L1799" s="27">
        <v>68826</v>
      </c>
      <c r="M1799" s="29">
        <f t="shared" si="228"/>
        <v>85838</v>
      </c>
      <c r="N1799" s="29"/>
      <c r="O1799" s="44">
        <f t="shared" si="229"/>
        <v>0.45020559728108084</v>
      </c>
    </row>
    <row r="1800" spans="1:15" ht="20.100000000000001" customHeight="1" x14ac:dyDescent="0.25">
      <c r="A1800" s="89">
        <v>217</v>
      </c>
      <c r="B1800" s="4">
        <v>43906</v>
      </c>
      <c r="C1800" s="26" t="s">
        <v>99</v>
      </c>
      <c r="D1800" s="3">
        <v>9746</v>
      </c>
      <c r="E1800" s="4">
        <v>43944</v>
      </c>
      <c r="F1800" s="92" t="s">
        <v>28</v>
      </c>
      <c r="G1800" s="32">
        <v>43916</v>
      </c>
      <c r="H1800" s="27">
        <f t="shared" si="230"/>
        <v>9746</v>
      </c>
      <c r="I1800" s="27"/>
      <c r="J1800" s="27"/>
      <c r="K1800" s="99"/>
      <c r="L1800" s="27">
        <v>7530</v>
      </c>
      <c r="M1800" s="29">
        <f t="shared" si="228"/>
        <v>2216</v>
      </c>
      <c r="N1800" s="29"/>
      <c r="O1800" s="44">
        <f t="shared" si="229"/>
        <v>0.22737533347014161</v>
      </c>
    </row>
    <row r="1801" spans="1:15" ht="20.100000000000001" customHeight="1" x14ac:dyDescent="0.25">
      <c r="A1801" s="89">
        <v>332</v>
      </c>
      <c r="B1801" s="4">
        <v>43944</v>
      </c>
      <c r="C1801" s="26" t="s">
        <v>438</v>
      </c>
      <c r="D1801" s="3">
        <v>3726</v>
      </c>
      <c r="E1801" s="4">
        <v>43944</v>
      </c>
      <c r="F1801" s="92" t="s">
        <v>28</v>
      </c>
      <c r="G1801" s="32">
        <v>43945</v>
      </c>
      <c r="H1801" s="27">
        <f t="shared" si="230"/>
        <v>3726</v>
      </c>
      <c r="I1801" s="27"/>
      <c r="J1801" s="27"/>
      <c r="K1801" s="99"/>
      <c r="L1801" s="27">
        <v>2563</v>
      </c>
      <c r="M1801" s="29">
        <f t="shared" si="228"/>
        <v>1163</v>
      </c>
      <c r="N1801" s="29"/>
      <c r="O1801" s="44">
        <f t="shared" si="229"/>
        <v>0.3121309715512614</v>
      </c>
    </row>
    <row r="1802" spans="1:15" ht="20.100000000000001" customHeight="1" x14ac:dyDescent="0.25">
      <c r="A1802" s="89">
        <v>294</v>
      </c>
      <c r="B1802" s="4">
        <v>43934</v>
      </c>
      <c r="C1802" s="5" t="s">
        <v>448</v>
      </c>
      <c r="D1802" s="3">
        <v>23640</v>
      </c>
      <c r="E1802" s="4">
        <v>43944</v>
      </c>
      <c r="F1802" s="92" t="s">
        <v>28</v>
      </c>
      <c r="G1802" s="32">
        <v>43942</v>
      </c>
      <c r="H1802" s="27">
        <v>16548</v>
      </c>
      <c r="I1802" s="27">
        <f>H1802</f>
        <v>16548</v>
      </c>
      <c r="J1802" s="27"/>
      <c r="K1802" s="99"/>
      <c r="L1802" s="27">
        <v>12145</v>
      </c>
      <c r="M1802" s="29">
        <f t="shared" si="228"/>
        <v>4403</v>
      </c>
      <c r="N1802" s="29">
        <f>M1802</f>
        <v>4403</v>
      </c>
      <c r="O1802" s="44">
        <f t="shared" si="229"/>
        <v>0.26607445008460234</v>
      </c>
    </row>
    <row r="1803" spans="1:15" ht="20.100000000000001" customHeight="1" x14ac:dyDescent="0.25">
      <c r="A1803" s="89">
        <v>334</v>
      </c>
      <c r="B1803" s="4">
        <v>43945</v>
      </c>
      <c r="C1803" s="5" t="s">
        <v>451</v>
      </c>
      <c r="D1803" s="3">
        <v>32490</v>
      </c>
      <c r="E1803" s="4">
        <v>43945</v>
      </c>
      <c r="F1803" s="92" t="s">
        <v>28</v>
      </c>
      <c r="G1803" s="32">
        <v>43948</v>
      </c>
      <c r="H1803" s="27">
        <f>D1803</f>
        <v>32490</v>
      </c>
      <c r="I1803" s="27">
        <f>H1803</f>
        <v>32490</v>
      </c>
      <c r="J1803" s="27"/>
      <c r="K1803" s="99"/>
      <c r="L1803" s="27">
        <v>17909.43</v>
      </c>
      <c r="M1803" s="29">
        <f t="shared" si="228"/>
        <v>14580.57</v>
      </c>
      <c r="N1803" s="29">
        <f>M1803</f>
        <v>14580.57</v>
      </c>
      <c r="O1803" s="44">
        <f t="shared" si="229"/>
        <v>0.44877100646352724</v>
      </c>
    </row>
    <row r="1804" spans="1:15" ht="20.100000000000001" customHeight="1" x14ac:dyDescent="0.25">
      <c r="A1804" s="89">
        <v>322</v>
      </c>
      <c r="B1804" s="4">
        <v>43943</v>
      </c>
      <c r="C1804" s="26" t="s">
        <v>428</v>
      </c>
      <c r="D1804" s="3">
        <v>4000</v>
      </c>
      <c r="E1804" s="4">
        <v>43948</v>
      </c>
      <c r="F1804" s="92" t="s">
        <v>28</v>
      </c>
      <c r="G1804" s="32">
        <v>43950</v>
      </c>
      <c r="H1804" s="27">
        <f>D1804</f>
        <v>4000</v>
      </c>
      <c r="I1804" s="27"/>
      <c r="J1804" s="27"/>
      <c r="K1804" s="99">
        <v>600</v>
      </c>
      <c r="L1804" s="27">
        <v>2331.6999999999998</v>
      </c>
      <c r="M1804" s="29">
        <f t="shared" si="228"/>
        <v>1068.3000000000002</v>
      </c>
      <c r="N1804" s="29"/>
      <c r="O1804" s="44">
        <f t="shared" si="229"/>
        <v>0.26707500000000006</v>
      </c>
    </row>
    <row r="1805" spans="1:15" ht="20.100000000000001" customHeight="1" x14ac:dyDescent="0.25">
      <c r="A1805" s="89">
        <v>336</v>
      </c>
      <c r="B1805" s="4">
        <v>43948</v>
      </c>
      <c r="C1805" s="26" t="s">
        <v>361</v>
      </c>
      <c r="D1805" s="3">
        <v>2832</v>
      </c>
      <c r="E1805" s="4">
        <v>43948</v>
      </c>
      <c r="F1805" s="92" t="s">
        <v>28</v>
      </c>
      <c r="G1805" s="32">
        <v>43948</v>
      </c>
      <c r="H1805" s="27">
        <f>D1805</f>
        <v>2832</v>
      </c>
      <c r="I1805" s="27"/>
      <c r="J1805" s="27"/>
      <c r="K1805" s="99"/>
      <c r="L1805" s="27">
        <v>1948</v>
      </c>
      <c r="M1805" s="29">
        <f t="shared" si="228"/>
        <v>884</v>
      </c>
      <c r="N1805" s="29"/>
      <c r="O1805" s="44">
        <f t="shared" si="229"/>
        <v>0.31214689265536721</v>
      </c>
    </row>
    <row r="1806" spans="1:15" ht="20.100000000000001" customHeight="1" x14ac:dyDescent="0.25">
      <c r="A1806" s="89">
        <v>362</v>
      </c>
      <c r="B1806" s="4">
        <v>43950</v>
      </c>
      <c r="C1806" s="26" t="s">
        <v>452</v>
      </c>
      <c r="D1806" s="3">
        <v>56490</v>
      </c>
      <c r="E1806" s="4">
        <v>43951</v>
      </c>
      <c r="F1806" s="92" t="s">
        <v>28</v>
      </c>
      <c r="G1806" s="32">
        <v>43958</v>
      </c>
      <c r="H1806" s="27">
        <f>D1806</f>
        <v>56490</v>
      </c>
      <c r="I1806" s="27"/>
      <c r="J1806" s="27"/>
      <c r="K1806" s="99"/>
      <c r="L1806" s="27">
        <v>36712</v>
      </c>
      <c r="M1806" s="29">
        <f t="shared" si="228"/>
        <v>19778</v>
      </c>
      <c r="N1806" s="29"/>
      <c r="O1806" s="44">
        <f t="shared" si="229"/>
        <v>0.35011506461320585</v>
      </c>
    </row>
    <row r="1807" spans="1:15" ht="20.100000000000001" customHeight="1" x14ac:dyDescent="0.25">
      <c r="A1807" s="89">
        <v>61</v>
      </c>
      <c r="B1807" s="4">
        <v>43888</v>
      </c>
      <c r="C1807" s="26" t="s">
        <v>433</v>
      </c>
      <c r="D1807" s="3">
        <v>77077</v>
      </c>
      <c r="E1807" s="4">
        <v>43951</v>
      </c>
      <c r="F1807" s="92" t="s">
        <v>28</v>
      </c>
      <c r="G1807" s="32">
        <v>43935</v>
      </c>
      <c r="H1807" s="27">
        <v>63767</v>
      </c>
      <c r="I1807" s="27"/>
      <c r="J1807" s="27"/>
      <c r="K1807" s="99"/>
      <c r="L1807" s="27">
        <v>39204.85</v>
      </c>
      <c r="M1807" s="29">
        <f t="shared" si="228"/>
        <v>24562.15</v>
      </c>
      <c r="N1807" s="29"/>
      <c r="O1807" s="44">
        <f t="shared" si="229"/>
        <v>0.38518591120799162</v>
      </c>
    </row>
    <row r="1808" spans="1:15" ht="20.100000000000001" customHeight="1" x14ac:dyDescent="0.25">
      <c r="A1808" s="89">
        <v>248</v>
      </c>
      <c r="B1808" s="4">
        <v>43913</v>
      </c>
      <c r="C1808" s="26" t="s">
        <v>433</v>
      </c>
      <c r="D1808" s="3">
        <v>2742</v>
      </c>
      <c r="E1808" s="4">
        <v>43951</v>
      </c>
      <c r="F1808" s="92" t="s">
        <v>28</v>
      </c>
      <c r="G1808" s="32">
        <v>43914</v>
      </c>
      <c r="H1808" s="27">
        <f>D1808</f>
        <v>2742</v>
      </c>
      <c r="I1808" s="27"/>
      <c r="J1808" s="27"/>
      <c r="K1808" s="99"/>
      <c r="L1808" s="27">
        <v>1886</v>
      </c>
      <c r="M1808" s="29">
        <f t="shared" si="228"/>
        <v>856</v>
      </c>
      <c r="N1808" s="29"/>
      <c r="O1808" s="44">
        <f t="shared" si="229"/>
        <v>0.31218088986141501</v>
      </c>
    </row>
    <row r="1809" spans="1:15" ht="20.100000000000001" customHeight="1" x14ac:dyDescent="0.25">
      <c r="A1809" s="89">
        <v>76</v>
      </c>
      <c r="B1809" s="4">
        <v>43882</v>
      </c>
      <c r="C1809" s="5" t="s">
        <v>439</v>
      </c>
      <c r="D1809" s="3">
        <v>602770</v>
      </c>
      <c r="E1809" s="4">
        <v>43951</v>
      </c>
      <c r="F1809" s="92" t="s">
        <v>28</v>
      </c>
      <c r="G1809" s="32">
        <v>43928</v>
      </c>
      <c r="H1809" s="27">
        <v>301385</v>
      </c>
      <c r="I1809" s="27">
        <f>H1809</f>
        <v>301385</v>
      </c>
      <c r="J1809" s="27"/>
      <c r="K1809" s="99"/>
      <c r="L1809" s="27">
        <v>258092.5</v>
      </c>
      <c r="M1809" s="29">
        <f t="shared" si="228"/>
        <v>43292.5</v>
      </c>
      <c r="N1809" s="29">
        <f>M1809</f>
        <v>43292.5</v>
      </c>
      <c r="O1809" s="44">
        <f t="shared" si="229"/>
        <v>0.14364517145843356</v>
      </c>
    </row>
    <row r="1810" spans="1:15" ht="19.5" customHeight="1" x14ac:dyDescent="0.25">
      <c r="A1810" s="89"/>
      <c r="B1810" s="4"/>
      <c r="C1810" s="5"/>
      <c r="D1810" s="3"/>
      <c r="E1810" s="97">
        <v>70600</v>
      </c>
      <c r="F1810" s="98">
        <f>M1810*0.17+N1810*0.06+10000</f>
        <v>70606.630600000004</v>
      </c>
      <c r="G1810" s="21">
        <f>H1810*0.05+I1810*0.02+10000</f>
        <v>77595.33</v>
      </c>
      <c r="H1810" s="16">
        <f t="shared" ref="H1810:N1810" si="231">SUM(H1792:H1809)</f>
        <v>1088627</v>
      </c>
      <c r="I1810" s="16">
        <f t="shared" si="231"/>
        <v>658199</v>
      </c>
      <c r="J1810" s="16">
        <f t="shared" si="231"/>
        <v>30000</v>
      </c>
      <c r="K1810" s="16">
        <f t="shared" si="231"/>
        <v>6600</v>
      </c>
      <c r="L1810" s="16">
        <f t="shared" si="231"/>
        <v>746701.88</v>
      </c>
      <c r="M1810" s="16">
        <f t="shared" si="231"/>
        <v>305325.12</v>
      </c>
      <c r="N1810" s="16">
        <f t="shared" si="231"/>
        <v>145022.67000000001</v>
      </c>
      <c r="O1810" s="44">
        <f t="shared" si="229"/>
        <v>0.28046807584232247</v>
      </c>
    </row>
    <row r="1811" spans="1:15" ht="23.25" x14ac:dyDescent="0.35">
      <c r="B1811" s="94"/>
      <c r="C1811" s="94" t="s">
        <v>639</v>
      </c>
    </row>
    <row r="1812" spans="1:15" ht="20.100000000000001" customHeight="1" x14ac:dyDescent="0.25">
      <c r="A1812" s="89">
        <v>325</v>
      </c>
      <c r="B1812" s="4">
        <v>43945</v>
      </c>
      <c r="C1812" s="26" t="s">
        <v>109</v>
      </c>
      <c r="D1812" s="3">
        <v>4000</v>
      </c>
      <c r="E1812" s="4">
        <v>43957</v>
      </c>
      <c r="F1812" s="92" t="s">
        <v>28</v>
      </c>
      <c r="G1812" s="32">
        <v>43948</v>
      </c>
      <c r="H1812" s="27">
        <f t="shared" ref="H1812:H1824" si="232">D1812</f>
        <v>4000</v>
      </c>
      <c r="I1812" s="27"/>
      <c r="J1812" s="27"/>
      <c r="K1812" s="99">
        <v>600</v>
      </c>
      <c r="L1812" s="27">
        <v>1450.7</v>
      </c>
      <c r="M1812" s="29">
        <f t="shared" ref="M1812:M1828" si="233">H1812-L1812-J1812-K1812</f>
        <v>1949.3000000000002</v>
      </c>
      <c r="N1812" s="29"/>
      <c r="O1812" s="44">
        <f t="shared" ref="O1812:O1829" si="234">M1812/H1812</f>
        <v>0.48732500000000006</v>
      </c>
    </row>
    <row r="1813" spans="1:15" ht="20.100000000000001" customHeight="1" x14ac:dyDescent="0.25">
      <c r="A1813" s="89">
        <v>342</v>
      </c>
      <c r="B1813" s="4">
        <v>43949</v>
      </c>
      <c r="C1813" s="26" t="s">
        <v>403</v>
      </c>
      <c r="D1813" s="3">
        <v>6218</v>
      </c>
      <c r="E1813" s="4">
        <v>43957</v>
      </c>
      <c r="F1813" s="92" t="s">
        <v>28</v>
      </c>
      <c r="G1813" s="32">
        <v>43969</v>
      </c>
      <c r="H1813" s="27">
        <f t="shared" si="232"/>
        <v>6218</v>
      </c>
      <c r="I1813" s="27"/>
      <c r="J1813" s="27"/>
      <c r="K1813" s="99"/>
      <c r="L1813" s="27">
        <v>4224</v>
      </c>
      <c r="M1813" s="29">
        <f t="shared" si="233"/>
        <v>1994</v>
      </c>
      <c r="N1813" s="29"/>
      <c r="O1813" s="44">
        <f t="shared" si="234"/>
        <v>0.32068189128337088</v>
      </c>
    </row>
    <row r="1814" spans="1:15" ht="20.100000000000001" customHeight="1" x14ac:dyDescent="0.25">
      <c r="A1814" s="89">
        <v>317</v>
      </c>
      <c r="B1814" s="4">
        <v>43943</v>
      </c>
      <c r="C1814" s="26" t="s">
        <v>228</v>
      </c>
      <c r="D1814" s="3">
        <v>23531</v>
      </c>
      <c r="E1814" s="4">
        <v>43963</v>
      </c>
      <c r="F1814" s="92" t="s">
        <v>28</v>
      </c>
      <c r="G1814" s="32">
        <v>43959</v>
      </c>
      <c r="H1814" s="27">
        <f t="shared" si="232"/>
        <v>23531</v>
      </c>
      <c r="I1814" s="27"/>
      <c r="J1814" s="27"/>
      <c r="K1814" s="99"/>
      <c r="L1814" s="27">
        <v>15942</v>
      </c>
      <c r="M1814" s="29">
        <f t="shared" si="233"/>
        <v>7589</v>
      </c>
      <c r="N1814" s="29"/>
      <c r="O1814" s="44">
        <f t="shared" si="234"/>
        <v>0.32251073052568952</v>
      </c>
    </row>
    <row r="1815" spans="1:15" ht="20.100000000000001" customHeight="1" x14ac:dyDescent="0.25">
      <c r="A1815" s="89">
        <v>192</v>
      </c>
      <c r="B1815" s="4">
        <v>43922</v>
      </c>
      <c r="C1815" s="26" t="s">
        <v>56</v>
      </c>
      <c r="D1815" s="3">
        <v>155989</v>
      </c>
      <c r="E1815" s="4">
        <v>43964</v>
      </c>
      <c r="F1815" s="92" t="s">
        <v>28</v>
      </c>
      <c r="G1815" s="32">
        <v>43943</v>
      </c>
      <c r="H1815" s="27">
        <f t="shared" si="232"/>
        <v>155989</v>
      </c>
      <c r="I1815" s="27"/>
      <c r="J1815" s="27"/>
      <c r="K1815" s="99">
        <v>1200</v>
      </c>
      <c r="L1815" s="27">
        <v>110320.4</v>
      </c>
      <c r="M1815" s="29">
        <f t="shared" si="233"/>
        <v>44468.600000000006</v>
      </c>
      <c r="N1815" s="29"/>
      <c r="O1815" s="44">
        <f t="shared" si="234"/>
        <v>0.28507522966363019</v>
      </c>
    </row>
    <row r="1816" spans="1:15" ht="20.100000000000001" customHeight="1" x14ac:dyDescent="0.25">
      <c r="A1816" s="89">
        <v>375</v>
      </c>
      <c r="B1816" s="4">
        <v>43958</v>
      </c>
      <c r="C1816" s="26" t="s">
        <v>175</v>
      </c>
      <c r="D1816" s="3">
        <v>21800</v>
      </c>
      <c r="E1816" s="4">
        <v>43964</v>
      </c>
      <c r="F1816" s="92" t="s">
        <v>28</v>
      </c>
      <c r="G1816" s="32">
        <v>43973</v>
      </c>
      <c r="H1816" s="27">
        <f t="shared" si="232"/>
        <v>21800</v>
      </c>
      <c r="I1816" s="27"/>
      <c r="J1816" s="27"/>
      <c r="K1816" s="99"/>
      <c r="L1816" s="27">
        <v>12692</v>
      </c>
      <c r="M1816" s="29">
        <f t="shared" si="233"/>
        <v>9108</v>
      </c>
      <c r="N1816" s="29"/>
      <c r="O1816" s="44">
        <f t="shared" si="234"/>
        <v>0.4177981651376147</v>
      </c>
    </row>
    <row r="1817" spans="1:15" ht="20.100000000000001" customHeight="1" x14ac:dyDescent="0.25">
      <c r="A1817" s="89">
        <v>345</v>
      </c>
      <c r="B1817" s="4">
        <v>43964</v>
      </c>
      <c r="C1817" s="5" t="s">
        <v>453</v>
      </c>
      <c r="D1817" s="3">
        <v>22490</v>
      </c>
      <c r="E1817" s="4">
        <v>43965</v>
      </c>
      <c r="F1817" s="92" t="s">
        <v>28</v>
      </c>
      <c r="G1817" s="32">
        <v>43977</v>
      </c>
      <c r="H1817" s="27">
        <f t="shared" si="232"/>
        <v>22490</v>
      </c>
      <c r="I1817" s="27">
        <f>H1817</f>
        <v>22490</v>
      </c>
      <c r="J1817" s="27"/>
      <c r="K1817" s="99"/>
      <c r="L1817" s="27">
        <v>16135</v>
      </c>
      <c r="M1817" s="29">
        <f t="shared" si="233"/>
        <v>6355</v>
      </c>
      <c r="N1817" s="29">
        <f>M1817</f>
        <v>6355</v>
      </c>
      <c r="O1817" s="44">
        <f t="shared" si="234"/>
        <v>0.28257003112494444</v>
      </c>
    </row>
    <row r="1818" spans="1:15" ht="20.100000000000001" customHeight="1" x14ac:dyDescent="0.25">
      <c r="A1818" s="89">
        <v>383</v>
      </c>
      <c r="B1818" s="4">
        <v>43959</v>
      </c>
      <c r="C1818" s="26" t="s">
        <v>353</v>
      </c>
      <c r="D1818" s="3">
        <v>2787</v>
      </c>
      <c r="E1818" s="4">
        <v>43965</v>
      </c>
      <c r="F1818" s="92" t="s">
        <v>28</v>
      </c>
      <c r="G1818" s="32">
        <v>43965</v>
      </c>
      <c r="H1818" s="27">
        <f t="shared" si="232"/>
        <v>2787</v>
      </c>
      <c r="I1818" s="27"/>
      <c r="J1818" s="27"/>
      <c r="K1818" s="99"/>
      <c r="L1818" s="27">
        <v>1764</v>
      </c>
      <c r="M1818" s="29">
        <f t="shared" si="233"/>
        <v>1023</v>
      </c>
      <c r="N1818" s="29"/>
      <c r="O1818" s="44">
        <f t="shared" si="234"/>
        <v>0.36706135629709363</v>
      </c>
    </row>
    <row r="1819" spans="1:15" ht="20.100000000000001" customHeight="1" x14ac:dyDescent="0.25">
      <c r="A1819" s="89">
        <v>388</v>
      </c>
      <c r="B1819" s="4">
        <v>43963</v>
      </c>
      <c r="C1819" s="26" t="s">
        <v>77</v>
      </c>
      <c r="D1819" s="3">
        <v>7324</v>
      </c>
      <c r="E1819" s="4">
        <v>43966</v>
      </c>
      <c r="F1819" s="92" t="s">
        <v>28</v>
      </c>
      <c r="G1819" s="32">
        <v>43966</v>
      </c>
      <c r="H1819" s="27">
        <f t="shared" si="232"/>
        <v>7324</v>
      </c>
      <c r="I1819" s="27"/>
      <c r="J1819" s="27"/>
      <c r="K1819" s="99"/>
      <c r="L1819" s="27">
        <v>5040</v>
      </c>
      <c r="M1819" s="29">
        <f t="shared" si="233"/>
        <v>2284</v>
      </c>
      <c r="N1819" s="29"/>
      <c r="O1819" s="44">
        <f t="shared" si="234"/>
        <v>0.31185144729655928</v>
      </c>
    </row>
    <row r="1820" spans="1:15" ht="20.100000000000001" customHeight="1" x14ac:dyDescent="0.25">
      <c r="A1820" s="89">
        <v>391</v>
      </c>
      <c r="B1820" s="4">
        <v>43964</v>
      </c>
      <c r="C1820" s="26" t="s">
        <v>147</v>
      </c>
      <c r="D1820" s="3">
        <v>33140</v>
      </c>
      <c r="E1820" s="4">
        <v>43969</v>
      </c>
      <c r="F1820" s="92" t="s">
        <v>28</v>
      </c>
      <c r="G1820" s="32">
        <v>43977</v>
      </c>
      <c r="H1820" s="27">
        <f t="shared" si="232"/>
        <v>33140</v>
      </c>
      <c r="I1820" s="27"/>
      <c r="J1820" s="27"/>
      <c r="K1820" s="99"/>
      <c r="L1820" s="27">
        <v>22333</v>
      </c>
      <c r="M1820" s="29">
        <f t="shared" si="233"/>
        <v>10807</v>
      </c>
      <c r="N1820" s="29"/>
      <c r="O1820" s="44">
        <f t="shared" si="234"/>
        <v>0.32610138805069405</v>
      </c>
    </row>
    <row r="1821" spans="1:15" ht="20.100000000000001" customHeight="1" x14ac:dyDescent="0.25">
      <c r="A1821" s="89">
        <v>409</v>
      </c>
      <c r="B1821" s="4">
        <v>43969</v>
      </c>
      <c r="C1821" s="26" t="s">
        <v>385</v>
      </c>
      <c r="D1821" s="3">
        <v>7162</v>
      </c>
      <c r="E1821" s="4">
        <v>43969</v>
      </c>
      <c r="F1821" s="92" t="s">
        <v>28</v>
      </c>
      <c r="G1821" s="32">
        <v>43970</v>
      </c>
      <c r="H1821" s="27">
        <f t="shared" si="232"/>
        <v>7162</v>
      </c>
      <c r="I1821" s="27"/>
      <c r="J1821" s="27"/>
      <c r="K1821" s="99"/>
      <c r="L1821" s="27">
        <v>5586</v>
      </c>
      <c r="M1821" s="29">
        <f t="shared" si="233"/>
        <v>1576</v>
      </c>
      <c r="N1821" s="29"/>
      <c r="O1821" s="44">
        <f t="shared" si="234"/>
        <v>0.22005026528902541</v>
      </c>
    </row>
    <row r="1822" spans="1:15" ht="20.100000000000001" customHeight="1" x14ac:dyDescent="0.25">
      <c r="A1822" s="89">
        <v>414</v>
      </c>
      <c r="B1822" s="4">
        <v>43970</v>
      </c>
      <c r="C1822" s="26" t="s">
        <v>216</v>
      </c>
      <c r="D1822" s="3">
        <v>1831</v>
      </c>
      <c r="E1822" s="4">
        <v>43971</v>
      </c>
      <c r="F1822" s="92" t="s">
        <v>28</v>
      </c>
      <c r="G1822" s="32">
        <v>44117</v>
      </c>
      <c r="H1822" s="27">
        <f t="shared" si="232"/>
        <v>1831</v>
      </c>
      <c r="I1822" s="27"/>
      <c r="J1822" s="27"/>
      <c r="K1822" s="99"/>
      <c r="L1822" s="27">
        <v>1260</v>
      </c>
      <c r="M1822" s="29">
        <f t="shared" si="233"/>
        <v>571</v>
      </c>
      <c r="N1822" s="29"/>
      <c r="O1822" s="44">
        <f t="shared" si="234"/>
        <v>0.31185144729655928</v>
      </c>
    </row>
    <row r="1823" spans="1:15" ht="20.100000000000001" customHeight="1" x14ac:dyDescent="0.25">
      <c r="A1823" s="89">
        <v>404</v>
      </c>
      <c r="B1823" s="4">
        <v>43966</v>
      </c>
      <c r="C1823" s="26" t="s">
        <v>209</v>
      </c>
      <c r="D1823" s="3">
        <v>7325</v>
      </c>
      <c r="E1823" s="4">
        <v>43972</v>
      </c>
      <c r="F1823" s="92" t="s">
        <v>28</v>
      </c>
      <c r="G1823" s="32">
        <v>43966</v>
      </c>
      <c r="H1823" s="27">
        <f t="shared" si="232"/>
        <v>7325</v>
      </c>
      <c r="I1823" s="27"/>
      <c r="J1823" s="27"/>
      <c r="K1823" s="99"/>
      <c r="L1823" s="27">
        <v>2694</v>
      </c>
      <c r="M1823" s="29">
        <f t="shared" si="233"/>
        <v>4631</v>
      </c>
      <c r="N1823" s="29"/>
      <c r="O1823" s="44">
        <f t="shared" si="234"/>
        <v>0.6322184300341297</v>
      </c>
    </row>
    <row r="1824" spans="1:15" ht="20.100000000000001" customHeight="1" x14ac:dyDescent="0.25">
      <c r="A1824" s="89">
        <v>296</v>
      </c>
      <c r="B1824" s="4">
        <v>43935</v>
      </c>
      <c r="C1824" s="26" t="s">
        <v>433</v>
      </c>
      <c r="D1824" s="3">
        <v>7909</v>
      </c>
      <c r="E1824" s="4">
        <v>43973</v>
      </c>
      <c r="F1824" s="92" t="s">
        <v>28</v>
      </c>
      <c r="G1824" s="32">
        <v>43935</v>
      </c>
      <c r="H1824" s="27">
        <f t="shared" si="232"/>
        <v>7909</v>
      </c>
      <c r="I1824" s="27"/>
      <c r="J1824" s="27"/>
      <c r="K1824" s="99"/>
      <c r="L1824" s="27">
        <v>5363</v>
      </c>
      <c r="M1824" s="29">
        <f t="shared" si="233"/>
        <v>2546</v>
      </c>
      <c r="N1824" s="29"/>
      <c r="O1824" s="44">
        <f t="shared" si="234"/>
        <v>0.32191174611202428</v>
      </c>
    </row>
    <row r="1825" spans="1:15" ht="20.100000000000001" customHeight="1" x14ac:dyDescent="0.25">
      <c r="A1825" s="89">
        <v>61</v>
      </c>
      <c r="B1825" s="4">
        <v>43888</v>
      </c>
      <c r="C1825" s="26" t="s">
        <v>433</v>
      </c>
      <c r="D1825" s="3">
        <v>77077</v>
      </c>
      <c r="E1825" s="4">
        <v>43973</v>
      </c>
      <c r="F1825" s="92" t="s">
        <v>28</v>
      </c>
      <c r="G1825" s="32">
        <v>43935</v>
      </c>
      <c r="H1825" s="27">
        <v>13310</v>
      </c>
      <c r="I1825" s="27"/>
      <c r="J1825" s="27"/>
      <c r="K1825" s="99"/>
      <c r="L1825" s="27">
        <v>11766</v>
      </c>
      <c r="M1825" s="29">
        <f t="shared" si="233"/>
        <v>1544</v>
      </c>
      <c r="N1825" s="29"/>
      <c r="O1825" s="44">
        <f t="shared" si="234"/>
        <v>0.11600300525920361</v>
      </c>
    </row>
    <row r="1826" spans="1:15" ht="20.100000000000001" customHeight="1" x14ac:dyDescent="0.25">
      <c r="A1826" s="89">
        <v>212</v>
      </c>
      <c r="B1826" s="4">
        <v>43906</v>
      </c>
      <c r="C1826" s="26" t="s">
        <v>433</v>
      </c>
      <c r="D1826" s="3">
        <v>30894</v>
      </c>
      <c r="E1826" s="4">
        <v>43973</v>
      </c>
      <c r="F1826" s="92" t="s">
        <v>28</v>
      </c>
      <c r="G1826" s="32">
        <v>43938</v>
      </c>
      <c r="H1826" s="27">
        <f>D1826</f>
        <v>30894</v>
      </c>
      <c r="I1826" s="27"/>
      <c r="J1826" s="27"/>
      <c r="K1826" s="99">
        <v>600</v>
      </c>
      <c r="L1826" s="27">
        <v>17218</v>
      </c>
      <c r="M1826" s="29">
        <f t="shared" si="233"/>
        <v>13076</v>
      </c>
      <c r="N1826" s="29"/>
      <c r="O1826" s="44">
        <f t="shared" si="234"/>
        <v>0.42325370622127273</v>
      </c>
    </row>
    <row r="1827" spans="1:15" ht="20.100000000000001" customHeight="1" x14ac:dyDescent="0.25">
      <c r="A1827" s="89">
        <v>306</v>
      </c>
      <c r="B1827" s="4">
        <v>43938</v>
      </c>
      <c r="C1827" s="26" t="s">
        <v>433</v>
      </c>
      <c r="D1827" s="3">
        <v>104490</v>
      </c>
      <c r="E1827" s="4">
        <v>43978</v>
      </c>
      <c r="F1827" s="92" t="s">
        <v>28</v>
      </c>
      <c r="G1827" s="32">
        <v>43938</v>
      </c>
      <c r="H1827" s="27">
        <f>D1827</f>
        <v>104490</v>
      </c>
      <c r="I1827" s="27"/>
      <c r="J1827" s="27"/>
      <c r="K1827" s="99"/>
      <c r="L1827" s="27">
        <v>76737</v>
      </c>
      <c r="M1827" s="29">
        <f t="shared" si="233"/>
        <v>27753</v>
      </c>
      <c r="N1827" s="29"/>
      <c r="O1827" s="44">
        <f t="shared" si="234"/>
        <v>0.26560436405397647</v>
      </c>
    </row>
    <row r="1828" spans="1:15" ht="20.100000000000001" customHeight="1" x14ac:dyDescent="0.25">
      <c r="A1828" s="89">
        <v>371</v>
      </c>
      <c r="B1828" s="4">
        <v>43957</v>
      </c>
      <c r="C1828" s="26" t="s">
        <v>228</v>
      </c>
      <c r="D1828" s="3">
        <v>49289</v>
      </c>
      <c r="E1828" s="4">
        <v>43979</v>
      </c>
      <c r="F1828" s="92" t="s">
        <v>28</v>
      </c>
      <c r="G1828" s="32">
        <v>43987</v>
      </c>
      <c r="H1828" s="27">
        <f>D1828</f>
        <v>49289</v>
      </c>
      <c r="I1828" s="27"/>
      <c r="J1828" s="27"/>
      <c r="K1828" s="99">
        <v>1200</v>
      </c>
      <c r="L1828" s="27">
        <v>29299.4</v>
      </c>
      <c r="M1828" s="29">
        <f t="shared" si="233"/>
        <v>18789.599999999999</v>
      </c>
      <c r="N1828" s="29"/>
      <c r="O1828" s="44">
        <f t="shared" si="234"/>
        <v>0.38121284667978655</v>
      </c>
    </row>
    <row r="1829" spans="1:15" ht="19.5" customHeight="1" x14ac:dyDescent="0.25">
      <c r="A1829" s="89"/>
      <c r="B1829" s="4"/>
      <c r="C1829" s="5"/>
      <c r="D1829" s="3"/>
      <c r="E1829" s="97">
        <v>29100</v>
      </c>
      <c r="F1829" s="98">
        <f>M1829*0.12+N1829*0.06+10000</f>
        <v>29109.040000000001</v>
      </c>
      <c r="G1829" s="21">
        <f>H1829*0.02+I1829*0.02+10000</f>
        <v>20439.580000000002</v>
      </c>
      <c r="H1829" s="16">
        <f t="shared" ref="H1829:N1829" si="235">SUM(H1812:H1828)</f>
        <v>499489</v>
      </c>
      <c r="I1829" s="16">
        <f t="shared" si="235"/>
        <v>22490</v>
      </c>
      <c r="J1829" s="16">
        <f t="shared" si="235"/>
        <v>0</v>
      </c>
      <c r="K1829" s="16">
        <f t="shared" si="235"/>
        <v>3600</v>
      </c>
      <c r="L1829" s="16">
        <f t="shared" si="235"/>
        <v>339824.5</v>
      </c>
      <c r="M1829" s="16">
        <f t="shared" si="235"/>
        <v>156064.50000000003</v>
      </c>
      <c r="N1829" s="16">
        <f t="shared" si="235"/>
        <v>6355</v>
      </c>
      <c r="O1829" s="44">
        <f t="shared" si="234"/>
        <v>0.31244832218527341</v>
      </c>
    </row>
    <row r="1830" spans="1:15" ht="23.25" x14ac:dyDescent="0.35">
      <c r="B1830" s="94"/>
      <c r="C1830" s="94" t="s">
        <v>640</v>
      </c>
    </row>
    <row r="1831" spans="1:15" ht="20.100000000000001" customHeight="1" x14ac:dyDescent="0.25">
      <c r="A1831" s="89">
        <v>428</v>
      </c>
      <c r="B1831" s="4">
        <v>43976</v>
      </c>
      <c r="C1831" s="26" t="s">
        <v>454</v>
      </c>
      <c r="D1831" s="3">
        <v>4682</v>
      </c>
      <c r="E1831" s="4">
        <v>43983</v>
      </c>
      <c r="F1831" s="92" t="s">
        <v>28</v>
      </c>
      <c r="G1831" s="32">
        <v>43976</v>
      </c>
      <c r="H1831" s="27">
        <f t="shared" ref="H1831:H1855" si="236">D1831</f>
        <v>4682</v>
      </c>
      <c r="I1831" s="27"/>
      <c r="J1831" s="27"/>
      <c r="K1831" s="99"/>
      <c r="L1831" s="27">
        <v>3090</v>
      </c>
      <c r="M1831" s="29">
        <f t="shared" ref="M1831:M1855" si="237">H1831-L1831-J1831-K1831</f>
        <v>1592</v>
      </c>
      <c r="N1831" s="29"/>
      <c r="O1831" s="44">
        <f t="shared" ref="O1831:O1856" si="238">M1831/H1831</f>
        <v>0.34002563007261855</v>
      </c>
    </row>
    <row r="1832" spans="1:15" ht="20.100000000000001" customHeight="1" x14ac:dyDescent="0.25">
      <c r="A1832" s="89">
        <v>367</v>
      </c>
      <c r="B1832" s="4">
        <v>43951</v>
      </c>
      <c r="C1832" s="26" t="s">
        <v>433</v>
      </c>
      <c r="D1832" s="3">
        <v>101966</v>
      </c>
      <c r="E1832" s="4">
        <v>43983</v>
      </c>
      <c r="F1832" s="92" t="s">
        <v>28</v>
      </c>
      <c r="G1832" s="32">
        <v>43951</v>
      </c>
      <c r="H1832" s="27">
        <f t="shared" si="236"/>
        <v>101966</v>
      </c>
      <c r="I1832" s="27"/>
      <c r="J1832" s="27"/>
      <c r="K1832" s="99"/>
      <c r="L1832" s="27">
        <v>57743.25</v>
      </c>
      <c r="M1832" s="29">
        <f t="shared" si="237"/>
        <v>44222.75</v>
      </c>
      <c r="N1832" s="29"/>
      <c r="O1832" s="44">
        <f t="shared" si="238"/>
        <v>0.43370093952886257</v>
      </c>
    </row>
    <row r="1833" spans="1:15" ht="20.100000000000001" customHeight="1" x14ac:dyDescent="0.25">
      <c r="A1833" s="89">
        <v>457</v>
      </c>
      <c r="B1833" s="4">
        <v>43980</v>
      </c>
      <c r="C1833" s="26" t="s">
        <v>437</v>
      </c>
      <c r="D1833" s="3">
        <v>9023</v>
      </c>
      <c r="E1833" s="4">
        <v>43983</v>
      </c>
      <c r="F1833" s="92" t="s">
        <v>28</v>
      </c>
      <c r="G1833" s="32">
        <v>43984</v>
      </c>
      <c r="H1833" s="27">
        <f t="shared" si="236"/>
        <v>9023</v>
      </c>
      <c r="I1833" s="27"/>
      <c r="J1833" s="27"/>
      <c r="K1833" s="99"/>
      <c r="L1833" s="27">
        <v>6710</v>
      </c>
      <c r="M1833" s="29">
        <f t="shared" si="237"/>
        <v>2313</v>
      </c>
      <c r="N1833" s="29"/>
      <c r="O1833" s="44">
        <f t="shared" si="238"/>
        <v>0.25634489637592817</v>
      </c>
    </row>
    <row r="1834" spans="1:15" ht="20.100000000000001" customHeight="1" x14ac:dyDescent="0.25">
      <c r="A1834" s="89">
        <v>435</v>
      </c>
      <c r="B1834" s="4">
        <v>43977</v>
      </c>
      <c r="C1834" s="5" t="s">
        <v>455</v>
      </c>
      <c r="D1834" s="3">
        <v>90882</v>
      </c>
      <c r="E1834" s="4">
        <v>43984</v>
      </c>
      <c r="F1834" s="92" t="s">
        <v>28</v>
      </c>
      <c r="G1834" s="32">
        <v>43991</v>
      </c>
      <c r="H1834" s="27">
        <f t="shared" si="236"/>
        <v>90882</v>
      </c>
      <c r="I1834" s="27">
        <f>H1834</f>
        <v>90882</v>
      </c>
      <c r="J1834" s="27"/>
      <c r="K1834" s="99">
        <v>7200</v>
      </c>
      <c r="L1834" s="27">
        <v>53934</v>
      </c>
      <c r="M1834" s="29">
        <f t="shared" si="237"/>
        <v>29748</v>
      </c>
      <c r="N1834" s="29">
        <f>M1834</f>
        <v>29748</v>
      </c>
      <c r="O1834" s="44">
        <f t="shared" si="238"/>
        <v>0.32732554301181754</v>
      </c>
    </row>
    <row r="1835" spans="1:15" ht="20.100000000000001" customHeight="1" x14ac:dyDescent="0.25">
      <c r="A1835" s="89">
        <v>293</v>
      </c>
      <c r="B1835" s="4">
        <v>43946</v>
      </c>
      <c r="C1835" s="26" t="s">
        <v>69</v>
      </c>
      <c r="D1835" s="3">
        <v>56490</v>
      </c>
      <c r="E1835" s="4">
        <v>43985</v>
      </c>
      <c r="F1835" s="92" t="s">
        <v>28</v>
      </c>
      <c r="G1835" s="32">
        <v>43992</v>
      </c>
      <c r="H1835" s="27">
        <f t="shared" si="236"/>
        <v>56490</v>
      </c>
      <c r="I1835" s="27"/>
      <c r="J1835" s="27"/>
      <c r="K1835" s="99"/>
      <c r="L1835" s="27">
        <v>36712.65</v>
      </c>
      <c r="M1835" s="29">
        <f t="shared" si="237"/>
        <v>19777.349999999999</v>
      </c>
      <c r="N1835" s="29"/>
      <c r="O1835" s="44">
        <f t="shared" si="238"/>
        <v>0.35010355815188526</v>
      </c>
    </row>
    <row r="1836" spans="1:15" ht="20.100000000000001" customHeight="1" x14ac:dyDescent="0.25">
      <c r="A1836" s="89">
        <v>399</v>
      </c>
      <c r="B1836" s="4">
        <v>43985</v>
      </c>
      <c r="C1836" s="26" t="s">
        <v>270</v>
      </c>
      <c r="D1836" s="3">
        <v>4905</v>
      </c>
      <c r="E1836" s="4">
        <v>43986</v>
      </c>
      <c r="F1836" s="92" t="s">
        <v>28</v>
      </c>
      <c r="G1836" s="32">
        <v>44014</v>
      </c>
      <c r="H1836" s="27">
        <f t="shared" si="236"/>
        <v>4905</v>
      </c>
      <c r="I1836" s="27"/>
      <c r="J1836" s="27"/>
      <c r="K1836" s="99"/>
      <c r="L1836" s="27">
        <v>3826</v>
      </c>
      <c r="M1836" s="29">
        <f t="shared" si="237"/>
        <v>1079</v>
      </c>
      <c r="N1836" s="29"/>
      <c r="O1836" s="44">
        <f t="shared" si="238"/>
        <v>0.21997961264016311</v>
      </c>
    </row>
    <row r="1837" spans="1:15" ht="20.100000000000001" customHeight="1" x14ac:dyDescent="0.25">
      <c r="A1837" s="89">
        <v>324</v>
      </c>
      <c r="B1837" s="4">
        <v>43949</v>
      </c>
      <c r="C1837" s="26" t="s">
        <v>56</v>
      </c>
      <c r="D1837" s="3">
        <v>204290</v>
      </c>
      <c r="E1837" s="4">
        <v>43990</v>
      </c>
      <c r="F1837" s="92" t="s">
        <v>28</v>
      </c>
      <c r="G1837" s="32">
        <v>43971</v>
      </c>
      <c r="H1837" s="27">
        <f t="shared" si="236"/>
        <v>204290</v>
      </c>
      <c r="I1837" s="27"/>
      <c r="J1837" s="27"/>
      <c r="K1837" s="99">
        <v>3000</v>
      </c>
      <c r="L1837" s="27">
        <v>134402.5</v>
      </c>
      <c r="M1837" s="29">
        <f t="shared" si="237"/>
        <v>66887.5</v>
      </c>
      <c r="N1837" s="29"/>
      <c r="O1837" s="44">
        <f t="shared" si="238"/>
        <v>0.32741445983650691</v>
      </c>
    </row>
    <row r="1838" spans="1:15" ht="20.100000000000001" customHeight="1" x14ac:dyDescent="0.25">
      <c r="A1838" s="89">
        <v>488</v>
      </c>
      <c r="B1838" s="4">
        <v>43987</v>
      </c>
      <c r="C1838" s="5" t="s">
        <v>456</v>
      </c>
      <c r="D1838" s="3">
        <v>71693</v>
      </c>
      <c r="E1838" s="4">
        <v>43990</v>
      </c>
      <c r="F1838" s="92" t="s">
        <v>28</v>
      </c>
      <c r="G1838" s="32">
        <v>43990</v>
      </c>
      <c r="H1838" s="27">
        <f t="shared" si="236"/>
        <v>71693</v>
      </c>
      <c r="I1838" s="27">
        <f>H1838</f>
        <v>71693</v>
      </c>
      <c r="J1838" s="27"/>
      <c r="K1838" s="99"/>
      <c r="L1838" s="27">
        <v>47522</v>
      </c>
      <c r="M1838" s="29">
        <f t="shared" si="237"/>
        <v>24171</v>
      </c>
      <c r="N1838" s="29">
        <f>M1838</f>
        <v>24171</v>
      </c>
      <c r="O1838" s="44">
        <f t="shared" si="238"/>
        <v>0.3371458859302861</v>
      </c>
    </row>
    <row r="1839" spans="1:15" ht="20.100000000000001" customHeight="1" x14ac:dyDescent="0.25">
      <c r="A1839" s="89">
        <v>488</v>
      </c>
      <c r="B1839" s="4">
        <v>43990</v>
      </c>
      <c r="C1839" s="26" t="s">
        <v>182</v>
      </c>
      <c r="D1839" s="3">
        <v>38990</v>
      </c>
      <c r="E1839" s="4">
        <v>43990</v>
      </c>
      <c r="F1839" s="92" t="s">
        <v>28</v>
      </c>
      <c r="G1839" s="32">
        <v>43991</v>
      </c>
      <c r="H1839" s="27">
        <f t="shared" si="236"/>
        <v>38990</v>
      </c>
      <c r="I1839" s="27"/>
      <c r="J1839" s="27"/>
      <c r="K1839" s="99"/>
      <c r="L1839" s="27">
        <v>28567</v>
      </c>
      <c r="M1839" s="29">
        <f t="shared" si="237"/>
        <v>10423</v>
      </c>
      <c r="N1839" s="29"/>
      <c r="O1839" s="44">
        <f t="shared" si="238"/>
        <v>0.26732495511669657</v>
      </c>
    </row>
    <row r="1840" spans="1:15" ht="20.100000000000001" customHeight="1" x14ac:dyDescent="0.25">
      <c r="A1840" s="89">
        <v>475</v>
      </c>
      <c r="B1840" s="4">
        <v>43985</v>
      </c>
      <c r="C1840" s="26" t="s">
        <v>217</v>
      </c>
      <c r="D1840" s="3">
        <v>9904</v>
      </c>
      <c r="E1840" s="4">
        <v>43990</v>
      </c>
      <c r="F1840" s="92" t="s">
        <v>28</v>
      </c>
      <c r="G1840" s="32">
        <v>43991</v>
      </c>
      <c r="H1840" s="27">
        <f t="shared" si="236"/>
        <v>9904</v>
      </c>
      <c r="I1840" s="27"/>
      <c r="J1840" s="27"/>
      <c r="K1840" s="99"/>
      <c r="L1840" s="27">
        <v>7724</v>
      </c>
      <c r="M1840" s="29">
        <f t="shared" si="237"/>
        <v>2180</v>
      </c>
      <c r="N1840" s="29"/>
      <c r="O1840" s="44">
        <f t="shared" si="238"/>
        <v>0.22011308562197093</v>
      </c>
    </row>
    <row r="1841" spans="1:15" ht="20.100000000000001" customHeight="1" x14ac:dyDescent="0.25">
      <c r="A1841" s="89">
        <v>445</v>
      </c>
      <c r="B1841" s="4">
        <v>43979</v>
      </c>
      <c r="C1841" s="26" t="s">
        <v>13</v>
      </c>
      <c r="D1841" s="3">
        <v>4203</v>
      </c>
      <c r="E1841" s="4">
        <v>43990</v>
      </c>
      <c r="F1841" s="92" t="s">
        <v>28</v>
      </c>
      <c r="G1841" s="32">
        <v>43993</v>
      </c>
      <c r="H1841" s="27">
        <f t="shared" si="236"/>
        <v>4203</v>
      </c>
      <c r="I1841" s="27"/>
      <c r="J1841" s="27"/>
      <c r="K1841" s="99"/>
      <c r="L1841" s="27">
        <v>2950</v>
      </c>
      <c r="M1841" s="29">
        <f t="shared" si="237"/>
        <v>1253</v>
      </c>
      <c r="N1841" s="29"/>
      <c r="O1841" s="44">
        <f t="shared" si="238"/>
        <v>0.29812039019747799</v>
      </c>
    </row>
    <row r="1842" spans="1:15" ht="20.100000000000001" customHeight="1" x14ac:dyDescent="0.25">
      <c r="A1842" s="89">
        <v>479</v>
      </c>
      <c r="B1842" s="4">
        <v>43986</v>
      </c>
      <c r="C1842" s="26" t="s">
        <v>33</v>
      </c>
      <c r="D1842" s="3">
        <v>1536</v>
      </c>
      <c r="E1842" s="4">
        <v>43990</v>
      </c>
      <c r="F1842" s="92" t="s">
        <v>28</v>
      </c>
      <c r="G1842" s="32">
        <v>44011</v>
      </c>
      <c r="H1842" s="27">
        <f t="shared" si="236"/>
        <v>1536</v>
      </c>
      <c r="I1842" s="27"/>
      <c r="J1842" s="27"/>
      <c r="K1842" s="99"/>
      <c r="L1842" s="27">
        <v>1180</v>
      </c>
      <c r="M1842" s="29">
        <f t="shared" si="237"/>
        <v>356</v>
      </c>
      <c r="N1842" s="29"/>
      <c r="O1842" s="44">
        <f t="shared" si="238"/>
        <v>0.23177083333333334</v>
      </c>
    </row>
    <row r="1843" spans="1:15" ht="20.100000000000001" customHeight="1" x14ac:dyDescent="0.25">
      <c r="A1843" s="89">
        <v>498</v>
      </c>
      <c r="B1843" s="4">
        <v>43991</v>
      </c>
      <c r="C1843" s="5" t="s">
        <v>457</v>
      </c>
      <c r="D1843" s="3">
        <v>38990</v>
      </c>
      <c r="E1843" s="4">
        <v>43991</v>
      </c>
      <c r="F1843" s="92" t="s">
        <v>28</v>
      </c>
      <c r="G1843" s="32">
        <v>43993</v>
      </c>
      <c r="H1843" s="27">
        <f t="shared" si="236"/>
        <v>38990</v>
      </c>
      <c r="I1843" s="27">
        <f>H1843</f>
        <v>38990</v>
      </c>
      <c r="J1843" s="27"/>
      <c r="K1843" s="99"/>
      <c r="L1843" s="27">
        <v>28567</v>
      </c>
      <c r="M1843" s="29">
        <f t="shared" si="237"/>
        <v>10423</v>
      </c>
      <c r="N1843" s="29">
        <f>M1843</f>
        <v>10423</v>
      </c>
      <c r="O1843" s="44">
        <f t="shared" si="238"/>
        <v>0.26732495511669657</v>
      </c>
    </row>
    <row r="1844" spans="1:15" ht="20.100000000000001" customHeight="1" x14ac:dyDescent="0.25">
      <c r="A1844" s="89">
        <v>512</v>
      </c>
      <c r="B1844" s="4">
        <v>43992</v>
      </c>
      <c r="C1844" s="26" t="s">
        <v>166</v>
      </c>
      <c r="D1844" s="3">
        <v>53665.5</v>
      </c>
      <c r="E1844" s="4">
        <v>43998</v>
      </c>
      <c r="F1844" s="92" t="s">
        <v>28</v>
      </c>
      <c r="G1844" s="32">
        <v>44032</v>
      </c>
      <c r="H1844" s="27">
        <f t="shared" si="236"/>
        <v>53665.5</v>
      </c>
      <c r="I1844" s="27"/>
      <c r="J1844" s="27"/>
      <c r="K1844" s="99"/>
      <c r="L1844" s="27">
        <v>36712.65</v>
      </c>
      <c r="M1844" s="29">
        <f t="shared" si="237"/>
        <v>16952.849999999999</v>
      </c>
      <c r="N1844" s="29"/>
      <c r="O1844" s="44">
        <f t="shared" si="238"/>
        <v>0.31589848226514239</v>
      </c>
    </row>
    <row r="1845" spans="1:15" ht="20.100000000000001" customHeight="1" x14ac:dyDescent="0.25">
      <c r="A1845" s="89">
        <v>485</v>
      </c>
      <c r="B1845" s="4">
        <v>43987</v>
      </c>
      <c r="C1845" s="26" t="s">
        <v>265</v>
      </c>
      <c r="D1845" s="3">
        <v>2020</v>
      </c>
      <c r="E1845" s="4">
        <v>43998</v>
      </c>
      <c r="F1845" s="92" t="s">
        <v>28</v>
      </c>
      <c r="G1845" s="4"/>
      <c r="H1845" s="27">
        <f t="shared" si="236"/>
        <v>2020</v>
      </c>
      <c r="I1845" s="27"/>
      <c r="J1845" s="27"/>
      <c r="K1845" s="99"/>
      <c r="L1845" s="27">
        <v>1316</v>
      </c>
      <c r="M1845" s="29">
        <f t="shared" si="237"/>
        <v>704</v>
      </c>
      <c r="N1845" s="29"/>
      <c r="O1845" s="44">
        <f t="shared" si="238"/>
        <v>0.34851485148514849</v>
      </c>
    </row>
    <row r="1846" spans="1:15" ht="20.100000000000001" customHeight="1" x14ac:dyDescent="0.25">
      <c r="A1846" s="89">
        <v>521</v>
      </c>
      <c r="B1846" s="4">
        <v>43993</v>
      </c>
      <c r="C1846" s="26" t="s">
        <v>392</v>
      </c>
      <c r="D1846" s="3">
        <v>17456</v>
      </c>
      <c r="E1846" s="4">
        <v>44000</v>
      </c>
      <c r="F1846" s="92" t="s">
        <v>28</v>
      </c>
      <c r="G1846" s="32">
        <v>44014</v>
      </c>
      <c r="H1846" s="27">
        <f t="shared" si="236"/>
        <v>17456</v>
      </c>
      <c r="I1846" s="27"/>
      <c r="J1846" s="27"/>
      <c r="K1846" s="99"/>
      <c r="L1846" s="27">
        <v>13614</v>
      </c>
      <c r="M1846" s="29">
        <f t="shared" si="237"/>
        <v>3842</v>
      </c>
      <c r="N1846" s="29"/>
      <c r="O1846" s="44">
        <f t="shared" si="238"/>
        <v>0.22009624197983502</v>
      </c>
    </row>
    <row r="1847" spans="1:15" ht="20.100000000000001" customHeight="1" x14ac:dyDescent="0.25">
      <c r="A1847" s="89">
        <v>295</v>
      </c>
      <c r="B1847" s="4">
        <v>43935</v>
      </c>
      <c r="C1847" s="26" t="s">
        <v>99</v>
      </c>
      <c r="D1847" s="3">
        <v>259378</v>
      </c>
      <c r="E1847" s="4">
        <v>44000</v>
      </c>
      <c r="F1847" s="92" t="s">
        <v>28</v>
      </c>
      <c r="G1847" s="32">
        <v>43971</v>
      </c>
      <c r="H1847" s="27">
        <f t="shared" si="236"/>
        <v>259378</v>
      </c>
      <c r="I1847" s="27"/>
      <c r="J1847" s="27">
        <v>30000</v>
      </c>
      <c r="K1847" s="99">
        <f>10*600</f>
        <v>6000</v>
      </c>
      <c r="L1847" s="27">
        <v>124329</v>
      </c>
      <c r="M1847" s="29">
        <f t="shared" si="237"/>
        <v>99049</v>
      </c>
      <c r="N1847" s="29"/>
      <c r="O1847" s="44">
        <f t="shared" si="238"/>
        <v>0.3818712458265543</v>
      </c>
    </row>
    <row r="1848" spans="1:15" ht="20.100000000000001" customHeight="1" x14ac:dyDescent="0.25">
      <c r="A1848" s="89">
        <v>351</v>
      </c>
      <c r="B1848" s="4">
        <v>43950</v>
      </c>
      <c r="C1848" s="26" t="s">
        <v>99</v>
      </c>
      <c r="D1848" s="3">
        <v>212603</v>
      </c>
      <c r="E1848" s="4">
        <v>44000</v>
      </c>
      <c r="F1848" s="92" t="s">
        <v>28</v>
      </c>
      <c r="G1848" s="32">
        <v>43971</v>
      </c>
      <c r="H1848" s="27">
        <f t="shared" si="236"/>
        <v>212603</v>
      </c>
      <c r="I1848" s="27"/>
      <c r="J1848" s="27">
        <v>12000</v>
      </c>
      <c r="K1848" s="99">
        <v>2400</v>
      </c>
      <c r="L1848" s="27">
        <v>127987.8</v>
      </c>
      <c r="M1848" s="29">
        <f t="shared" si="237"/>
        <v>70215.199999999997</v>
      </c>
      <c r="N1848" s="29"/>
      <c r="O1848" s="44">
        <f t="shared" si="238"/>
        <v>0.33026438949591491</v>
      </c>
    </row>
    <row r="1849" spans="1:15" ht="20.100000000000001" customHeight="1" x14ac:dyDescent="0.25">
      <c r="A1849" s="89">
        <v>542</v>
      </c>
      <c r="B1849" s="4">
        <v>43999</v>
      </c>
      <c r="C1849" s="26" t="s">
        <v>403</v>
      </c>
      <c r="D1849" s="3">
        <v>6218</v>
      </c>
      <c r="E1849" s="4">
        <v>44004</v>
      </c>
      <c r="F1849" s="92" t="s">
        <v>28</v>
      </c>
      <c r="G1849" s="32">
        <v>44007</v>
      </c>
      <c r="H1849" s="27">
        <f t="shared" si="236"/>
        <v>6218</v>
      </c>
      <c r="I1849" s="27"/>
      <c r="J1849" s="27"/>
      <c r="K1849" s="99"/>
      <c r="L1849" s="27">
        <v>4787</v>
      </c>
      <c r="M1849" s="29">
        <f t="shared" si="237"/>
        <v>1431</v>
      </c>
      <c r="N1849" s="29"/>
      <c r="O1849" s="44">
        <f t="shared" si="238"/>
        <v>0.23013830813766484</v>
      </c>
    </row>
    <row r="1850" spans="1:15" ht="20.100000000000001" customHeight="1" x14ac:dyDescent="0.25">
      <c r="A1850" s="89">
        <v>569</v>
      </c>
      <c r="B1850" s="4">
        <v>44007</v>
      </c>
      <c r="C1850" s="26" t="s">
        <v>179</v>
      </c>
      <c r="D1850" s="3">
        <v>21171</v>
      </c>
      <c r="E1850" s="4">
        <v>43977</v>
      </c>
      <c r="F1850" s="92" t="s">
        <v>28</v>
      </c>
      <c r="G1850" s="32">
        <v>44011</v>
      </c>
      <c r="H1850" s="27">
        <f t="shared" si="236"/>
        <v>21171</v>
      </c>
      <c r="I1850" s="27"/>
      <c r="J1850" s="27"/>
      <c r="K1850" s="99"/>
      <c r="L1850" s="27">
        <v>14489</v>
      </c>
      <c r="M1850" s="29">
        <f t="shared" si="237"/>
        <v>6682</v>
      </c>
      <c r="N1850" s="29"/>
      <c r="O1850" s="44">
        <f t="shared" si="238"/>
        <v>0.31562042416513153</v>
      </c>
    </row>
    <row r="1851" spans="1:15" ht="20.100000000000001" customHeight="1" x14ac:dyDescent="0.25">
      <c r="A1851" s="89">
        <v>481</v>
      </c>
      <c r="B1851" s="4">
        <v>43986</v>
      </c>
      <c r="C1851" s="26" t="s">
        <v>56</v>
      </c>
      <c r="D1851" s="3">
        <v>71718</v>
      </c>
      <c r="E1851" s="4">
        <v>44011</v>
      </c>
      <c r="F1851" s="92" t="s">
        <v>28</v>
      </c>
      <c r="G1851" s="32">
        <v>43992</v>
      </c>
      <c r="H1851" s="27">
        <f t="shared" si="236"/>
        <v>71718</v>
      </c>
      <c r="I1851" s="27"/>
      <c r="J1851" s="27"/>
      <c r="K1851" s="99">
        <v>3000</v>
      </c>
      <c r="L1851" s="27">
        <v>46820.5</v>
      </c>
      <c r="M1851" s="29">
        <f t="shared" si="237"/>
        <v>21897.5</v>
      </c>
      <c r="N1851" s="29"/>
      <c r="O1851" s="44">
        <f t="shared" si="238"/>
        <v>0.30532781170696338</v>
      </c>
    </row>
    <row r="1852" spans="1:15" ht="20.100000000000001" customHeight="1" x14ac:dyDescent="0.25">
      <c r="A1852" s="89">
        <v>572</v>
      </c>
      <c r="B1852" s="4">
        <v>44011</v>
      </c>
      <c r="C1852" s="26" t="s">
        <v>281</v>
      </c>
      <c r="D1852" s="3">
        <v>4325</v>
      </c>
      <c r="E1852" s="4">
        <v>44011</v>
      </c>
      <c r="F1852" s="92" t="s">
        <v>28</v>
      </c>
      <c r="G1852" s="32">
        <v>44012</v>
      </c>
      <c r="H1852" s="27">
        <f t="shared" si="236"/>
        <v>4325</v>
      </c>
      <c r="I1852" s="27"/>
      <c r="J1852" s="27"/>
      <c r="K1852" s="99"/>
      <c r="L1852" s="27">
        <v>2943</v>
      </c>
      <c r="M1852" s="29">
        <f t="shared" si="237"/>
        <v>1382</v>
      </c>
      <c r="N1852" s="29"/>
      <c r="O1852" s="44">
        <f t="shared" si="238"/>
        <v>0.31953757225433527</v>
      </c>
    </row>
    <row r="1853" spans="1:15" ht="20.100000000000001" customHeight="1" x14ac:dyDescent="0.25">
      <c r="A1853" s="89">
        <v>581</v>
      </c>
      <c r="B1853" s="4">
        <v>44011</v>
      </c>
      <c r="C1853" s="5" t="s">
        <v>458</v>
      </c>
      <c r="D1853" s="3">
        <v>2824</v>
      </c>
      <c r="E1853" s="4">
        <v>44012</v>
      </c>
      <c r="F1853" s="92" t="s">
        <v>28</v>
      </c>
      <c r="G1853" s="32">
        <v>44029</v>
      </c>
      <c r="H1853" s="27">
        <f t="shared" si="236"/>
        <v>2824</v>
      </c>
      <c r="I1853" s="27">
        <f>H1853</f>
        <v>2824</v>
      </c>
      <c r="J1853" s="27"/>
      <c r="K1853" s="99"/>
      <c r="L1853" s="27">
        <v>1864</v>
      </c>
      <c r="M1853" s="29">
        <f t="shared" si="237"/>
        <v>960</v>
      </c>
      <c r="N1853" s="29">
        <f>M1853</f>
        <v>960</v>
      </c>
      <c r="O1853" s="44">
        <f t="shared" si="238"/>
        <v>0.33994334277620397</v>
      </c>
    </row>
    <row r="1854" spans="1:15" ht="20.100000000000001" customHeight="1" x14ac:dyDescent="0.25">
      <c r="A1854" s="89">
        <v>585</v>
      </c>
      <c r="B1854" s="4">
        <v>44012</v>
      </c>
      <c r="C1854" s="5" t="s">
        <v>459</v>
      </c>
      <c r="D1854" s="3">
        <v>22490</v>
      </c>
      <c r="E1854" s="4">
        <v>44012</v>
      </c>
      <c r="F1854" s="92" t="s">
        <v>28</v>
      </c>
      <c r="G1854" s="32">
        <v>44019</v>
      </c>
      <c r="H1854" s="27">
        <f t="shared" si="236"/>
        <v>22490</v>
      </c>
      <c r="I1854" s="27">
        <f>H1854</f>
        <v>22490</v>
      </c>
      <c r="J1854" s="27"/>
      <c r="K1854" s="99"/>
      <c r="L1854" s="27">
        <v>16530</v>
      </c>
      <c r="M1854" s="29">
        <f t="shared" si="237"/>
        <v>5960</v>
      </c>
      <c r="N1854" s="29">
        <f>M1854</f>
        <v>5960</v>
      </c>
      <c r="O1854" s="44">
        <f t="shared" si="238"/>
        <v>0.2650066696309471</v>
      </c>
    </row>
    <row r="1855" spans="1:15" ht="20.100000000000001" customHeight="1" x14ac:dyDescent="0.25">
      <c r="A1855" s="89">
        <v>586</v>
      </c>
      <c r="B1855" s="4">
        <v>44012</v>
      </c>
      <c r="C1855" s="26" t="s">
        <v>209</v>
      </c>
      <c r="D1855" s="3">
        <v>2301.8000000000002</v>
      </c>
      <c r="E1855" s="4">
        <v>44012</v>
      </c>
      <c r="F1855" s="92" t="s">
        <v>28</v>
      </c>
      <c r="G1855" s="32">
        <v>44016</v>
      </c>
      <c r="H1855" s="27">
        <f t="shared" si="236"/>
        <v>2301.8000000000002</v>
      </c>
      <c r="I1855" s="27"/>
      <c r="J1855" s="27"/>
      <c r="K1855" s="99"/>
      <c r="L1855" s="27">
        <v>2112</v>
      </c>
      <c r="M1855" s="29">
        <f t="shared" si="237"/>
        <v>189.80000000000018</v>
      </c>
      <c r="N1855" s="29"/>
      <c r="O1855" s="44">
        <f t="shared" si="238"/>
        <v>8.2457207402902147E-2</v>
      </c>
    </row>
    <row r="1856" spans="1:15" ht="19.5" customHeight="1" x14ac:dyDescent="0.25">
      <c r="A1856" s="89"/>
      <c r="B1856" s="4"/>
      <c r="C1856" s="5"/>
      <c r="D1856" s="3"/>
      <c r="E1856" s="97">
        <v>89700</v>
      </c>
      <c r="F1856" s="98">
        <f>M1856*0.17+N1856*0.06+10000</f>
        <v>89703.181500000006</v>
      </c>
      <c r="G1856" s="21">
        <f>H1856*0.05+I1856*0.02+10000</f>
        <v>80223.795000000013</v>
      </c>
      <c r="H1856" s="16">
        <f t="shared" ref="H1856:N1856" si="239">SUM(H1831:H1855)</f>
        <v>1313724.3</v>
      </c>
      <c r="I1856" s="16">
        <f t="shared" si="239"/>
        <v>226879</v>
      </c>
      <c r="J1856" s="16">
        <f t="shared" si="239"/>
        <v>42000</v>
      </c>
      <c r="K1856" s="16">
        <f t="shared" si="239"/>
        <v>21600</v>
      </c>
      <c r="L1856" s="16">
        <f t="shared" si="239"/>
        <v>806433.35000000009</v>
      </c>
      <c r="M1856" s="16">
        <f t="shared" si="239"/>
        <v>443690.95</v>
      </c>
      <c r="N1856" s="16">
        <f t="shared" si="239"/>
        <v>71262</v>
      </c>
      <c r="O1856" s="44">
        <f t="shared" si="238"/>
        <v>0.33773520821682296</v>
      </c>
    </row>
    <row r="1857" spans="1:15" ht="23.25" x14ac:dyDescent="0.35">
      <c r="B1857" s="94"/>
      <c r="C1857" s="94" t="s">
        <v>641</v>
      </c>
    </row>
    <row r="1858" spans="1:15" ht="20.100000000000001" customHeight="1" x14ac:dyDescent="0.25">
      <c r="A1858" s="89">
        <v>567</v>
      </c>
      <c r="B1858" s="4">
        <v>44012</v>
      </c>
      <c r="C1858" s="26" t="s">
        <v>455</v>
      </c>
      <c r="D1858" s="3">
        <v>21290</v>
      </c>
      <c r="E1858" s="4">
        <v>44014</v>
      </c>
      <c r="F1858" s="92" t="s">
        <v>28</v>
      </c>
      <c r="G1858" s="32">
        <v>44032</v>
      </c>
      <c r="H1858" s="27">
        <f t="shared" ref="H1858:H1888" si="240">D1858</f>
        <v>21290</v>
      </c>
      <c r="I1858" s="27"/>
      <c r="J1858" s="27"/>
      <c r="K1858" s="27">
        <f>1200*3</f>
        <v>3600</v>
      </c>
      <c r="L1858" s="27">
        <v>8104.64</v>
      </c>
      <c r="M1858" s="29">
        <f t="shared" ref="M1858:M1888" si="241">H1858-L1858-J1858-K1858</f>
        <v>9585.36</v>
      </c>
      <c r="N1858" s="29"/>
      <c r="O1858" s="44">
        <f t="shared" ref="O1858:O1889" si="242">M1858/H1858</f>
        <v>0.45022827618600286</v>
      </c>
    </row>
    <row r="1859" spans="1:15" ht="20.100000000000001" customHeight="1" x14ac:dyDescent="0.25">
      <c r="A1859" s="89">
        <v>566</v>
      </c>
      <c r="B1859" s="4">
        <v>44007</v>
      </c>
      <c r="C1859" s="26" t="s">
        <v>83</v>
      </c>
      <c r="D1859" s="3">
        <v>60990</v>
      </c>
      <c r="E1859" s="4">
        <v>44015</v>
      </c>
      <c r="F1859" s="92" t="s">
        <v>28</v>
      </c>
      <c r="G1859" s="32">
        <v>44040</v>
      </c>
      <c r="H1859" s="27">
        <f t="shared" si="240"/>
        <v>60990</v>
      </c>
      <c r="I1859" s="27"/>
      <c r="J1859" s="27"/>
      <c r="K1859" s="99"/>
      <c r="L1859" s="27">
        <v>44791</v>
      </c>
      <c r="M1859" s="29">
        <f t="shared" si="241"/>
        <v>16199</v>
      </c>
      <c r="N1859" s="29"/>
      <c r="O1859" s="44">
        <f t="shared" si="242"/>
        <v>0.26560091818330872</v>
      </c>
    </row>
    <row r="1860" spans="1:15" ht="19.5" customHeight="1" x14ac:dyDescent="0.25">
      <c r="A1860" s="89">
        <v>349</v>
      </c>
      <c r="B1860" s="4">
        <v>43969</v>
      </c>
      <c r="C1860" s="26" t="s">
        <v>38</v>
      </c>
      <c r="D1860" s="3">
        <v>10577</v>
      </c>
      <c r="E1860" s="4">
        <v>44015</v>
      </c>
      <c r="F1860" s="92" t="s">
        <v>28</v>
      </c>
      <c r="G1860" s="32">
        <v>43984</v>
      </c>
      <c r="H1860" s="27">
        <f t="shared" si="240"/>
        <v>10577</v>
      </c>
      <c r="I1860" s="27"/>
      <c r="J1860" s="27"/>
      <c r="K1860" s="99"/>
      <c r="L1860" s="27">
        <v>5154</v>
      </c>
      <c r="M1860" s="29">
        <f t="shared" si="241"/>
        <v>5423</v>
      </c>
      <c r="N1860" s="29"/>
      <c r="O1860" s="44">
        <f t="shared" si="242"/>
        <v>0.51271627115439156</v>
      </c>
    </row>
    <row r="1861" spans="1:15" ht="20.100000000000001" customHeight="1" x14ac:dyDescent="0.25">
      <c r="A1861" s="89">
        <v>610</v>
      </c>
      <c r="B1861" s="4">
        <v>44015</v>
      </c>
      <c r="C1861" s="26" t="s">
        <v>437</v>
      </c>
      <c r="D1861" s="3">
        <v>741</v>
      </c>
      <c r="E1861" s="4">
        <v>44018</v>
      </c>
      <c r="F1861" s="92" t="s">
        <v>28</v>
      </c>
      <c r="G1861" s="32">
        <v>44015</v>
      </c>
      <c r="H1861" s="27">
        <f t="shared" si="240"/>
        <v>741</v>
      </c>
      <c r="I1861" s="27"/>
      <c r="J1861" s="27"/>
      <c r="K1861" s="99"/>
      <c r="L1861" s="27">
        <v>489</v>
      </c>
      <c r="M1861" s="29">
        <f t="shared" si="241"/>
        <v>252</v>
      </c>
      <c r="N1861" s="29"/>
      <c r="O1861" s="44">
        <f t="shared" si="242"/>
        <v>0.34008097165991902</v>
      </c>
    </row>
    <row r="1862" spans="1:15" ht="20.100000000000001" customHeight="1" x14ac:dyDescent="0.25">
      <c r="A1862" s="89">
        <v>350</v>
      </c>
      <c r="B1862" s="4">
        <v>43976</v>
      </c>
      <c r="C1862" s="26" t="s">
        <v>275</v>
      </c>
      <c r="D1862" s="3">
        <v>36256</v>
      </c>
      <c r="E1862" s="4">
        <v>44019</v>
      </c>
      <c r="F1862" s="92" t="s">
        <v>28</v>
      </c>
      <c r="G1862" s="32">
        <v>43991</v>
      </c>
      <c r="H1862" s="27">
        <f t="shared" si="240"/>
        <v>36256</v>
      </c>
      <c r="I1862" s="27"/>
      <c r="J1862" s="27"/>
      <c r="K1862" s="99"/>
      <c r="L1862" s="27">
        <v>27133</v>
      </c>
      <c r="M1862" s="29">
        <f t="shared" si="241"/>
        <v>9123</v>
      </c>
      <c r="N1862" s="29"/>
      <c r="O1862" s="44">
        <f t="shared" si="242"/>
        <v>0.25162731685789941</v>
      </c>
    </row>
    <row r="1863" spans="1:15" ht="20.100000000000001" customHeight="1" x14ac:dyDescent="0.25">
      <c r="A1863" s="89">
        <v>427</v>
      </c>
      <c r="B1863" s="4">
        <v>43976</v>
      </c>
      <c r="C1863" s="26" t="s">
        <v>228</v>
      </c>
      <c r="D1863" s="3">
        <v>38423</v>
      </c>
      <c r="E1863" s="4">
        <v>44019</v>
      </c>
      <c r="F1863" s="92" t="s">
        <v>28</v>
      </c>
      <c r="G1863" s="32">
        <v>44027</v>
      </c>
      <c r="H1863" s="27">
        <f t="shared" si="240"/>
        <v>38423</v>
      </c>
      <c r="I1863" s="27"/>
      <c r="J1863" s="27"/>
      <c r="K1863" s="99"/>
      <c r="L1863" s="27">
        <v>25354</v>
      </c>
      <c r="M1863" s="29">
        <f t="shared" si="241"/>
        <v>13069</v>
      </c>
      <c r="N1863" s="29"/>
      <c r="O1863" s="44">
        <f t="shared" si="242"/>
        <v>0.34013481508471488</v>
      </c>
    </row>
    <row r="1864" spans="1:15" ht="20.100000000000001" customHeight="1" x14ac:dyDescent="0.25">
      <c r="A1864" s="89">
        <v>614</v>
      </c>
      <c r="B1864" s="4">
        <v>44018</v>
      </c>
      <c r="C1864" s="26" t="s">
        <v>91</v>
      </c>
      <c r="D1864" s="3">
        <v>5928</v>
      </c>
      <c r="E1864" s="4">
        <v>44019</v>
      </c>
      <c r="F1864" s="92" t="s">
        <v>28</v>
      </c>
      <c r="G1864" s="32">
        <v>44040</v>
      </c>
      <c r="H1864" s="27">
        <f t="shared" si="240"/>
        <v>5928</v>
      </c>
      <c r="I1864" s="27"/>
      <c r="J1864" s="27"/>
      <c r="K1864" s="99"/>
      <c r="L1864" s="27">
        <v>4036</v>
      </c>
      <c r="M1864" s="29">
        <f t="shared" si="241"/>
        <v>1892</v>
      </c>
      <c r="N1864" s="29"/>
      <c r="O1864" s="44">
        <f t="shared" si="242"/>
        <v>0.31916329284750339</v>
      </c>
    </row>
    <row r="1865" spans="1:15" ht="20.100000000000001" customHeight="1" x14ac:dyDescent="0.25">
      <c r="A1865" s="89">
        <v>639</v>
      </c>
      <c r="B1865" s="4">
        <v>44020</v>
      </c>
      <c r="C1865" s="26" t="s">
        <v>460</v>
      </c>
      <c r="D1865" s="3">
        <v>20237</v>
      </c>
      <c r="E1865" s="4">
        <v>44020</v>
      </c>
      <c r="F1865" s="92" t="s">
        <v>28</v>
      </c>
      <c r="G1865" s="32">
        <v>44020</v>
      </c>
      <c r="H1865" s="27">
        <f t="shared" si="240"/>
        <v>20237</v>
      </c>
      <c r="I1865" s="27"/>
      <c r="J1865" s="27"/>
      <c r="K1865" s="99">
        <v>600</v>
      </c>
      <c r="L1865" s="27">
        <v>13926</v>
      </c>
      <c r="M1865" s="29">
        <f t="shared" si="241"/>
        <v>5711</v>
      </c>
      <c r="N1865" s="29"/>
      <c r="O1865" s="44">
        <f t="shared" si="242"/>
        <v>0.28220586055245345</v>
      </c>
    </row>
    <row r="1866" spans="1:15" ht="20.100000000000001" customHeight="1" x14ac:dyDescent="0.25">
      <c r="A1866" s="89">
        <v>638</v>
      </c>
      <c r="B1866" s="4">
        <v>44020</v>
      </c>
      <c r="C1866" s="26" t="s">
        <v>83</v>
      </c>
      <c r="D1866" s="3">
        <v>2964</v>
      </c>
      <c r="E1866" s="4">
        <v>44021</v>
      </c>
      <c r="F1866" s="92" t="s">
        <v>28</v>
      </c>
      <c r="G1866" s="32">
        <v>44022</v>
      </c>
      <c r="H1866" s="27">
        <f t="shared" si="240"/>
        <v>2964</v>
      </c>
      <c r="I1866" s="27"/>
      <c r="J1866" s="27"/>
      <c r="K1866" s="99"/>
      <c r="L1866" s="27">
        <v>2018</v>
      </c>
      <c r="M1866" s="29">
        <f t="shared" si="241"/>
        <v>946</v>
      </c>
      <c r="N1866" s="29"/>
      <c r="O1866" s="44">
        <f t="shared" si="242"/>
        <v>0.31916329284750339</v>
      </c>
    </row>
    <row r="1867" spans="1:15" ht="20.100000000000001" customHeight="1" x14ac:dyDescent="0.25">
      <c r="A1867" s="89">
        <v>595</v>
      </c>
      <c r="B1867" s="4">
        <v>44021</v>
      </c>
      <c r="C1867" s="5" t="s">
        <v>461</v>
      </c>
      <c r="D1867" s="3">
        <v>205990</v>
      </c>
      <c r="E1867" s="4">
        <v>44021</v>
      </c>
      <c r="F1867" s="92" t="s">
        <v>28</v>
      </c>
      <c r="G1867" s="32">
        <v>44028</v>
      </c>
      <c r="H1867" s="27">
        <f t="shared" si="240"/>
        <v>205990</v>
      </c>
      <c r="I1867" s="27">
        <f>H1867</f>
        <v>205990</v>
      </c>
      <c r="J1867" s="27"/>
      <c r="K1867" s="99"/>
      <c r="L1867" s="27">
        <v>151279</v>
      </c>
      <c r="M1867" s="29">
        <f t="shared" si="241"/>
        <v>54711</v>
      </c>
      <c r="N1867" s="29">
        <f>M1867</f>
        <v>54711</v>
      </c>
      <c r="O1867" s="44">
        <f t="shared" si="242"/>
        <v>0.26560027185785717</v>
      </c>
    </row>
    <row r="1868" spans="1:15" ht="20.100000000000001" customHeight="1" x14ac:dyDescent="0.25">
      <c r="A1868" s="89">
        <v>630</v>
      </c>
      <c r="B1868" s="4">
        <v>44019</v>
      </c>
      <c r="C1868" s="26" t="s">
        <v>462</v>
      </c>
      <c r="D1868" s="3">
        <v>5944</v>
      </c>
      <c r="E1868" s="4">
        <v>44021</v>
      </c>
      <c r="F1868" s="92" t="s">
        <v>28</v>
      </c>
      <c r="G1868" s="32">
        <v>44042</v>
      </c>
      <c r="H1868" s="27">
        <f t="shared" si="240"/>
        <v>5944</v>
      </c>
      <c r="I1868" s="27"/>
      <c r="J1868" s="27"/>
      <c r="K1868" s="99"/>
      <c r="L1868" s="27">
        <v>3642</v>
      </c>
      <c r="M1868" s="29">
        <f t="shared" si="241"/>
        <v>2302</v>
      </c>
      <c r="N1868" s="29"/>
      <c r="O1868" s="44">
        <f t="shared" si="242"/>
        <v>0.38728129205921941</v>
      </c>
    </row>
    <row r="1869" spans="1:15" ht="20.100000000000001" customHeight="1" x14ac:dyDescent="0.25">
      <c r="A1869" s="89">
        <v>275</v>
      </c>
      <c r="B1869" s="4">
        <v>43983</v>
      </c>
      <c r="C1869" s="26" t="s">
        <v>65</v>
      </c>
      <c r="D1869" s="3">
        <v>62640</v>
      </c>
      <c r="E1869" s="4">
        <v>44021</v>
      </c>
      <c r="F1869" s="92" t="s">
        <v>28</v>
      </c>
      <c r="G1869" s="32">
        <v>43986</v>
      </c>
      <c r="H1869" s="27">
        <f t="shared" si="240"/>
        <v>62640</v>
      </c>
      <c r="I1869" s="27"/>
      <c r="J1869" s="27"/>
      <c r="K1869" s="99"/>
      <c r="L1869" s="27">
        <v>49964</v>
      </c>
      <c r="M1869" s="29">
        <f t="shared" si="241"/>
        <v>12676</v>
      </c>
      <c r="N1869" s="29"/>
      <c r="O1869" s="44">
        <f t="shared" si="242"/>
        <v>0.20236270753512134</v>
      </c>
    </row>
    <row r="1870" spans="1:15" ht="20.100000000000001" customHeight="1" x14ac:dyDescent="0.25">
      <c r="A1870" s="89">
        <v>657</v>
      </c>
      <c r="B1870" s="4">
        <v>44022</v>
      </c>
      <c r="C1870" s="26" t="s">
        <v>424</v>
      </c>
      <c r="D1870" s="3">
        <v>3434</v>
      </c>
      <c r="E1870" s="4">
        <v>44022</v>
      </c>
      <c r="F1870" s="92" t="s">
        <v>28</v>
      </c>
      <c r="G1870" s="32">
        <v>44035</v>
      </c>
      <c r="H1870" s="27">
        <f t="shared" si="240"/>
        <v>3434</v>
      </c>
      <c r="I1870" s="27"/>
      <c r="J1870" s="27"/>
      <c r="K1870" s="99"/>
      <c r="L1870" s="27">
        <v>2677</v>
      </c>
      <c r="M1870" s="29">
        <f t="shared" si="241"/>
        <v>757</v>
      </c>
      <c r="N1870" s="29"/>
      <c r="O1870" s="44">
        <f t="shared" si="242"/>
        <v>0.22044263249854398</v>
      </c>
    </row>
    <row r="1871" spans="1:15" ht="20.100000000000001" customHeight="1" x14ac:dyDescent="0.25">
      <c r="A1871" s="89">
        <v>623</v>
      </c>
      <c r="B1871" s="4">
        <v>44020</v>
      </c>
      <c r="C1871" s="26" t="s">
        <v>228</v>
      </c>
      <c r="D1871" s="3">
        <v>9122</v>
      </c>
      <c r="E1871" s="4">
        <v>44026</v>
      </c>
      <c r="F1871" s="92" t="s">
        <v>28</v>
      </c>
      <c r="G1871" s="32">
        <v>44027</v>
      </c>
      <c r="H1871" s="27">
        <f t="shared" si="240"/>
        <v>9122</v>
      </c>
      <c r="I1871" s="27"/>
      <c r="J1871" s="27"/>
      <c r="K1871" s="99"/>
      <c r="L1871" s="27">
        <v>7650</v>
      </c>
      <c r="M1871" s="29">
        <f t="shared" si="241"/>
        <v>1472</v>
      </c>
      <c r="N1871" s="29"/>
      <c r="O1871" s="44">
        <f t="shared" si="242"/>
        <v>0.16136812102609077</v>
      </c>
    </row>
    <row r="1872" spans="1:15" ht="20.100000000000001" customHeight="1" x14ac:dyDescent="0.25">
      <c r="A1872" s="89">
        <v>668</v>
      </c>
      <c r="B1872" s="4">
        <v>44026</v>
      </c>
      <c r="C1872" s="5" t="s">
        <v>463</v>
      </c>
      <c r="D1872" s="3">
        <v>169090</v>
      </c>
      <c r="E1872" s="4">
        <v>44026</v>
      </c>
      <c r="F1872" s="92" t="s">
        <v>28</v>
      </c>
      <c r="G1872" s="32">
        <v>44028</v>
      </c>
      <c r="H1872" s="27">
        <f t="shared" si="240"/>
        <v>169090</v>
      </c>
      <c r="I1872" s="27">
        <f>H1872</f>
        <v>169090</v>
      </c>
      <c r="J1872" s="27"/>
      <c r="K1872" s="99"/>
      <c r="L1872" s="27">
        <v>118161.44</v>
      </c>
      <c r="M1872" s="29">
        <f t="shared" si="241"/>
        <v>50928.56</v>
      </c>
      <c r="N1872" s="29">
        <f>M1872</f>
        <v>50928.56</v>
      </c>
      <c r="O1872" s="44">
        <f t="shared" si="242"/>
        <v>0.30119202791412858</v>
      </c>
    </row>
    <row r="1873" spans="1:15" ht="20.100000000000001" customHeight="1" x14ac:dyDescent="0.25">
      <c r="A1873" s="89">
        <v>681</v>
      </c>
      <c r="B1873" s="4">
        <v>44028</v>
      </c>
      <c r="C1873" s="26" t="s">
        <v>124</v>
      </c>
      <c r="D1873" s="3">
        <v>3476</v>
      </c>
      <c r="E1873" s="4">
        <v>44028</v>
      </c>
      <c r="F1873" s="92" t="s">
        <v>28</v>
      </c>
      <c r="G1873" s="32">
        <v>44028</v>
      </c>
      <c r="H1873" s="27">
        <f t="shared" si="240"/>
        <v>3476</v>
      </c>
      <c r="I1873" s="27"/>
      <c r="J1873" s="27"/>
      <c r="K1873" s="99"/>
      <c r="L1873" s="27">
        <v>2580</v>
      </c>
      <c r="M1873" s="29">
        <f t="shared" si="241"/>
        <v>896</v>
      </c>
      <c r="N1873" s="29"/>
      <c r="O1873" s="44">
        <f t="shared" si="242"/>
        <v>0.25776754890678943</v>
      </c>
    </row>
    <row r="1874" spans="1:15" ht="20.100000000000001" customHeight="1" x14ac:dyDescent="0.25">
      <c r="A1874" s="89">
        <v>684</v>
      </c>
      <c r="B1874" s="4">
        <v>44028</v>
      </c>
      <c r="C1874" s="5" t="s">
        <v>464</v>
      </c>
      <c r="D1874" s="3">
        <v>1921</v>
      </c>
      <c r="E1874" s="4">
        <v>44029</v>
      </c>
      <c r="F1874" s="92" t="s">
        <v>28</v>
      </c>
      <c r="G1874" s="32">
        <v>44042</v>
      </c>
      <c r="H1874" s="27">
        <f t="shared" si="240"/>
        <v>1921</v>
      </c>
      <c r="I1874" s="27">
        <f>H1874</f>
        <v>1921</v>
      </c>
      <c r="J1874" s="27"/>
      <c r="K1874" s="99"/>
      <c r="L1874" s="27">
        <v>1498</v>
      </c>
      <c r="M1874" s="29">
        <f t="shared" si="241"/>
        <v>423</v>
      </c>
      <c r="N1874" s="29">
        <f>M1874</f>
        <v>423</v>
      </c>
      <c r="O1874" s="44">
        <f t="shared" si="242"/>
        <v>0.22019781363872984</v>
      </c>
    </row>
    <row r="1875" spans="1:15" ht="20.100000000000001" customHeight="1" x14ac:dyDescent="0.25">
      <c r="A1875" s="89">
        <v>685</v>
      </c>
      <c r="B1875" s="4">
        <v>44028</v>
      </c>
      <c r="C1875" s="26" t="s">
        <v>435</v>
      </c>
      <c r="D1875" s="3">
        <v>10179</v>
      </c>
      <c r="E1875" s="4">
        <v>44029</v>
      </c>
      <c r="F1875" s="92" t="s">
        <v>28</v>
      </c>
      <c r="G1875" s="32">
        <v>44033</v>
      </c>
      <c r="H1875" s="27">
        <f t="shared" si="240"/>
        <v>10179</v>
      </c>
      <c r="I1875" s="27"/>
      <c r="J1875" s="27"/>
      <c r="K1875" s="99"/>
      <c r="L1875" s="27">
        <v>7536</v>
      </c>
      <c r="M1875" s="29">
        <f t="shared" si="241"/>
        <v>2643</v>
      </c>
      <c r="N1875" s="29"/>
      <c r="O1875" s="44">
        <f t="shared" si="242"/>
        <v>0.25965222516946657</v>
      </c>
    </row>
    <row r="1876" spans="1:15" ht="20.100000000000001" customHeight="1" x14ac:dyDescent="0.25">
      <c r="A1876" s="89">
        <v>648</v>
      </c>
      <c r="B1876" s="4">
        <v>44020</v>
      </c>
      <c r="C1876" s="26" t="s">
        <v>49</v>
      </c>
      <c r="D1876" s="3">
        <v>5442</v>
      </c>
      <c r="E1876" s="4">
        <v>44029</v>
      </c>
      <c r="F1876" s="92" t="s">
        <v>28</v>
      </c>
      <c r="G1876" s="32">
        <v>44057</v>
      </c>
      <c r="H1876" s="27">
        <f t="shared" si="240"/>
        <v>5442</v>
      </c>
      <c r="I1876" s="27"/>
      <c r="J1876" s="27"/>
      <c r="K1876" s="99"/>
      <c r="L1876" s="27">
        <v>3102</v>
      </c>
      <c r="M1876" s="29">
        <f t="shared" si="241"/>
        <v>2340</v>
      </c>
      <c r="N1876" s="29"/>
      <c r="O1876" s="44">
        <f t="shared" si="242"/>
        <v>0.42998897464167585</v>
      </c>
    </row>
    <row r="1877" spans="1:15" ht="20.100000000000001" customHeight="1" x14ac:dyDescent="0.25">
      <c r="A1877" s="89">
        <v>686</v>
      </c>
      <c r="B1877" s="4">
        <v>44029</v>
      </c>
      <c r="C1877" s="26" t="s">
        <v>251</v>
      </c>
      <c r="D1877" s="3">
        <v>7567</v>
      </c>
      <c r="E1877" s="4">
        <v>44029</v>
      </c>
      <c r="F1877" s="92" t="s">
        <v>28</v>
      </c>
      <c r="G1877" s="32">
        <v>44032</v>
      </c>
      <c r="H1877" s="27">
        <f t="shared" si="240"/>
        <v>7567</v>
      </c>
      <c r="I1877" s="27"/>
      <c r="J1877" s="27"/>
      <c r="K1877" s="99"/>
      <c r="L1877" s="27">
        <v>4802</v>
      </c>
      <c r="M1877" s="29">
        <f t="shared" si="241"/>
        <v>2765</v>
      </c>
      <c r="N1877" s="29"/>
      <c r="O1877" s="44">
        <f t="shared" si="242"/>
        <v>0.36540240518038852</v>
      </c>
    </row>
    <row r="1878" spans="1:15" ht="20.100000000000001" customHeight="1" x14ac:dyDescent="0.25">
      <c r="A1878" s="89">
        <v>423</v>
      </c>
      <c r="B1878" s="4">
        <v>43972</v>
      </c>
      <c r="C1878" s="26" t="s">
        <v>433</v>
      </c>
      <c r="D1878" s="3">
        <v>18990</v>
      </c>
      <c r="E1878" s="4">
        <v>44033</v>
      </c>
      <c r="F1878" s="92" t="s">
        <v>28</v>
      </c>
      <c r="G1878" s="32">
        <v>43978</v>
      </c>
      <c r="H1878" s="27">
        <f t="shared" si="240"/>
        <v>18990</v>
      </c>
      <c r="I1878" s="27"/>
      <c r="J1878" s="27"/>
      <c r="K1878" s="99"/>
      <c r="L1878" s="27">
        <v>12487</v>
      </c>
      <c r="M1878" s="29">
        <f t="shared" si="241"/>
        <v>6503</v>
      </c>
      <c r="N1878" s="29"/>
      <c r="O1878" s="44">
        <f t="shared" si="242"/>
        <v>0.34244339125855716</v>
      </c>
    </row>
    <row r="1879" spans="1:15" ht="20.100000000000001" customHeight="1" x14ac:dyDescent="0.25">
      <c r="A1879" s="89">
        <v>436</v>
      </c>
      <c r="B1879" s="4">
        <v>43977</v>
      </c>
      <c r="C1879" s="26" t="s">
        <v>14</v>
      </c>
      <c r="D1879" s="3">
        <v>3328</v>
      </c>
      <c r="E1879" s="4">
        <v>44033</v>
      </c>
      <c r="F1879" s="92" t="s">
        <v>28</v>
      </c>
      <c r="G1879" s="32">
        <v>44049</v>
      </c>
      <c r="H1879" s="27">
        <f t="shared" si="240"/>
        <v>3328</v>
      </c>
      <c r="I1879" s="27"/>
      <c r="J1879" s="27"/>
      <c r="K1879" s="99"/>
      <c r="L1879" s="27">
        <v>2198</v>
      </c>
      <c r="M1879" s="29">
        <f t="shared" si="241"/>
        <v>1130</v>
      </c>
      <c r="N1879" s="29"/>
      <c r="O1879" s="44">
        <f t="shared" si="242"/>
        <v>0.33954326923076922</v>
      </c>
    </row>
    <row r="1880" spans="1:15" ht="20.100000000000001" customHeight="1" x14ac:dyDescent="0.25">
      <c r="A1880" s="89">
        <v>693</v>
      </c>
      <c r="B1880" s="4">
        <v>44003</v>
      </c>
      <c r="C1880" s="26" t="s">
        <v>139</v>
      </c>
      <c r="D1880" s="3">
        <v>3012</v>
      </c>
      <c r="E1880" s="4">
        <v>44035</v>
      </c>
      <c r="F1880" s="92" t="s">
        <v>28</v>
      </c>
      <c r="G1880" s="32">
        <v>44048</v>
      </c>
      <c r="H1880" s="27">
        <f t="shared" si="240"/>
        <v>3012</v>
      </c>
      <c r="I1880" s="27"/>
      <c r="J1880" s="27"/>
      <c r="K1880" s="99"/>
      <c r="L1880" s="27">
        <v>3128</v>
      </c>
      <c r="M1880" s="29">
        <f t="shared" si="241"/>
        <v>-116</v>
      </c>
      <c r="N1880" s="29"/>
      <c r="O1880" s="44">
        <f t="shared" si="242"/>
        <v>-3.851261620185923E-2</v>
      </c>
    </row>
    <row r="1881" spans="1:15" ht="20.100000000000001" customHeight="1" x14ac:dyDescent="0.25">
      <c r="A1881" s="89">
        <v>712</v>
      </c>
      <c r="B1881" s="4">
        <v>44035</v>
      </c>
      <c r="C1881" s="26" t="s">
        <v>209</v>
      </c>
      <c r="D1881" s="3">
        <v>20390.650000000001</v>
      </c>
      <c r="E1881" s="4">
        <v>44036</v>
      </c>
      <c r="F1881" s="92" t="s">
        <v>28</v>
      </c>
      <c r="G1881" s="32">
        <v>44055</v>
      </c>
      <c r="H1881" s="27">
        <f t="shared" si="240"/>
        <v>20390.650000000001</v>
      </c>
      <c r="I1881" s="27"/>
      <c r="J1881" s="27"/>
      <c r="K1881" s="99"/>
      <c r="L1881" s="27">
        <v>18004</v>
      </c>
      <c r="M1881" s="29">
        <f t="shared" si="241"/>
        <v>2386.6500000000015</v>
      </c>
      <c r="N1881" s="29"/>
      <c r="O1881" s="44">
        <f t="shared" si="242"/>
        <v>0.11704629327657536</v>
      </c>
    </row>
    <row r="1882" spans="1:15" ht="20.100000000000001" customHeight="1" x14ac:dyDescent="0.25">
      <c r="A1882" s="89">
        <v>631</v>
      </c>
      <c r="B1882" s="4">
        <v>44019</v>
      </c>
      <c r="C1882" s="26" t="s">
        <v>367</v>
      </c>
      <c r="D1882" s="3">
        <v>2478</v>
      </c>
      <c r="E1882" s="4">
        <v>44040</v>
      </c>
      <c r="F1882" s="92" t="s">
        <v>28</v>
      </c>
      <c r="G1882" s="32">
        <v>44041</v>
      </c>
      <c r="H1882" s="27">
        <f t="shared" si="240"/>
        <v>2478</v>
      </c>
      <c r="I1882" s="27"/>
      <c r="J1882" s="27"/>
      <c r="K1882" s="99"/>
      <c r="L1882" s="27">
        <v>1932</v>
      </c>
      <c r="M1882" s="29">
        <f t="shared" si="241"/>
        <v>546</v>
      </c>
      <c r="N1882" s="29"/>
      <c r="O1882" s="44">
        <f t="shared" si="242"/>
        <v>0.22033898305084745</v>
      </c>
    </row>
    <row r="1883" spans="1:15" ht="20.100000000000001" customHeight="1" x14ac:dyDescent="0.25">
      <c r="A1883" s="89">
        <v>624</v>
      </c>
      <c r="B1883" s="4">
        <v>44040</v>
      </c>
      <c r="C1883" s="26" t="s">
        <v>228</v>
      </c>
      <c r="D1883" s="3">
        <v>3060</v>
      </c>
      <c r="E1883" s="4">
        <v>44040</v>
      </c>
      <c r="F1883" s="92" t="s">
        <v>28</v>
      </c>
      <c r="G1883" s="32">
        <v>44041</v>
      </c>
      <c r="H1883" s="27">
        <f t="shared" si="240"/>
        <v>3060</v>
      </c>
      <c r="I1883" s="27"/>
      <c r="J1883" s="27"/>
      <c r="K1883" s="99"/>
      <c r="L1883" s="27">
        <v>2170</v>
      </c>
      <c r="M1883" s="29">
        <f t="shared" si="241"/>
        <v>890</v>
      </c>
      <c r="N1883" s="29"/>
      <c r="O1883" s="44">
        <f t="shared" si="242"/>
        <v>0.2908496732026144</v>
      </c>
    </row>
    <row r="1884" spans="1:15" ht="20.100000000000001" customHeight="1" x14ac:dyDescent="0.25">
      <c r="A1884" s="89">
        <v>724</v>
      </c>
      <c r="B1884" s="4">
        <v>44036</v>
      </c>
      <c r="C1884" s="26" t="s">
        <v>139</v>
      </c>
      <c r="D1884" s="3">
        <v>15888</v>
      </c>
      <c r="E1884" s="4">
        <v>44041</v>
      </c>
      <c r="F1884" s="92" t="s">
        <v>28</v>
      </c>
      <c r="G1884" s="32">
        <v>44069</v>
      </c>
      <c r="H1884" s="27">
        <f t="shared" si="240"/>
        <v>15888</v>
      </c>
      <c r="I1884" s="27"/>
      <c r="J1884" s="27"/>
      <c r="K1884" s="99"/>
      <c r="L1884" s="27">
        <v>12216</v>
      </c>
      <c r="M1884" s="29">
        <f t="shared" si="241"/>
        <v>3672</v>
      </c>
      <c r="N1884" s="29"/>
      <c r="O1884" s="44">
        <f t="shared" si="242"/>
        <v>0.23111782477341389</v>
      </c>
    </row>
    <row r="1885" spans="1:15" ht="20.100000000000001" customHeight="1" x14ac:dyDescent="0.25">
      <c r="A1885" s="89">
        <v>738</v>
      </c>
      <c r="B1885" s="4">
        <v>44040</v>
      </c>
      <c r="C1885" s="5" t="s">
        <v>466</v>
      </c>
      <c r="D1885" s="3">
        <v>15490</v>
      </c>
      <c r="E1885" s="4">
        <v>44041</v>
      </c>
      <c r="F1885" s="92" t="s">
        <v>28</v>
      </c>
      <c r="G1885" s="32">
        <v>44056</v>
      </c>
      <c r="H1885" s="27">
        <f t="shared" si="240"/>
        <v>15490</v>
      </c>
      <c r="I1885" s="27">
        <f>H1885</f>
        <v>15490</v>
      </c>
      <c r="J1885" s="27"/>
      <c r="K1885" s="99"/>
      <c r="L1885" s="27">
        <v>11385</v>
      </c>
      <c r="M1885" s="29">
        <f t="shared" si="241"/>
        <v>4105</v>
      </c>
      <c r="N1885" s="29">
        <f>M1885</f>
        <v>4105</v>
      </c>
      <c r="O1885" s="44">
        <f t="shared" si="242"/>
        <v>0.26500968366688188</v>
      </c>
    </row>
    <row r="1886" spans="1:15" ht="20.100000000000001" customHeight="1" x14ac:dyDescent="0.25">
      <c r="A1886" s="89">
        <v>634</v>
      </c>
      <c r="B1886" s="4">
        <v>44019</v>
      </c>
      <c r="C1886" s="26" t="s">
        <v>56</v>
      </c>
      <c r="D1886" s="3">
        <v>54379</v>
      </c>
      <c r="E1886" s="4">
        <v>44042</v>
      </c>
      <c r="F1886" s="92" t="s">
        <v>28</v>
      </c>
      <c r="G1886" s="32">
        <v>44039</v>
      </c>
      <c r="H1886" s="27">
        <f t="shared" si="240"/>
        <v>54379</v>
      </c>
      <c r="I1886" s="27"/>
      <c r="J1886" s="27"/>
      <c r="K1886" s="99"/>
      <c r="L1886" s="27">
        <v>39553</v>
      </c>
      <c r="M1886" s="29">
        <f t="shared" si="241"/>
        <v>14826</v>
      </c>
      <c r="N1886" s="29"/>
      <c r="O1886" s="44">
        <f t="shared" si="242"/>
        <v>0.27264201254160614</v>
      </c>
    </row>
    <row r="1887" spans="1:15" ht="20.100000000000001" customHeight="1" x14ac:dyDescent="0.25">
      <c r="A1887" s="89">
        <v>743</v>
      </c>
      <c r="B1887" s="4">
        <v>44042</v>
      </c>
      <c r="C1887" s="26" t="s">
        <v>361</v>
      </c>
      <c r="D1887" s="3">
        <v>4248</v>
      </c>
      <c r="E1887" s="4">
        <v>44042</v>
      </c>
      <c r="F1887" s="92" t="s">
        <v>28</v>
      </c>
      <c r="G1887" s="32">
        <v>44042</v>
      </c>
      <c r="H1887" s="27">
        <f t="shared" si="240"/>
        <v>4248</v>
      </c>
      <c r="I1887" s="27"/>
      <c r="J1887" s="27"/>
      <c r="K1887" s="99"/>
      <c r="L1887" s="27">
        <v>3312</v>
      </c>
      <c r="M1887" s="29">
        <f t="shared" si="241"/>
        <v>936</v>
      </c>
      <c r="N1887" s="29"/>
      <c r="O1887" s="44">
        <f t="shared" si="242"/>
        <v>0.22033898305084745</v>
      </c>
    </row>
    <row r="1888" spans="1:15" ht="20.100000000000001" customHeight="1" x14ac:dyDescent="0.25">
      <c r="A1888" s="89">
        <v>659</v>
      </c>
      <c r="B1888" s="4">
        <v>44025</v>
      </c>
      <c r="C1888" s="26" t="s">
        <v>166</v>
      </c>
      <c r="D1888" s="3">
        <v>53665.5</v>
      </c>
      <c r="E1888" s="4">
        <v>44043</v>
      </c>
      <c r="F1888" s="92" t="s">
        <v>28</v>
      </c>
      <c r="G1888" s="32">
        <v>44064</v>
      </c>
      <c r="H1888" s="27">
        <f t="shared" si="240"/>
        <v>53665.5</v>
      </c>
      <c r="I1888" s="27"/>
      <c r="J1888" s="27"/>
      <c r="K1888" s="99"/>
      <c r="L1888" s="27">
        <v>36712.65</v>
      </c>
      <c r="M1888" s="29">
        <f t="shared" si="241"/>
        <v>16952.849999999999</v>
      </c>
      <c r="N1888" s="29"/>
      <c r="O1888" s="44">
        <f t="shared" si="242"/>
        <v>0.31589848226514239</v>
      </c>
    </row>
    <row r="1889" spans="1:15" ht="19.5" customHeight="1" x14ac:dyDescent="0.25">
      <c r="A1889" s="89"/>
      <c r="B1889" s="4"/>
      <c r="C1889" s="5"/>
      <c r="D1889" s="3"/>
      <c r="E1889" s="97">
        <v>61124</v>
      </c>
      <c r="F1889" s="98">
        <f>M1889*0.17+N1889*0.06+10000</f>
        <v>58420.775000000001</v>
      </c>
      <c r="G1889" s="21">
        <f>H1889*0.05+I1889*0.02+10000</f>
        <v>61706.827500000007</v>
      </c>
      <c r="H1889" s="16">
        <f t="shared" ref="H1889:N1889" si="243">SUM(H1858:H1888)</f>
        <v>877140.15</v>
      </c>
      <c r="I1889" s="16">
        <f t="shared" si="243"/>
        <v>392491</v>
      </c>
      <c r="J1889" s="16">
        <f t="shared" si="243"/>
        <v>0</v>
      </c>
      <c r="K1889" s="16">
        <f t="shared" si="243"/>
        <v>4200</v>
      </c>
      <c r="L1889" s="16">
        <f t="shared" si="243"/>
        <v>626994.7300000001</v>
      </c>
      <c r="M1889" s="16">
        <f t="shared" si="243"/>
        <v>245945.41999999998</v>
      </c>
      <c r="N1889" s="16">
        <f t="shared" si="243"/>
        <v>110167.56</v>
      </c>
      <c r="O1889" s="44">
        <f t="shared" si="242"/>
        <v>0.28039466669038005</v>
      </c>
    </row>
    <row r="1890" spans="1:15" ht="23.25" x14ac:dyDescent="0.35">
      <c r="B1890" s="94"/>
      <c r="C1890" s="94" t="s">
        <v>642</v>
      </c>
    </row>
    <row r="1891" spans="1:15" ht="20.100000000000001" customHeight="1" x14ac:dyDescent="0.25">
      <c r="A1891" s="89">
        <v>574</v>
      </c>
      <c r="B1891" s="4">
        <v>44011</v>
      </c>
      <c r="C1891" s="26" t="s">
        <v>13</v>
      </c>
      <c r="D1891" s="3">
        <v>26190</v>
      </c>
      <c r="E1891" s="4">
        <v>44046</v>
      </c>
      <c r="F1891" s="92" t="s">
        <v>28</v>
      </c>
      <c r="G1891" s="32">
        <v>44034</v>
      </c>
      <c r="H1891" s="27">
        <f t="shared" ref="H1891:H1916" si="244">D1891</f>
        <v>26190</v>
      </c>
      <c r="I1891" s="27"/>
      <c r="J1891" s="27"/>
      <c r="K1891" s="99"/>
      <c r="L1891" s="27">
        <v>18580</v>
      </c>
      <c r="M1891" s="29">
        <f t="shared" ref="M1891:M1916" si="245">H1891-L1891-J1891-K1891</f>
        <v>7610</v>
      </c>
      <c r="N1891" s="29"/>
      <c r="O1891" s="44">
        <f t="shared" ref="O1891:O1917" si="246">M1891/H1891</f>
        <v>0.29056891943489882</v>
      </c>
    </row>
    <row r="1892" spans="1:15" ht="20.100000000000001" customHeight="1" x14ac:dyDescent="0.25">
      <c r="A1892" s="89">
        <v>752</v>
      </c>
      <c r="B1892" s="4">
        <v>44046</v>
      </c>
      <c r="C1892" s="26" t="s">
        <v>467</v>
      </c>
      <c r="D1892" s="3">
        <v>816</v>
      </c>
      <c r="E1892" s="4">
        <v>44049</v>
      </c>
      <c r="F1892" s="92" t="s">
        <v>28</v>
      </c>
      <c r="G1892" s="32">
        <v>44069</v>
      </c>
      <c r="H1892" s="27">
        <f t="shared" si="244"/>
        <v>816</v>
      </c>
      <c r="I1892" s="27"/>
      <c r="J1892" s="27"/>
      <c r="K1892" s="99"/>
      <c r="L1892" s="27">
        <v>539</v>
      </c>
      <c r="M1892" s="29">
        <f t="shared" si="245"/>
        <v>277</v>
      </c>
      <c r="N1892" s="29"/>
      <c r="O1892" s="44">
        <f t="shared" si="246"/>
        <v>0.33946078431372551</v>
      </c>
    </row>
    <row r="1893" spans="1:15" ht="20.100000000000001" customHeight="1" x14ac:dyDescent="0.25">
      <c r="A1893" s="89">
        <v>407</v>
      </c>
      <c r="B1893" s="4">
        <v>43965</v>
      </c>
      <c r="C1893" s="26" t="s">
        <v>38</v>
      </c>
      <c r="D1893" s="3">
        <v>886680</v>
      </c>
      <c r="E1893" s="4">
        <v>44050</v>
      </c>
      <c r="F1893" s="92" t="s">
        <v>28</v>
      </c>
      <c r="G1893" s="32">
        <v>43966</v>
      </c>
      <c r="H1893" s="27">
        <f t="shared" si="244"/>
        <v>886680</v>
      </c>
      <c r="I1893" s="27"/>
      <c r="J1893" s="27"/>
      <c r="K1893" s="99"/>
      <c r="L1893" s="27">
        <v>780000</v>
      </c>
      <c r="M1893" s="29">
        <f t="shared" si="245"/>
        <v>106680</v>
      </c>
      <c r="N1893" s="29"/>
      <c r="O1893" s="44">
        <f t="shared" si="246"/>
        <v>0.12031398024089864</v>
      </c>
    </row>
    <row r="1894" spans="1:15" ht="20.100000000000001" customHeight="1" x14ac:dyDescent="0.25">
      <c r="A1894" s="89">
        <v>424</v>
      </c>
      <c r="B1894" s="4">
        <v>43972</v>
      </c>
      <c r="C1894" s="26" t="s">
        <v>38</v>
      </c>
      <c r="D1894" s="3">
        <v>110793</v>
      </c>
      <c r="E1894" s="4">
        <v>44050</v>
      </c>
      <c r="F1894" s="92" t="s">
        <v>28</v>
      </c>
      <c r="G1894" s="32">
        <v>43972</v>
      </c>
      <c r="H1894" s="27">
        <f t="shared" si="244"/>
        <v>110793</v>
      </c>
      <c r="I1894" s="27"/>
      <c r="J1894" s="27"/>
      <c r="K1894" s="99">
        <v>4800</v>
      </c>
      <c r="L1894" s="27">
        <v>80416.600000000006</v>
      </c>
      <c r="M1894" s="29">
        <f t="shared" si="245"/>
        <v>25576.399999999994</v>
      </c>
      <c r="N1894" s="29"/>
      <c r="O1894" s="44">
        <f t="shared" si="246"/>
        <v>0.23084851931078673</v>
      </c>
    </row>
    <row r="1895" spans="1:15" ht="20.100000000000001" customHeight="1" x14ac:dyDescent="0.25">
      <c r="A1895" s="89">
        <v>253</v>
      </c>
      <c r="B1895" s="4">
        <v>43976</v>
      </c>
      <c r="C1895" s="26" t="s">
        <v>38</v>
      </c>
      <c r="D1895" s="3">
        <v>740092</v>
      </c>
      <c r="E1895" s="4">
        <v>44050</v>
      </c>
      <c r="F1895" s="92" t="s">
        <v>28</v>
      </c>
      <c r="G1895" s="32">
        <v>43983</v>
      </c>
      <c r="H1895" s="27">
        <f t="shared" si="244"/>
        <v>740092</v>
      </c>
      <c r="I1895" s="27"/>
      <c r="J1895" s="27"/>
      <c r="K1895" s="99"/>
      <c r="L1895" s="27">
        <v>631552</v>
      </c>
      <c r="M1895" s="29">
        <f t="shared" si="245"/>
        <v>108540</v>
      </c>
      <c r="N1895" s="29"/>
      <c r="O1895" s="44">
        <f t="shared" si="246"/>
        <v>0.14665744258821875</v>
      </c>
    </row>
    <row r="1896" spans="1:15" ht="20.100000000000001" customHeight="1" x14ac:dyDescent="0.25">
      <c r="A1896" s="89">
        <v>431</v>
      </c>
      <c r="B1896" s="4">
        <v>43976</v>
      </c>
      <c r="C1896" s="26" t="s">
        <v>38</v>
      </c>
      <c r="D1896" s="3">
        <v>1442508</v>
      </c>
      <c r="E1896" s="4">
        <v>44050</v>
      </c>
      <c r="F1896" s="92" t="s">
        <v>28</v>
      </c>
      <c r="G1896" s="32">
        <v>43983</v>
      </c>
      <c r="H1896" s="27">
        <f t="shared" si="244"/>
        <v>1442508</v>
      </c>
      <c r="I1896" s="27"/>
      <c r="J1896" s="27"/>
      <c r="K1896" s="99"/>
      <c r="L1896" s="27">
        <v>1252922</v>
      </c>
      <c r="M1896" s="29">
        <f t="shared" si="245"/>
        <v>189586</v>
      </c>
      <c r="N1896" s="29"/>
      <c r="O1896" s="44">
        <f t="shared" si="246"/>
        <v>0.13142804060705382</v>
      </c>
    </row>
    <row r="1897" spans="1:15" ht="20.100000000000001" customHeight="1" x14ac:dyDescent="0.25">
      <c r="A1897" s="89">
        <v>401</v>
      </c>
      <c r="B1897" s="4">
        <v>43983</v>
      </c>
      <c r="C1897" s="26" t="s">
        <v>38</v>
      </c>
      <c r="D1897" s="3">
        <v>1329777</v>
      </c>
      <c r="E1897" s="4">
        <v>44050</v>
      </c>
      <c r="F1897" s="92" t="s">
        <v>28</v>
      </c>
      <c r="G1897" s="32">
        <v>44034</v>
      </c>
      <c r="H1897" s="27">
        <f t="shared" si="244"/>
        <v>1329777</v>
      </c>
      <c r="I1897" s="27"/>
      <c r="J1897" s="27"/>
      <c r="K1897" s="99">
        <v>42000</v>
      </c>
      <c r="L1897" s="27">
        <v>673282.17</v>
      </c>
      <c r="M1897" s="29">
        <f t="shared" si="245"/>
        <v>614494.82999999996</v>
      </c>
      <c r="N1897" s="29"/>
      <c r="O1897" s="44">
        <f t="shared" si="246"/>
        <v>0.46210366850983281</v>
      </c>
    </row>
    <row r="1898" spans="1:15" ht="20.100000000000001" customHeight="1" x14ac:dyDescent="0.25">
      <c r="A1898" s="89">
        <v>430</v>
      </c>
      <c r="B1898" s="4">
        <v>43983</v>
      </c>
      <c r="C1898" s="26" t="s">
        <v>38</v>
      </c>
      <c r="D1898" s="3">
        <v>1034720</v>
      </c>
      <c r="E1898" s="4">
        <v>44050</v>
      </c>
      <c r="F1898" s="92" t="s">
        <v>28</v>
      </c>
      <c r="G1898" s="32">
        <v>44034</v>
      </c>
      <c r="H1898" s="27">
        <f t="shared" si="244"/>
        <v>1034720</v>
      </c>
      <c r="I1898" s="27"/>
      <c r="J1898" s="27">
        <v>120000</v>
      </c>
      <c r="K1898" s="99">
        <v>46800</v>
      </c>
      <c r="L1898" s="27">
        <v>432397.4</v>
      </c>
      <c r="M1898" s="29">
        <f t="shared" si="245"/>
        <v>435522.6</v>
      </c>
      <c r="N1898" s="29"/>
      <c r="O1898" s="44">
        <f t="shared" si="246"/>
        <v>0.42090865161589608</v>
      </c>
    </row>
    <row r="1899" spans="1:15" ht="20.100000000000001" customHeight="1" x14ac:dyDescent="0.25">
      <c r="A1899" s="89">
        <v>776</v>
      </c>
      <c r="B1899" s="4">
        <v>44050</v>
      </c>
      <c r="C1899" s="26" t="s">
        <v>179</v>
      </c>
      <c r="D1899" s="3">
        <v>12436</v>
      </c>
      <c r="E1899" s="4">
        <v>44053</v>
      </c>
      <c r="F1899" s="92" t="s">
        <v>28</v>
      </c>
      <c r="G1899" s="32">
        <v>44062</v>
      </c>
      <c r="H1899" s="27">
        <f t="shared" si="244"/>
        <v>12436</v>
      </c>
      <c r="I1899" s="27"/>
      <c r="J1899" s="27"/>
      <c r="K1899" s="99"/>
      <c r="L1899" s="27">
        <v>9574</v>
      </c>
      <c r="M1899" s="29">
        <f t="shared" si="245"/>
        <v>2862</v>
      </c>
      <c r="N1899" s="29"/>
      <c r="O1899" s="44">
        <f t="shared" si="246"/>
        <v>0.23013830813766484</v>
      </c>
    </row>
    <row r="1900" spans="1:15" ht="20.100000000000001" customHeight="1" x14ac:dyDescent="0.25">
      <c r="A1900" s="89">
        <v>784</v>
      </c>
      <c r="B1900" s="4">
        <v>44053</v>
      </c>
      <c r="C1900" s="26" t="s">
        <v>149</v>
      </c>
      <c r="D1900" s="3">
        <v>5528</v>
      </c>
      <c r="E1900" s="4">
        <v>44053</v>
      </c>
      <c r="F1900" s="92" t="s">
        <v>28</v>
      </c>
      <c r="G1900" s="32">
        <v>44057</v>
      </c>
      <c r="H1900" s="27">
        <f t="shared" si="244"/>
        <v>5528</v>
      </c>
      <c r="I1900" s="27"/>
      <c r="J1900" s="27"/>
      <c r="K1900" s="99"/>
      <c r="L1900" s="27">
        <v>3752</v>
      </c>
      <c r="M1900" s="29">
        <f t="shared" si="245"/>
        <v>1776</v>
      </c>
      <c r="N1900" s="29"/>
      <c r="O1900" s="44">
        <f t="shared" si="246"/>
        <v>0.32127351664254705</v>
      </c>
    </row>
    <row r="1901" spans="1:15" ht="20.100000000000001" customHeight="1" x14ac:dyDescent="0.25">
      <c r="A1901" s="89">
        <v>773</v>
      </c>
      <c r="B1901" s="4">
        <v>44050</v>
      </c>
      <c r="C1901" s="26" t="s">
        <v>182</v>
      </c>
      <c r="D1901" s="3">
        <v>11017.04</v>
      </c>
      <c r="E1901" s="4">
        <v>44056</v>
      </c>
      <c r="F1901" s="92" t="s">
        <v>28</v>
      </c>
      <c r="G1901" s="32">
        <v>44076</v>
      </c>
      <c r="H1901" s="27">
        <f t="shared" si="244"/>
        <v>11017.04</v>
      </c>
      <c r="I1901" s="27"/>
      <c r="J1901" s="27"/>
      <c r="K1901" s="99"/>
      <c r="L1901" s="27">
        <v>8475</v>
      </c>
      <c r="M1901" s="29">
        <f t="shared" si="245"/>
        <v>2542.0400000000009</v>
      </c>
      <c r="N1901" s="29"/>
      <c r="O1901" s="44">
        <f t="shared" si="246"/>
        <v>0.23073711269088618</v>
      </c>
    </row>
    <row r="1902" spans="1:15" ht="20.100000000000001" customHeight="1" x14ac:dyDescent="0.25">
      <c r="A1902" s="89">
        <v>725</v>
      </c>
      <c r="B1902" s="4">
        <v>44039</v>
      </c>
      <c r="C1902" s="26" t="s">
        <v>11</v>
      </c>
      <c r="D1902" s="3">
        <v>10533</v>
      </c>
      <c r="E1902" s="4">
        <v>44057</v>
      </c>
      <c r="F1902" s="92" t="s">
        <v>28</v>
      </c>
      <c r="G1902" s="32">
        <v>44062</v>
      </c>
      <c r="H1902" s="27">
        <f t="shared" si="244"/>
        <v>10533</v>
      </c>
      <c r="I1902" s="27"/>
      <c r="J1902" s="27"/>
      <c r="K1902" s="99"/>
      <c r="L1902" s="27">
        <v>6660</v>
      </c>
      <c r="M1902" s="29">
        <f t="shared" si="245"/>
        <v>3873</v>
      </c>
      <c r="N1902" s="29"/>
      <c r="O1902" s="44">
        <f t="shared" si="246"/>
        <v>0.36770150954144121</v>
      </c>
    </row>
    <row r="1903" spans="1:15" ht="20.100000000000001" customHeight="1" x14ac:dyDescent="0.25">
      <c r="A1903" s="89">
        <v>800</v>
      </c>
      <c r="B1903" s="4">
        <v>44057</v>
      </c>
      <c r="C1903" s="26" t="s">
        <v>403</v>
      </c>
      <c r="D1903" s="3">
        <v>6218</v>
      </c>
      <c r="E1903" s="4">
        <v>44060</v>
      </c>
      <c r="F1903" s="92" t="s">
        <v>28</v>
      </c>
      <c r="G1903" s="32">
        <v>44067</v>
      </c>
      <c r="H1903" s="27">
        <f t="shared" si="244"/>
        <v>6218</v>
      </c>
      <c r="I1903" s="27"/>
      <c r="J1903" s="27"/>
      <c r="K1903" s="99"/>
      <c r="L1903" s="27">
        <v>4787</v>
      </c>
      <c r="M1903" s="29">
        <f t="shared" si="245"/>
        <v>1431</v>
      </c>
      <c r="N1903" s="29"/>
      <c r="O1903" s="44">
        <f t="shared" si="246"/>
        <v>0.23013830813766484</v>
      </c>
    </row>
    <row r="1904" spans="1:15" ht="20.100000000000001" customHeight="1" x14ac:dyDescent="0.25">
      <c r="A1904" s="89">
        <v>771</v>
      </c>
      <c r="B1904" s="4">
        <v>44056</v>
      </c>
      <c r="C1904" s="5" t="s">
        <v>468</v>
      </c>
      <c r="D1904" s="3">
        <v>712000</v>
      </c>
      <c r="E1904" s="4">
        <v>44060</v>
      </c>
      <c r="F1904" s="92" t="s">
        <v>28</v>
      </c>
      <c r="G1904" s="32">
        <v>44090</v>
      </c>
      <c r="H1904" s="27">
        <f t="shared" si="244"/>
        <v>712000</v>
      </c>
      <c r="I1904" s="27">
        <f>H1904</f>
        <v>712000</v>
      </c>
      <c r="J1904" s="27"/>
      <c r="K1904" s="99"/>
      <c r="L1904" s="27">
        <v>627563</v>
      </c>
      <c r="M1904" s="29">
        <f t="shared" si="245"/>
        <v>84437</v>
      </c>
      <c r="N1904" s="29">
        <f>M1904</f>
        <v>84437</v>
      </c>
      <c r="O1904" s="44">
        <f t="shared" si="246"/>
        <v>0.11859129213483147</v>
      </c>
    </row>
    <row r="1905" spans="1:15" ht="20.100000000000001" customHeight="1" x14ac:dyDescent="0.25">
      <c r="A1905" s="89">
        <v>652</v>
      </c>
      <c r="B1905" s="4">
        <v>44021</v>
      </c>
      <c r="C1905" s="26" t="s">
        <v>311</v>
      </c>
      <c r="D1905" s="3">
        <v>5667</v>
      </c>
      <c r="E1905" s="4">
        <v>44062</v>
      </c>
      <c r="F1905" s="92" t="s">
        <v>28</v>
      </c>
      <c r="G1905" s="32">
        <v>44039</v>
      </c>
      <c r="H1905" s="27">
        <f t="shared" si="244"/>
        <v>5667</v>
      </c>
      <c r="I1905" s="27"/>
      <c r="J1905" s="27"/>
      <c r="K1905" s="99"/>
      <c r="L1905" s="27">
        <v>4416</v>
      </c>
      <c r="M1905" s="29">
        <f t="shared" si="245"/>
        <v>1251</v>
      </c>
      <c r="N1905" s="29"/>
      <c r="O1905" s="44">
        <f t="shared" si="246"/>
        <v>0.22075172048703018</v>
      </c>
    </row>
    <row r="1906" spans="1:15" ht="20.100000000000001" customHeight="1" x14ac:dyDescent="0.25">
      <c r="A1906" s="89">
        <v>711</v>
      </c>
      <c r="B1906" s="4">
        <v>44035</v>
      </c>
      <c r="C1906" s="5" t="s">
        <v>465</v>
      </c>
      <c r="D1906" s="3">
        <v>38990</v>
      </c>
      <c r="E1906" s="4">
        <v>44063</v>
      </c>
      <c r="F1906" s="92" t="s">
        <v>28</v>
      </c>
      <c r="G1906" s="32">
        <v>44083</v>
      </c>
      <c r="H1906" s="27">
        <f t="shared" si="244"/>
        <v>38990</v>
      </c>
      <c r="I1906" s="27">
        <f>H1906</f>
        <v>38990</v>
      </c>
      <c r="J1906" s="27"/>
      <c r="K1906" s="99"/>
      <c r="L1906" s="27">
        <v>28657</v>
      </c>
      <c r="M1906" s="29">
        <f t="shared" si="245"/>
        <v>10333</v>
      </c>
      <c r="N1906" s="29">
        <f>M1906</f>
        <v>10333</v>
      </c>
      <c r="O1906" s="44">
        <f t="shared" si="246"/>
        <v>0.26501667094126702</v>
      </c>
    </row>
    <row r="1907" spans="1:15" ht="20.100000000000001" customHeight="1" x14ac:dyDescent="0.25">
      <c r="A1907" s="89">
        <v>713</v>
      </c>
      <c r="B1907" s="4">
        <v>44035</v>
      </c>
      <c r="C1907" s="5" t="s">
        <v>465</v>
      </c>
      <c r="D1907" s="3">
        <v>31570</v>
      </c>
      <c r="E1907" s="4">
        <v>44063</v>
      </c>
      <c r="F1907" s="92" t="s">
        <v>28</v>
      </c>
      <c r="G1907" s="32">
        <v>44083</v>
      </c>
      <c r="H1907" s="27">
        <f t="shared" si="244"/>
        <v>31570</v>
      </c>
      <c r="I1907" s="27">
        <f>H1907</f>
        <v>31570</v>
      </c>
      <c r="J1907" s="27"/>
      <c r="K1907" s="99"/>
      <c r="L1907" s="27">
        <v>23609</v>
      </c>
      <c r="M1907" s="29">
        <f t="shared" si="245"/>
        <v>7961</v>
      </c>
      <c r="N1907" s="29">
        <f>M1907</f>
        <v>7961</v>
      </c>
      <c r="O1907" s="44">
        <f t="shared" si="246"/>
        <v>0.25216978143807411</v>
      </c>
    </row>
    <row r="1908" spans="1:15" ht="20.100000000000001" customHeight="1" x14ac:dyDescent="0.25">
      <c r="A1908" s="89">
        <v>802</v>
      </c>
      <c r="B1908" s="4">
        <v>44057</v>
      </c>
      <c r="C1908" s="26" t="s">
        <v>186</v>
      </c>
      <c r="D1908" s="3">
        <v>7100</v>
      </c>
      <c r="E1908" s="4">
        <v>44064</v>
      </c>
      <c r="F1908" s="92" t="s">
        <v>28</v>
      </c>
      <c r="G1908" s="32">
        <v>44104</v>
      </c>
      <c r="H1908" s="27">
        <f t="shared" si="244"/>
        <v>7100</v>
      </c>
      <c r="I1908" s="27"/>
      <c r="J1908" s="27"/>
      <c r="K1908" s="99"/>
      <c r="L1908" s="27">
        <v>4686</v>
      </c>
      <c r="M1908" s="29">
        <f t="shared" si="245"/>
        <v>2414</v>
      </c>
      <c r="N1908" s="29"/>
      <c r="O1908" s="44">
        <f t="shared" si="246"/>
        <v>0.34</v>
      </c>
    </row>
    <row r="1909" spans="1:15" ht="20.100000000000001" customHeight="1" x14ac:dyDescent="0.25">
      <c r="A1909" s="89">
        <v>809</v>
      </c>
      <c r="B1909" s="4">
        <v>44060</v>
      </c>
      <c r="C1909" s="26" t="s">
        <v>270</v>
      </c>
      <c r="D1909" s="3">
        <v>3879</v>
      </c>
      <c r="E1909" s="4">
        <v>44067</v>
      </c>
      <c r="F1909" s="92" t="s">
        <v>28</v>
      </c>
      <c r="G1909" s="32">
        <v>44064</v>
      </c>
      <c r="H1909" s="27">
        <f t="shared" si="244"/>
        <v>3879</v>
      </c>
      <c r="I1909" s="27"/>
      <c r="J1909" s="27"/>
      <c r="K1909" s="99"/>
      <c r="L1909" s="27">
        <v>3024</v>
      </c>
      <c r="M1909" s="29">
        <f t="shared" si="245"/>
        <v>855</v>
      </c>
      <c r="N1909" s="29"/>
      <c r="O1909" s="44">
        <f t="shared" si="246"/>
        <v>0.22041763341067286</v>
      </c>
    </row>
    <row r="1910" spans="1:15" ht="20.100000000000001" customHeight="1" x14ac:dyDescent="0.25">
      <c r="A1910" s="89">
        <v>515</v>
      </c>
      <c r="B1910" s="4">
        <v>43992</v>
      </c>
      <c r="C1910" s="26" t="s">
        <v>99</v>
      </c>
      <c r="D1910" s="3">
        <v>246624</v>
      </c>
      <c r="E1910" s="4">
        <v>44068</v>
      </c>
      <c r="F1910" s="92" t="s">
        <v>28</v>
      </c>
      <c r="G1910" s="32">
        <v>44022</v>
      </c>
      <c r="H1910" s="27">
        <f t="shared" si="244"/>
        <v>246624</v>
      </c>
      <c r="I1910" s="27"/>
      <c r="J1910" s="27">
        <v>30000</v>
      </c>
      <c r="K1910" s="99">
        <f>10*600</f>
        <v>6000</v>
      </c>
      <c r="L1910" s="27">
        <v>113784</v>
      </c>
      <c r="M1910" s="29">
        <f t="shared" si="245"/>
        <v>96840</v>
      </c>
      <c r="N1910" s="29"/>
      <c r="O1910" s="44">
        <f t="shared" si="246"/>
        <v>0.39266251459711948</v>
      </c>
    </row>
    <row r="1911" spans="1:15" ht="20.100000000000001" customHeight="1" x14ac:dyDescent="0.25">
      <c r="A1911" s="89">
        <v>821</v>
      </c>
      <c r="B1911" s="4">
        <v>44061</v>
      </c>
      <c r="C1911" s="26" t="s">
        <v>228</v>
      </c>
      <c r="D1911" s="3">
        <v>23866</v>
      </c>
      <c r="E1911" s="4">
        <v>44068</v>
      </c>
      <c r="F1911" s="92" t="s">
        <v>28</v>
      </c>
      <c r="G1911" s="32">
        <v>44090</v>
      </c>
      <c r="H1911" s="27">
        <f t="shared" si="244"/>
        <v>23866</v>
      </c>
      <c r="I1911" s="27"/>
      <c r="J1911" s="27"/>
      <c r="K1911" s="99"/>
      <c r="L1911" s="27">
        <v>17041</v>
      </c>
      <c r="M1911" s="29">
        <f t="shared" si="245"/>
        <v>6825</v>
      </c>
      <c r="N1911" s="29"/>
      <c r="O1911" s="44">
        <f t="shared" si="246"/>
        <v>0.28597167518645772</v>
      </c>
    </row>
    <row r="1912" spans="1:15" ht="20.100000000000001" customHeight="1" x14ac:dyDescent="0.25">
      <c r="A1912" s="89">
        <v>376</v>
      </c>
      <c r="B1912" s="4">
        <v>43983</v>
      </c>
      <c r="C1912" s="26" t="s">
        <v>38</v>
      </c>
      <c r="D1912" s="3">
        <v>108426</v>
      </c>
      <c r="E1912" s="4">
        <v>44069</v>
      </c>
      <c r="F1912" s="92" t="s">
        <v>28</v>
      </c>
      <c r="G1912" s="32">
        <v>44034</v>
      </c>
      <c r="H1912" s="27">
        <f t="shared" si="244"/>
        <v>108426</v>
      </c>
      <c r="I1912" s="27"/>
      <c r="J1912" s="27"/>
      <c r="K1912" s="99"/>
      <c r="L1912" s="27">
        <v>79628</v>
      </c>
      <c r="M1912" s="29">
        <f t="shared" si="245"/>
        <v>28798</v>
      </c>
      <c r="N1912" s="29"/>
      <c r="O1912" s="44">
        <f t="shared" si="246"/>
        <v>0.26560050172467858</v>
      </c>
    </row>
    <row r="1913" spans="1:15" ht="20.100000000000001" customHeight="1" x14ac:dyDescent="0.25">
      <c r="A1913" s="89">
        <v>739</v>
      </c>
      <c r="B1913" s="4">
        <v>44040</v>
      </c>
      <c r="C1913" s="26" t="s">
        <v>209</v>
      </c>
      <c r="D1913" s="3">
        <v>2204.9</v>
      </c>
      <c r="E1913" s="4">
        <v>44074</v>
      </c>
      <c r="F1913" s="92" t="s">
        <v>28</v>
      </c>
      <c r="G1913" s="32">
        <v>44040</v>
      </c>
      <c r="H1913" s="27">
        <f t="shared" si="244"/>
        <v>2204.9</v>
      </c>
      <c r="I1913" s="27"/>
      <c r="J1913" s="27"/>
      <c r="K1913" s="99"/>
      <c r="L1913" s="27">
        <v>1764</v>
      </c>
      <c r="M1913" s="29">
        <f t="shared" si="245"/>
        <v>440.90000000000009</v>
      </c>
      <c r="N1913" s="29"/>
      <c r="O1913" s="44">
        <f t="shared" si="246"/>
        <v>0.19996371717538214</v>
      </c>
    </row>
    <row r="1914" spans="1:15" ht="20.100000000000001" customHeight="1" x14ac:dyDescent="0.25">
      <c r="A1914" s="89">
        <v>867</v>
      </c>
      <c r="B1914" s="4">
        <v>44074</v>
      </c>
      <c r="C1914" s="26" t="s">
        <v>209</v>
      </c>
      <c r="D1914" s="3">
        <v>4400</v>
      </c>
      <c r="E1914" s="4">
        <v>44074</v>
      </c>
      <c r="F1914" s="92" t="s">
        <v>28</v>
      </c>
      <c r="G1914" s="32">
        <v>44081</v>
      </c>
      <c r="H1914" s="27">
        <f t="shared" si="244"/>
        <v>4400</v>
      </c>
      <c r="I1914" s="27"/>
      <c r="J1914" s="27"/>
      <c r="K1914" s="99"/>
      <c r="L1914" s="27">
        <v>4000</v>
      </c>
      <c r="M1914" s="29">
        <f t="shared" si="245"/>
        <v>400</v>
      </c>
      <c r="N1914" s="29"/>
      <c r="O1914" s="44">
        <f t="shared" si="246"/>
        <v>9.0909090909090912E-2</v>
      </c>
    </row>
    <row r="1915" spans="1:15" ht="20.100000000000001" customHeight="1" x14ac:dyDescent="0.25">
      <c r="A1915" s="89">
        <v>772</v>
      </c>
      <c r="B1915" s="4">
        <v>44050</v>
      </c>
      <c r="C1915" s="26" t="s">
        <v>11</v>
      </c>
      <c r="D1915" s="3">
        <v>2381</v>
      </c>
      <c r="E1915" s="4">
        <v>44074</v>
      </c>
      <c r="F1915" s="92" t="s">
        <v>28</v>
      </c>
      <c r="G1915" s="32">
        <v>44076</v>
      </c>
      <c r="H1915" s="27">
        <f t="shared" si="244"/>
        <v>2381</v>
      </c>
      <c r="I1915" s="27"/>
      <c r="J1915" s="27"/>
      <c r="K1915" s="99"/>
      <c r="L1915" s="27">
        <v>1449</v>
      </c>
      <c r="M1915" s="29">
        <f t="shared" si="245"/>
        <v>932</v>
      </c>
      <c r="N1915" s="29"/>
      <c r="O1915" s="44">
        <f t="shared" si="246"/>
        <v>0.39143217135657288</v>
      </c>
    </row>
    <row r="1916" spans="1:15" ht="20.100000000000001" customHeight="1" x14ac:dyDescent="0.25">
      <c r="A1916" s="89">
        <v>756</v>
      </c>
      <c r="B1916" s="4">
        <v>44047</v>
      </c>
      <c r="C1916" s="26" t="s">
        <v>11</v>
      </c>
      <c r="D1916" s="3">
        <v>19041</v>
      </c>
      <c r="E1916" s="4">
        <v>44074</v>
      </c>
      <c r="F1916" s="92" t="s">
        <v>28</v>
      </c>
      <c r="G1916" s="32">
        <v>44076</v>
      </c>
      <c r="H1916" s="27">
        <f t="shared" si="244"/>
        <v>19041</v>
      </c>
      <c r="I1916" s="27"/>
      <c r="J1916" s="27"/>
      <c r="K1916" s="99"/>
      <c r="L1916" s="27">
        <v>14850</v>
      </c>
      <c r="M1916" s="29">
        <f t="shared" si="245"/>
        <v>4191</v>
      </c>
      <c r="N1916" s="29"/>
      <c r="O1916" s="44">
        <f t="shared" si="246"/>
        <v>0.22010398613518198</v>
      </c>
    </row>
    <row r="1917" spans="1:15" ht="19.5" customHeight="1" x14ac:dyDescent="0.25">
      <c r="A1917" s="89"/>
      <c r="B1917" s="4"/>
      <c r="C1917" s="5"/>
      <c r="D1917" s="3"/>
      <c r="E1917" s="97">
        <v>313060</v>
      </c>
      <c r="F1917" s="98">
        <f>M1917*0.17+N1917*0.06+10000</f>
        <v>313060.15090000001</v>
      </c>
      <c r="G1917" s="21">
        <f>H1917*0.05+I1917*0.02+10000</f>
        <v>366824.04700000008</v>
      </c>
      <c r="H1917" s="16">
        <f t="shared" ref="H1917:N1917" si="247">SUM(H1891:H1916)</f>
        <v>6823456.9400000004</v>
      </c>
      <c r="I1917" s="16">
        <f t="shared" si="247"/>
        <v>782560</v>
      </c>
      <c r="J1917" s="16">
        <f t="shared" si="247"/>
        <v>150000</v>
      </c>
      <c r="K1917" s="16">
        <f t="shared" si="247"/>
        <v>99600</v>
      </c>
      <c r="L1917" s="16">
        <f t="shared" si="247"/>
        <v>4827408.17</v>
      </c>
      <c r="M1917" s="16">
        <f t="shared" si="247"/>
        <v>1746448.77</v>
      </c>
      <c r="N1917" s="16">
        <f t="shared" si="247"/>
        <v>102731</v>
      </c>
      <c r="O1917" s="44">
        <f t="shared" si="246"/>
        <v>0.25594779674831508</v>
      </c>
    </row>
    <row r="1918" spans="1:15" ht="23.25" x14ac:dyDescent="0.35">
      <c r="B1918" s="94"/>
      <c r="C1918" s="94" t="s">
        <v>643</v>
      </c>
    </row>
    <row r="1919" spans="1:15" ht="20.100000000000001" customHeight="1" x14ac:dyDescent="0.25">
      <c r="A1919" s="89">
        <v>851</v>
      </c>
      <c r="B1919" s="4">
        <v>44070</v>
      </c>
      <c r="C1919" s="26" t="s">
        <v>468</v>
      </c>
      <c r="D1919" s="3">
        <v>42147</v>
      </c>
      <c r="E1919" s="4">
        <v>44076</v>
      </c>
      <c r="F1919" s="92" t="s">
        <v>28</v>
      </c>
      <c r="G1919" s="32">
        <v>44147</v>
      </c>
      <c r="H1919" s="27">
        <f t="shared" ref="H1919:H1936" si="248">D1919</f>
        <v>42147</v>
      </c>
      <c r="I1919" s="27"/>
      <c r="J1919" s="27"/>
      <c r="K1919" s="99"/>
      <c r="L1919" s="27">
        <v>32875</v>
      </c>
      <c r="M1919" s="29">
        <f t="shared" ref="M1919:M1937" si="249">H1919-L1919-J1919-K1919</f>
        <v>9272</v>
      </c>
      <c r="N1919" s="29"/>
      <c r="O1919" s="44">
        <f t="shared" ref="O1919:O1938" si="250">M1919/H1919</f>
        <v>0.21999193299641731</v>
      </c>
    </row>
    <row r="1920" spans="1:15" ht="20.100000000000001" customHeight="1" x14ac:dyDescent="0.25">
      <c r="A1920" s="89">
        <v>888</v>
      </c>
      <c r="B1920" s="4">
        <v>44077</v>
      </c>
      <c r="C1920" s="26" t="s">
        <v>91</v>
      </c>
      <c r="D1920" s="3">
        <v>8892</v>
      </c>
      <c r="E1920" s="4">
        <v>44077</v>
      </c>
      <c r="F1920" s="92" t="s">
        <v>28</v>
      </c>
      <c r="G1920" s="32">
        <v>44084</v>
      </c>
      <c r="H1920" s="27">
        <f t="shared" si="248"/>
        <v>8892</v>
      </c>
      <c r="I1920" s="27"/>
      <c r="J1920" s="27"/>
      <c r="K1920" s="99"/>
      <c r="L1920" s="27">
        <v>6054</v>
      </c>
      <c r="M1920" s="29">
        <f t="shared" si="249"/>
        <v>2838</v>
      </c>
      <c r="N1920" s="29"/>
      <c r="O1920" s="44">
        <f t="shared" si="250"/>
        <v>0.31916329284750339</v>
      </c>
    </row>
    <row r="1921" spans="1:15" ht="20.100000000000001" customHeight="1" x14ac:dyDescent="0.25">
      <c r="A1921" s="89">
        <v>883</v>
      </c>
      <c r="B1921" s="4">
        <v>44076</v>
      </c>
      <c r="C1921" s="26" t="s">
        <v>372</v>
      </c>
      <c r="D1921" s="3">
        <v>2964</v>
      </c>
      <c r="E1921" s="4">
        <v>44077</v>
      </c>
      <c r="F1921" s="92" t="s">
        <v>28</v>
      </c>
      <c r="G1921" s="32">
        <v>44081</v>
      </c>
      <c r="H1921" s="27">
        <f t="shared" si="248"/>
        <v>2964</v>
      </c>
      <c r="I1921" s="27"/>
      <c r="J1921" s="27"/>
      <c r="K1921" s="99"/>
      <c r="L1921" s="27">
        <v>2018</v>
      </c>
      <c r="M1921" s="29">
        <f t="shared" si="249"/>
        <v>946</v>
      </c>
      <c r="N1921" s="29"/>
      <c r="O1921" s="44">
        <f t="shared" si="250"/>
        <v>0.31916329284750339</v>
      </c>
    </row>
    <row r="1922" spans="1:15" ht="20.100000000000001" customHeight="1" x14ac:dyDescent="0.25">
      <c r="A1922" s="89">
        <v>890</v>
      </c>
      <c r="B1922" s="4">
        <v>44077</v>
      </c>
      <c r="C1922" s="5" t="s">
        <v>469</v>
      </c>
      <c r="D1922" s="3">
        <v>2119</v>
      </c>
      <c r="E1922" s="4">
        <v>44077</v>
      </c>
      <c r="F1922" s="92" t="s">
        <v>28</v>
      </c>
      <c r="G1922" s="32">
        <v>44103</v>
      </c>
      <c r="H1922" s="27">
        <f t="shared" si="248"/>
        <v>2119</v>
      </c>
      <c r="I1922" s="27">
        <f>H1922</f>
        <v>2119</v>
      </c>
      <c r="J1922" s="27"/>
      <c r="K1922" s="99"/>
      <c r="L1922" s="27">
        <v>1750</v>
      </c>
      <c r="M1922" s="29">
        <f t="shared" si="249"/>
        <v>369</v>
      </c>
      <c r="N1922" s="29">
        <f>M1922</f>
        <v>369</v>
      </c>
      <c r="O1922" s="44">
        <f t="shared" si="250"/>
        <v>0.17413874469089194</v>
      </c>
    </row>
    <row r="1923" spans="1:15" ht="20.100000000000001" customHeight="1" x14ac:dyDescent="0.25">
      <c r="A1923" s="89">
        <v>914</v>
      </c>
      <c r="B1923" s="4">
        <v>44083</v>
      </c>
      <c r="C1923" s="5" t="s">
        <v>470</v>
      </c>
      <c r="D1923" s="3">
        <v>4389</v>
      </c>
      <c r="E1923" s="4">
        <v>44084</v>
      </c>
      <c r="F1923" s="92" t="s">
        <v>28</v>
      </c>
      <c r="G1923" s="32">
        <v>44103</v>
      </c>
      <c r="H1923" s="27">
        <f t="shared" si="248"/>
        <v>4389</v>
      </c>
      <c r="I1923" s="27">
        <f>H1923</f>
        <v>4389</v>
      </c>
      <c r="J1923" s="27"/>
      <c r="K1923" s="99"/>
      <c r="L1923" s="27">
        <v>3423</v>
      </c>
      <c r="M1923" s="29">
        <f t="shared" si="249"/>
        <v>966</v>
      </c>
      <c r="N1923" s="29">
        <f>M1923</f>
        <v>966</v>
      </c>
      <c r="O1923" s="44">
        <f t="shared" si="250"/>
        <v>0.22009569377990432</v>
      </c>
    </row>
    <row r="1924" spans="1:15" ht="20.100000000000001" customHeight="1" x14ac:dyDescent="0.25">
      <c r="A1924" s="89">
        <v>910</v>
      </c>
      <c r="B1924" s="4">
        <v>44083</v>
      </c>
      <c r="C1924" s="26" t="s">
        <v>404</v>
      </c>
      <c r="D1924" s="3">
        <v>68297</v>
      </c>
      <c r="E1924" s="4">
        <v>44084</v>
      </c>
      <c r="F1924" s="92" t="s">
        <v>28</v>
      </c>
      <c r="G1924" s="32">
        <v>44084</v>
      </c>
      <c r="H1924" s="27">
        <f t="shared" si="248"/>
        <v>68297</v>
      </c>
      <c r="I1924" s="27"/>
      <c r="J1924" s="27"/>
      <c r="K1924" s="99"/>
      <c r="L1924" s="27">
        <v>47514</v>
      </c>
      <c r="M1924" s="29">
        <f t="shared" si="249"/>
        <v>20783</v>
      </c>
      <c r="N1924" s="29"/>
      <c r="O1924" s="44">
        <f t="shared" si="250"/>
        <v>0.30430326368654553</v>
      </c>
    </row>
    <row r="1925" spans="1:15" ht="20.100000000000001" customHeight="1" x14ac:dyDescent="0.25">
      <c r="A1925" s="89">
        <v>916</v>
      </c>
      <c r="B1925" s="4">
        <v>44084</v>
      </c>
      <c r="C1925" s="26" t="s">
        <v>354</v>
      </c>
      <c r="D1925" s="3">
        <v>211450.3</v>
      </c>
      <c r="E1925" s="4">
        <v>44088</v>
      </c>
      <c r="F1925" s="92" t="s">
        <v>28</v>
      </c>
      <c r="G1925" s="32">
        <v>44109</v>
      </c>
      <c r="H1925" s="27">
        <f t="shared" si="248"/>
        <v>211450.3</v>
      </c>
      <c r="I1925" s="27"/>
      <c r="J1925" s="27"/>
      <c r="K1925" s="99"/>
      <c r="L1925" s="27">
        <v>160092</v>
      </c>
      <c r="M1925" s="29">
        <f t="shared" si="249"/>
        <v>51358.299999999988</v>
      </c>
      <c r="N1925" s="29"/>
      <c r="O1925" s="44">
        <f t="shared" si="250"/>
        <v>0.24288591692705089</v>
      </c>
    </row>
    <row r="1926" spans="1:15" ht="20.100000000000001" customHeight="1" x14ac:dyDescent="0.25">
      <c r="A1926" s="89">
        <v>921</v>
      </c>
      <c r="B1926" s="4">
        <v>44085</v>
      </c>
      <c r="C1926" s="26" t="s">
        <v>16</v>
      </c>
      <c r="D1926" s="3">
        <v>19278</v>
      </c>
      <c r="E1926" s="4">
        <v>44088</v>
      </c>
      <c r="F1926" s="92" t="s">
        <v>28</v>
      </c>
      <c r="G1926" s="32">
        <v>44103</v>
      </c>
      <c r="H1926" s="27">
        <f t="shared" si="248"/>
        <v>19278</v>
      </c>
      <c r="I1926" s="27"/>
      <c r="J1926" s="27"/>
      <c r="K1926" s="99"/>
      <c r="L1926" s="27">
        <v>15036</v>
      </c>
      <c r="M1926" s="29">
        <f t="shared" si="249"/>
        <v>4242</v>
      </c>
      <c r="N1926" s="29"/>
      <c r="O1926" s="44">
        <f t="shared" si="250"/>
        <v>0.22004357298474944</v>
      </c>
    </row>
    <row r="1927" spans="1:15" ht="20.100000000000001" customHeight="1" x14ac:dyDescent="0.25">
      <c r="A1927" s="89">
        <v>709</v>
      </c>
      <c r="B1927" s="4">
        <v>44035</v>
      </c>
      <c r="C1927" s="26" t="s">
        <v>56</v>
      </c>
      <c r="D1927" s="3">
        <v>184248</v>
      </c>
      <c r="E1927" s="4">
        <v>44091</v>
      </c>
      <c r="F1927" s="92" t="s">
        <v>28</v>
      </c>
      <c r="G1927" s="32">
        <v>44084</v>
      </c>
      <c r="H1927" s="27">
        <f t="shared" si="248"/>
        <v>184248</v>
      </c>
      <c r="I1927" s="27"/>
      <c r="J1927" s="27"/>
      <c r="K1927" s="99">
        <v>5400</v>
      </c>
      <c r="L1927" s="27">
        <v>118244.6</v>
      </c>
      <c r="M1927" s="29">
        <f t="shared" si="249"/>
        <v>60603.399999999994</v>
      </c>
      <c r="N1927" s="29"/>
      <c r="O1927" s="44">
        <f t="shared" si="250"/>
        <v>0.32892297338370019</v>
      </c>
    </row>
    <row r="1928" spans="1:15" ht="20.100000000000001" customHeight="1" x14ac:dyDescent="0.25">
      <c r="A1928" s="89">
        <v>573</v>
      </c>
      <c r="B1928" s="4">
        <v>44011</v>
      </c>
      <c r="C1928" s="26" t="s">
        <v>66</v>
      </c>
      <c r="D1928" s="3">
        <v>14636</v>
      </c>
      <c r="E1928" s="4">
        <v>44091</v>
      </c>
      <c r="F1928" s="92" t="s">
        <v>28</v>
      </c>
      <c r="G1928" s="32">
        <v>44033</v>
      </c>
      <c r="H1928" s="27">
        <f t="shared" si="248"/>
        <v>14636</v>
      </c>
      <c r="I1928" s="27"/>
      <c r="J1928" s="27"/>
      <c r="K1928" s="99"/>
      <c r="L1928" s="27">
        <v>11266</v>
      </c>
      <c r="M1928" s="29">
        <f t="shared" si="249"/>
        <v>3370</v>
      </c>
      <c r="N1928" s="29"/>
      <c r="O1928" s="44">
        <f t="shared" si="250"/>
        <v>0.2302541678054113</v>
      </c>
    </row>
    <row r="1929" spans="1:15" ht="20.100000000000001" customHeight="1" x14ac:dyDescent="0.25">
      <c r="A1929" s="89">
        <v>751</v>
      </c>
      <c r="B1929" s="4">
        <v>44046</v>
      </c>
      <c r="C1929" s="26" t="s">
        <v>66</v>
      </c>
      <c r="D1929" s="3">
        <v>6620</v>
      </c>
      <c r="E1929" s="4">
        <v>44091</v>
      </c>
      <c r="F1929" s="92" t="s">
        <v>28</v>
      </c>
      <c r="G1929" s="32">
        <v>44047</v>
      </c>
      <c r="H1929" s="27">
        <f t="shared" si="248"/>
        <v>6620</v>
      </c>
      <c r="I1929" s="27"/>
      <c r="J1929" s="27"/>
      <c r="K1929" s="99"/>
      <c r="L1929" s="27">
        <v>5090</v>
      </c>
      <c r="M1929" s="29">
        <f t="shared" si="249"/>
        <v>1530</v>
      </c>
      <c r="N1929" s="29"/>
      <c r="O1929" s="44">
        <f t="shared" si="250"/>
        <v>0.23111782477341389</v>
      </c>
    </row>
    <row r="1930" spans="1:15" ht="20.100000000000001" customHeight="1" x14ac:dyDescent="0.25">
      <c r="A1930" s="89">
        <v>589</v>
      </c>
      <c r="B1930" s="4">
        <v>44014</v>
      </c>
      <c r="C1930" s="26" t="s">
        <v>99</v>
      </c>
      <c r="D1930" s="3">
        <v>220412</v>
      </c>
      <c r="E1930" s="4">
        <v>44096</v>
      </c>
      <c r="F1930" s="92" t="s">
        <v>28</v>
      </c>
      <c r="G1930" s="32">
        <v>44062</v>
      </c>
      <c r="H1930" s="27">
        <f t="shared" si="248"/>
        <v>220412</v>
      </c>
      <c r="I1930" s="27"/>
      <c r="J1930" s="27">
        <v>30000</v>
      </c>
      <c r="K1930" s="99">
        <f>10*600</f>
        <v>6000</v>
      </c>
      <c r="L1930" s="27">
        <v>93822</v>
      </c>
      <c r="M1930" s="29">
        <f t="shared" si="249"/>
        <v>90590</v>
      </c>
      <c r="N1930" s="29"/>
      <c r="O1930" s="44">
        <f t="shared" si="250"/>
        <v>0.41100303068798433</v>
      </c>
    </row>
    <row r="1931" spans="1:15" ht="20.100000000000001" customHeight="1" x14ac:dyDescent="0.25">
      <c r="A1931" s="89">
        <v>939</v>
      </c>
      <c r="B1931" s="4">
        <v>44095</v>
      </c>
      <c r="C1931" s="26" t="s">
        <v>270</v>
      </c>
      <c r="D1931" s="3">
        <v>4391</v>
      </c>
      <c r="E1931" s="4">
        <v>44096</v>
      </c>
      <c r="F1931" s="92" t="s">
        <v>28</v>
      </c>
      <c r="G1931" s="32">
        <v>44116</v>
      </c>
      <c r="H1931" s="27">
        <f t="shared" si="248"/>
        <v>4391</v>
      </c>
      <c r="I1931" s="27"/>
      <c r="J1931" s="27"/>
      <c r="K1931" s="99"/>
      <c r="L1931" s="27">
        <v>3425</v>
      </c>
      <c r="M1931" s="29">
        <f t="shared" si="249"/>
        <v>966</v>
      </c>
      <c r="N1931" s="29"/>
      <c r="O1931" s="44">
        <f t="shared" si="250"/>
        <v>0.21999544522887726</v>
      </c>
    </row>
    <row r="1932" spans="1:15" ht="20.100000000000001" customHeight="1" x14ac:dyDescent="0.25">
      <c r="A1932" s="89">
        <v>949</v>
      </c>
      <c r="B1932" s="4">
        <v>44097</v>
      </c>
      <c r="C1932" s="26" t="s">
        <v>211</v>
      </c>
      <c r="D1932" s="3">
        <v>9554</v>
      </c>
      <c r="E1932" s="4">
        <v>44097</v>
      </c>
      <c r="F1932" s="92" t="s">
        <v>28</v>
      </c>
      <c r="G1932" s="32">
        <v>44103</v>
      </c>
      <c r="H1932" s="27">
        <f t="shared" si="248"/>
        <v>9554</v>
      </c>
      <c r="I1932" s="27"/>
      <c r="J1932" s="27"/>
      <c r="K1932" s="99"/>
      <c r="L1932" s="27">
        <v>6947</v>
      </c>
      <c r="M1932" s="29">
        <f t="shared" si="249"/>
        <v>2607</v>
      </c>
      <c r="N1932" s="29"/>
      <c r="O1932" s="44">
        <f t="shared" si="250"/>
        <v>0.27287000209336404</v>
      </c>
    </row>
    <row r="1933" spans="1:15" ht="20.100000000000001" customHeight="1" x14ac:dyDescent="0.25">
      <c r="A1933" s="89">
        <v>937</v>
      </c>
      <c r="B1933" s="4">
        <v>44097</v>
      </c>
      <c r="C1933" s="26" t="s">
        <v>12</v>
      </c>
      <c r="D1933" s="3">
        <v>3138</v>
      </c>
      <c r="E1933" s="4">
        <v>44097</v>
      </c>
      <c r="F1933" s="92" t="s">
        <v>28</v>
      </c>
      <c r="G1933" s="32">
        <v>44098</v>
      </c>
      <c r="H1933" s="27">
        <f t="shared" si="248"/>
        <v>3138</v>
      </c>
      <c r="I1933" s="27"/>
      <c r="J1933" s="27"/>
      <c r="K1933" s="99"/>
      <c r="L1933" s="27">
        <v>2018</v>
      </c>
      <c r="M1933" s="29">
        <f t="shared" si="249"/>
        <v>1120</v>
      </c>
      <c r="N1933" s="29"/>
      <c r="O1933" s="44">
        <f t="shared" si="250"/>
        <v>0.35691523263224983</v>
      </c>
    </row>
    <row r="1934" spans="1:15" ht="20.100000000000001" customHeight="1" x14ac:dyDescent="0.25">
      <c r="A1934" s="89">
        <v>905</v>
      </c>
      <c r="B1934" s="4">
        <v>44082</v>
      </c>
      <c r="C1934" s="26" t="s">
        <v>56</v>
      </c>
      <c r="D1934" s="3">
        <v>65687</v>
      </c>
      <c r="E1934" s="4">
        <v>44099</v>
      </c>
      <c r="F1934" s="92" t="s">
        <v>28</v>
      </c>
      <c r="G1934" s="32">
        <v>44090</v>
      </c>
      <c r="H1934" s="27">
        <f t="shared" si="248"/>
        <v>65687</v>
      </c>
      <c r="I1934" s="27"/>
      <c r="J1934" s="27"/>
      <c r="K1934" s="99">
        <v>4200</v>
      </c>
      <c r="L1934" s="27">
        <v>37866.300000000003</v>
      </c>
      <c r="M1934" s="29">
        <f t="shared" si="249"/>
        <v>23620.699999999997</v>
      </c>
      <c r="N1934" s="29"/>
      <c r="O1934" s="44">
        <f t="shared" si="250"/>
        <v>0.35959474477446063</v>
      </c>
    </row>
    <row r="1935" spans="1:15" ht="20.100000000000001" customHeight="1" x14ac:dyDescent="0.25">
      <c r="A1935" s="89">
        <v>946</v>
      </c>
      <c r="B1935" s="4">
        <v>44096</v>
      </c>
      <c r="C1935" s="26" t="s">
        <v>403</v>
      </c>
      <c r="D1935" s="3">
        <v>7106</v>
      </c>
      <c r="E1935" s="4">
        <v>44102</v>
      </c>
      <c r="F1935" s="92" t="s">
        <v>28</v>
      </c>
      <c r="G1935" s="32">
        <v>44111</v>
      </c>
      <c r="H1935" s="27">
        <f t="shared" si="248"/>
        <v>7106</v>
      </c>
      <c r="I1935" s="27"/>
      <c r="J1935" s="27"/>
      <c r="K1935" s="99"/>
      <c r="L1935" s="27">
        <v>5168</v>
      </c>
      <c r="M1935" s="29">
        <f t="shared" si="249"/>
        <v>1938</v>
      </c>
      <c r="N1935" s="29"/>
      <c r="O1935" s="44">
        <f t="shared" si="250"/>
        <v>0.27272727272727271</v>
      </c>
    </row>
    <row r="1936" spans="1:15" ht="20.100000000000001" customHeight="1" x14ac:dyDescent="0.25">
      <c r="A1936" s="89">
        <v>925</v>
      </c>
      <c r="B1936" s="4">
        <v>44088</v>
      </c>
      <c r="C1936" s="26" t="s">
        <v>13</v>
      </c>
      <c r="D1936" s="3">
        <v>3138</v>
      </c>
      <c r="E1936" s="4">
        <v>44103</v>
      </c>
      <c r="F1936" s="92" t="s">
        <v>28</v>
      </c>
      <c r="G1936" s="32">
        <v>44092</v>
      </c>
      <c r="H1936" s="27">
        <f t="shared" si="248"/>
        <v>3138</v>
      </c>
      <c r="I1936" s="27"/>
      <c r="J1936" s="27"/>
      <c r="K1936" s="99"/>
      <c r="L1936" s="27">
        <v>2018</v>
      </c>
      <c r="M1936" s="29">
        <f t="shared" si="249"/>
        <v>1120</v>
      </c>
      <c r="N1936" s="29"/>
      <c r="O1936" s="44">
        <f t="shared" si="250"/>
        <v>0.35691523263224983</v>
      </c>
    </row>
    <row r="1937" spans="1:15" ht="20.100000000000001" customHeight="1" x14ac:dyDescent="0.25">
      <c r="A1937" s="89">
        <v>852</v>
      </c>
      <c r="B1937" s="4">
        <v>44084</v>
      </c>
      <c r="C1937" s="26" t="s">
        <v>13</v>
      </c>
      <c r="D1937" s="3">
        <v>195634</v>
      </c>
      <c r="E1937" s="4">
        <v>44104</v>
      </c>
      <c r="F1937" s="92" t="s">
        <v>28</v>
      </c>
      <c r="G1937" s="32">
        <v>44116</v>
      </c>
      <c r="H1937" s="27">
        <v>146725.5</v>
      </c>
      <c r="I1937" s="27"/>
      <c r="J1937" s="27"/>
      <c r="K1937" s="99"/>
      <c r="L1937" s="27">
        <v>107410</v>
      </c>
      <c r="M1937" s="29">
        <f t="shared" si="249"/>
        <v>39315.5</v>
      </c>
      <c r="N1937" s="29"/>
      <c r="O1937" s="44">
        <f t="shared" si="250"/>
        <v>0.26795274168430167</v>
      </c>
    </row>
    <row r="1938" spans="1:15" ht="19.5" customHeight="1" x14ac:dyDescent="0.25">
      <c r="A1938" s="89"/>
      <c r="B1938" s="4"/>
      <c r="C1938" s="5"/>
      <c r="D1938" s="3"/>
      <c r="E1938" s="97">
        <v>36515</v>
      </c>
      <c r="F1938" s="98">
        <f>M1938*0.17+N1938*0.06+10000</f>
        <v>64064.432999999997</v>
      </c>
      <c r="G1938" s="21">
        <f>H1938*0.05+I1938*0.02+10000</f>
        <v>61389.750000000007</v>
      </c>
      <c r="H1938" s="16">
        <f t="shared" ref="H1938:N1938" si="251">SUM(H1919:H1937)</f>
        <v>1025191.8</v>
      </c>
      <c r="I1938" s="16">
        <f t="shared" si="251"/>
        <v>6508</v>
      </c>
      <c r="J1938" s="16">
        <f t="shared" si="251"/>
        <v>30000</v>
      </c>
      <c r="K1938" s="16">
        <f t="shared" si="251"/>
        <v>15600</v>
      </c>
      <c r="L1938" s="16">
        <f t="shared" si="251"/>
        <v>662036.9</v>
      </c>
      <c r="M1938" s="16">
        <f t="shared" si="251"/>
        <v>317554.89999999997</v>
      </c>
      <c r="N1938" s="16">
        <f t="shared" si="251"/>
        <v>1335</v>
      </c>
      <c r="O1938" s="44">
        <f t="shared" si="250"/>
        <v>0.30975169719461271</v>
      </c>
    </row>
    <row r="1939" spans="1:15" ht="23.25" x14ac:dyDescent="0.35">
      <c r="B1939" s="94"/>
      <c r="C1939" s="94" t="s">
        <v>644</v>
      </c>
    </row>
    <row r="1940" spans="1:15" ht="20.100000000000001" customHeight="1" x14ac:dyDescent="0.25">
      <c r="A1940" s="89">
        <v>588</v>
      </c>
      <c r="B1940" s="4">
        <v>44014</v>
      </c>
      <c r="C1940" s="26" t="s">
        <v>433</v>
      </c>
      <c r="D1940" s="3">
        <v>2742</v>
      </c>
      <c r="E1940" s="4">
        <v>44105</v>
      </c>
      <c r="F1940" s="92" t="s">
        <v>28</v>
      </c>
      <c r="G1940" s="32">
        <v>44019</v>
      </c>
      <c r="H1940" s="27">
        <f>D1940</f>
        <v>2742</v>
      </c>
      <c r="I1940" s="27"/>
      <c r="J1940" s="27"/>
      <c r="K1940" s="99"/>
      <c r="L1940" s="27">
        <v>1864</v>
      </c>
      <c r="M1940" s="29">
        <f t="shared" ref="M1940:M1961" si="252">H1940-L1940-J1940-K1940</f>
        <v>878</v>
      </c>
      <c r="N1940" s="29"/>
      <c r="O1940" s="44">
        <f t="shared" ref="O1940:O1962" si="253">M1940/H1940</f>
        <v>0.3202042304886944</v>
      </c>
    </row>
    <row r="1941" spans="1:15" ht="20.100000000000001" customHeight="1" x14ac:dyDescent="0.25">
      <c r="A1941" s="89">
        <v>973</v>
      </c>
      <c r="B1941" s="4">
        <v>44106</v>
      </c>
      <c r="C1941" s="26" t="s">
        <v>211</v>
      </c>
      <c r="D1941" s="3">
        <v>13690</v>
      </c>
      <c r="E1941" s="4">
        <v>44109</v>
      </c>
      <c r="F1941" s="92" t="s">
        <v>28</v>
      </c>
      <c r="G1941" s="32">
        <v>44123</v>
      </c>
      <c r="H1941" s="27">
        <f>D1941</f>
        <v>13690</v>
      </c>
      <c r="I1941" s="27"/>
      <c r="J1941" s="27"/>
      <c r="K1941" s="99"/>
      <c r="L1941" s="27">
        <v>11280</v>
      </c>
      <c r="M1941" s="29">
        <f t="shared" si="252"/>
        <v>2410</v>
      </c>
      <c r="N1941" s="29"/>
      <c r="O1941" s="44">
        <f t="shared" si="253"/>
        <v>0.1760409057706355</v>
      </c>
    </row>
    <row r="1942" spans="1:15" ht="20.100000000000001" customHeight="1" x14ac:dyDescent="0.25">
      <c r="A1942" s="89">
        <v>1008</v>
      </c>
      <c r="B1942" s="4">
        <v>44117</v>
      </c>
      <c r="C1942" s="26" t="s">
        <v>372</v>
      </c>
      <c r="D1942" s="3">
        <v>3665</v>
      </c>
      <c r="E1942" s="4">
        <v>44117</v>
      </c>
      <c r="F1942" s="92" t="s">
        <v>28</v>
      </c>
      <c r="G1942" s="32">
        <v>44119</v>
      </c>
      <c r="H1942" s="27">
        <f>D1942</f>
        <v>3665</v>
      </c>
      <c r="I1942" s="27"/>
      <c r="J1942" s="27"/>
      <c r="K1942" s="99"/>
      <c r="L1942" s="27">
        <v>2858</v>
      </c>
      <c r="M1942" s="29">
        <f t="shared" si="252"/>
        <v>807</v>
      </c>
      <c r="N1942" s="29"/>
      <c r="O1942" s="44">
        <f t="shared" si="253"/>
        <v>0.22019099590723057</v>
      </c>
    </row>
    <row r="1943" spans="1:15" ht="20.100000000000001" customHeight="1" x14ac:dyDescent="0.25">
      <c r="A1943" s="89">
        <v>827</v>
      </c>
      <c r="B1943" s="4">
        <v>44082</v>
      </c>
      <c r="C1943" s="26" t="s">
        <v>65</v>
      </c>
      <c r="D1943" s="3">
        <v>272424.03999999998</v>
      </c>
      <c r="E1943" s="4">
        <v>44119</v>
      </c>
      <c r="F1943" s="92" t="s">
        <v>28</v>
      </c>
      <c r="G1943" s="32">
        <v>44084</v>
      </c>
      <c r="H1943" s="27">
        <v>246537.07</v>
      </c>
      <c r="I1943" s="27"/>
      <c r="J1943" s="27"/>
      <c r="K1943" s="99">
        <f>16*1200</f>
        <v>19200</v>
      </c>
      <c r="L1943" s="27">
        <v>147569.68</v>
      </c>
      <c r="M1943" s="29">
        <f t="shared" si="252"/>
        <v>79767.390000000014</v>
      </c>
      <c r="N1943" s="29"/>
      <c r="O1943" s="44">
        <f t="shared" si="253"/>
        <v>0.32355130204151455</v>
      </c>
    </row>
    <row r="1944" spans="1:15" ht="20.100000000000001" customHeight="1" x14ac:dyDescent="0.25">
      <c r="A1944" s="89">
        <v>901</v>
      </c>
      <c r="B1944" s="4">
        <v>44081</v>
      </c>
      <c r="C1944" s="26" t="s">
        <v>303</v>
      </c>
      <c r="D1944" s="3">
        <v>6043.5</v>
      </c>
      <c r="E1944" s="4">
        <v>44120</v>
      </c>
      <c r="F1944" s="92" t="s">
        <v>28</v>
      </c>
      <c r="G1944" s="32">
        <v>44120</v>
      </c>
      <c r="H1944" s="27">
        <f t="shared" ref="H1944:H1951" si="254">D1944</f>
        <v>6043.5</v>
      </c>
      <c r="I1944" s="27"/>
      <c r="J1944" s="27"/>
      <c r="K1944" s="99"/>
      <c r="L1944" s="27">
        <v>5425</v>
      </c>
      <c r="M1944" s="29">
        <f t="shared" si="252"/>
        <v>618.5</v>
      </c>
      <c r="N1944" s="29"/>
      <c r="O1944" s="44">
        <f t="shared" si="253"/>
        <v>0.10234135848432199</v>
      </c>
    </row>
    <row r="1945" spans="1:15" ht="20.100000000000001" customHeight="1" x14ac:dyDescent="0.25">
      <c r="A1945" s="89">
        <v>1035</v>
      </c>
      <c r="B1945" s="4">
        <v>44124</v>
      </c>
      <c r="C1945" s="5" t="s">
        <v>471</v>
      </c>
      <c r="D1945" s="3">
        <v>2156</v>
      </c>
      <c r="E1945" s="4">
        <v>44126</v>
      </c>
      <c r="F1945" s="92" t="s">
        <v>28</v>
      </c>
      <c r="G1945" s="32">
        <v>44127</v>
      </c>
      <c r="H1945" s="27">
        <f t="shared" si="254"/>
        <v>2156</v>
      </c>
      <c r="I1945" s="27">
        <f>H1945</f>
        <v>2156</v>
      </c>
      <c r="J1945" s="27"/>
      <c r="K1945" s="99"/>
      <c r="L1945" s="27">
        <v>1504</v>
      </c>
      <c r="M1945" s="29">
        <f t="shared" si="252"/>
        <v>652</v>
      </c>
      <c r="N1945" s="29">
        <f>M1945</f>
        <v>652</v>
      </c>
      <c r="O1945" s="44">
        <f t="shared" si="253"/>
        <v>0.30241187384044527</v>
      </c>
    </row>
    <row r="1946" spans="1:15" ht="20.100000000000001" customHeight="1" x14ac:dyDescent="0.25">
      <c r="A1946" s="89">
        <v>1045</v>
      </c>
      <c r="B1946" s="4">
        <v>44126</v>
      </c>
      <c r="C1946" s="26" t="s">
        <v>179</v>
      </c>
      <c r="D1946" s="3">
        <v>12144</v>
      </c>
      <c r="E1946" s="4">
        <v>44130</v>
      </c>
      <c r="F1946" s="92" t="s">
        <v>28</v>
      </c>
      <c r="G1946" s="32">
        <v>44162</v>
      </c>
      <c r="H1946" s="27">
        <f t="shared" si="254"/>
        <v>12144</v>
      </c>
      <c r="I1946" s="27"/>
      <c r="J1946" s="27"/>
      <c r="K1946" s="99"/>
      <c r="L1946" s="27">
        <v>8607</v>
      </c>
      <c r="M1946" s="29">
        <f t="shared" si="252"/>
        <v>3537</v>
      </c>
      <c r="N1946" s="29"/>
      <c r="O1946" s="44">
        <f t="shared" si="253"/>
        <v>0.29125494071146246</v>
      </c>
    </row>
    <row r="1947" spans="1:15" ht="20.100000000000001" customHeight="1" x14ac:dyDescent="0.25">
      <c r="A1947" s="89">
        <v>867</v>
      </c>
      <c r="B1947" s="4">
        <v>44074</v>
      </c>
      <c r="C1947" s="26" t="s">
        <v>209</v>
      </c>
      <c r="D1947" s="3">
        <v>3269.55</v>
      </c>
      <c r="E1947" s="4">
        <v>44130</v>
      </c>
      <c r="F1947" s="92" t="s">
        <v>28</v>
      </c>
      <c r="G1947" s="32">
        <v>44081</v>
      </c>
      <c r="H1947" s="27">
        <f t="shared" si="254"/>
        <v>3269.55</v>
      </c>
      <c r="I1947" s="27"/>
      <c r="J1947" s="27"/>
      <c r="K1947" s="99"/>
      <c r="L1947" s="27">
        <v>2947</v>
      </c>
      <c r="M1947" s="29">
        <f t="shared" si="252"/>
        <v>322.55000000000018</v>
      </c>
      <c r="N1947" s="29"/>
      <c r="O1947" s="44">
        <f t="shared" si="253"/>
        <v>9.8652719793243762E-2</v>
      </c>
    </row>
    <row r="1948" spans="1:15" ht="20.100000000000001" customHeight="1" x14ac:dyDescent="0.25">
      <c r="A1948" s="89">
        <v>1041</v>
      </c>
      <c r="B1948" s="4">
        <v>44125</v>
      </c>
      <c r="C1948" s="26" t="s">
        <v>403</v>
      </c>
      <c r="D1948" s="3">
        <v>7501</v>
      </c>
      <c r="E1948" s="4">
        <v>44130</v>
      </c>
      <c r="F1948" s="92" t="s">
        <v>28</v>
      </c>
      <c r="G1948" s="32">
        <v>44133</v>
      </c>
      <c r="H1948" s="27">
        <f t="shared" si="254"/>
        <v>7501</v>
      </c>
      <c r="I1948" s="27"/>
      <c r="J1948" s="27"/>
      <c r="K1948" s="99"/>
      <c r="L1948" s="27">
        <v>5168</v>
      </c>
      <c r="M1948" s="29">
        <f t="shared" si="252"/>
        <v>2333</v>
      </c>
      <c r="N1948" s="29"/>
      <c r="O1948" s="44">
        <f t="shared" si="253"/>
        <v>0.31102519664044792</v>
      </c>
    </row>
    <row r="1949" spans="1:15" ht="20.100000000000001" customHeight="1" x14ac:dyDescent="0.25">
      <c r="A1949" s="89">
        <v>1055</v>
      </c>
      <c r="B1949" s="4">
        <v>44127</v>
      </c>
      <c r="C1949" s="26" t="s">
        <v>372</v>
      </c>
      <c r="D1949" s="3">
        <v>5702</v>
      </c>
      <c r="E1949" s="4">
        <v>44130</v>
      </c>
      <c r="F1949" s="92" t="s">
        <v>28</v>
      </c>
      <c r="G1949" s="32">
        <v>44154</v>
      </c>
      <c r="H1949" s="27">
        <f t="shared" si="254"/>
        <v>5702</v>
      </c>
      <c r="I1949" s="27"/>
      <c r="J1949" s="27"/>
      <c r="K1949" s="99"/>
      <c r="L1949" s="27">
        <v>4448</v>
      </c>
      <c r="M1949" s="29">
        <f t="shared" si="252"/>
        <v>1254</v>
      </c>
      <c r="N1949" s="29"/>
      <c r="O1949" s="44">
        <f t="shared" si="253"/>
        <v>0.2199228340933006</v>
      </c>
    </row>
    <row r="1950" spans="1:15" ht="20.100000000000001" customHeight="1" x14ac:dyDescent="0.25">
      <c r="A1950" s="89">
        <v>1032</v>
      </c>
      <c r="B1950" s="4">
        <v>44124</v>
      </c>
      <c r="C1950" s="26" t="s">
        <v>206</v>
      </c>
      <c r="D1950" s="3">
        <v>9874</v>
      </c>
      <c r="E1950" s="4">
        <v>44131</v>
      </c>
      <c r="F1950" s="92" t="s">
        <v>28</v>
      </c>
      <c r="G1950" s="32">
        <v>44124</v>
      </c>
      <c r="H1950" s="27">
        <f t="shared" si="254"/>
        <v>9874</v>
      </c>
      <c r="I1950" s="27"/>
      <c r="J1950" s="27"/>
      <c r="K1950" s="99"/>
      <c r="L1950" s="27">
        <v>7366</v>
      </c>
      <c r="M1950" s="29">
        <f t="shared" si="252"/>
        <v>2508</v>
      </c>
      <c r="N1950" s="29"/>
      <c r="O1950" s="44">
        <f t="shared" si="253"/>
        <v>0.25400040510431438</v>
      </c>
    </row>
    <row r="1951" spans="1:15" ht="20.100000000000001" customHeight="1" x14ac:dyDescent="0.25">
      <c r="A1951" s="89">
        <v>1033</v>
      </c>
      <c r="B1951" s="4">
        <v>44124</v>
      </c>
      <c r="C1951" s="26" t="s">
        <v>206</v>
      </c>
      <c r="D1951" s="3">
        <v>9054</v>
      </c>
      <c r="E1951" s="4">
        <v>44131</v>
      </c>
      <c r="F1951" s="92" t="s">
        <v>28</v>
      </c>
      <c r="G1951" s="32">
        <v>44124</v>
      </c>
      <c r="H1951" s="27">
        <f t="shared" si="254"/>
        <v>9054</v>
      </c>
      <c r="I1951" s="27"/>
      <c r="J1951" s="27"/>
      <c r="K1951" s="99"/>
      <c r="L1951" s="27">
        <v>6368</v>
      </c>
      <c r="M1951" s="29">
        <f t="shared" si="252"/>
        <v>2686</v>
      </c>
      <c r="N1951" s="29"/>
      <c r="O1951" s="44">
        <f t="shared" si="253"/>
        <v>0.29666445769825489</v>
      </c>
    </row>
    <row r="1952" spans="1:15" ht="20.100000000000001" customHeight="1" x14ac:dyDescent="0.25">
      <c r="A1952" s="89">
        <v>944</v>
      </c>
      <c r="B1952" s="4">
        <v>44133</v>
      </c>
      <c r="C1952" s="26" t="s">
        <v>387</v>
      </c>
      <c r="D1952" s="3">
        <v>3164</v>
      </c>
      <c r="E1952" s="4">
        <v>44133</v>
      </c>
      <c r="F1952" s="92" t="s">
        <v>28</v>
      </c>
      <c r="G1952" s="32">
        <v>44148</v>
      </c>
      <c r="H1952" s="27">
        <v>2998</v>
      </c>
      <c r="I1952" s="27"/>
      <c r="J1952" s="27"/>
      <c r="K1952" s="99"/>
      <c r="L1952" s="27">
        <v>2000</v>
      </c>
      <c r="M1952" s="29">
        <f t="shared" si="252"/>
        <v>998</v>
      </c>
      <c r="N1952" s="29"/>
      <c r="O1952" s="44">
        <f t="shared" si="253"/>
        <v>0.33288859239492996</v>
      </c>
    </row>
    <row r="1953" spans="1:15" ht="20.100000000000001" customHeight="1" x14ac:dyDescent="0.25">
      <c r="A1953" s="89">
        <v>1081</v>
      </c>
      <c r="B1953" s="4">
        <v>44133</v>
      </c>
      <c r="C1953" s="26" t="s">
        <v>443</v>
      </c>
      <c r="D1953" s="3">
        <v>5799.98</v>
      </c>
      <c r="E1953" s="4">
        <v>44133</v>
      </c>
      <c r="F1953" s="92" t="s">
        <v>28</v>
      </c>
      <c r="G1953" s="32">
        <v>44138</v>
      </c>
      <c r="H1953" s="27">
        <f>D1953</f>
        <v>5799.98</v>
      </c>
      <c r="I1953" s="27"/>
      <c r="J1953" s="27"/>
      <c r="K1953" s="99"/>
      <c r="L1953" s="27">
        <v>4044</v>
      </c>
      <c r="M1953" s="29">
        <f t="shared" si="252"/>
        <v>1755.9799999999996</v>
      </c>
      <c r="N1953" s="29"/>
      <c r="O1953" s="44">
        <f t="shared" si="253"/>
        <v>0.30275621640074618</v>
      </c>
    </row>
    <row r="1954" spans="1:15" ht="20.100000000000001" customHeight="1" x14ac:dyDescent="0.25">
      <c r="A1954" s="89">
        <v>951</v>
      </c>
      <c r="B1954" s="4">
        <v>44098</v>
      </c>
      <c r="C1954" s="26" t="s">
        <v>433</v>
      </c>
      <c r="D1954" s="3">
        <v>40990</v>
      </c>
      <c r="E1954" s="4">
        <v>44133</v>
      </c>
      <c r="F1954" s="92" t="s">
        <v>28</v>
      </c>
      <c r="G1954" s="32">
        <v>44099</v>
      </c>
      <c r="H1954" s="27">
        <f>D1954</f>
        <v>40990</v>
      </c>
      <c r="I1954" s="27"/>
      <c r="J1954" s="27"/>
      <c r="K1954" s="99"/>
      <c r="L1954" s="27">
        <v>30127</v>
      </c>
      <c r="M1954" s="29">
        <f t="shared" si="252"/>
        <v>10863</v>
      </c>
      <c r="N1954" s="29"/>
      <c r="O1954" s="44">
        <f t="shared" si="253"/>
        <v>0.26501585752622592</v>
      </c>
    </row>
    <row r="1955" spans="1:15" ht="20.100000000000001" customHeight="1" x14ac:dyDescent="0.25">
      <c r="A1955" s="89">
        <v>827</v>
      </c>
      <c r="B1955" s="4">
        <v>44082</v>
      </c>
      <c r="C1955" s="26" t="s">
        <v>65</v>
      </c>
      <c r="D1955" s="3">
        <v>272424.03999999998</v>
      </c>
      <c r="E1955" s="4">
        <v>44133</v>
      </c>
      <c r="F1955" s="92" t="s">
        <v>28</v>
      </c>
      <c r="G1955" s="32">
        <v>44102</v>
      </c>
      <c r="H1955" s="27">
        <v>25886.97</v>
      </c>
      <c r="I1955" s="27"/>
      <c r="J1955" s="27"/>
      <c r="K1955" s="99"/>
      <c r="L1955" s="27">
        <v>21378</v>
      </c>
      <c r="M1955" s="29">
        <f t="shared" si="252"/>
        <v>4508.9700000000012</v>
      </c>
      <c r="N1955" s="29"/>
      <c r="O1955" s="44">
        <f t="shared" si="253"/>
        <v>0.17417913336323257</v>
      </c>
    </row>
    <row r="1956" spans="1:15" ht="20.100000000000001" customHeight="1" x14ac:dyDescent="0.25">
      <c r="A1956" s="89">
        <v>1062</v>
      </c>
      <c r="B1956" s="4">
        <v>44130</v>
      </c>
      <c r="C1956" s="26" t="s">
        <v>209</v>
      </c>
      <c r="D1956" s="3">
        <v>10291.799999999999</v>
      </c>
      <c r="E1956" s="4">
        <v>44133</v>
      </c>
      <c r="F1956" s="92" t="s">
        <v>28</v>
      </c>
      <c r="G1956" s="32">
        <v>44158</v>
      </c>
      <c r="H1956" s="27">
        <v>698</v>
      </c>
      <c r="I1956" s="27"/>
      <c r="J1956" s="27"/>
      <c r="K1956" s="99"/>
      <c r="L1956" s="27">
        <v>630</v>
      </c>
      <c r="M1956" s="29">
        <f t="shared" si="252"/>
        <v>68</v>
      </c>
      <c r="N1956" s="29"/>
      <c r="O1956" s="44">
        <f t="shared" si="253"/>
        <v>9.7421203438395415E-2</v>
      </c>
    </row>
    <row r="1957" spans="1:15" ht="20.100000000000001" customHeight="1" x14ac:dyDescent="0.25">
      <c r="A1957" s="89">
        <v>852</v>
      </c>
      <c r="B1957" s="4">
        <v>44084</v>
      </c>
      <c r="C1957" s="26" t="s">
        <v>13</v>
      </c>
      <c r="D1957" s="3">
        <v>195634</v>
      </c>
      <c r="E1957" s="4">
        <v>44134</v>
      </c>
      <c r="F1957" s="92" t="s">
        <v>28</v>
      </c>
      <c r="G1957" s="32">
        <v>44116</v>
      </c>
      <c r="H1957" s="27">
        <v>48908.5</v>
      </c>
      <c r="I1957" s="27"/>
      <c r="J1957" s="27"/>
      <c r="K1957" s="99"/>
      <c r="L1957" s="27">
        <v>35803</v>
      </c>
      <c r="M1957" s="29">
        <f t="shared" si="252"/>
        <v>13105.5</v>
      </c>
      <c r="N1957" s="29"/>
      <c r="O1957" s="44">
        <f t="shared" si="253"/>
        <v>0.26795955713219582</v>
      </c>
    </row>
    <row r="1958" spans="1:15" ht="20.100000000000001" customHeight="1" x14ac:dyDescent="0.25">
      <c r="A1958" s="89">
        <v>1089</v>
      </c>
      <c r="B1958" s="4">
        <v>44133</v>
      </c>
      <c r="C1958" s="26" t="s">
        <v>16</v>
      </c>
      <c r="D1958" s="3">
        <v>15002</v>
      </c>
      <c r="E1958" s="4">
        <v>44134</v>
      </c>
      <c r="F1958" s="92" t="s">
        <v>28</v>
      </c>
      <c r="G1958" s="32">
        <v>44137</v>
      </c>
      <c r="H1958" s="27">
        <f>D1958</f>
        <v>15002</v>
      </c>
      <c r="I1958" s="27"/>
      <c r="J1958" s="27"/>
      <c r="K1958" s="99"/>
      <c r="L1958" s="27">
        <v>10336</v>
      </c>
      <c r="M1958" s="29">
        <f t="shared" si="252"/>
        <v>4666</v>
      </c>
      <c r="N1958" s="29"/>
      <c r="O1958" s="44">
        <f t="shared" si="253"/>
        <v>0.31102519664044792</v>
      </c>
    </row>
    <row r="1959" spans="1:15" ht="20.100000000000001" customHeight="1" x14ac:dyDescent="0.25">
      <c r="A1959" s="89">
        <v>1091</v>
      </c>
      <c r="B1959" s="4">
        <v>44133</v>
      </c>
      <c r="C1959" s="26" t="s">
        <v>440</v>
      </c>
      <c r="D1959" s="3">
        <v>2303</v>
      </c>
      <c r="E1959" s="4">
        <v>44134</v>
      </c>
      <c r="F1959" s="92" t="s">
        <v>28</v>
      </c>
      <c r="G1959" s="32">
        <v>44133</v>
      </c>
      <c r="H1959" s="27">
        <f>D1959</f>
        <v>2303</v>
      </c>
      <c r="I1959" s="27"/>
      <c r="J1959" s="27"/>
      <c r="K1959" s="99"/>
      <c r="L1959" s="27">
        <v>1796</v>
      </c>
      <c r="M1959" s="29">
        <f t="shared" si="252"/>
        <v>507</v>
      </c>
      <c r="N1959" s="29"/>
      <c r="O1959" s="44">
        <f t="shared" si="253"/>
        <v>0.22014763352149369</v>
      </c>
    </row>
    <row r="1960" spans="1:15" ht="20.100000000000001" customHeight="1" x14ac:dyDescent="0.25">
      <c r="A1960" s="89">
        <v>920</v>
      </c>
      <c r="B1960" s="4">
        <v>44130</v>
      </c>
      <c r="C1960" s="26" t="s">
        <v>301</v>
      </c>
      <c r="D1960" s="3">
        <v>7400</v>
      </c>
      <c r="E1960" s="4">
        <v>44134</v>
      </c>
      <c r="F1960" s="92" t="s">
        <v>28</v>
      </c>
      <c r="G1960" s="32">
        <v>44162</v>
      </c>
      <c r="H1960" s="27">
        <f>D1960</f>
        <v>7400</v>
      </c>
      <c r="I1960" s="27"/>
      <c r="J1960" s="27"/>
      <c r="K1960" s="99"/>
      <c r="L1960" s="27">
        <v>5090</v>
      </c>
      <c r="M1960" s="29">
        <f t="shared" si="252"/>
        <v>2310</v>
      </c>
      <c r="N1960" s="29"/>
      <c r="O1960" s="44">
        <f t="shared" si="253"/>
        <v>0.31216216216216214</v>
      </c>
    </row>
    <row r="1961" spans="1:15" ht="20.100000000000001" customHeight="1" x14ac:dyDescent="0.25">
      <c r="A1961" s="89">
        <v>965</v>
      </c>
      <c r="B1961" s="4">
        <v>44105</v>
      </c>
      <c r="C1961" s="26" t="s">
        <v>56</v>
      </c>
      <c r="D1961" s="3">
        <v>69929</v>
      </c>
      <c r="E1961" s="4">
        <v>44134</v>
      </c>
      <c r="F1961" s="92" t="s">
        <v>28</v>
      </c>
      <c r="G1961" s="32">
        <v>44110</v>
      </c>
      <c r="H1961" s="27">
        <f>D1961</f>
        <v>69929</v>
      </c>
      <c r="I1961" s="27"/>
      <c r="J1961" s="27"/>
      <c r="K1961" s="99">
        <v>2400</v>
      </c>
      <c r="L1961" s="27">
        <v>44184.1</v>
      </c>
      <c r="M1961" s="29">
        <f t="shared" si="252"/>
        <v>23344.9</v>
      </c>
      <c r="N1961" s="29"/>
      <c r="O1961" s="44">
        <f t="shared" si="253"/>
        <v>0.33383717770881899</v>
      </c>
    </row>
    <row r="1962" spans="1:15" ht="19.5" customHeight="1" x14ac:dyDescent="0.25">
      <c r="A1962" s="89"/>
      <c r="B1962" s="4"/>
      <c r="C1962" s="5"/>
      <c r="D1962" s="3"/>
      <c r="E1962" s="97">
        <v>0</v>
      </c>
      <c r="F1962" s="98">
        <f>M1962*0.12+N1962*0.06+10000</f>
        <v>29227.214799999998</v>
      </c>
      <c r="G1962" s="21">
        <f>H1962*0.05+I1962*0.02+10000</f>
        <v>37157.798499999997</v>
      </c>
      <c r="H1962" s="16">
        <f t="shared" ref="H1962:N1962" si="255">SUM(H1940:H1961)</f>
        <v>542293.56999999995</v>
      </c>
      <c r="I1962" s="16">
        <f t="shared" si="255"/>
        <v>2156</v>
      </c>
      <c r="J1962" s="16">
        <f t="shared" si="255"/>
        <v>0</v>
      </c>
      <c r="K1962" s="16">
        <f t="shared" si="255"/>
        <v>21600</v>
      </c>
      <c r="L1962" s="16">
        <f t="shared" si="255"/>
        <v>360792.77999999997</v>
      </c>
      <c r="M1962" s="16">
        <f t="shared" si="255"/>
        <v>159900.79</v>
      </c>
      <c r="N1962" s="16">
        <f t="shared" si="255"/>
        <v>652</v>
      </c>
      <c r="O1962" s="44">
        <f t="shared" si="253"/>
        <v>0.29486019906155264</v>
      </c>
    </row>
    <row r="1963" spans="1:15" ht="23.25" x14ac:dyDescent="0.35">
      <c r="B1963" s="94"/>
      <c r="C1963" s="94" t="s">
        <v>645</v>
      </c>
    </row>
    <row r="1964" spans="1:15" ht="20.100000000000001" customHeight="1" x14ac:dyDescent="0.25">
      <c r="A1964" s="89">
        <v>1114</v>
      </c>
      <c r="B1964" s="4">
        <v>44140</v>
      </c>
      <c r="C1964" s="5" t="s">
        <v>473</v>
      </c>
      <c r="D1964" s="3">
        <v>4128</v>
      </c>
      <c r="E1964" s="4">
        <v>44140</v>
      </c>
      <c r="F1964" s="92" t="s">
        <v>28</v>
      </c>
      <c r="G1964" s="32">
        <v>44189</v>
      </c>
      <c r="H1964" s="27">
        <f>D1964</f>
        <v>4128</v>
      </c>
      <c r="I1964" s="27">
        <f>H1964</f>
        <v>4128</v>
      </c>
      <c r="J1964" s="27"/>
      <c r="K1964" s="99"/>
      <c r="L1964" s="27">
        <v>2724</v>
      </c>
      <c r="M1964" s="29">
        <f t="shared" ref="M1964:M1981" si="256">H1964-L1964-J1964-K1964</f>
        <v>1404</v>
      </c>
      <c r="N1964" s="29">
        <f>M1964</f>
        <v>1404</v>
      </c>
      <c r="O1964" s="44">
        <f t="shared" ref="O1964:O1982" si="257">M1964/H1964</f>
        <v>0.34011627906976744</v>
      </c>
    </row>
    <row r="1965" spans="1:15" ht="20.100000000000001" customHeight="1" x14ac:dyDescent="0.25">
      <c r="A1965" s="89">
        <v>1029</v>
      </c>
      <c r="B1965" s="4">
        <v>44124</v>
      </c>
      <c r="C1965" s="26" t="s">
        <v>13</v>
      </c>
      <c r="D1965" s="3">
        <v>18750</v>
      </c>
      <c r="E1965" s="4">
        <v>44141</v>
      </c>
      <c r="F1965" s="92" t="s">
        <v>28</v>
      </c>
      <c r="G1965" s="32">
        <v>44132</v>
      </c>
      <c r="H1965" s="27">
        <f>D1965</f>
        <v>18750</v>
      </c>
      <c r="I1965" s="27"/>
      <c r="J1965" s="27"/>
      <c r="K1965" s="99"/>
      <c r="L1965" s="27">
        <v>11420</v>
      </c>
      <c r="M1965" s="29">
        <f t="shared" si="256"/>
        <v>7330</v>
      </c>
      <c r="N1965" s="29"/>
      <c r="O1965" s="44">
        <f t="shared" si="257"/>
        <v>0.39093333333333335</v>
      </c>
    </row>
    <row r="1966" spans="1:15" ht="20.100000000000001" customHeight="1" x14ac:dyDescent="0.25">
      <c r="A1966" s="89">
        <v>1078</v>
      </c>
      <c r="B1966" s="4">
        <v>44132</v>
      </c>
      <c r="C1966" s="5" t="s">
        <v>472</v>
      </c>
      <c r="D1966" s="3">
        <v>91482</v>
      </c>
      <c r="E1966" s="4">
        <v>44141</v>
      </c>
      <c r="F1966" s="92" t="s">
        <v>28</v>
      </c>
      <c r="G1966" s="32">
        <v>44134</v>
      </c>
      <c r="H1966" s="27">
        <f>D1966</f>
        <v>91482</v>
      </c>
      <c r="I1966" s="27">
        <f>H1966</f>
        <v>91482</v>
      </c>
      <c r="J1966" s="27"/>
      <c r="K1966" s="99"/>
      <c r="L1966" s="27">
        <v>60300</v>
      </c>
      <c r="M1966" s="29">
        <f t="shared" si="256"/>
        <v>31182</v>
      </c>
      <c r="N1966" s="29">
        <f>M1966</f>
        <v>31182</v>
      </c>
      <c r="O1966" s="44">
        <f t="shared" si="257"/>
        <v>0.34085393847970091</v>
      </c>
    </row>
    <row r="1967" spans="1:15" ht="20.100000000000001" customHeight="1" x14ac:dyDescent="0.25">
      <c r="A1967" s="89">
        <v>944</v>
      </c>
      <c r="B1967" s="4">
        <v>44133</v>
      </c>
      <c r="C1967" s="26" t="s">
        <v>387</v>
      </c>
      <c r="D1967" s="3">
        <v>3164</v>
      </c>
      <c r="E1967" s="4">
        <v>44141</v>
      </c>
      <c r="F1967" s="92" t="s">
        <v>28</v>
      </c>
      <c r="G1967" s="32">
        <v>44148</v>
      </c>
      <c r="H1967" s="27">
        <v>166</v>
      </c>
      <c r="I1967" s="27"/>
      <c r="J1967" s="27"/>
      <c r="K1967" s="99"/>
      <c r="L1967" s="27">
        <v>208</v>
      </c>
      <c r="M1967" s="29">
        <f t="shared" si="256"/>
        <v>-42</v>
      </c>
      <c r="N1967" s="29"/>
      <c r="O1967" s="44">
        <f t="shared" si="257"/>
        <v>-0.25301204819277107</v>
      </c>
    </row>
    <row r="1968" spans="1:15" ht="20.100000000000001" customHeight="1" x14ac:dyDescent="0.25">
      <c r="A1968" s="89">
        <v>1060</v>
      </c>
      <c r="B1968" s="4">
        <v>44130</v>
      </c>
      <c r="C1968" s="5" t="s">
        <v>474</v>
      </c>
      <c r="D1968" s="3">
        <v>13990</v>
      </c>
      <c r="E1968" s="4">
        <v>44144</v>
      </c>
      <c r="F1968" s="92" t="s">
        <v>28</v>
      </c>
      <c r="G1968" s="32">
        <v>44171</v>
      </c>
      <c r="H1968" s="27">
        <f t="shared" ref="H1968:H1975" si="258">D1968</f>
        <v>13990</v>
      </c>
      <c r="I1968" s="27">
        <f>H1968</f>
        <v>13990</v>
      </c>
      <c r="J1968" s="27"/>
      <c r="K1968" s="99"/>
      <c r="L1968" s="27">
        <v>10282</v>
      </c>
      <c r="M1968" s="29">
        <f t="shared" si="256"/>
        <v>3708</v>
      </c>
      <c r="N1968" s="29">
        <f>M1968</f>
        <v>3708</v>
      </c>
      <c r="O1968" s="44">
        <f t="shared" si="257"/>
        <v>0.26504646175839885</v>
      </c>
    </row>
    <row r="1969" spans="1:15" ht="20.100000000000001" customHeight="1" x14ac:dyDescent="0.25">
      <c r="A1969" s="89">
        <v>1066</v>
      </c>
      <c r="B1969" s="4">
        <v>44131</v>
      </c>
      <c r="C1969" s="26" t="s">
        <v>11</v>
      </c>
      <c r="D1969" s="3">
        <v>7492</v>
      </c>
      <c r="E1969" s="4">
        <v>44151</v>
      </c>
      <c r="F1969" s="92" t="s">
        <v>28</v>
      </c>
      <c r="G1969" s="32">
        <v>44153</v>
      </c>
      <c r="H1969" s="27">
        <f t="shared" si="258"/>
        <v>7492</v>
      </c>
      <c r="I1969" s="27"/>
      <c r="J1969" s="27"/>
      <c r="K1969" s="99"/>
      <c r="L1969" s="27">
        <v>5228</v>
      </c>
      <c r="M1969" s="29">
        <f t="shared" si="256"/>
        <v>2264</v>
      </c>
      <c r="N1969" s="29"/>
      <c r="O1969" s="44">
        <f t="shared" si="257"/>
        <v>0.30218900160170847</v>
      </c>
    </row>
    <row r="1970" spans="1:15" ht="20.100000000000001" customHeight="1" x14ac:dyDescent="0.25">
      <c r="A1970" s="89">
        <v>1141</v>
      </c>
      <c r="B1970" s="4">
        <v>44148</v>
      </c>
      <c r="C1970" s="26" t="s">
        <v>410</v>
      </c>
      <c r="D1970" s="3">
        <v>48970</v>
      </c>
      <c r="E1970" s="4">
        <v>44151</v>
      </c>
      <c r="F1970" s="92" t="s">
        <v>28</v>
      </c>
      <c r="G1970" s="32">
        <v>44208</v>
      </c>
      <c r="H1970" s="27">
        <f t="shared" si="258"/>
        <v>48970</v>
      </c>
      <c r="I1970" s="27"/>
      <c r="J1970" s="27"/>
      <c r="K1970" s="99"/>
      <c r="L1970" s="27">
        <v>32650</v>
      </c>
      <c r="M1970" s="29">
        <f t="shared" si="256"/>
        <v>16320</v>
      </c>
      <c r="N1970" s="29"/>
      <c r="O1970" s="44">
        <f t="shared" si="257"/>
        <v>0.333265264447621</v>
      </c>
    </row>
    <row r="1971" spans="1:15" ht="20.100000000000001" customHeight="1" x14ac:dyDescent="0.25">
      <c r="A1971" s="89">
        <v>1156</v>
      </c>
      <c r="B1971" s="4">
        <v>44152</v>
      </c>
      <c r="C1971" s="26" t="s">
        <v>437</v>
      </c>
      <c r="D1971" s="3">
        <v>828</v>
      </c>
      <c r="E1971" s="4">
        <v>44153</v>
      </c>
      <c r="F1971" s="92" t="s">
        <v>28</v>
      </c>
      <c r="G1971" s="32">
        <v>44154</v>
      </c>
      <c r="H1971" s="27">
        <f t="shared" si="258"/>
        <v>828</v>
      </c>
      <c r="I1971" s="27"/>
      <c r="J1971" s="27"/>
      <c r="K1971" s="99"/>
      <c r="L1971" s="27">
        <v>489</v>
      </c>
      <c r="M1971" s="29">
        <f t="shared" si="256"/>
        <v>339</v>
      </c>
      <c r="N1971" s="29"/>
      <c r="O1971" s="44">
        <f t="shared" si="257"/>
        <v>0.40942028985507245</v>
      </c>
    </row>
    <row r="1972" spans="1:15" ht="20.100000000000001" customHeight="1" x14ac:dyDescent="0.25">
      <c r="A1972" s="89">
        <v>1161</v>
      </c>
      <c r="B1972" s="4">
        <v>44153</v>
      </c>
      <c r="C1972" s="26" t="s">
        <v>149</v>
      </c>
      <c r="D1972" s="3">
        <v>17870</v>
      </c>
      <c r="E1972" s="4">
        <v>44155</v>
      </c>
      <c r="F1972" s="92" t="s">
        <v>28</v>
      </c>
      <c r="G1972" s="32">
        <v>44208</v>
      </c>
      <c r="H1972" s="27">
        <f t="shared" si="258"/>
        <v>17870</v>
      </c>
      <c r="I1972" s="27"/>
      <c r="J1972" s="27"/>
      <c r="K1972" s="99"/>
      <c r="L1972" s="27">
        <v>11794</v>
      </c>
      <c r="M1972" s="29">
        <f t="shared" si="256"/>
        <v>6076</v>
      </c>
      <c r="N1972" s="29"/>
      <c r="O1972" s="44">
        <f t="shared" si="257"/>
        <v>0.3400111919418019</v>
      </c>
    </row>
    <row r="1973" spans="1:15" ht="20.100000000000001" customHeight="1" x14ac:dyDescent="0.25">
      <c r="A1973" s="89">
        <v>1158</v>
      </c>
      <c r="B1973" s="4">
        <v>44152</v>
      </c>
      <c r="C1973" s="26" t="s">
        <v>403</v>
      </c>
      <c r="D1973" s="3">
        <v>7501</v>
      </c>
      <c r="E1973" s="4">
        <v>44158</v>
      </c>
      <c r="F1973" s="92" t="s">
        <v>28</v>
      </c>
      <c r="G1973" s="32">
        <v>44160</v>
      </c>
      <c r="H1973" s="27">
        <f t="shared" si="258"/>
        <v>7501</v>
      </c>
      <c r="I1973" s="27"/>
      <c r="J1973" s="27"/>
      <c r="K1973" s="99"/>
      <c r="L1973" s="27">
        <v>5775</v>
      </c>
      <c r="M1973" s="29">
        <f t="shared" si="256"/>
        <v>1726</v>
      </c>
      <c r="N1973" s="29"/>
      <c r="O1973" s="44">
        <f t="shared" si="257"/>
        <v>0.23010265297960272</v>
      </c>
    </row>
    <row r="1974" spans="1:15" ht="20.100000000000001" customHeight="1" x14ac:dyDescent="0.25">
      <c r="A1974" s="89">
        <v>1149</v>
      </c>
      <c r="B1974" s="4">
        <v>44151</v>
      </c>
      <c r="C1974" s="26" t="s">
        <v>403</v>
      </c>
      <c r="D1974" s="3">
        <v>9498</v>
      </c>
      <c r="E1974" s="4">
        <v>44158</v>
      </c>
      <c r="F1974" s="92" t="s">
        <v>28</v>
      </c>
      <c r="G1974" s="32">
        <v>44160</v>
      </c>
      <c r="H1974" s="27">
        <f t="shared" si="258"/>
        <v>9498</v>
      </c>
      <c r="I1974" s="27"/>
      <c r="J1974" s="27"/>
      <c r="K1974" s="99"/>
      <c r="L1974" s="27">
        <v>7019</v>
      </c>
      <c r="M1974" s="29">
        <f t="shared" si="256"/>
        <v>2479</v>
      </c>
      <c r="N1974" s="29"/>
      <c r="O1974" s="44">
        <f t="shared" si="257"/>
        <v>0.26100231627711096</v>
      </c>
    </row>
    <row r="1975" spans="1:15" ht="20.100000000000001" customHeight="1" x14ac:dyDescent="0.25">
      <c r="A1975" s="89">
        <v>1176</v>
      </c>
      <c r="B1975" s="4">
        <v>44155</v>
      </c>
      <c r="C1975" s="26" t="s">
        <v>45</v>
      </c>
      <c r="D1975" s="3">
        <v>3027</v>
      </c>
      <c r="E1975" s="4">
        <v>44158</v>
      </c>
      <c r="F1975" s="92" t="s">
        <v>28</v>
      </c>
      <c r="G1975" s="32">
        <v>44169</v>
      </c>
      <c r="H1975" s="27">
        <f t="shared" si="258"/>
        <v>3027</v>
      </c>
      <c r="I1975" s="27"/>
      <c r="J1975" s="27"/>
      <c r="K1975" s="99"/>
      <c r="L1975" s="27">
        <v>2361</v>
      </c>
      <c r="M1975" s="29">
        <f t="shared" si="256"/>
        <v>666</v>
      </c>
      <c r="N1975" s="29"/>
      <c r="O1975" s="44">
        <f t="shared" si="257"/>
        <v>0.22001982160555006</v>
      </c>
    </row>
    <row r="1976" spans="1:15" ht="20.100000000000001" customHeight="1" x14ac:dyDescent="0.25">
      <c r="A1976" s="89">
        <v>1062</v>
      </c>
      <c r="B1976" s="4">
        <v>44130</v>
      </c>
      <c r="C1976" s="26" t="s">
        <v>209</v>
      </c>
      <c r="D1976" s="3">
        <v>10291.799999999999</v>
      </c>
      <c r="E1976" s="4">
        <v>44159</v>
      </c>
      <c r="F1976" s="92" t="s">
        <v>28</v>
      </c>
      <c r="G1976" s="32">
        <v>44158</v>
      </c>
      <c r="H1976" s="27">
        <v>9593.7999999999993</v>
      </c>
      <c r="I1976" s="27"/>
      <c r="J1976" s="27"/>
      <c r="K1976" s="99"/>
      <c r="L1976" s="27">
        <v>8814</v>
      </c>
      <c r="M1976" s="29">
        <f t="shared" si="256"/>
        <v>779.79999999999927</v>
      </c>
      <c r="N1976" s="29"/>
      <c r="O1976" s="44">
        <f t="shared" si="257"/>
        <v>8.1281661072776096E-2</v>
      </c>
    </row>
    <row r="1977" spans="1:15" ht="20.100000000000001" customHeight="1" x14ac:dyDescent="0.25">
      <c r="A1977" s="89">
        <v>1187</v>
      </c>
      <c r="B1977" s="4">
        <v>44159</v>
      </c>
      <c r="C1977" s="26" t="s">
        <v>372</v>
      </c>
      <c r="D1977" s="3">
        <v>37990</v>
      </c>
      <c r="E1977" s="4">
        <v>44160</v>
      </c>
      <c r="F1977" s="92" t="s">
        <v>28</v>
      </c>
      <c r="G1977" s="32">
        <v>44161</v>
      </c>
      <c r="H1977" s="27">
        <f>D1977</f>
        <v>37990</v>
      </c>
      <c r="I1977" s="27"/>
      <c r="J1977" s="27"/>
      <c r="K1977" s="99"/>
      <c r="L1977" s="27">
        <v>24982</v>
      </c>
      <c r="M1977" s="29">
        <f t="shared" si="256"/>
        <v>13008</v>
      </c>
      <c r="N1977" s="29"/>
      <c r="O1977" s="44">
        <f t="shared" si="257"/>
        <v>0.34240589628849699</v>
      </c>
    </row>
    <row r="1978" spans="1:15" ht="20.100000000000001" customHeight="1" x14ac:dyDescent="0.25">
      <c r="A1978" s="89">
        <v>1109</v>
      </c>
      <c r="B1978" s="4">
        <v>44138</v>
      </c>
      <c r="C1978" s="26" t="s">
        <v>475</v>
      </c>
      <c r="D1978" s="3">
        <v>42990</v>
      </c>
      <c r="E1978" s="4">
        <v>44160</v>
      </c>
      <c r="F1978" s="92" t="s">
        <v>28</v>
      </c>
      <c r="G1978" s="32">
        <v>44161</v>
      </c>
      <c r="H1978" s="27">
        <f>D1978</f>
        <v>42990</v>
      </c>
      <c r="I1978" s="27"/>
      <c r="J1978" s="27"/>
      <c r="K1978" s="99"/>
      <c r="L1978" s="27">
        <v>30127</v>
      </c>
      <c r="M1978" s="29">
        <f t="shared" si="256"/>
        <v>12863</v>
      </c>
      <c r="N1978" s="29"/>
      <c r="O1978" s="44">
        <f t="shared" si="257"/>
        <v>0.29920911839962783</v>
      </c>
    </row>
    <row r="1979" spans="1:15" ht="20.100000000000001" customHeight="1" x14ac:dyDescent="0.25">
      <c r="A1979" s="89">
        <v>1082</v>
      </c>
      <c r="B1979" s="4">
        <v>44134</v>
      </c>
      <c r="C1979" s="26" t="s">
        <v>65</v>
      </c>
      <c r="D1979" s="3">
        <v>151988.4</v>
      </c>
      <c r="E1979" s="4">
        <v>44161</v>
      </c>
      <c r="F1979" s="92" t="s">
        <v>28</v>
      </c>
      <c r="G1979" s="32">
        <v>44137</v>
      </c>
      <c r="H1979" s="27">
        <v>43300.800000000003</v>
      </c>
      <c r="I1979" s="27"/>
      <c r="J1979" s="27"/>
      <c r="K1979" s="99">
        <f>1200*4</f>
        <v>4800</v>
      </c>
      <c r="L1979" s="27">
        <v>21365.22</v>
      </c>
      <c r="M1979" s="29">
        <f t="shared" si="256"/>
        <v>17135.580000000002</v>
      </c>
      <c r="N1979" s="29"/>
      <c r="O1979" s="44">
        <f t="shared" si="257"/>
        <v>0.39573356612348964</v>
      </c>
    </row>
    <row r="1980" spans="1:15" ht="20.100000000000001" customHeight="1" x14ac:dyDescent="0.25">
      <c r="A1980" s="89">
        <v>1074</v>
      </c>
      <c r="B1980" s="4">
        <v>44132</v>
      </c>
      <c r="C1980" s="26" t="s">
        <v>13</v>
      </c>
      <c r="D1980" s="3">
        <v>19417</v>
      </c>
      <c r="E1980" s="4">
        <v>44165</v>
      </c>
      <c r="F1980" s="92" t="s">
        <v>28</v>
      </c>
      <c r="G1980" s="32">
        <v>44155</v>
      </c>
      <c r="H1980" s="27">
        <f>D1980</f>
        <v>19417</v>
      </c>
      <c r="I1980" s="27"/>
      <c r="J1980" s="27"/>
      <c r="K1980" s="99"/>
      <c r="L1980" s="27">
        <v>14190</v>
      </c>
      <c r="M1980" s="29">
        <f t="shared" si="256"/>
        <v>5227</v>
      </c>
      <c r="N1980" s="29"/>
      <c r="O1980" s="44">
        <f t="shared" si="257"/>
        <v>0.26919709532883557</v>
      </c>
    </row>
    <row r="1981" spans="1:15" ht="20.100000000000001" customHeight="1" x14ac:dyDescent="0.25">
      <c r="A1981" s="89">
        <v>1126</v>
      </c>
      <c r="B1981" s="4">
        <v>44145</v>
      </c>
      <c r="C1981" s="26" t="s">
        <v>56</v>
      </c>
      <c r="D1981" s="3">
        <v>46466</v>
      </c>
      <c r="E1981" s="4">
        <v>44165</v>
      </c>
      <c r="F1981" s="92" t="s">
        <v>28</v>
      </c>
      <c r="G1981" s="32">
        <v>44154</v>
      </c>
      <c r="H1981" s="27">
        <f>D1981</f>
        <v>46466</v>
      </c>
      <c r="I1981" s="27"/>
      <c r="J1981" s="27"/>
      <c r="K1981" s="99">
        <v>1200</v>
      </c>
      <c r="L1981" s="27">
        <v>30299.3</v>
      </c>
      <c r="M1981" s="29">
        <f t="shared" si="256"/>
        <v>14966.7</v>
      </c>
      <c r="N1981" s="29"/>
      <c r="O1981" s="44">
        <f t="shared" si="257"/>
        <v>0.32210003012955712</v>
      </c>
    </row>
    <row r="1982" spans="1:15" ht="19.5" customHeight="1" x14ac:dyDescent="0.25">
      <c r="A1982" s="89"/>
      <c r="B1982" s="4"/>
      <c r="C1982" s="5"/>
      <c r="D1982" s="3"/>
      <c r="E1982" s="97">
        <v>16049</v>
      </c>
      <c r="F1982" s="98">
        <f>M1982*0.05+N1982*0.06+10000</f>
        <v>19049.243999999999</v>
      </c>
      <c r="G1982" s="21">
        <f>H1982*0.02+I1982*0.02+10000</f>
        <v>20661.191999999999</v>
      </c>
      <c r="H1982" s="16">
        <f t="shared" ref="H1982:N1982" si="259">SUM(H1964:H1981)</f>
        <v>423459.6</v>
      </c>
      <c r="I1982" s="16">
        <f t="shared" si="259"/>
        <v>109600</v>
      </c>
      <c r="J1982" s="16">
        <f t="shared" si="259"/>
        <v>0</v>
      </c>
      <c r="K1982" s="16">
        <f t="shared" si="259"/>
        <v>6000</v>
      </c>
      <c r="L1982" s="16">
        <f t="shared" si="259"/>
        <v>280027.52000000002</v>
      </c>
      <c r="M1982" s="16">
        <f t="shared" si="259"/>
        <v>137432.08000000002</v>
      </c>
      <c r="N1982" s="16">
        <f t="shared" si="259"/>
        <v>36294</v>
      </c>
      <c r="O1982" s="44">
        <f t="shared" si="257"/>
        <v>0.3245459070947973</v>
      </c>
    </row>
    <row r="1983" spans="1:15" ht="23.25" x14ac:dyDescent="0.35">
      <c r="B1983" s="94"/>
      <c r="C1983" s="94" t="s">
        <v>646</v>
      </c>
    </row>
    <row r="1984" spans="1:15" ht="20.100000000000001" customHeight="1" x14ac:dyDescent="0.25">
      <c r="A1984" s="89">
        <v>1197</v>
      </c>
      <c r="B1984" s="4">
        <v>44161</v>
      </c>
      <c r="C1984" s="26" t="s">
        <v>476</v>
      </c>
      <c r="D1984" s="3">
        <v>35561</v>
      </c>
      <c r="E1984" s="4">
        <v>44167</v>
      </c>
      <c r="F1984" s="92" t="s">
        <v>28</v>
      </c>
      <c r="G1984" s="32">
        <v>44168</v>
      </c>
      <c r="H1984" s="27">
        <f t="shared" ref="H1984:H1989" si="260">D1984</f>
        <v>35561</v>
      </c>
      <c r="I1984" s="27"/>
      <c r="J1984" s="27"/>
      <c r="K1984" s="99"/>
      <c r="L1984" s="27">
        <v>26023</v>
      </c>
      <c r="M1984" s="29">
        <f t="shared" ref="M1984:M2001" si="261">H1984-L1984-J1984-K1984</f>
        <v>9538</v>
      </c>
      <c r="N1984" s="29"/>
      <c r="O1984" s="44">
        <f t="shared" ref="O1984:O2002" si="262">M1984/H1984</f>
        <v>0.26821517955063129</v>
      </c>
    </row>
    <row r="1985" spans="1:15" ht="20.100000000000001" customHeight="1" x14ac:dyDescent="0.25">
      <c r="A1985" s="89">
        <v>1215</v>
      </c>
      <c r="B1985" s="4">
        <v>44168</v>
      </c>
      <c r="C1985" s="26" t="s">
        <v>281</v>
      </c>
      <c r="D1985" s="3">
        <v>4836</v>
      </c>
      <c r="E1985" s="4">
        <v>44169</v>
      </c>
      <c r="F1985" s="92" t="s">
        <v>28</v>
      </c>
      <c r="G1985" s="32">
        <v>44169</v>
      </c>
      <c r="H1985" s="27">
        <f t="shared" si="260"/>
        <v>4836</v>
      </c>
      <c r="I1985" s="27"/>
      <c r="J1985" s="27"/>
      <c r="K1985" s="99"/>
      <c r="L1985" s="27">
        <v>3437</v>
      </c>
      <c r="M1985" s="29">
        <f t="shared" si="261"/>
        <v>1399</v>
      </c>
      <c r="N1985" s="29"/>
      <c r="O1985" s="44">
        <f t="shared" si="262"/>
        <v>0.28928866832092637</v>
      </c>
    </row>
    <row r="1986" spans="1:15" ht="20.100000000000001" customHeight="1" x14ac:dyDescent="0.25">
      <c r="A1986" s="89">
        <v>1214</v>
      </c>
      <c r="B1986" s="4">
        <v>44168</v>
      </c>
      <c r="C1986" s="26" t="s">
        <v>69</v>
      </c>
      <c r="D1986" s="3">
        <v>7094</v>
      </c>
      <c r="E1986" s="4">
        <v>44169</v>
      </c>
      <c r="F1986" s="92" t="s">
        <v>28</v>
      </c>
      <c r="G1986" s="32">
        <v>44174</v>
      </c>
      <c r="H1986" s="27">
        <f t="shared" si="260"/>
        <v>7094</v>
      </c>
      <c r="I1986" s="27"/>
      <c r="J1986" s="27"/>
      <c r="K1986" s="99"/>
      <c r="L1986" s="27">
        <v>4950</v>
      </c>
      <c r="M1986" s="29">
        <f t="shared" si="261"/>
        <v>2144</v>
      </c>
      <c r="N1986" s="29"/>
      <c r="O1986" s="44">
        <f t="shared" si="262"/>
        <v>0.30222723428249226</v>
      </c>
    </row>
    <row r="1987" spans="1:15" ht="20.100000000000001" customHeight="1" x14ac:dyDescent="0.25">
      <c r="A1987" s="89">
        <v>1222</v>
      </c>
      <c r="B1987" s="4">
        <v>44162</v>
      </c>
      <c r="C1987" s="26" t="s">
        <v>365</v>
      </c>
      <c r="D1987" s="3">
        <v>1506</v>
      </c>
      <c r="E1987" s="4">
        <v>44174</v>
      </c>
      <c r="F1987" s="92" t="s">
        <v>28</v>
      </c>
      <c r="G1987" s="32">
        <v>44175</v>
      </c>
      <c r="H1987" s="27">
        <f t="shared" si="260"/>
        <v>1506</v>
      </c>
      <c r="I1987" s="27"/>
      <c r="J1987" s="27"/>
      <c r="K1987" s="99"/>
      <c r="L1987" s="27">
        <v>1595</v>
      </c>
      <c r="M1987" s="29">
        <f t="shared" si="261"/>
        <v>-89</v>
      </c>
      <c r="N1987" s="29"/>
      <c r="O1987" s="44">
        <f t="shared" si="262"/>
        <v>-5.9096945551128821E-2</v>
      </c>
    </row>
    <row r="1988" spans="1:15" ht="20.100000000000001" customHeight="1" x14ac:dyDescent="0.25">
      <c r="A1988" s="89">
        <v>1208</v>
      </c>
      <c r="B1988" s="4">
        <v>44166</v>
      </c>
      <c r="C1988" s="5" t="s">
        <v>477</v>
      </c>
      <c r="D1988" s="3">
        <v>26648</v>
      </c>
      <c r="E1988" s="4">
        <v>44174</v>
      </c>
      <c r="F1988" s="92" t="s">
        <v>28</v>
      </c>
      <c r="G1988" s="32">
        <v>44181</v>
      </c>
      <c r="H1988" s="27">
        <f t="shared" si="260"/>
        <v>26648</v>
      </c>
      <c r="I1988" s="27">
        <f>H1988</f>
        <v>26648</v>
      </c>
      <c r="J1988" s="27"/>
      <c r="K1988" s="99">
        <v>600</v>
      </c>
      <c r="L1988" s="27">
        <v>15596</v>
      </c>
      <c r="M1988" s="29">
        <f t="shared" si="261"/>
        <v>10452</v>
      </c>
      <c r="N1988" s="29">
        <f>M1988</f>
        <v>10452</v>
      </c>
      <c r="O1988" s="44">
        <f t="shared" si="262"/>
        <v>0.39222455719003302</v>
      </c>
    </row>
    <row r="1989" spans="1:15" ht="20.100000000000001" customHeight="1" x14ac:dyDescent="0.25">
      <c r="A1989" s="89">
        <v>1188</v>
      </c>
      <c r="B1989" s="4">
        <v>44166</v>
      </c>
      <c r="C1989" s="5" t="s">
        <v>477</v>
      </c>
      <c r="D1989" s="3">
        <v>324146</v>
      </c>
      <c r="E1989" s="4">
        <v>44174</v>
      </c>
      <c r="F1989" s="92" t="s">
        <v>28</v>
      </c>
      <c r="G1989" s="32">
        <v>44232</v>
      </c>
      <c r="H1989" s="27">
        <f t="shared" si="260"/>
        <v>324146</v>
      </c>
      <c r="I1989" s="27">
        <f>H1989</f>
        <v>324146</v>
      </c>
      <c r="J1989" s="27"/>
      <c r="K1989" s="99"/>
      <c r="L1989" s="27">
        <v>247625</v>
      </c>
      <c r="M1989" s="29">
        <f t="shared" si="261"/>
        <v>76521</v>
      </c>
      <c r="N1989" s="29">
        <f>M1989</f>
        <v>76521</v>
      </c>
      <c r="O1989" s="44">
        <f t="shared" si="262"/>
        <v>0.23606954890697401</v>
      </c>
    </row>
    <row r="1990" spans="1:15" ht="20.100000000000001" customHeight="1" x14ac:dyDescent="0.25">
      <c r="A1990" s="89">
        <v>1082</v>
      </c>
      <c r="B1990" s="4">
        <v>44134</v>
      </c>
      <c r="C1990" s="26" t="s">
        <v>65</v>
      </c>
      <c r="D1990" s="3">
        <v>151988.4</v>
      </c>
      <c r="E1990" s="4">
        <v>44175</v>
      </c>
      <c r="F1990" s="92" t="s">
        <v>28</v>
      </c>
      <c r="G1990" s="32">
        <v>44155</v>
      </c>
      <c r="H1990" s="27">
        <v>108687.6</v>
      </c>
      <c r="I1990" s="27"/>
      <c r="J1990" s="27"/>
      <c r="K1990" s="99">
        <f>1200*12</f>
        <v>14400</v>
      </c>
      <c r="L1990" s="29">
        <v>55443.4</v>
      </c>
      <c r="M1990" s="29">
        <f t="shared" si="261"/>
        <v>38844.200000000004</v>
      </c>
      <c r="N1990" s="29"/>
      <c r="O1990" s="44">
        <f t="shared" si="262"/>
        <v>0.35739311568200977</v>
      </c>
    </row>
    <row r="1991" spans="1:15" ht="20.100000000000001" customHeight="1" x14ac:dyDescent="0.25">
      <c r="A1991" s="89">
        <v>991</v>
      </c>
      <c r="B1991" s="4">
        <v>44133</v>
      </c>
      <c r="C1991" s="26" t="s">
        <v>65</v>
      </c>
      <c r="D1991" s="3">
        <v>874385.02</v>
      </c>
      <c r="E1991" s="4">
        <v>44175</v>
      </c>
      <c r="F1991" s="92" t="s">
        <v>28</v>
      </c>
      <c r="G1991" s="32">
        <v>44155</v>
      </c>
      <c r="H1991" s="27">
        <v>77347.199999999997</v>
      </c>
      <c r="I1991" s="27"/>
      <c r="J1991" s="27"/>
      <c r="K1991" s="99">
        <v>7200</v>
      </c>
      <c r="L1991" s="29">
        <v>34463.599999999999</v>
      </c>
      <c r="M1991" s="29">
        <f t="shared" si="261"/>
        <v>35683.599999999999</v>
      </c>
      <c r="N1991" s="29"/>
      <c r="O1991" s="44">
        <f t="shared" si="262"/>
        <v>0.46134313847172231</v>
      </c>
    </row>
    <row r="1992" spans="1:15" ht="20.100000000000001" customHeight="1" x14ac:dyDescent="0.25">
      <c r="A1992" s="89">
        <v>1180</v>
      </c>
      <c r="B1992" s="4">
        <v>44158</v>
      </c>
      <c r="C1992" s="26" t="s">
        <v>65</v>
      </c>
      <c r="D1992" s="3">
        <v>8280</v>
      </c>
      <c r="E1992" s="4">
        <v>44175</v>
      </c>
      <c r="F1992" s="92" t="s">
        <v>28</v>
      </c>
      <c r="G1992" s="32">
        <v>44161</v>
      </c>
      <c r="H1992" s="27">
        <f>D1992</f>
        <v>8280</v>
      </c>
      <c r="I1992" s="27"/>
      <c r="J1992" s="27"/>
      <c r="K1992" s="99"/>
      <c r="L1992" s="29">
        <v>7530</v>
      </c>
      <c r="M1992" s="29">
        <f t="shared" si="261"/>
        <v>750</v>
      </c>
      <c r="N1992" s="29"/>
      <c r="O1992" s="44">
        <f t="shared" si="262"/>
        <v>9.0579710144927536E-2</v>
      </c>
    </row>
    <row r="1993" spans="1:15" ht="20.100000000000001" customHeight="1" x14ac:dyDescent="0.25">
      <c r="A1993" s="89">
        <v>1024</v>
      </c>
      <c r="B1993" s="4">
        <v>44120</v>
      </c>
      <c r="C1993" s="26" t="s">
        <v>303</v>
      </c>
      <c r="D1993" s="3">
        <v>7730.75</v>
      </c>
      <c r="E1993" s="4">
        <v>44176</v>
      </c>
      <c r="F1993" s="92" t="s">
        <v>28</v>
      </c>
      <c r="G1993" s="32">
        <v>44176</v>
      </c>
      <c r="H1993" s="27">
        <v>5213.05</v>
      </c>
      <c r="I1993" s="27"/>
      <c r="J1993" s="27"/>
      <c r="K1993" s="99"/>
      <c r="L1993" s="29">
        <v>4909</v>
      </c>
      <c r="M1993" s="29">
        <f t="shared" si="261"/>
        <v>304.05000000000018</v>
      </c>
      <c r="N1993" s="29"/>
      <c r="O1993" s="44">
        <f t="shared" si="262"/>
        <v>5.8324781078255568E-2</v>
      </c>
    </row>
    <row r="1994" spans="1:15" ht="20.100000000000001" customHeight="1" x14ac:dyDescent="0.25">
      <c r="A1994" s="89">
        <v>1237</v>
      </c>
      <c r="B1994" s="4">
        <v>44175</v>
      </c>
      <c r="C1994" s="5" t="s">
        <v>479</v>
      </c>
      <c r="D1994" s="3">
        <v>11590</v>
      </c>
      <c r="E1994" s="4">
        <v>44180</v>
      </c>
      <c r="F1994" s="92" t="s">
        <v>28</v>
      </c>
      <c r="G1994" s="32">
        <v>44183</v>
      </c>
      <c r="H1994" s="27">
        <f>D1994</f>
        <v>11590</v>
      </c>
      <c r="I1994" s="27">
        <f>H1994</f>
        <v>11590</v>
      </c>
      <c r="J1994" s="27"/>
      <c r="K1994" s="99"/>
      <c r="L1994" s="29">
        <v>8518</v>
      </c>
      <c r="M1994" s="29">
        <f t="shared" si="261"/>
        <v>3072</v>
      </c>
      <c r="N1994" s="29">
        <f>M1994</f>
        <v>3072</v>
      </c>
      <c r="O1994" s="44">
        <f t="shared" si="262"/>
        <v>0.26505608283002591</v>
      </c>
    </row>
    <row r="1995" spans="1:15" ht="20.100000000000001" customHeight="1" x14ac:dyDescent="0.25">
      <c r="A1995" s="89">
        <v>1241</v>
      </c>
      <c r="B1995" s="4">
        <v>44175</v>
      </c>
      <c r="C1995" s="5" t="s">
        <v>480</v>
      </c>
      <c r="D1995" s="3">
        <v>400000</v>
      </c>
      <c r="E1995" s="4">
        <v>44186</v>
      </c>
      <c r="F1995" s="92" t="s">
        <v>28</v>
      </c>
      <c r="G1995" s="32">
        <v>44195</v>
      </c>
      <c r="H1995" s="27">
        <v>120000</v>
      </c>
      <c r="I1995" s="27">
        <f>H1995</f>
        <v>120000</v>
      </c>
      <c r="J1995" s="27"/>
      <c r="K1995" s="99"/>
      <c r="L1995" s="29">
        <v>78000</v>
      </c>
      <c r="M1995" s="29">
        <f t="shared" si="261"/>
        <v>42000</v>
      </c>
      <c r="N1995" s="29">
        <f>M1995</f>
        <v>42000</v>
      </c>
      <c r="O1995" s="44">
        <f t="shared" si="262"/>
        <v>0.35</v>
      </c>
    </row>
    <row r="1996" spans="1:15" ht="20.100000000000001" customHeight="1" x14ac:dyDescent="0.25">
      <c r="A1996" s="89">
        <v>1258</v>
      </c>
      <c r="B1996" s="4">
        <v>44182</v>
      </c>
      <c r="C1996" s="26" t="s">
        <v>443</v>
      </c>
      <c r="D1996" s="3">
        <v>2046</v>
      </c>
      <c r="E1996" s="4">
        <v>44186</v>
      </c>
      <c r="F1996" s="92" t="s">
        <v>28</v>
      </c>
      <c r="G1996" s="32">
        <v>44222</v>
      </c>
      <c r="H1996" s="27">
        <f>D1996</f>
        <v>2046</v>
      </c>
      <c r="I1996" s="27">
        <f>H1996</f>
        <v>2046</v>
      </c>
      <c r="J1996" s="27"/>
      <c r="K1996" s="99"/>
      <c r="L1996" s="29">
        <v>1104</v>
      </c>
      <c r="M1996" s="29">
        <f t="shared" si="261"/>
        <v>942</v>
      </c>
      <c r="N1996" s="29"/>
      <c r="O1996" s="44">
        <f t="shared" si="262"/>
        <v>0.46041055718475071</v>
      </c>
    </row>
    <row r="1997" spans="1:15" ht="20.100000000000001" customHeight="1" x14ac:dyDescent="0.25">
      <c r="A1997" s="89">
        <v>1072</v>
      </c>
      <c r="B1997" s="4">
        <v>44131</v>
      </c>
      <c r="C1997" s="26" t="s">
        <v>66</v>
      </c>
      <c r="D1997" s="3">
        <v>7400</v>
      </c>
      <c r="E1997" s="4">
        <v>44186</v>
      </c>
      <c r="F1997" s="92" t="s">
        <v>28</v>
      </c>
      <c r="G1997" s="32">
        <v>44132</v>
      </c>
      <c r="H1997" s="27">
        <f>D1997</f>
        <v>7400</v>
      </c>
      <c r="I1997" s="27"/>
      <c r="J1997" s="27"/>
      <c r="K1997" s="99"/>
      <c r="L1997" s="27">
        <v>5090</v>
      </c>
      <c r="M1997" s="29">
        <f t="shared" si="261"/>
        <v>2310</v>
      </c>
      <c r="N1997" s="29"/>
      <c r="O1997" s="44">
        <f t="shared" si="262"/>
        <v>0.31216216216216214</v>
      </c>
    </row>
    <row r="1998" spans="1:15" ht="20.100000000000001" customHeight="1" x14ac:dyDescent="0.25">
      <c r="A1998" s="89">
        <v>1111</v>
      </c>
      <c r="B1998" s="4">
        <v>44140</v>
      </c>
      <c r="C1998" s="26" t="s">
        <v>66</v>
      </c>
      <c r="D1998" s="3">
        <v>13909</v>
      </c>
      <c r="E1998" s="4">
        <v>44186</v>
      </c>
      <c r="F1998" s="92" t="s">
        <v>28</v>
      </c>
      <c r="G1998" s="32">
        <v>44141</v>
      </c>
      <c r="H1998" s="27">
        <f>D1998</f>
        <v>13909</v>
      </c>
      <c r="I1998" s="27"/>
      <c r="J1998" s="27"/>
      <c r="K1998" s="99"/>
      <c r="L1998" s="27">
        <v>9614</v>
      </c>
      <c r="M1998" s="29">
        <f t="shared" si="261"/>
        <v>4295</v>
      </c>
      <c r="N1998" s="29"/>
      <c r="O1998" s="44">
        <f t="shared" si="262"/>
        <v>0.30879286792724137</v>
      </c>
    </row>
    <row r="1999" spans="1:15" ht="20.100000000000001" customHeight="1" x14ac:dyDescent="0.25">
      <c r="A1999" s="89">
        <v>1219</v>
      </c>
      <c r="B1999" s="4">
        <v>44169</v>
      </c>
      <c r="C1999" s="26" t="s">
        <v>13</v>
      </c>
      <c r="D1999" s="3">
        <v>20502</v>
      </c>
      <c r="E1999" s="4">
        <v>44188</v>
      </c>
      <c r="F1999" s="92" t="s">
        <v>28</v>
      </c>
      <c r="G1999" s="32">
        <v>44174</v>
      </c>
      <c r="H1999" s="27">
        <v>17602</v>
      </c>
      <c r="I1999" s="27"/>
      <c r="J1999" s="27"/>
      <c r="K1999" s="99"/>
      <c r="L1999" s="27">
        <v>12224</v>
      </c>
      <c r="M1999" s="29">
        <f t="shared" si="261"/>
        <v>5378</v>
      </c>
      <c r="N1999" s="29"/>
      <c r="O1999" s="44">
        <f t="shared" si="262"/>
        <v>0.30553346210657878</v>
      </c>
    </row>
    <row r="2000" spans="1:15" ht="20.100000000000001" customHeight="1" x14ac:dyDescent="0.25">
      <c r="A2000" s="89">
        <v>1241</v>
      </c>
      <c r="B2000" s="4">
        <v>44175</v>
      </c>
      <c r="C2000" s="5" t="s">
        <v>480</v>
      </c>
      <c r="D2000" s="3">
        <v>400000</v>
      </c>
      <c r="E2000" s="4">
        <v>44193</v>
      </c>
      <c r="F2000" s="92" t="s">
        <v>28</v>
      </c>
      <c r="G2000" s="32">
        <v>44195</v>
      </c>
      <c r="H2000" s="27">
        <v>280000</v>
      </c>
      <c r="I2000" s="27">
        <f>H2000</f>
        <v>280000</v>
      </c>
      <c r="J2000" s="27"/>
      <c r="K2000" s="99"/>
      <c r="L2000" s="29">
        <v>182000</v>
      </c>
      <c r="M2000" s="29">
        <f t="shared" si="261"/>
        <v>98000</v>
      </c>
      <c r="N2000" s="29">
        <f>M2000</f>
        <v>98000</v>
      </c>
      <c r="O2000" s="44">
        <f t="shared" si="262"/>
        <v>0.35</v>
      </c>
    </row>
    <row r="2001" spans="1:15" ht="20.100000000000001" customHeight="1" x14ac:dyDescent="0.25">
      <c r="A2001" s="89">
        <v>1249</v>
      </c>
      <c r="B2001" s="4">
        <v>44179</v>
      </c>
      <c r="C2001" s="26" t="s">
        <v>11</v>
      </c>
      <c r="D2001" s="3">
        <v>11775</v>
      </c>
      <c r="E2001" s="4">
        <v>44195</v>
      </c>
      <c r="F2001" s="92" t="s">
        <v>28</v>
      </c>
      <c r="G2001" s="32">
        <v>44195</v>
      </c>
      <c r="H2001" s="27">
        <f>D2001</f>
        <v>11775</v>
      </c>
      <c r="I2001" s="27"/>
      <c r="J2001" s="27"/>
      <c r="K2001" s="99"/>
      <c r="L2001" s="29">
        <v>6985</v>
      </c>
      <c r="M2001" s="29">
        <f t="shared" si="261"/>
        <v>4790</v>
      </c>
      <c r="N2001" s="29"/>
      <c r="O2001" s="44">
        <f t="shared" si="262"/>
        <v>0.40679405520169853</v>
      </c>
    </row>
    <row r="2002" spans="1:15" ht="19.5" customHeight="1" x14ac:dyDescent="0.25">
      <c r="A2002" s="89"/>
      <c r="B2002" s="4"/>
      <c r="C2002" s="5"/>
      <c r="D2002" s="3"/>
      <c r="E2002" s="97">
        <v>70980</v>
      </c>
      <c r="F2002" s="98">
        <f>M2002*0.17+N2002*0.06+10000</f>
        <v>80979.454500000007</v>
      </c>
      <c r="G2002" s="21">
        <f>H2002*0.05+I2002*0.02+10000</f>
        <v>78470.642500000016</v>
      </c>
      <c r="H2002" s="16">
        <f t="shared" ref="H2002:N2002" si="263">SUM(H1984:H2001)</f>
        <v>1063640.8500000001</v>
      </c>
      <c r="I2002" s="16">
        <f t="shared" si="263"/>
        <v>764430</v>
      </c>
      <c r="J2002" s="16">
        <f t="shared" si="263"/>
        <v>0</v>
      </c>
      <c r="K2002" s="16">
        <f t="shared" si="263"/>
        <v>22200</v>
      </c>
      <c r="L2002" s="16">
        <f t="shared" si="263"/>
        <v>705107</v>
      </c>
      <c r="M2002" s="16">
        <f t="shared" si="263"/>
        <v>336333.85</v>
      </c>
      <c r="N2002" s="16">
        <f t="shared" si="263"/>
        <v>230045</v>
      </c>
      <c r="O2002" s="44">
        <f t="shared" si="262"/>
        <v>0.31620997820833974</v>
      </c>
    </row>
    <row r="2003" spans="1:15" ht="23.25" x14ac:dyDescent="0.35">
      <c r="B2003" s="94"/>
      <c r="C2003" s="94" t="s">
        <v>647</v>
      </c>
    </row>
    <row r="2004" spans="1:15" ht="20.100000000000001" customHeight="1" x14ac:dyDescent="0.25">
      <c r="A2004" s="89">
        <v>1281</v>
      </c>
      <c r="B2004" s="4">
        <v>44195</v>
      </c>
      <c r="C2004" s="26" t="s">
        <v>443</v>
      </c>
      <c r="D2004" s="3">
        <v>2658</v>
      </c>
      <c r="E2004" s="4">
        <v>44207</v>
      </c>
      <c r="F2004" s="92" t="s">
        <v>28</v>
      </c>
      <c r="G2004" s="32">
        <v>44222</v>
      </c>
      <c r="H2004" s="27">
        <f t="shared" ref="H2004:H2009" si="264">D2004</f>
        <v>2658</v>
      </c>
      <c r="I2004" s="27"/>
      <c r="J2004" s="27"/>
      <c r="K2004" s="99"/>
      <c r="L2004" s="29">
        <v>2094</v>
      </c>
      <c r="M2004" s="29">
        <f t="shared" ref="M2004:M2013" si="265">H2004-L2004-J2004-K2004</f>
        <v>564</v>
      </c>
      <c r="N2004" s="29"/>
      <c r="O2004" s="44">
        <f t="shared" ref="O2004:O2014" si="266">M2004/H2004</f>
        <v>0.21218961625282168</v>
      </c>
    </row>
    <row r="2005" spans="1:15" ht="20.100000000000001" customHeight="1" x14ac:dyDescent="0.25">
      <c r="A2005" s="89">
        <v>1183</v>
      </c>
      <c r="B2005" s="4">
        <v>44188</v>
      </c>
      <c r="C2005" s="26" t="s">
        <v>51</v>
      </c>
      <c r="D2005" s="3">
        <v>363398</v>
      </c>
      <c r="E2005" s="4">
        <v>44207</v>
      </c>
      <c r="F2005" s="92" t="s">
        <v>28</v>
      </c>
      <c r="G2005" s="32">
        <v>44216</v>
      </c>
      <c r="H2005" s="27">
        <f t="shared" si="264"/>
        <v>363398</v>
      </c>
      <c r="I2005" s="27"/>
      <c r="J2005" s="27"/>
      <c r="K2005" s="99"/>
      <c r="L2005" s="29">
        <v>186660</v>
      </c>
      <c r="M2005" s="29">
        <f t="shared" si="265"/>
        <v>176738</v>
      </c>
      <c r="N2005" s="29"/>
      <c r="O2005" s="44">
        <f t="shared" si="266"/>
        <v>0.48634830131150969</v>
      </c>
    </row>
    <row r="2006" spans="1:15" ht="20.100000000000001" customHeight="1" x14ac:dyDescent="0.25">
      <c r="A2006" s="89">
        <v>11</v>
      </c>
      <c r="B2006" s="4">
        <v>44208</v>
      </c>
      <c r="C2006" s="26" t="s">
        <v>118</v>
      </c>
      <c r="D2006" s="3">
        <v>15716.5</v>
      </c>
      <c r="E2006" s="4">
        <v>44208</v>
      </c>
      <c r="F2006" s="92" t="s">
        <v>28</v>
      </c>
      <c r="G2006" s="32">
        <v>44209</v>
      </c>
      <c r="H2006" s="27">
        <f t="shared" si="264"/>
        <v>15716.5</v>
      </c>
      <c r="I2006" s="27"/>
      <c r="J2006" s="27"/>
      <c r="K2006" s="99"/>
      <c r="L2006" s="29">
        <v>13579</v>
      </c>
      <c r="M2006" s="29">
        <f t="shared" si="265"/>
        <v>2137.5</v>
      </c>
      <c r="N2006" s="29"/>
      <c r="O2006" s="44">
        <f t="shared" si="266"/>
        <v>0.13600356313428563</v>
      </c>
    </row>
    <row r="2007" spans="1:15" ht="20.100000000000001" customHeight="1" x14ac:dyDescent="0.25">
      <c r="A2007" s="89">
        <v>12</v>
      </c>
      <c r="B2007" s="4">
        <v>44208</v>
      </c>
      <c r="C2007" s="26" t="s">
        <v>91</v>
      </c>
      <c r="D2007" s="3">
        <v>66990</v>
      </c>
      <c r="E2007" s="4">
        <v>44209</v>
      </c>
      <c r="F2007" s="92" t="s">
        <v>28</v>
      </c>
      <c r="G2007" s="32">
        <v>44238</v>
      </c>
      <c r="H2007" s="27">
        <f t="shared" si="264"/>
        <v>66990</v>
      </c>
      <c r="I2007" s="27"/>
      <c r="J2007" s="27"/>
      <c r="K2007" s="99"/>
      <c r="L2007" s="29">
        <v>49197</v>
      </c>
      <c r="M2007" s="29">
        <f t="shared" si="265"/>
        <v>17793</v>
      </c>
      <c r="N2007" s="29"/>
      <c r="O2007" s="44">
        <f t="shared" si="266"/>
        <v>0.26560680698611733</v>
      </c>
    </row>
    <row r="2008" spans="1:15" ht="20.100000000000001" customHeight="1" x14ac:dyDescent="0.25">
      <c r="A2008" s="89">
        <v>2</v>
      </c>
      <c r="B2008" s="4">
        <v>44207</v>
      </c>
      <c r="C2008" s="26" t="s">
        <v>270</v>
      </c>
      <c r="D2008" s="3">
        <v>5864</v>
      </c>
      <c r="E2008" s="4">
        <v>44210</v>
      </c>
      <c r="F2008" s="92" t="s">
        <v>28</v>
      </c>
      <c r="G2008" s="32">
        <v>44207</v>
      </c>
      <c r="H2008" s="27">
        <f t="shared" si="264"/>
        <v>5864</v>
      </c>
      <c r="I2008" s="27"/>
      <c r="J2008" s="27"/>
      <c r="K2008" s="99"/>
      <c r="L2008" s="29">
        <v>4659</v>
      </c>
      <c r="M2008" s="29">
        <f t="shared" si="265"/>
        <v>1205</v>
      </c>
      <c r="N2008" s="29"/>
      <c r="O2008" s="44">
        <f t="shared" si="266"/>
        <v>0.20549113233287858</v>
      </c>
    </row>
    <row r="2009" spans="1:15" ht="20.100000000000001" customHeight="1" x14ac:dyDescent="0.25">
      <c r="A2009" s="89">
        <v>3</v>
      </c>
      <c r="B2009" s="4">
        <v>44207</v>
      </c>
      <c r="C2009" s="26" t="s">
        <v>481</v>
      </c>
      <c r="D2009" s="3">
        <v>10000</v>
      </c>
      <c r="E2009" s="4">
        <v>44211</v>
      </c>
      <c r="F2009" s="92" t="s">
        <v>28</v>
      </c>
      <c r="G2009" s="32">
        <v>44221</v>
      </c>
      <c r="H2009" s="27">
        <f t="shared" si="264"/>
        <v>10000</v>
      </c>
      <c r="I2009" s="27"/>
      <c r="J2009" s="27"/>
      <c r="K2009" s="99">
        <v>1200</v>
      </c>
      <c r="L2009" s="29">
        <v>3085</v>
      </c>
      <c r="M2009" s="29">
        <f t="shared" si="265"/>
        <v>5715</v>
      </c>
      <c r="N2009" s="29"/>
      <c r="O2009" s="44">
        <f t="shared" si="266"/>
        <v>0.57150000000000001</v>
      </c>
    </row>
    <row r="2010" spans="1:15" ht="20.100000000000001" customHeight="1" x14ac:dyDescent="0.25">
      <c r="A2010" s="89">
        <v>991</v>
      </c>
      <c r="B2010" s="4">
        <v>44133</v>
      </c>
      <c r="C2010" s="26" t="s">
        <v>65</v>
      </c>
      <c r="D2010" s="3">
        <v>874385.02</v>
      </c>
      <c r="E2010" s="4">
        <v>44222</v>
      </c>
      <c r="F2010" s="92" t="s">
        <v>28</v>
      </c>
      <c r="G2010" s="32">
        <v>44189</v>
      </c>
      <c r="H2010" s="27">
        <v>744171.82</v>
      </c>
      <c r="I2010" s="27"/>
      <c r="J2010" s="27"/>
      <c r="K2010" s="99"/>
      <c r="L2010" s="27">
        <v>661422</v>
      </c>
      <c r="M2010" s="29">
        <f t="shared" si="265"/>
        <v>82749.819999999949</v>
      </c>
      <c r="N2010" s="29"/>
      <c r="O2010" s="44">
        <f t="shared" si="266"/>
        <v>0.11119719636790325</v>
      </c>
    </row>
    <row r="2011" spans="1:15" ht="20.100000000000001" customHeight="1" x14ac:dyDescent="0.25">
      <c r="A2011" s="89">
        <v>4</v>
      </c>
      <c r="B2011" s="4">
        <v>44209</v>
      </c>
      <c r="C2011" s="26" t="s">
        <v>228</v>
      </c>
      <c r="D2011" s="3">
        <v>12607</v>
      </c>
      <c r="E2011" s="4">
        <v>44222</v>
      </c>
      <c r="F2011" s="92" t="s">
        <v>28</v>
      </c>
      <c r="G2011" s="32">
        <v>44245</v>
      </c>
      <c r="H2011" s="27">
        <f>D2011</f>
        <v>12607</v>
      </c>
      <c r="I2011" s="27"/>
      <c r="J2011" s="27"/>
      <c r="K2011" s="99"/>
      <c r="L2011" s="27">
        <v>8320</v>
      </c>
      <c r="M2011" s="29">
        <f t="shared" si="265"/>
        <v>4287</v>
      </c>
      <c r="N2011" s="29"/>
      <c r="O2011" s="44">
        <f t="shared" si="266"/>
        <v>0.34004917902752441</v>
      </c>
    </row>
    <row r="2012" spans="1:15" ht="20.100000000000001" customHeight="1" x14ac:dyDescent="0.25">
      <c r="A2012" s="89">
        <v>1144</v>
      </c>
      <c r="B2012" s="4">
        <v>44165</v>
      </c>
      <c r="C2012" s="26" t="s">
        <v>433</v>
      </c>
      <c r="D2012" s="3">
        <v>84000</v>
      </c>
      <c r="E2012" s="4">
        <v>44223</v>
      </c>
      <c r="F2012" s="92" t="s">
        <v>28</v>
      </c>
      <c r="G2012" s="32">
        <v>44187</v>
      </c>
      <c r="H2012" s="27">
        <f>D2012</f>
        <v>84000</v>
      </c>
      <c r="I2012" s="27"/>
      <c r="J2012" s="27"/>
      <c r="K2012" s="99"/>
      <c r="L2012" s="27">
        <v>61222</v>
      </c>
      <c r="M2012" s="29">
        <f t="shared" si="265"/>
        <v>22778</v>
      </c>
      <c r="N2012" s="29"/>
      <c r="O2012" s="44">
        <f t="shared" si="266"/>
        <v>0.27116666666666667</v>
      </c>
    </row>
    <row r="2013" spans="1:15" ht="20.100000000000001" customHeight="1" x14ac:dyDescent="0.25">
      <c r="A2013" s="89">
        <v>48</v>
      </c>
      <c r="B2013" s="4">
        <v>44222</v>
      </c>
      <c r="C2013" s="26" t="s">
        <v>149</v>
      </c>
      <c r="D2013" s="3">
        <v>8534</v>
      </c>
      <c r="E2013" s="4">
        <v>44224</v>
      </c>
      <c r="F2013" s="92" t="s">
        <v>28</v>
      </c>
      <c r="G2013" s="32">
        <v>44225</v>
      </c>
      <c r="H2013" s="27">
        <f>D2013</f>
        <v>8534</v>
      </c>
      <c r="I2013" s="27"/>
      <c r="J2013" s="27"/>
      <c r="K2013" s="99"/>
      <c r="L2013" s="27">
        <v>6026</v>
      </c>
      <c r="M2013" s="29">
        <f t="shared" si="265"/>
        <v>2508</v>
      </c>
      <c r="N2013" s="29"/>
      <c r="O2013" s="44">
        <f t="shared" si="266"/>
        <v>0.29388329036794003</v>
      </c>
    </row>
    <row r="2014" spans="1:15" ht="19.5" customHeight="1" x14ac:dyDescent="0.25">
      <c r="A2014" s="89"/>
      <c r="B2014" s="4"/>
      <c r="C2014" s="5"/>
      <c r="D2014" s="3"/>
      <c r="E2014" s="97">
        <v>73801</v>
      </c>
      <c r="F2014" s="98">
        <f>M2014*0.17+N2014*0.06+10000</f>
        <v>63800.804399999994</v>
      </c>
      <c r="G2014" s="21">
        <f>H2014*0.05+I2014*0.02+10000</f>
        <v>75696.966</v>
      </c>
      <c r="H2014" s="16">
        <f t="shared" ref="H2014:N2014" si="267">SUM(H2004:H2013)</f>
        <v>1313939.3199999998</v>
      </c>
      <c r="I2014" s="16">
        <f t="shared" si="267"/>
        <v>0</v>
      </c>
      <c r="J2014" s="16">
        <f t="shared" si="267"/>
        <v>0</v>
      </c>
      <c r="K2014" s="16">
        <f t="shared" si="267"/>
        <v>1200</v>
      </c>
      <c r="L2014" s="16">
        <f t="shared" si="267"/>
        <v>996264</v>
      </c>
      <c r="M2014" s="16">
        <f t="shared" si="267"/>
        <v>316475.31999999995</v>
      </c>
      <c r="N2014" s="16">
        <f t="shared" si="267"/>
        <v>0</v>
      </c>
      <c r="O2014" s="44">
        <f t="shared" si="266"/>
        <v>0.24085992038049367</v>
      </c>
    </row>
    <row r="2015" spans="1:15" ht="23.25" x14ac:dyDescent="0.35">
      <c r="B2015" s="94"/>
      <c r="C2015" s="94" t="s">
        <v>648</v>
      </c>
    </row>
    <row r="2016" spans="1:15" ht="20.100000000000001" customHeight="1" x14ac:dyDescent="0.25">
      <c r="A2016" s="89">
        <v>1146</v>
      </c>
      <c r="B2016" s="4">
        <v>44165</v>
      </c>
      <c r="C2016" s="26" t="s">
        <v>433</v>
      </c>
      <c r="D2016" s="3">
        <v>60300</v>
      </c>
      <c r="E2016" s="4">
        <v>44228</v>
      </c>
      <c r="F2016" s="92" t="s">
        <v>28</v>
      </c>
      <c r="G2016" s="32">
        <v>44187</v>
      </c>
      <c r="H2016" s="27">
        <f t="shared" ref="H2016:H2040" si="268">D2016</f>
        <v>60300</v>
      </c>
      <c r="I2016" s="27"/>
      <c r="J2016" s="27"/>
      <c r="K2016" s="99"/>
      <c r="L2016" s="27">
        <v>43012</v>
      </c>
      <c r="M2016" s="29">
        <f t="shared" ref="M2016:M2040" si="269">H2016-L2016-J2016-K2016</f>
        <v>17288</v>
      </c>
      <c r="N2016" s="29"/>
      <c r="O2016" s="44">
        <f t="shared" ref="O2016:O2041" si="270">M2016/H2016</f>
        <v>0.28669983416252071</v>
      </c>
    </row>
    <row r="2017" spans="1:15" ht="20.100000000000001" customHeight="1" x14ac:dyDescent="0.25">
      <c r="A2017" s="89">
        <v>1</v>
      </c>
      <c r="B2017" s="4">
        <v>44207</v>
      </c>
      <c r="C2017" s="26" t="s">
        <v>228</v>
      </c>
      <c r="D2017" s="3">
        <v>6724</v>
      </c>
      <c r="E2017" s="4">
        <v>44229</v>
      </c>
      <c r="F2017" s="92" t="s">
        <v>28</v>
      </c>
      <c r="G2017" s="32">
        <v>44209</v>
      </c>
      <c r="H2017" s="27">
        <f t="shared" si="268"/>
        <v>6724</v>
      </c>
      <c r="I2017" s="27"/>
      <c r="J2017" s="27"/>
      <c r="K2017" s="99"/>
      <c r="L2017" s="29">
        <v>4894</v>
      </c>
      <c r="M2017" s="29">
        <f t="shared" si="269"/>
        <v>1830</v>
      </c>
      <c r="N2017" s="29"/>
      <c r="O2017" s="44">
        <f t="shared" si="270"/>
        <v>0.2721594289113623</v>
      </c>
    </row>
    <row r="2018" spans="1:15" ht="20.100000000000001" customHeight="1" x14ac:dyDescent="0.25">
      <c r="A2018" s="89">
        <v>87</v>
      </c>
      <c r="B2018" s="4">
        <v>44230</v>
      </c>
      <c r="C2018" s="5" t="s">
        <v>482</v>
      </c>
      <c r="D2018" s="3">
        <v>8566</v>
      </c>
      <c r="E2018" s="4">
        <v>44230</v>
      </c>
      <c r="F2018" s="92" t="s">
        <v>28</v>
      </c>
      <c r="G2018" s="32">
        <v>44235</v>
      </c>
      <c r="H2018" s="27">
        <f t="shared" si="268"/>
        <v>8566</v>
      </c>
      <c r="I2018" s="27">
        <f>H2018</f>
        <v>8566</v>
      </c>
      <c r="J2018" s="27"/>
      <c r="K2018" s="99"/>
      <c r="L2018" s="29">
        <v>5826</v>
      </c>
      <c r="M2018" s="29">
        <f t="shared" si="269"/>
        <v>2740</v>
      </c>
      <c r="N2018" s="29">
        <f>M2018</f>
        <v>2740</v>
      </c>
      <c r="O2018" s="44">
        <f t="shared" si="270"/>
        <v>0.31986925052533272</v>
      </c>
    </row>
    <row r="2019" spans="1:15" ht="20.100000000000001" customHeight="1" x14ac:dyDescent="0.25">
      <c r="A2019" s="89">
        <v>57</v>
      </c>
      <c r="B2019" s="4">
        <v>44224</v>
      </c>
      <c r="C2019" s="5" t="s">
        <v>483</v>
      </c>
      <c r="D2019" s="3">
        <v>17713</v>
      </c>
      <c r="E2019" s="4">
        <v>44230</v>
      </c>
      <c r="F2019" s="92" t="s">
        <v>28</v>
      </c>
      <c r="G2019" s="32">
        <v>44264</v>
      </c>
      <c r="H2019" s="27">
        <f t="shared" si="268"/>
        <v>17713</v>
      </c>
      <c r="I2019" s="27">
        <f>H2019</f>
        <v>17713</v>
      </c>
      <c r="J2019" s="27"/>
      <c r="K2019" s="99"/>
      <c r="L2019" s="29">
        <v>13817</v>
      </c>
      <c r="M2019" s="29">
        <f t="shared" si="269"/>
        <v>3896</v>
      </c>
      <c r="N2019" s="29">
        <f>M2019</f>
        <v>3896</v>
      </c>
      <c r="O2019" s="44">
        <f t="shared" si="270"/>
        <v>0.21995144808897421</v>
      </c>
    </row>
    <row r="2020" spans="1:15" ht="20.100000000000001" customHeight="1" x14ac:dyDescent="0.25">
      <c r="A2020" s="89">
        <v>99</v>
      </c>
      <c r="B2020" s="4">
        <v>44231</v>
      </c>
      <c r="C2020" s="26" t="s">
        <v>470</v>
      </c>
      <c r="D2020" s="3">
        <v>24444</v>
      </c>
      <c r="E2020" s="4">
        <v>44231</v>
      </c>
      <c r="F2020" s="92" t="s">
        <v>28</v>
      </c>
      <c r="G2020" s="32">
        <v>44271</v>
      </c>
      <c r="H2020" s="27">
        <f t="shared" si="268"/>
        <v>24444</v>
      </c>
      <c r="I2020" s="27"/>
      <c r="J2020" s="27"/>
      <c r="K2020" s="99"/>
      <c r="L2020" s="29">
        <v>19068</v>
      </c>
      <c r="M2020" s="29">
        <f t="shared" si="269"/>
        <v>5376</v>
      </c>
      <c r="N2020" s="29"/>
      <c r="O2020" s="44">
        <f t="shared" si="270"/>
        <v>0.21993127147766323</v>
      </c>
    </row>
    <row r="2021" spans="1:15" ht="20.100000000000001" customHeight="1" x14ac:dyDescent="0.25">
      <c r="A2021" s="89">
        <v>92</v>
      </c>
      <c r="B2021" s="4">
        <v>44230</v>
      </c>
      <c r="C2021" s="26" t="s">
        <v>424</v>
      </c>
      <c r="D2021" s="3">
        <v>2710</v>
      </c>
      <c r="E2021" s="4">
        <v>44232</v>
      </c>
      <c r="F2021" s="92" t="s">
        <v>28</v>
      </c>
      <c r="G2021" s="32">
        <v>44235</v>
      </c>
      <c r="H2021" s="27">
        <f t="shared" si="268"/>
        <v>2710</v>
      </c>
      <c r="I2021" s="27"/>
      <c r="J2021" s="27"/>
      <c r="K2021" s="99"/>
      <c r="L2021" s="29">
        <v>2030.15</v>
      </c>
      <c r="M2021" s="29">
        <f t="shared" si="269"/>
        <v>679.84999999999991</v>
      </c>
      <c r="N2021" s="29"/>
      <c r="O2021" s="44">
        <f t="shared" si="270"/>
        <v>0.25086715867158671</v>
      </c>
    </row>
    <row r="2022" spans="1:15" ht="20.100000000000001" customHeight="1" x14ac:dyDescent="0.25">
      <c r="A2022" s="89">
        <v>1244</v>
      </c>
      <c r="B2022" s="4">
        <v>44176</v>
      </c>
      <c r="C2022" s="26" t="s">
        <v>56</v>
      </c>
      <c r="D2022" s="3">
        <v>5702</v>
      </c>
      <c r="E2022" s="4">
        <v>44235</v>
      </c>
      <c r="F2022" s="92" t="s">
        <v>28</v>
      </c>
      <c r="G2022" s="32">
        <v>44194</v>
      </c>
      <c r="H2022" s="27">
        <f t="shared" si="268"/>
        <v>5702</v>
      </c>
      <c r="I2022" s="27"/>
      <c r="J2022" s="27"/>
      <c r="K2022" s="99"/>
      <c r="L2022" s="27">
        <v>4447</v>
      </c>
      <c r="M2022" s="29">
        <f t="shared" si="269"/>
        <v>1255</v>
      </c>
      <c r="N2022" s="29"/>
      <c r="O2022" s="44">
        <f t="shared" si="270"/>
        <v>0.22009821115398107</v>
      </c>
    </row>
    <row r="2023" spans="1:15" ht="20.100000000000001" customHeight="1" x14ac:dyDescent="0.25">
      <c r="A2023" s="89">
        <v>15</v>
      </c>
      <c r="B2023" s="4">
        <v>44209</v>
      </c>
      <c r="C2023" s="26" t="s">
        <v>56</v>
      </c>
      <c r="D2023" s="3">
        <v>38947</v>
      </c>
      <c r="E2023" s="4">
        <v>44235</v>
      </c>
      <c r="F2023" s="92" t="s">
        <v>28</v>
      </c>
      <c r="G2023" s="32">
        <v>44221</v>
      </c>
      <c r="H2023" s="27">
        <f t="shared" si="268"/>
        <v>38947</v>
      </c>
      <c r="I2023" s="27"/>
      <c r="J2023" s="27"/>
      <c r="K2023" s="99"/>
      <c r="L2023" s="27">
        <v>28479</v>
      </c>
      <c r="M2023" s="29">
        <f t="shared" si="269"/>
        <v>10468</v>
      </c>
      <c r="N2023" s="29"/>
      <c r="O2023" s="44">
        <f t="shared" si="270"/>
        <v>0.26877551544406503</v>
      </c>
    </row>
    <row r="2024" spans="1:15" ht="20.100000000000001" customHeight="1" x14ac:dyDescent="0.25">
      <c r="A2024" s="89">
        <v>1211</v>
      </c>
      <c r="B2024" s="4">
        <v>44167</v>
      </c>
      <c r="C2024" s="26" t="s">
        <v>56</v>
      </c>
      <c r="D2024" s="3">
        <v>98783</v>
      </c>
      <c r="E2024" s="4">
        <v>44235</v>
      </c>
      <c r="F2024" s="92" t="s">
        <v>28</v>
      </c>
      <c r="G2024" s="32">
        <v>44221</v>
      </c>
      <c r="H2024" s="27">
        <f t="shared" si="268"/>
        <v>98783</v>
      </c>
      <c r="I2024" s="27"/>
      <c r="J2024" s="27"/>
      <c r="K2024" s="99"/>
      <c r="L2024" s="27">
        <v>70144</v>
      </c>
      <c r="M2024" s="29">
        <f t="shared" si="269"/>
        <v>28639</v>
      </c>
      <c r="N2024" s="29"/>
      <c r="O2024" s="44">
        <f t="shared" si="270"/>
        <v>0.28991830578135913</v>
      </c>
    </row>
    <row r="2025" spans="1:15" ht="20.100000000000001" customHeight="1" x14ac:dyDescent="0.25">
      <c r="A2025" s="89">
        <v>80</v>
      </c>
      <c r="B2025" s="4">
        <v>44229</v>
      </c>
      <c r="C2025" s="26" t="s">
        <v>206</v>
      </c>
      <c r="D2025" s="3">
        <v>2299</v>
      </c>
      <c r="E2025" s="4">
        <v>44237</v>
      </c>
      <c r="F2025" s="92" t="s">
        <v>28</v>
      </c>
      <c r="G2025" s="32">
        <v>44229</v>
      </c>
      <c r="H2025" s="27">
        <f t="shared" si="268"/>
        <v>2299</v>
      </c>
      <c r="I2025" s="27"/>
      <c r="J2025" s="27"/>
      <c r="K2025" s="99"/>
      <c r="L2025" s="29">
        <v>1767</v>
      </c>
      <c r="M2025" s="29">
        <f t="shared" si="269"/>
        <v>532</v>
      </c>
      <c r="N2025" s="29"/>
      <c r="O2025" s="44">
        <f t="shared" si="270"/>
        <v>0.23140495867768596</v>
      </c>
    </row>
    <row r="2026" spans="1:15" ht="20.100000000000001" customHeight="1" x14ac:dyDescent="0.25">
      <c r="A2026" s="89">
        <v>112</v>
      </c>
      <c r="B2026" s="4">
        <v>44235</v>
      </c>
      <c r="C2026" s="26" t="s">
        <v>443</v>
      </c>
      <c r="D2026" s="3">
        <v>3110</v>
      </c>
      <c r="E2026" s="4">
        <v>44237</v>
      </c>
      <c r="F2026" s="92" t="s">
        <v>28</v>
      </c>
      <c r="G2026" s="32">
        <v>44230</v>
      </c>
      <c r="H2026" s="27">
        <f t="shared" si="268"/>
        <v>3110</v>
      </c>
      <c r="I2026" s="27"/>
      <c r="J2026" s="27"/>
      <c r="K2026" s="99"/>
      <c r="L2026" s="29">
        <v>1864</v>
      </c>
      <c r="M2026" s="29">
        <f t="shared" si="269"/>
        <v>1246</v>
      </c>
      <c r="N2026" s="29"/>
      <c r="O2026" s="44">
        <f t="shared" si="270"/>
        <v>0.40064308681672028</v>
      </c>
    </row>
    <row r="2027" spans="1:15" ht="20.100000000000001" customHeight="1" x14ac:dyDescent="0.25">
      <c r="A2027" s="89">
        <v>1157</v>
      </c>
      <c r="B2027" s="4">
        <v>44152</v>
      </c>
      <c r="C2027" s="26" t="s">
        <v>275</v>
      </c>
      <c r="D2027" s="3">
        <v>2660</v>
      </c>
      <c r="E2027" s="4">
        <v>44238</v>
      </c>
      <c r="F2027" s="92" t="s">
        <v>28</v>
      </c>
      <c r="G2027" s="32">
        <v>44208</v>
      </c>
      <c r="H2027" s="27">
        <f t="shared" si="268"/>
        <v>2660</v>
      </c>
      <c r="I2027" s="27"/>
      <c r="J2027" s="27"/>
      <c r="K2027" s="99"/>
      <c r="L2027" s="29">
        <v>2044</v>
      </c>
      <c r="M2027" s="29">
        <f t="shared" si="269"/>
        <v>616</v>
      </c>
      <c r="N2027" s="29"/>
      <c r="O2027" s="44">
        <f t="shared" si="270"/>
        <v>0.23157894736842105</v>
      </c>
    </row>
    <row r="2028" spans="1:15" ht="20.100000000000001" customHeight="1" x14ac:dyDescent="0.25">
      <c r="A2028" s="89">
        <v>125</v>
      </c>
      <c r="B2028" s="4">
        <v>44239</v>
      </c>
      <c r="C2028" s="26" t="s">
        <v>443</v>
      </c>
      <c r="D2028" s="3">
        <v>13590</v>
      </c>
      <c r="E2028" s="4">
        <v>44243</v>
      </c>
      <c r="F2028" s="92" t="s">
        <v>28</v>
      </c>
      <c r="G2028" s="32">
        <v>44264</v>
      </c>
      <c r="H2028" s="27">
        <f t="shared" si="268"/>
        <v>13590</v>
      </c>
      <c r="I2028" s="27"/>
      <c r="J2028" s="27"/>
      <c r="K2028" s="99"/>
      <c r="L2028" s="29">
        <v>10600</v>
      </c>
      <c r="M2028" s="29">
        <f t="shared" si="269"/>
        <v>2990</v>
      </c>
      <c r="N2028" s="29"/>
      <c r="O2028" s="44">
        <f t="shared" si="270"/>
        <v>0.22001471670345843</v>
      </c>
    </row>
    <row r="2029" spans="1:15" ht="20.100000000000001" customHeight="1" x14ac:dyDescent="0.25">
      <c r="A2029" s="89">
        <v>123</v>
      </c>
      <c r="B2029" s="4">
        <v>44239</v>
      </c>
      <c r="C2029" s="26" t="s">
        <v>410</v>
      </c>
      <c r="D2029" s="3">
        <v>191394</v>
      </c>
      <c r="E2029" s="4">
        <v>44243</v>
      </c>
      <c r="F2029" s="92" t="s">
        <v>28</v>
      </c>
      <c r="G2029" s="32">
        <v>44270</v>
      </c>
      <c r="H2029" s="27">
        <f t="shared" si="268"/>
        <v>191394</v>
      </c>
      <c r="I2029" s="27"/>
      <c r="J2029" s="27"/>
      <c r="K2029" s="99"/>
      <c r="L2029" s="29">
        <v>138868</v>
      </c>
      <c r="M2029" s="29">
        <f t="shared" si="269"/>
        <v>52526</v>
      </c>
      <c r="N2029" s="29"/>
      <c r="O2029" s="44">
        <f t="shared" si="270"/>
        <v>0.27443911512377611</v>
      </c>
    </row>
    <row r="2030" spans="1:15" ht="20.100000000000001" customHeight="1" x14ac:dyDescent="0.25">
      <c r="A2030" s="89">
        <v>134</v>
      </c>
      <c r="B2030" s="4">
        <v>44243</v>
      </c>
      <c r="C2030" s="26" t="s">
        <v>442</v>
      </c>
      <c r="D2030" s="3">
        <v>3212</v>
      </c>
      <c r="E2030" s="4">
        <v>44243</v>
      </c>
      <c r="F2030" s="92" t="s">
        <v>28</v>
      </c>
      <c r="G2030" s="32">
        <v>44245</v>
      </c>
      <c r="H2030" s="27">
        <f t="shared" si="268"/>
        <v>3212</v>
      </c>
      <c r="I2030" s="27"/>
      <c r="J2030" s="27"/>
      <c r="K2030" s="99"/>
      <c r="L2030" s="29">
        <v>2208</v>
      </c>
      <c r="M2030" s="29">
        <f t="shared" si="269"/>
        <v>1004</v>
      </c>
      <c r="N2030" s="29"/>
      <c r="O2030" s="44">
        <f t="shared" si="270"/>
        <v>0.3125778331257783</v>
      </c>
    </row>
    <row r="2031" spans="1:15" ht="20.100000000000001" customHeight="1" x14ac:dyDescent="0.25">
      <c r="A2031" s="89">
        <v>130</v>
      </c>
      <c r="B2031" s="4">
        <v>44242</v>
      </c>
      <c r="C2031" s="5" t="s">
        <v>485</v>
      </c>
      <c r="D2031" s="3">
        <v>5000</v>
      </c>
      <c r="E2031" s="4">
        <v>44244</v>
      </c>
      <c r="F2031" s="92" t="s">
        <v>28</v>
      </c>
      <c r="G2031" s="32">
        <v>44257</v>
      </c>
      <c r="H2031" s="27">
        <f t="shared" si="268"/>
        <v>5000</v>
      </c>
      <c r="I2031" s="27">
        <f>H2031</f>
        <v>5000</v>
      </c>
      <c r="J2031" s="27"/>
      <c r="K2031" s="99">
        <v>600</v>
      </c>
      <c r="L2031" s="29">
        <v>1367</v>
      </c>
      <c r="M2031" s="29">
        <f t="shared" si="269"/>
        <v>3033</v>
      </c>
      <c r="N2031" s="29">
        <f>M2031</f>
        <v>3033</v>
      </c>
      <c r="O2031" s="44">
        <f t="shared" si="270"/>
        <v>0.60660000000000003</v>
      </c>
    </row>
    <row r="2032" spans="1:15" ht="20.100000000000001" customHeight="1" x14ac:dyDescent="0.25">
      <c r="A2032" s="89">
        <v>133</v>
      </c>
      <c r="B2032" s="4">
        <v>44243</v>
      </c>
      <c r="C2032" s="5" t="s">
        <v>486</v>
      </c>
      <c r="D2032" s="3">
        <v>102645.4</v>
      </c>
      <c r="E2032" s="4">
        <v>44245</v>
      </c>
      <c r="F2032" s="92" t="s">
        <v>28</v>
      </c>
      <c r="G2032" s="32">
        <v>44245</v>
      </c>
      <c r="H2032" s="27">
        <f t="shared" si="268"/>
        <v>102645.4</v>
      </c>
      <c r="I2032" s="27">
        <f>H2032</f>
        <v>102645.4</v>
      </c>
      <c r="J2032" s="27"/>
      <c r="K2032" s="99"/>
      <c r="L2032" s="29">
        <v>64033.93</v>
      </c>
      <c r="M2032" s="29">
        <f t="shared" si="269"/>
        <v>38611.469999999994</v>
      </c>
      <c r="N2032" s="29">
        <f>M2032</f>
        <v>38611.469999999994</v>
      </c>
      <c r="O2032" s="44">
        <f t="shared" si="270"/>
        <v>0.37616366636985188</v>
      </c>
    </row>
    <row r="2033" spans="1:15" ht="20.100000000000001" customHeight="1" x14ac:dyDescent="0.25">
      <c r="A2033" s="89">
        <v>132</v>
      </c>
      <c r="B2033" s="4">
        <v>44243</v>
      </c>
      <c r="C2033" s="26" t="s">
        <v>437</v>
      </c>
      <c r="D2033" s="3">
        <v>4020</v>
      </c>
      <c r="E2033" s="4">
        <v>44246</v>
      </c>
      <c r="F2033" s="92" t="s">
        <v>28</v>
      </c>
      <c r="G2033" s="32">
        <v>44245</v>
      </c>
      <c r="H2033" s="27">
        <f t="shared" si="268"/>
        <v>4020</v>
      </c>
      <c r="I2033" s="27"/>
      <c r="J2033" s="27"/>
      <c r="K2033" s="99"/>
      <c r="L2033" s="29">
        <v>2777</v>
      </c>
      <c r="M2033" s="29">
        <f t="shared" si="269"/>
        <v>1243</v>
      </c>
      <c r="N2033" s="29"/>
      <c r="O2033" s="44">
        <f t="shared" si="270"/>
        <v>0.30920398009950251</v>
      </c>
    </row>
    <row r="2034" spans="1:15" ht="20.100000000000001" customHeight="1" x14ac:dyDescent="0.25">
      <c r="A2034" s="89">
        <v>141</v>
      </c>
      <c r="B2034" s="4">
        <v>44245</v>
      </c>
      <c r="C2034" s="26" t="s">
        <v>16</v>
      </c>
      <c r="D2034" s="3">
        <v>20955</v>
      </c>
      <c r="E2034" s="4">
        <v>44246</v>
      </c>
      <c r="F2034" s="92" t="s">
        <v>28</v>
      </c>
      <c r="G2034" s="32">
        <v>44252</v>
      </c>
      <c r="H2034" s="27">
        <f t="shared" si="268"/>
        <v>20955</v>
      </c>
      <c r="I2034" s="27"/>
      <c r="J2034" s="27"/>
      <c r="K2034" s="99"/>
      <c r="L2034" s="29">
        <v>17325</v>
      </c>
      <c r="M2034" s="29">
        <f t="shared" si="269"/>
        <v>3630</v>
      </c>
      <c r="N2034" s="29"/>
      <c r="O2034" s="44">
        <f t="shared" si="270"/>
        <v>0.17322834645669291</v>
      </c>
    </row>
    <row r="2035" spans="1:15" ht="20.100000000000001" customHeight="1" x14ac:dyDescent="0.25">
      <c r="A2035" s="89">
        <v>77</v>
      </c>
      <c r="B2035" s="4">
        <v>44239</v>
      </c>
      <c r="C2035" s="26" t="s">
        <v>302</v>
      </c>
      <c r="D2035" s="3">
        <v>8564</v>
      </c>
      <c r="E2035" s="4">
        <v>44251</v>
      </c>
      <c r="F2035" s="92" t="s">
        <v>28</v>
      </c>
      <c r="G2035" s="32">
        <v>44239</v>
      </c>
      <c r="H2035" s="27">
        <f t="shared" si="268"/>
        <v>8564</v>
      </c>
      <c r="I2035" s="27"/>
      <c r="J2035" s="27"/>
      <c r="K2035" s="99"/>
      <c r="L2035" s="29">
        <v>6197</v>
      </c>
      <c r="M2035" s="29">
        <f t="shared" si="269"/>
        <v>2367</v>
      </c>
      <c r="N2035" s="29"/>
      <c r="O2035" s="44">
        <f t="shared" si="270"/>
        <v>0.27638953759925267</v>
      </c>
    </row>
    <row r="2036" spans="1:15" ht="20.100000000000001" customHeight="1" x14ac:dyDescent="0.25">
      <c r="A2036" s="89">
        <v>47</v>
      </c>
      <c r="B2036" s="4">
        <v>44222</v>
      </c>
      <c r="C2036" s="26" t="s">
        <v>56</v>
      </c>
      <c r="D2036" s="3">
        <v>54003</v>
      </c>
      <c r="E2036" s="4">
        <v>44252</v>
      </c>
      <c r="F2036" s="92" t="s">
        <v>28</v>
      </c>
      <c r="G2036" s="32">
        <v>44243</v>
      </c>
      <c r="H2036" s="27">
        <f t="shared" si="268"/>
        <v>54003</v>
      </c>
      <c r="I2036" s="27"/>
      <c r="J2036" s="27"/>
      <c r="K2036" s="99"/>
      <c r="L2036" s="27">
        <v>40601</v>
      </c>
      <c r="M2036" s="29">
        <f t="shared" si="269"/>
        <v>13402</v>
      </c>
      <c r="N2036" s="29"/>
      <c r="O2036" s="44">
        <f t="shared" si="270"/>
        <v>0.24817139788530268</v>
      </c>
    </row>
    <row r="2037" spans="1:15" ht="20.100000000000001" customHeight="1" x14ac:dyDescent="0.25">
      <c r="A2037" s="89">
        <v>159</v>
      </c>
      <c r="B2037" s="4">
        <v>44252</v>
      </c>
      <c r="C2037" s="5" t="s">
        <v>487</v>
      </c>
      <c r="D2037" s="3">
        <v>3362</v>
      </c>
      <c r="E2037" s="4">
        <v>44252</v>
      </c>
      <c r="F2037" s="92" t="s">
        <v>28</v>
      </c>
      <c r="G2037" s="32">
        <v>44253</v>
      </c>
      <c r="H2037" s="27">
        <f t="shared" si="268"/>
        <v>3362</v>
      </c>
      <c r="I2037" s="27">
        <f>H2037</f>
        <v>3362</v>
      </c>
      <c r="J2037" s="27"/>
      <c r="K2037" s="99"/>
      <c r="L2037" s="27">
        <v>2447</v>
      </c>
      <c r="M2037" s="29">
        <f t="shared" si="269"/>
        <v>915</v>
      </c>
      <c r="N2037" s="29">
        <f>M2037</f>
        <v>915</v>
      </c>
      <c r="O2037" s="44">
        <f t="shared" si="270"/>
        <v>0.2721594289113623</v>
      </c>
    </row>
    <row r="2038" spans="1:15" ht="20.100000000000001" customHeight="1" x14ac:dyDescent="0.25">
      <c r="A2038" s="89">
        <v>150</v>
      </c>
      <c r="B2038" s="4">
        <v>44247</v>
      </c>
      <c r="C2038" s="26" t="s">
        <v>83</v>
      </c>
      <c r="D2038" s="3">
        <v>7111</v>
      </c>
      <c r="E2038" s="4">
        <v>44252</v>
      </c>
      <c r="F2038" s="92" t="s">
        <v>28</v>
      </c>
      <c r="G2038" s="32">
        <v>44253</v>
      </c>
      <c r="H2038" s="27">
        <f t="shared" si="268"/>
        <v>7111</v>
      </c>
      <c r="I2038" s="27"/>
      <c r="J2038" s="27"/>
      <c r="K2038" s="99"/>
      <c r="L2038" s="27">
        <v>6375</v>
      </c>
      <c r="M2038" s="29">
        <f t="shared" si="269"/>
        <v>736</v>
      </c>
      <c r="N2038" s="29"/>
      <c r="O2038" s="44">
        <f t="shared" si="270"/>
        <v>0.10350161721276895</v>
      </c>
    </row>
    <row r="2039" spans="1:15" ht="20.100000000000001" customHeight="1" x14ac:dyDescent="0.25">
      <c r="A2039" s="89">
        <v>1248</v>
      </c>
      <c r="B2039" s="4">
        <v>44179</v>
      </c>
      <c r="C2039" s="26" t="s">
        <v>99</v>
      </c>
      <c r="D2039" s="3">
        <v>120490</v>
      </c>
      <c r="E2039" s="4">
        <v>44252</v>
      </c>
      <c r="F2039" s="92" t="s">
        <v>28</v>
      </c>
      <c r="G2039" s="32">
        <v>44222</v>
      </c>
      <c r="H2039" s="27">
        <f t="shared" si="268"/>
        <v>120490</v>
      </c>
      <c r="I2039" s="27"/>
      <c r="J2039" s="27"/>
      <c r="K2039" s="99">
        <f>12*600</f>
        <v>7200</v>
      </c>
      <c r="L2039" s="27">
        <v>93324</v>
      </c>
      <c r="M2039" s="29">
        <f t="shared" si="269"/>
        <v>19966</v>
      </c>
      <c r="N2039" s="29"/>
      <c r="O2039" s="44">
        <f t="shared" si="270"/>
        <v>0.16570669765125737</v>
      </c>
    </row>
    <row r="2040" spans="1:15" ht="20.100000000000001" customHeight="1" x14ac:dyDescent="0.25">
      <c r="A2040" s="89">
        <v>131</v>
      </c>
      <c r="B2040" s="4">
        <v>44242</v>
      </c>
      <c r="C2040" s="26" t="s">
        <v>403</v>
      </c>
      <c r="D2040" s="3">
        <v>6985</v>
      </c>
      <c r="E2040" s="4">
        <v>44253</v>
      </c>
      <c r="F2040" s="92" t="s">
        <v>28</v>
      </c>
      <c r="G2040" s="32">
        <v>44293</v>
      </c>
      <c r="H2040" s="27">
        <f t="shared" si="268"/>
        <v>6985</v>
      </c>
      <c r="I2040" s="27"/>
      <c r="J2040" s="27"/>
      <c r="K2040" s="99"/>
      <c r="L2040" s="27">
        <v>5378</v>
      </c>
      <c r="M2040" s="29">
        <f t="shared" si="269"/>
        <v>1607</v>
      </c>
      <c r="N2040" s="29"/>
      <c r="O2040" s="44">
        <f t="shared" si="270"/>
        <v>0.23006442376521116</v>
      </c>
    </row>
    <row r="2041" spans="1:15" ht="19.5" customHeight="1" x14ac:dyDescent="0.25">
      <c r="A2041" s="89"/>
      <c r="B2041" s="4"/>
      <c r="C2041" s="5"/>
      <c r="D2041" s="3"/>
      <c r="E2041" s="97">
        <v>38943</v>
      </c>
      <c r="F2041" s="98">
        <f>M2041*0.12+N2041*0.06+10000</f>
        <v>38943.286599999999</v>
      </c>
      <c r="G2041" s="21">
        <f>H2041*0.05+I2041*0.02+10000</f>
        <v>53410.198000000004</v>
      </c>
      <c r="H2041" s="16">
        <f t="shared" ref="H2041:N2041" si="271">SUM(H2016:H2040)</f>
        <v>813289.4</v>
      </c>
      <c r="I2041" s="16">
        <f t="shared" si="271"/>
        <v>137286.39999999999</v>
      </c>
      <c r="J2041" s="16">
        <f t="shared" si="271"/>
        <v>0</v>
      </c>
      <c r="K2041" s="16">
        <f t="shared" si="271"/>
        <v>7800</v>
      </c>
      <c r="L2041" s="16">
        <f t="shared" si="271"/>
        <v>588893.08000000007</v>
      </c>
      <c r="M2041" s="16">
        <f t="shared" si="271"/>
        <v>216596.32</v>
      </c>
      <c r="N2041" s="16">
        <f t="shared" si="271"/>
        <v>49195.469999999994</v>
      </c>
      <c r="O2041" s="44">
        <f t="shared" si="270"/>
        <v>0.26632133653776874</v>
      </c>
    </row>
    <row r="2042" spans="1:15" ht="23.25" x14ac:dyDescent="0.35">
      <c r="B2042" s="94"/>
      <c r="C2042" s="94" t="s">
        <v>637</v>
      </c>
    </row>
    <row r="2043" spans="1:15" ht="20.100000000000001" customHeight="1" x14ac:dyDescent="0.25">
      <c r="A2043" s="89">
        <v>163</v>
      </c>
      <c r="B2043" s="4">
        <v>44256</v>
      </c>
      <c r="C2043" s="26" t="s">
        <v>303</v>
      </c>
      <c r="D2043" s="3">
        <v>4659.7</v>
      </c>
      <c r="E2043" s="4">
        <v>44256</v>
      </c>
      <c r="F2043" s="92" t="s">
        <v>28</v>
      </c>
      <c r="G2043" s="32">
        <v>44256</v>
      </c>
      <c r="H2043" s="27">
        <f t="shared" ref="H2043:H2055" si="272">D2043</f>
        <v>4659.7</v>
      </c>
      <c r="I2043" s="27"/>
      <c r="J2043" s="27"/>
      <c r="K2043" s="99"/>
      <c r="L2043" s="27">
        <v>3295</v>
      </c>
      <c r="M2043" s="29">
        <f t="shared" ref="M2043:M2070" si="273">H2043-L2043-J2043-K2043</f>
        <v>1364.6999999999998</v>
      </c>
      <c r="N2043" s="29"/>
      <c r="O2043" s="44">
        <f t="shared" ref="O2043:O2071" si="274">M2043/H2043</f>
        <v>0.29287293173380258</v>
      </c>
    </row>
    <row r="2044" spans="1:15" ht="20.100000000000001" customHeight="1" x14ac:dyDescent="0.25">
      <c r="A2044" s="89">
        <v>161</v>
      </c>
      <c r="B2044" s="4">
        <v>44253</v>
      </c>
      <c r="C2044" s="26" t="s">
        <v>410</v>
      </c>
      <c r="D2044" s="3">
        <v>39550</v>
      </c>
      <c r="E2044" s="4">
        <v>44256</v>
      </c>
      <c r="F2044" s="92" t="s">
        <v>28</v>
      </c>
      <c r="G2044" s="32">
        <v>44299</v>
      </c>
      <c r="H2044" s="27">
        <f t="shared" si="272"/>
        <v>39550</v>
      </c>
      <c r="I2044" s="27"/>
      <c r="J2044" s="27"/>
      <c r="K2044" s="99"/>
      <c r="L2044" s="27">
        <v>30450</v>
      </c>
      <c r="M2044" s="29">
        <f t="shared" si="273"/>
        <v>9100</v>
      </c>
      <c r="N2044" s="29"/>
      <c r="O2044" s="44">
        <f t="shared" si="274"/>
        <v>0.23008849557522124</v>
      </c>
    </row>
    <row r="2045" spans="1:15" ht="20.100000000000001" customHeight="1" x14ac:dyDescent="0.25">
      <c r="A2045" s="89">
        <v>127</v>
      </c>
      <c r="B2045" s="4">
        <v>44242</v>
      </c>
      <c r="C2045" s="5" t="s">
        <v>484</v>
      </c>
      <c r="D2045" s="3">
        <v>145656</v>
      </c>
      <c r="E2045" s="4">
        <v>44256</v>
      </c>
      <c r="F2045" s="92" t="s">
        <v>28</v>
      </c>
      <c r="G2045" s="32">
        <v>44265</v>
      </c>
      <c r="H2045" s="27">
        <f t="shared" si="272"/>
        <v>145656</v>
      </c>
      <c r="I2045" s="27">
        <f>H2045</f>
        <v>145656</v>
      </c>
      <c r="J2045" s="27"/>
      <c r="K2045" s="99"/>
      <c r="L2045" s="29">
        <v>105183</v>
      </c>
      <c r="M2045" s="29">
        <f t="shared" si="273"/>
        <v>40473</v>
      </c>
      <c r="N2045" s="29">
        <f>M2045</f>
        <v>40473</v>
      </c>
      <c r="O2045" s="44">
        <f t="shared" si="274"/>
        <v>0.27786702916460704</v>
      </c>
    </row>
    <row r="2046" spans="1:15" ht="20.100000000000001" customHeight="1" x14ac:dyDescent="0.25">
      <c r="A2046" s="89">
        <v>142</v>
      </c>
      <c r="B2046" s="4">
        <v>44245</v>
      </c>
      <c r="C2046" s="26" t="s">
        <v>14</v>
      </c>
      <c r="D2046" s="3">
        <v>31430</v>
      </c>
      <c r="E2046" s="4">
        <v>44257</v>
      </c>
      <c r="F2046" s="92" t="s">
        <v>28</v>
      </c>
      <c r="G2046" s="32">
        <v>44257</v>
      </c>
      <c r="H2046" s="27">
        <f t="shared" si="272"/>
        <v>31430</v>
      </c>
      <c r="I2046" s="27"/>
      <c r="J2046" s="27"/>
      <c r="K2046" s="99"/>
      <c r="L2046" s="29">
        <v>23136.5</v>
      </c>
      <c r="M2046" s="29">
        <f t="shared" si="273"/>
        <v>8293.5</v>
      </c>
      <c r="N2046" s="29"/>
      <c r="O2046" s="44">
        <f t="shared" si="274"/>
        <v>0.26387209672287626</v>
      </c>
    </row>
    <row r="2047" spans="1:15" ht="20.100000000000001" customHeight="1" x14ac:dyDescent="0.25">
      <c r="A2047" s="89">
        <v>31</v>
      </c>
      <c r="B2047" s="4">
        <v>44216</v>
      </c>
      <c r="C2047" s="26" t="s">
        <v>275</v>
      </c>
      <c r="D2047" s="3">
        <v>7416</v>
      </c>
      <c r="E2047" s="4">
        <v>44257</v>
      </c>
      <c r="F2047" s="92" t="s">
        <v>28</v>
      </c>
      <c r="G2047" s="32">
        <v>44224</v>
      </c>
      <c r="H2047" s="27">
        <f t="shared" si="272"/>
        <v>7416</v>
      </c>
      <c r="I2047" s="27"/>
      <c r="J2047" s="27"/>
      <c r="K2047" s="99"/>
      <c r="L2047" s="29">
        <v>5715</v>
      </c>
      <c r="M2047" s="29">
        <f t="shared" si="273"/>
        <v>1701</v>
      </c>
      <c r="N2047" s="29"/>
      <c r="O2047" s="44">
        <f t="shared" si="274"/>
        <v>0.22936893203883496</v>
      </c>
    </row>
    <row r="2048" spans="1:15" ht="20.100000000000001" customHeight="1" x14ac:dyDescent="0.25">
      <c r="A2048" s="89">
        <v>167</v>
      </c>
      <c r="B2048" s="4">
        <v>44257</v>
      </c>
      <c r="C2048" s="26" t="s">
        <v>211</v>
      </c>
      <c r="D2048" s="3">
        <v>9733</v>
      </c>
      <c r="E2048" s="4">
        <v>44258</v>
      </c>
      <c r="F2048" s="92" t="s">
        <v>28</v>
      </c>
      <c r="G2048" s="32">
        <v>44305</v>
      </c>
      <c r="H2048" s="27">
        <f t="shared" si="272"/>
        <v>9733</v>
      </c>
      <c r="I2048" s="27"/>
      <c r="J2048" s="27"/>
      <c r="K2048" s="99"/>
      <c r="L2048" s="29">
        <v>5228</v>
      </c>
      <c r="M2048" s="29">
        <f t="shared" si="273"/>
        <v>4505</v>
      </c>
      <c r="N2048" s="29"/>
      <c r="O2048" s="44">
        <f t="shared" si="274"/>
        <v>0.46285831706565295</v>
      </c>
    </row>
    <row r="2049" spans="1:15" ht="20.100000000000001" customHeight="1" x14ac:dyDescent="0.25">
      <c r="A2049" s="89">
        <v>169</v>
      </c>
      <c r="B2049" s="4">
        <v>44258</v>
      </c>
      <c r="C2049" s="26" t="s">
        <v>270</v>
      </c>
      <c r="D2049" s="3">
        <v>5512</v>
      </c>
      <c r="E2049" s="4">
        <v>44259</v>
      </c>
      <c r="F2049" s="92" t="s">
        <v>28</v>
      </c>
      <c r="G2049" s="32">
        <v>44270</v>
      </c>
      <c r="H2049" s="27">
        <f t="shared" si="272"/>
        <v>5512</v>
      </c>
      <c r="I2049" s="27"/>
      <c r="J2049" s="27"/>
      <c r="K2049" s="99"/>
      <c r="L2049" s="29">
        <v>4067</v>
      </c>
      <c r="M2049" s="29">
        <f t="shared" si="273"/>
        <v>1445</v>
      </c>
      <c r="N2049" s="29"/>
      <c r="O2049" s="44">
        <f t="shared" si="274"/>
        <v>0.26215529753265604</v>
      </c>
    </row>
    <row r="2050" spans="1:15" ht="20.100000000000001" customHeight="1" x14ac:dyDescent="0.25">
      <c r="A2050" s="89">
        <v>1205</v>
      </c>
      <c r="B2050" s="4">
        <v>44166</v>
      </c>
      <c r="C2050" s="5" t="s">
        <v>478</v>
      </c>
      <c r="D2050" s="3">
        <v>70599</v>
      </c>
      <c r="E2050" s="4">
        <v>44266</v>
      </c>
      <c r="F2050" s="92" t="s">
        <v>28</v>
      </c>
      <c r="G2050" s="32">
        <v>44218</v>
      </c>
      <c r="H2050" s="27">
        <f t="shared" si="272"/>
        <v>70599</v>
      </c>
      <c r="I2050" s="27">
        <f>H2050</f>
        <v>70599</v>
      </c>
      <c r="J2050" s="27"/>
      <c r="K2050" s="99">
        <f>6*1200</f>
        <v>7200</v>
      </c>
      <c r="L2050" s="27">
        <v>32694.560000000001</v>
      </c>
      <c r="M2050" s="29">
        <f t="shared" si="273"/>
        <v>30704.440000000002</v>
      </c>
      <c r="N2050" s="29">
        <f>M2050</f>
        <v>30704.440000000002</v>
      </c>
      <c r="O2050" s="44">
        <f t="shared" si="274"/>
        <v>0.43491324239720114</v>
      </c>
    </row>
    <row r="2051" spans="1:15" ht="20.100000000000001" customHeight="1" x14ac:dyDescent="0.25">
      <c r="A2051" s="89">
        <v>198</v>
      </c>
      <c r="B2051" s="4">
        <v>44266</v>
      </c>
      <c r="C2051" s="26" t="s">
        <v>307</v>
      </c>
      <c r="D2051" s="3">
        <v>108424</v>
      </c>
      <c r="E2051" s="4">
        <v>44266</v>
      </c>
      <c r="F2051" s="92" t="s">
        <v>28</v>
      </c>
      <c r="G2051" s="32">
        <v>44271</v>
      </c>
      <c r="H2051" s="27">
        <f t="shared" si="272"/>
        <v>108424</v>
      </c>
      <c r="I2051" s="27"/>
      <c r="J2051" s="27"/>
      <c r="K2051" s="99">
        <v>600</v>
      </c>
      <c r="L2051" s="27">
        <v>73152</v>
      </c>
      <c r="M2051" s="29">
        <f t="shared" si="273"/>
        <v>34672</v>
      </c>
      <c r="N2051" s="29"/>
      <c r="O2051" s="44">
        <f t="shared" si="274"/>
        <v>0.31978159817014684</v>
      </c>
    </row>
    <row r="2052" spans="1:15" ht="20.100000000000001" customHeight="1" x14ac:dyDescent="0.25">
      <c r="A2052" s="89">
        <v>199</v>
      </c>
      <c r="B2052" s="4">
        <v>44266</v>
      </c>
      <c r="C2052" s="26" t="s">
        <v>179</v>
      </c>
      <c r="D2052" s="3">
        <v>6332</v>
      </c>
      <c r="E2052" s="4">
        <v>44271</v>
      </c>
      <c r="F2052" s="92" t="s">
        <v>28</v>
      </c>
      <c r="G2052" s="32">
        <v>44298</v>
      </c>
      <c r="H2052" s="27">
        <f t="shared" si="272"/>
        <v>6332</v>
      </c>
      <c r="I2052" s="27"/>
      <c r="J2052" s="27"/>
      <c r="K2052" s="99"/>
      <c r="L2052" s="27">
        <v>4939</v>
      </c>
      <c r="M2052" s="29">
        <f t="shared" si="273"/>
        <v>1393</v>
      </c>
      <c r="N2052" s="29"/>
      <c r="O2052" s="44">
        <f t="shared" si="274"/>
        <v>0.21999368288060644</v>
      </c>
    </row>
    <row r="2053" spans="1:15" ht="20.100000000000001" customHeight="1" x14ac:dyDescent="0.25">
      <c r="A2053" s="89">
        <v>182</v>
      </c>
      <c r="B2053" s="4">
        <v>44259</v>
      </c>
      <c r="C2053" s="26" t="s">
        <v>228</v>
      </c>
      <c r="D2053" s="3">
        <v>20835</v>
      </c>
      <c r="E2053" s="4">
        <v>44271</v>
      </c>
      <c r="F2053" s="92" t="s">
        <v>28</v>
      </c>
      <c r="G2053" s="32">
        <v>44295</v>
      </c>
      <c r="H2053" s="27">
        <f t="shared" si="272"/>
        <v>20835</v>
      </c>
      <c r="I2053" s="27"/>
      <c r="J2053" s="27"/>
      <c r="K2053" s="99"/>
      <c r="L2053" s="29">
        <v>13751</v>
      </c>
      <c r="M2053" s="29">
        <f t="shared" si="273"/>
        <v>7084</v>
      </c>
      <c r="N2053" s="29"/>
      <c r="O2053" s="44">
        <f t="shared" si="274"/>
        <v>0.3400047996160307</v>
      </c>
    </row>
    <row r="2054" spans="1:15" ht="20.100000000000001" customHeight="1" x14ac:dyDescent="0.25">
      <c r="A2054" s="89">
        <v>213</v>
      </c>
      <c r="B2054" s="4">
        <v>44272</v>
      </c>
      <c r="C2054" s="26" t="s">
        <v>326</v>
      </c>
      <c r="D2054" s="3">
        <v>3576</v>
      </c>
      <c r="E2054" s="4">
        <v>44272</v>
      </c>
      <c r="F2054" s="92" t="s">
        <v>28</v>
      </c>
      <c r="G2054" s="32">
        <v>44272</v>
      </c>
      <c r="H2054" s="27">
        <f t="shared" si="272"/>
        <v>3576</v>
      </c>
      <c r="I2054" s="27"/>
      <c r="J2054" s="27"/>
      <c r="K2054" s="99"/>
      <c r="L2054" s="27">
        <v>2178</v>
      </c>
      <c r="M2054" s="29">
        <f t="shared" si="273"/>
        <v>1398</v>
      </c>
      <c r="N2054" s="29"/>
      <c r="O2054" s="44">
        <f t="shared" si="274"/>
        <v>0.39093959731543626</v>
      </c>
    </row>
    <row r="2055" spans="1:15" ht="20.100000000000001" customHeight="1" x14ac:dyDescent="0.25">
      <c r="A2055" s="89">
        <v>1051</v>
      </c>
      <c r="B2055" s="4">
        <v>44130</v>
      </c>
      <c r="C2055" s="26" t="s">
        <v>433</v>
      </c>
      <c r="D2055" s="3">
        <v>63920</v>
      </c>
      <c r="E2055" s="4">
        <v>44272</v>
      </c>
      <c r="F2055" s="92" t="s">
        <v>28</v>
      </c>
      <c r="G2055" s="32">
        <v>44238</v>
      </c>
      <c r="H2055" s="27">
        <f t="shared" si="272"/>
        <v>63920</v>
      </c>
      <c r="I2055" s="27"/>
      <c r="J2055" s="27"/>
      <c r="K2055" s="99"/>
      <c r="L2055" s="27">
        <v>53591</v>
      </c>
      <c r="M2055" s="29">
        <f t="shared" si="273"/>
        <v>10329</v>
      </c>
      <c r="N2055" s="29"/>
      <c r="O2055" s="44">
        <f t="shared" si="274"/>
        <v>0.16159261576971215</v>
      </c>
    </row>
    <row r="2056" spans="1:15" ht="20.100000000000001" customHeight="1" x14ac:dyDescent="0.25">
      <c r="A2056" s="89">
        <v>991</v>
      </c>
      <c r="B2056" s="4">
        <v>44133</v>
      </c>
      <c r="C2056" s="26" t="s">
        <v>65</v>
      </c>
      <c r="D2056" s="3">
        <v>874385.02</v>
      </c>
      <c r="E2056" s="4">
        <v>44273</v>
      </c>
      <c r="F2056" s="92" t="s">
        <v>28</v>
      </c>
      <c r="G2056" s="32">
        <v>44243</v>
      </c>
      <c r="H2056" s="27">
        <v>52866</v>
      </c>
      <c r="I2056" s="27"/>
      <c r="J2056" s="27"/>
      <c r="K2056" s="99"/>
      <c r="L2056" s="27">
        <v>47827</v>
      </c>
      <c r="M2056" s="29">
        <f t="shared" si="273"/>
        <v>5039</v>
      </c>
      <c r="N2056" s="29"/>
      <c r="O2056" s="44">
        <f t="shared" si="274"/>
        <v>9.531646048499981E-2</v>
      </c>
    </row>
    <row r="2057" spans="1:15" ht="20.100000000000001" customHeight="1" x14ac:dyDescent="0.25">
      <c r="A2057" s="89">
        <v>36</v>
      </c>
      <c r="B2057" s="4">
        <v>44229</v>
      </c>
      <c r="C2057" s="26" t="s">
        <v>65</v>
      </c>
      <c r="D2057" s="3">
        <v>453609.6</v>
      </c>
      <c r="E2057" s="4">
        <v>44273</v>
      </c>
      <c r="F2057" s="92" t="s">
        <v>28</v>
      </c>
      <c r="G2057" s="32">
        <v>44243</v>
      </c>
      <c r="H2057" s="27">
        <v>332587.2</v>
      </c>
      <c r="I2057" s="27"/>
      <c r="J2057" s="27"/>
      <c r="K2057" s="99">
        <f>32*1200</f>
        <v>38400</v>
      </c>
      <c r="L2057" s="27">
        <v>172763.85</v>
      </c>
      <c r="M2057" s="29">
        <f t="shared" si="273"/>
        <v>121423.35</v>
      </c>
      <c r="N2057" s="29"/>
      <c r="O2057" s="44">
        <f t="shared" si="274"/>
        <v>0.36508726132575159</v>
      </c>
    </row>
    <row r="2058" spans="1:15" ht="20.100000000000001" customHeight="1" x14ac:dyDescent="0.25">
      <c r="A2058" s="89">
        <v>168</v>
      </c>
      <c r="B2058" s="4">
        <v>44258</v>
      </c>
      <c r="C2058" s="26" t="s">
        <v>13</v>
      </c>
      <c r="D2058" s="3">
        <v>13448</v>
      </c>
      <c r="E2058" s="4">
        <v>44274</v>
      </c>
      <c r="F2058" s="92" t="s">
        <v>28</v>
      </c>
      <c r="G2058" s="32">
        <v>44259</v>
      </c>
      <c r="H2058" s="27">
        <f t="shared" ref="H2058:H2070" si="275">D2058</f>
        <v>13448</v>
      </c>
      <c r="I2058" s="27"/>
      <c r="J2058" s="27"/>
      <c r="K2058" s="99"/>
      <c r="L2058" s="29">
        <v>9788</v>
      </c>
      <c r="M2058" s="29">
        <f t="shared" si="273"/>
        <v>3660</v>
      </c>
      <c r="N2058" s="29"/>
      <c r="O2058" s="44">
        <f t="shared" si="274"/>
        <v>0.2721594289113623</v>
      </c>
    </row>
    <row r="2059" spans="1:15" ht="20.100000000000001" customHeight="1" x14ac:dyDescent="0.25">
      <c r="A2059" s="89">
        <v>18</v>
      </c>
      <c r="B2059" s="4">
        <v>44229</v>
      </c>
      <c r="C2059" s="26" t="s">
        <v>275</v>
      </c>
      <c r="D2059" s="3">
        <v>41220</v>
      </c>
      <c r="E2059" s="4">
        <v>44274</v>
      </c>
      <c r="F2059" s="92" t="s">
        <v>28</v>
      </c>
      <c r="G2059" s="32">
        <v>44243</v>
      </c>
      <c r="H2059" s="27">
        <f t="shared" si="275"/>
        <v>41220</v>
      </c>
      <c r="I2059" s="27"/>
      <c r="J2059" s="27"/>
      <c r="K2059" s="99"/>
      <c r="L2059" s="29">
        <v>28321</v>
      </c>
      <c r="M2059" s="29">
        <f t="shared" si="273"/>
        <v>12899</v>
      </c>
      <c r="N2059" s="29"/>
      <c r="O2059" s="44">
        <f t="shared" si="274"/>
        <v>0.31293061620572538</v>
      </c>
    </row>
    <row r="2060" spans="1:15" ht="20.100000000000001" customHeight="1" x14ac:dyDescent="0.25">
      <c r="A2060" s="89">
        <v>160</v>
      </c>
      <c r="B2060" s="4">
        <v>44253</v>
      </c>
      <c r="C2060" s="26" t="s">
        <v>403</v>
      </c>
      <c r="D2060" s="3">
        <v>7910</v>
      </c>
      <c r="E2060" s="4">
        <v>44277</v>
      </c>
      <c r="F2060" s="92" t="s">
        <v>28</v>
      </c>
      <c r="G2060" s="32">
        <v>44254</v>
      </c>
      <c r="H2060" s="27">
        <f t="shared" si="275"/>
        <v>7910</v>
      </c>
      <c r="I2060" s="27"/>
      <c r="J2060" s="27"/>
      <c r="K2060" s="99"/>
      <c r="L2060" s="27">
        <v>6788</v>
      </c>
      <c r="M2060" s="29">
        <f t="shared" si="273"/>
        <v>1122</v>
      </c>
      <c r="N2060" s="29"/>
      <c r="O2060" s="44">
        <f t="shared" si="274"/>
        <v>0.14184576485461442</v>
      </c>
    </row>
    <row r="2061" spans="1:15" ht="20.100000000000001" customHeight="1" x14ac:dyDescent="0.25">
      <c r="A2061" s="89">
        <v>227</v>
      </c>
      <c r="B2061" s="4">
        <v>44273</v>
      </c>
      <c r="C2061" s="26" t="s">
        <v>489</v>
      </c>
      <c r="D2061" s="3">
        <v>11756</v>
      </c>
      <c r="E2061" s="4">
        <v>44277</v>
      </c>
      <c r="F2061" s="92" t="s">
        <v>28</v>
      </c>
      <c r="G2061" s="32">
        <v>44277</v>
      </c>
      <c r="H2061" s="27">
        <f t="shared" si="275"/>
        <v>11756</v>
      </c>
      <c r="I2061" s="27"/>
      <c r="J2061" s="27"/>
      <c r="K2061" s="99"/>
      <c r="L2061" s="27">
        <v>7758</v>
      </c>
      <c r="M2061" s="29">
        <f t="shared" si="273"/>
        <v>3998</v>
      </c>
      <c r="N2061" s="29"/>
      <c r="O2061" s="44">
        <f t="shared" si="274"/>
        <v>0.34008166042871724</v>
      </c>
    </row>
    <row r="2062" spans="1:15" ht="20.100000000000001" customHeight="1" x14ac:dyDescent="0.25">
      <c r="A2062" s="89">
        <v>195</v>
      </c>
      <c r="B2062" s="4">
        <v>44265</v>
      </c>
      <c r="C2062" s="26" t="s">
        <v>488</v>
      </c>
      <c r="D2062" s="3">
        <v>24990</v>
      </c>
      <c r="E2062" s="4">
        <v>44279</v>
      </c>
      <c r="F2062" s="92" t="s">
        <v>28</v>
      </c>
      <c r="G2062" s="32">
        <v>44265</v>
      </c>
      <c r="H2062" s="27">
        <f t="shared" si="275"/>
        <v>24990</v>
      </c>
      <c r="I2062" s="27"/>
      <c r="J2062" s="27"/>
      <c r="K2062" s="99"/>
      <c r="L2062" s="27">
        <v>18367</v>
      </c>
      <c r="M2062" s="29">
        <f t="shared" si="273"/>
        <v>6623</v>
      </c>
      <c r="N2062" s="29"/>
      <c r="O2062" s="44">
        <f t="shared" si="274"/>
        <v>0.26502601040416168</v>
      </c>
    </row>
    <row r="2063" spans="1:15" ht="20.100000000000001" customHeight="1" x14ac:dyDescent="0.25">
      <c r="A2063" s="89">
        <v>239</v>
      </c>
      <c r="B2063" s="4">
        <v>44278</v>
      </c>
      <c r="C2063" s="26" t="s">
        <v>470</v>
      </c>
      <c r="D2063" s="3">
        <v>2150</v>
      </c>
      <c r="E2063" s="4">
        <v>44280</v>
      </c>
      <c r="F2063" s="92" t="s">
        <v>28</v>
      </c>
      <c r="G2063" s="32">
        <v>44284</v>
      </c>
      <c r="H2063" s="27">
        <f t="shared" si="275"/>
        <v>2150</v>
      </c>
      <c r="I2063" s="27"/>
      <c r="J2063" s="27"/>
      <c r="K2063" s="99"/>
      <c r="L2063" s="27">
        <v>1675</v>
      </c>
      <c r="M2063" s="29">
        <f t="shared" si="273"/>
        <v>475</v>
      </c>
      <c r="N2063" s="29"/>
      <c r="O2063" s="44">
        <f t="shared" si="274"/>
        <v>0.22093023255813954</v>
      </c>
    </row>
    <row r="2064" spans="1:15" ht="20.100000000000001" customHeight="1" x14ac:dyDescent="0.25">
      <c r="A2064" s="89">
        <v>244</v>
      </c>
      <c r="B2064" s="4">
        <v>44280</v>
      </c>
      <c r="C2064" s="5" t="s">
        <v>490</v>
      </c>
      <c r="D2064" s="3">
        <v>11590</v>
      </c>
      <c r="E2064" s="4">
        <v>44280</v>
      </c>
      <c r="F2064" s="92" t="s">
        <v>28</v>
      </c>
      <c r="G2064" s="32">
        <v>44280</v>
      </c>
      <c r="H2064" s="27">
        <f t="shared" si="275"/>
        <v>11590</v>
      </c>
      <c r="I2064" s="27">
        <f>H2064</f>
        <v>11590</v>
      </c>
      <c r="J2064" s="27"/>
      <c r="K2064" s="99"/>
      <c r="L2064" s="27">
        <v>8407.75</v>
      </c>
      <c r="M2064" s="29">
        <f t="shared" si="273"/>
        <v>3182.25</v>
      </c>
      <c r="N2064" s="29">
        <f>M2064</f>
        <v>3182.25</v>
      </c>
      <c r="O2064" s="44">
        <f t="shared" si="274"/>
        <v>0.27456859361518549</v>
      </c>
    </row>
    <row r="2065" spans="1:15" ht="20.100000000000001" customHeight="1" x14ac:dyDescent="0.25">
      <c r="A2065" s="89">
        <v>188</v>
      </c>
      <c r="B2065" s="4">
        <v>44264</v>
      </c>
      <c r="C2065" s="26" t="s">
        <v>60</v>
      </c>
      <c r="D2065" s="3">
        <v>31764</v>
      </c>
      <c r="E2065" s="4">
        <v>44281</v>
      </c>
      <c r="F2065" s="92" t="s">
        <v>28</v>
      </c>
      <c r="G2065" s="32">
        <v>44266</v>
      </c>
      <c r="H2065" s="27">
        <f t="shared" si="275"/>
        <v>31764</v>
      </c>
      <c r="I2065" s="27"/>
      <c r="J2065" s="27"/>
      <c r="K2065" s="99"/>
      <c r="L2065" s="27">
        <v>19184</v>
      </c>
      <c r="M2065" s="29">
        <f t="shared" si="273"/>
        <v>12580</v>
      </c>
      <c r="N2065" s="29"/>
      <c r="O2065" s="44">
        <f t="shared" si="274"/>
        <v>0.39604583805566052</v>
      </c>
    </row>
    <row r="2066" spans="1:15" ht="20.100000000000001" customHeight="1" x14ac:dyDescent="0.25">
      <c r="A2066" s="89">
        <v>140</v>
      </c>
      <c r="B2066" s="4">
        <v>44245</v>
      </c>
      <c r="C2066" s="26" t="s">
        <v>209</v>
      </c>
      <c r="D2066" s="3">
        <v>7587.95</v>
      </c>
      <c r="E2066" s="4">
        <v>44284</v>
      </c>
      <c r="F2066" s="92" t="s">
        <v>28</v>
      </c>
      <c r="G2066" s="32">
        <v>44252</v>
      </c>
      <c r="H2066" s="27">
        <f t="shared" si="275"/>
        <v>7587.95</v>
      </c>
      <c r="I2066" s="27"/>
      <c r="J2066" s="27"/>
      <c r="K2066" s="99"/>
      <c r="L2066" s="27">
        <v>6137</v>
      </c>
      <c r="M2066" s="29">
        <f t="shared" si="273"/>
        <v>1450.9499999999998</v>
      </c>
      <c r="N2066" s="29"/>
      <c r="O2066" s="44">
        <f t="shared" si="274"/>
        <v>0.19121765430715804</v>
      </c>
    </row>
    <row r="2067" spans="1:15" ht="20.100000000000001" customHeight="1" x14ac:dyDescent="0.25">
      <c r="A2067" s="89">
        <v>62</v>
      </c>
      <c r="B2067" s="4">
        <v>44228</v>
      </c>
      <c r="C2067" s="26" t="s">
        <v>228</v>
      </c>
      <c r="D2067" s="3">
        <v>30509</v>
      </c>
      <c r="E2067" s="4">
        <v>44285</v>
      </c>
      <c r="F2067" s="92" t="s">
        <v>28</v>
      </c>
      <c r="G2067" s="32">
        <v>44266</v>
      </c>
      <c r="H2067" s="27">
        <f t="shared" si="275"/>
        <v>30509</v>
      </c>
      <c r="I2067" s="27"/>
      <c r="J2067" s="27"/>
      <c r="K2067" s="99"/>
      <c r="L2067" s="27">
        <v>20118</v>
      </c>
      <c r="M2067" s="29">
        <f t="shared" si="273"/>
        <v>10391</v>
      </c>
      <c r="N2067" s="29"/>
      <c r="O2067" s="44">
        <f t="shared" si="274"/>
        <v>0.34058802320626702</v>
      </c>
    </row>
    <row r="2068" spans="1:15" ht="20.100000000000001" customHeight="1" x14ac:dyDescent="0.25">
      <c r="A2068" s="89">
        <v>264</v>
      </c>
      <c r="B2068" s="4">
        <v>44284</v>
      </c>
      <c r="C2068" s="26" t="s">
        <v>396</v>
      </c>
      <c r="D2068" s="3">
        <v>13990</v>
      </c>
      <c r="E2068" s="4">
        <v>44285</v>
      </c>
      <c r="F2068" s="92" t="s">
        <v>28</v>
      </c>
      <c r="G2068" s="32">
        <v>44302</v>
      </c>
      <c r="H2068" s="27">
        <f t="shared" si="275"/>
        <v>13990</v>
      </c>
      <c r="I2068" s="27"/>
      <c r="J2068" s="27"/>
      <c r="K2068" s="99"/>
      <c r="L2068" s="27">
        <v>10283</v>
      </c>
      <c r="M2068" s="29">
        <f t="shared" si="273"/>
        <v>3707</v>
      </c>
      <c r="N2068" s="29"/>
      <c r="O2068" s="44">
        <f t="shared" si="274"/>
        <v>0.26497498213009291</v>
      </c>
    </row>
    <row r="2069" spans="1:15" ht="20.100000000000001" customHeight="1" x14ac:dyDescent="0.25">
      <c r="A2069" s="89">
        <v>59</v>
      </c>
      <c r="B2069" s="4">
        <v>44225</v>
      </c>
      <c r="C2069" s="26" t="s">
        <v>99</v>
      </c>
      <c r="D2069" s="3">
        <v>207414</v>
      </c>
      <c r="E2069" s="4">
        <v>44285</v>
      </c>
      <c r="F2069" s="92" t="s">
        <v>28</v>
      </c>
      <c r="G2069" s="32">
        <v>44264</v>
      </c>
      <c r="H2069" s="27">
        <f t="shared" si="275"/>
        <v>207414</v>
      </c>
      <c r="I2069" s="27"/>
      <c r="J2069" s="27"/>
      <c r="K2069" s="99">
        <f>23*600</f>
        <v>13800</v>
      </c>
      <c r="L2069" s="27">
        <v>162389.9</v>
      </c>
      <c r="M2069" s="29">
        <f t="shared" si="273"/>
        <v>31224.100000000006</v>
      </c>
      <c r="N2069" s="29"/>
      <c r="O2069" s="44">
        <f t="shared" si="274"/>
        <v>0.15053998283625988</v>
      </c>
    </row>
    <row r="2070" spans="1:15" ht="20.100000000000001" customHeight="1" x14ac:dyDescent="0.25">
      <c r="A2070" s="89">
        <v>1247</v>
      </c>
      <c r="B2070" s="4">
        <v>44179</v>
      </c>
      <c r="C2070" s="26" t="s">
        <v>433</v>
      </c>
      <c r="D2070" s="3">
        <v>49564</v>
      </c>
      <c r="E2070" s="4">
        <v>44286</v>
      </c>
      <c r="F2070" s="92" t="s">
        <v>28</v>
      </c>
      <c r="G2070" s="32">
        <v>44222</v>
      </c>
      <c r="H2070" s="27">
        <f t="shared" si="275"/>
        <v>49564</v>
      </c>
      <c r="I2070" s="27"/>
      <c r="J2070" s="27"/>
      <c r="K2070" s="99"/>
      <c r="L2070" s="27">
        <v>35062</v>
      </c>
      <c r="M2070" s="29">
        <f t="shared" si="273"/>
        <v>14502</v>
      </c>
      <c r="N2070" s="29"/>
      <c r="O2070" s="44">
        <f t="shared" si="274"/>
        <v>0.29259139698168024</v>
      </c>
    </row>
    <row r="2071" spans="1:15" ht="19.5" customHeight="1" x14ac:dyDescent="0.25">
      <c r="A2071" s="89"/>
      <c r="B2071" s="4"/>
      <c r="C2071" s="5"/>
      <c r="D2071" s="3"/>
      <c r="E2071" s="97">
        <v>79867</v>
      </c>
      <c r="F2071" s="98">
        <f>M2071*0.17+N2071*0.06+10000</f>
        <v>79867.260700000013</v>
      </c>
      <c r="G2071" s="21">
        <f>H2071*0.05+I2071*0.02+10000</f>
        <v>82406.342499999984</v>
      </c>
      <c r="H2071" s="16">
        <f t="shared" ref="H2071:N2071" si="276">SUM(H2043:H2070)</f>
        <v>1356988.8499999999</v>
      </c>
      <c r="I2071" s="16">
        <f t="shared" si="276"/>
        <v>227845</v>
      </c>
      <c r="J2071" s="16">
        <f t="shared" si="276"/>
        <v>0</v>
      </c>
      <c r="K2071" s="16">
        <f t="shared" si="276"/>
        <v>60000</v>
      </c>
      <c r="L2071" s="16">
        <f t="shared" si="276"/>
        <v>912249.56</v>
      </c>
      <c r="M2071" s="16">
        <f t="shared" si="276"/>
        <v>384739.29000000004</v>
      </c>
      <c r="N2071" s="16">
        <f t="shared" si="276"/>
        <v>74359.69</v>
      </c>
      <c r="O2071" s="44">
        <f t="shared" si="274"/>
        <v>0.28352428245817946</v>
      </c>
    </row>
    <row r="2072" spans="1:15" ht="23.25" x14ac:dyDescent="0.35">
      <c r="B2072" s="94"/>
      <c r="C2072" s="94" t="s">
        <v>638</v>
      </c>
    </row>
    <row r="2073" spans="1:15" ht="20.100000000000001" customHeight="1" x14ac:dyDescent="0.25">
      <c r="A2073" s="89">
        <v>1224</v>
      </c>
      <c r="B2073" s="4">
        <v>44173</v>
      </c>
      <c r="C2073" s="26" t="s">
        <v>38</v>
      </c>
      <c r="D2073" s="3">
        <v>137560</v>
      </c>
      <c r="E2073" s="4">
        <v>44287</v>
      </c>
      <c r="F2073" s="92" t="s">
        <v>28</v>
      </c>
      <c r="G2073" s="32">
        <v>44173</v>
      </c>
      <c r="H2073" s="27">
        <f t="shared" ref="H2073:H2082" si="277">D2073</f>
        <v>137560</v>
      </c>
      <c r="I2073" s="27"/>
      <c r="J2073" s="27"/>
      <c r="K2073" s="99"/>
      <c r="L2073" s="27">
        <v>94672.53</v>
      </c>
      <c r="M2073" s="29">
        <f t="shared" ref="M2073:M2094" si="278">H2073-L2073-J2073-K2073</f>
        <v>42887.47</v>
      </c>
      <c r="N2073" s="29"/>
      <c r="O2073" s="44">
        <f t="shared" ref="O2073:O2095" si="279">M2073/H2073</f>
        <v>0.31177282640302412</v>
      </c>
    </row>
    <row r="2074" spans="1:15" ht="20.100000000000001" customHeight="1" x14ac:dyDescent="0.25">
      <c r="A2074" s="89">
        <v>268</v>
      </c>
      <c r="B2074" s="4">
        <v>44285</v>
      </c>
      <c r="C2074" s="26" t="s">
        <v>443</v>
      </c>
      <c r="D2074" s="3">
        <v>6220</v>
      </c>
      <c r="E2074" s="4">
        <v>44287</v>
      </c>
      <c r="F2074" s="92" t="s">
        <v>28</v>
      </c>
      <c r="G2074" s="32">
        <v>44294</v>
      </c>
      <c r="H2074" s="27">
        <f t="shared" si="277"/>
        <v>6220</v>
      </c>
      <c r="I2074" s="27"/>
      <c r="J2074" s="27"/>
      <c r="K2074" s="99"/>
      <c r="L2074" s="27">
        <v>3728</v>
      </c>
      <c r="M2074" s="29">
        <f t="shared" si="278"/>
        <v>2492</v>
      </c>
      <c r="N2074" s="29"/>
      <c r="O2074" s="44">
        <f t="shared" si="279"/>
        <v>0.40064308681672028</v>
      </c>
    </row>
    <row r="2075" spans="1:15" ht="20.100000000000001" customHeight="1" x14ac:dyDescent="0.25">
      <c r="A2075" s="89">
        <v>100</v>
      </c>
      <c r="B2075" s="4">
        <v>44231</v>
      </c>
      <c r="C2075" s="26" t="s">
        <v>66</v>
      </c>
      <c r="D2075" s="3">
        <v>1250</v>
      </c>
      <c r="E2075" s="4">
        <v>44287</v>
      </c>
      <c r="F2075" s="92" t="s">
        <v>28</v>
      </c>
      <c r="G2075" s="32">
        <v>44232</v>
      </c>
      <c r="H2075" s="27">
        <f t="shared" si="277"/>
        <v>1250</v>
      </c>
      <c r="I2075" s="27"/>
      <c r="J2075" s="27"/>
      <c r="K2075" s="99"/>
      <c r="L2075" s="29">
        <v>893</v>
      </c>
      <c r="M2075" s="29">
        <f t="shared" si="278"/>
        <v>357</v>
      </c>
      <c r="N2075" s="29"/>
      <c r="O2075" s="44">
        <f t="shared" si="279"/>
        <v>0.28560000000000002</v>
      </c>
    </row>
    <row r="2076" spans="1:15" ht="20.100000000000001" customHeight="1" x14ac:dyDescent="0.25">
      <c r="A2076" s="89">
        <v>233</v>
      </c>
      <c r="B2076" s="4">
        <v>44284</v>
      </c>
      <c r="C2076" s="26" t="s">
        <v>11</v>
      </c>
      <c r="D2076" s="3">
        <v>9196</v>
      </c>
      <c r="E2076" s="4">
        <v>44288</v>
      </c>
      <c r="F2076" s="92" t="s">
        <v>28</v>
      </c>
      <c r="G2076" s="32">
        <v>44295</v>
      </c>
      <c r="H2076" s="27">
        <f t="shared" si="277"/>
        <v>9196</v>
      </c>
      <c r="I2076" s="27"/>
      <c r="J2076" s="27"/>
      <c r="K2076" s="99"/>
      <c r="L2076" s="29">
        <v>7120</v>
      </c>
      <c r="M2076" s="29">
        <f t="shared" si="278"/>
        <v>2076</v>
      </c>
      <c r="N2076" s="29"/>
      <c r="O2076" s="44">
        <f t="shared" si="279"/>
        <v>0.22575032622879512</v>
      </c>
    </row>
    <row r="2077" spans="1:15" ht="20.100000000000001" customHeight="1" x14ac:dyDescent="0.25">
      <c r="A2077" s="89">
        <v>292</v>
      </c>
      <c r="B2077" s="4">
        <v>44288</v>
      </c>
      <c r="C2077" s="26" t="s">
        <v>443</v>
      </c>
      <c r="D2077" s="3">
        <v>2336</v>
      </c>
      <c r="E2077" s="4">
        <v>44291</v>
      </c>
      <c r="F2077" s="92" t="s">
        <v>28</v>
      </c>
      <c r="G2077" s="32">
        <v>44294</v>
      </c>
      <c r="H2077" s="27">
        <f t="shared" si="277"/>
        <v>2336</v>
      </c>
      <c r="I2077" s="27"/>
      <c r="J2077" s="27"/>
      <c r="K2077" s="99"/>
      <c r="L2077" s="29">
        <v>1822</v>
      </c>
      <c r="M2077" s="29">
        <f t="shared" si="278"/>
        <v>514</v>
      </c>
      <c r="N2077" s="29"/>
      <c r="O2077" s="44">
        <f t="shared" si="279"/>
        <v>0.22003424657534246</v>
      </c>
    </row>
    <row r="2078" spans="1:15" ht="20.100000000000001" customHeight="1" x14ac:dyDescent="0.25">
      <c r="A2078" s="89">
        <v>277</v>
      </c>
      <c r="B2078" s="4">
        <v>44287</v>
      </c>
      <c r="C2078" s="26" t="s">
        <v>139</v>
      </c>
      <c r="D2078" s="3">
        <v>8976</v>
      </c>
      <c r="E2078" s="4">
        <v>44293</v>
      </c>
      <c r="F2078" s="92" t="s">
        <v>28</v>
      </c>
      <c r="G2078" s="32">
        <v>44306</v>
      </c>
      <c r="H2078" s="27">
        <f t="shared" si="277"/>
        <v>8976</v>
      </c>
      <c r="I2078" s="27"/>
      <c r="J2078" s="27"/>
      <c r="K2078" s="99"/>
      <c r="L2078" s="29">
        <v>6849</v>
      </c>
      <c r="M2078" s="29">
        <f t="shared" si="278"/>
        <v>2127</v>
      </c>
      <c r="N2078" s="29"/>
      <c r="O2078" s="44">
        <f t="shared" si="279"/>
        <v>0.23696524064171123</v>
      </c>
    </row>
    <row r="2079" spans="1:15" ht="20.100000000000001" customHeight="1" x14ac:dyDescent="0.25">
      <c r="A2079" s="89">
        <v>306</v>
      </c>
      <c r="B2079" s="4">
        <v>44293</v>
      </c>
      <c r="C2079" s="26" t="s">
        <v>171</v>
      </c>
      <c r="D2079" s="3">
        <v>72980</v>
      </c>
      <c r="E2079" s="4">
        <v>44294</v>
      </c>
      <c r="F2079" s="92" t="s">
        <v>28</v>
      </c>
      <c r="G2079" s="32">
        <v>44308</v>
      </c>
      <c r="H2079" s="27">
        <f t="shared" si="277"/>
        <v>72980</v>
      </c>
      <c r="I2079" s="27"/>
      <c r="J2079" s="27"/>
      <c r="K2079" s="99"/>
      <c r="L2079" s="29">
        <v>49417</v>
      </c>
      <c r="M2079" s="29">
        <f t="shared" si="278"/>
        <v>23563</v>
      </c>
      <c r="N2079" s="29"/>
      <c r="O2079" s="44">
        <f t="shared" si="279"/>
        <v>0.3228692792545903</v>
      </c>
    </row>
    <row r="2080" spans="1:15" ht="20.100000000000001" customHeight="1" x14ac:dyDescent="0.25">
      <c r="A2080" s="89">
        <v>253</v>
      </c>
      <c r="B2080" s="4">
        <v>44281</v>
      </c>
      <c r="C2080" s="26" t="s">
        <v>316</v>
      </c>
      <c r="D2080" s="3">
        <v>4280</v>
      </c>
      <c r="E2080" s="4">
        <v>44295</v>
      </c>
      <c r="F2080" s="92" t="s">
        <v>28</v>
      </c>
      <c r="G2080" s="32">
        <v>44307</v>
      </c>
      <c r="H2080" s="27">
        <f t="shared" si="277"/>
        <v>4280</v>
      </c>
      <c r="I2080" s="27"/>
      <c r="J2080" s="27"/>
      <c r="K2080" s="99"/>
      <c r="L2080" s="29">
        <v>2776</v>
      </c>
      <c r="M2080" s="29">
        <f t="shared" si="278"/>
        <v>1504</v>
      </c>
      <c r="N2080" s="29"/>
      <c r="O2080" s="44">
        <f t="shared" si="279"/>
        <v>0.3514018691588785</v>
      </c>
    </row>
    <row r="2081" spans="1:15" ht="20.100000000000001" customHeight="1" x14ac:dyDescent="0.25">
      <c r="A2081" s="89">
        <v>318</v>
      </c>
      <c r="B2081" s="4">
        <v>44295</v>
      </c>
      <c r="C2081" s="26" t="s">
        <v>338</v>
      </c>
      <c r="D2081" s="3">
        <v>6890</v>
      </c>
      <c r="E2081" s="4">
        <v>44298</v>
      </c>
      <c r="F2081" s="92" t="s">
        <v>28</v>
      </c>
      <c r="G2081" s="32">
        <v>44301</v>
      </c>
      <c r="H2081" s="27">
        <f t="shared" si="277"/>
        <v>6890</v>
      </c>
      <c r="I2081" s="27"/>
      <c r="J2081" s="27"/>
      <c r="K2081" s="99"/>
      <c r="L2081" s="29">
        <v>5060</v>
      </c>
      <c r="M2081" s="29">
        <f t="shared" si="278"/>
        <v>1830</v>
      </c>
      <c r="N2081" s="29"/>
      <c r="O2081" s="44">
        <f t="shared" si="279"/>
        <v>0.26560232220609581</v>
      </c>
    </row>
    <row r="2082" spans="1:15" ht="20.100000000000001" customHeight="1" x14ac:dyDescent="0.25">
      <c r="A2082" s="89">
        <v>293</v>
      </c>
      <c r="B2082" s="4">
        <v>44291</v>
      </c>
      <c r="C2082" s="26" t="s">
        <v>33</v>
      </c>
      <c r="D2082" s="3">
        <v>6985</v>
      </c>
      <c r="E2082" s="4">
        <v>44299</v>
      </c>
      <c r="F2082" s="92" t="s">
        <v>28</v>
      </c>
      <c r="G2082" s="32">
        <v>44308</v>
      </c>
      <c r="H2082" s="27">
        <f t="shared" si="277"/>
        <v>6985</v>
      </c>
      <c r="I2082" s="27"/>
      <c r="J2082" s="27"/>
      <c r="K2082" s="99"/>
      <c r="L2082" s="29">
        <v>5378</v>
      </c>
      <c r="M2082" s="29">
        <f t="shared" si="278"/>
        <v>1607</v>
      </c>
      <c r="N2082" s="29"/>
      <c r="O2082" s="44">
        <f t="shared" si="279"/>
        <v>0.23006442376521116</v>
      </c>
    </row>
    <row r="2083" spans="1:15" ht="20.100000000000001" customHeight="1" x14ac:dyDescent="0.25">
      <c r="A2083" s="89">
        <v>36</v>
      </c>
      <c r="B2083" s="4">
        <v>44229</v>
      </c>
      <c r="C2083" s="26" t="s">
        <v>65</v>
      </c>
      <c r="D2083" s="3">
        <v>453609.6</v>
      </c>
      <c r="E2083" s="4">
        <v>44301</v>
      </c>
      <c r="F2083" s="92" t="s">
        <v>28</v>
      </c>
      <c r="G2083" s="32">
        <v>44264</v>
      </c>
      <c r="H2083" s="27">
        <v>121022.39999999999</v>
      </c>
      <c r="I2083" s="27"/>
      <c r="J2083" s="27"/>
      <c r="K2083" s="99"/>
      <c r="L2083" s="27">
        <v>105735</v>
      </c>
      <c r="M2083" s="29">
        <f t="shared" si="278"/>
        <v>15287.399999999994</v>
      </c>
      <c r="N2083" s="29"/>
      <c r="O2083" s="44">
        <f t="shared" si="279"/>
        <v>0.12631876412961562</v>
      </c>
    </row>
    <row r="2084" spans="1:15" ht="20.100000000000001" customHeight="1" x14ac:dyDescent="0.25">
      <c r="A2084" s="89">
        <v>214</v>
      </c>
      <c r="B2084" s="4">
        <v>44272</v>
      </c>
      <c r="C2084" s="26" t="s">
        <v>11</v>
      </c>
      <c r="D2084" s="3">
        <v>7360</v>
      </c>
      <c r="E2084" s="4">
        <v>44301</v>
      </c>
      <c r="F2084" s="92" t="s">
        <v>28</v>
      </c>
      <c r="G2084" s="32">
        <v>44313</v>
      </c>
      <c r="H2084" s="27">
        <f t="shared" ref="H2084:H2094" si="280">D2084</f>
        <v>7360</v>
      </c>
      <c r="I2084" s="27"/>
      <c r="J2084" s="27"/>
      <c r="K2084" s="99"/>
      <c r="L2084" s="29">
        <v>5292.48</v>
      </c>
      <c r="M2084" s="29">
        <f t="shared" si="278"/>
        <v>2067.5200000000004</v>
      </c>
      <c r="N2084" s="29"/>
      <c r="O2084" s="44">
        <f t="shared" si="279"/>
        <v>0.2809130434782609</v>
      </c>
    </row>
    <row r="2085" spans="1:15" ht="20.100000000000001" customHeight="1" x14ac:dyDescent="0.25">
      <c r="A2085" s="89">
        <v>348</v>
      </c>
      <c r="B2085" s="4">
        <v>44305</v>
      </c>
      <c r="C2085" s="26" t="s">
        <v>435</v>
      </c>
      <c r="D2085" s="3">
        <v>775</v>
      </c>
      <c r="E2085" s="4">
        <v>44306</v>
      </c>
      <c r="F2085" s="92" t="s">
        <v>28</v>
      </c>
      <c r="G2085" s="32">
        <v>44307</v>
      </c>
      <c r="H2085" s="27">
        <f t="shared" si="280"/>
        <v>775</v>
      </c>
      <c r="I2085" s="27"/>
      <c r="J2085" s="27"/>
      <c r="K2085" s="99"/>
      <c r="L2085" s="29">
        <v>604</v>
      </c>
      <c r="M2085" s="29">
        <f t="shared" si="278"/>
        <v>171</v>
      </c>
      <c r="N2085" s="29"/>
      <c r="O2085" s="44">
        <f t="shared" si="279"/>
        <v>0.22064516129032258</v>
      </c>
    </row>
    <row r="2086" spans="1:15" ht="20.100000000000001" customHeight="1" x14ac:dyDescent="0.25">
      <c r="A2086" s="89">
        <v>342</v>
      </c>
      <c r="B2086" s="4">
        <v>44305</v>
      </c>
      <c r="C2086" s="26" t="s">
        <v>281</v>
      </c>
      <c r="D2086" s="3">
        <v>1466</v>
      </c>
      <c r="E2086" s="4">
        <v>44306</v>
      </c>
      <c r="F2086" s="92" t="s">
        <v>28</v>
      </c>
      <c r="G2086" s="32">
        <v>44307</v>
      </c>
      <c r="H2086" s="27">
        <f t="shared" si="280"/>
        <v>1466</v>
      </c>
      <c r="I2086" s="27"/>
      <c r="J2086" s="27"/>
      <c r="K2086" s="99"/>
      <c r="L2086" s="29">
        <v>1143</v>
      </c>
      <c r="M2086" s="29">
        <f t="shared" si="278"/>
        <v>323</v>
      </c>
      <c r="N2086" s="29"/>
      <c r="O2086" s="44">
        <f t="shared" si="279"/>
        <v>0.2203274215552524</v>
      </c>
    </row>
    <row r="2087" spans="1:15" ht="20.100000000000001" customHeight="1" x14ac:dyDescent="0.25">
      <c r="A2087" s="89">
        <v>212</v>
      </c>
      <c r="B2087" s="4">
        <v>44294</v>
      </c>
      <c r="C2087" s="26" t="s">
        <v>13</v>
      </c>
      <c r="D2087" s="3">
        <v>86102.5</v>
      </c>
      <c r="E2087" s="4">
        <v>44306</v>
      </c>
      <c r="F2087" s="92" t="s">
        <v>28</v>
      </c>
      <c r="G2087" s="32">
        <v>44322</v>
      </c>
      <c r="H2087" s="27">
        <f t="shared" si="280"/>
        <v>86102.5</v>
      </c>
      <c r="I2087" s="27"/>
      <c r="J2087" s="27"/>
      <c r="K2087" s="99"/>
      <c r="L2087" s="29">
        <v>66076.740000000005</v>
      </c>
      <c r="M2087" s="29">
        <f t="shared" si="278"/>
        <v>20025.759999999995</v>
      </c>
      <c r="N2087" s="29"/>
      <c r="O2087" s="44">
        <f t="shared" si="279"/>
        <v>0.23258047095032078</v>
      </c>
    </row>
    <row r="2088" spans="1:15" ht="20.100000000000001" customHeight="1" x14ac:dyDescent="0.25">
      <c r="A2088" s="89">
        <v>236</v>
      </c>
      <c r="B2088" s="4">
        <v>44277</v>
      </c>
      <c r="C2088" s="26" t="s">
        <v>65</v>
      </c>
      <c r="D2088" s="3">
        <v>24433.99</v>
      </c>
      <c r="E2088" s="4">
        <v>44308</v>
      </c>
      <c r="F2088" s="92" t="s">
        <v>28</v>
      </c>
      <c r="G2088" s="32">
        <v>44278</v>
      </c>
      <c r="H2088" s="27">
        <f t="shared" si="280"/>
        <v>24433.99</v>
      </c>
      <c r="I2088" s="27"/>
      <c r="J2088" s="27"/>
      <c r="K2088" s="99"/>
      <c r="L2088" s="27">
        <v>15970.52</v>
      </c>
      <c r="M2088" s="29">
        <f t="shared" si="278"/>
        <v>8463.4700000000012</v>
      </c>
      <c r="N2088" s="29"/>
      <c r="O2088" s="44">
        <f t="shared" si="279"/>
        <v>0.34638100449414938</v>
      </c>
    </row>
    <row r="2089" spans="1:15" ht="20.100000000000001" customHeight="1" x14ac:dyDescent="0.25">
      <c r="A2089" s="89">
        <v>179</v>
      </c>
      <c r="B2089" s="4">
        <v>44259</v>
      </c>
      <c r="C2089" s="26" t="s">
        <v>209</v>
      </c>
      <c r="D2089" s="3">
        <v>8126.85</v>
      </c>
      <c r="E2089" s="4">
        <v>44310</v>
      </c>
      <c r="F2089" s="92" t="s">
        <v>28</v>
      </c>
      <c r="G2089" s="32">
        <v>44333</v>
      </c>
      <c r="H2089" s="27">
        <f t="shared" si="280"/>
        <v>8126.85</v>
      </c>
      <c r="I2089" s="27"/>
      <c r="J2089" s="27"/>
      <c r="K2089" s="99"/>
      <c r="L2089" s="27">
        <v>7381</v>
      </c>
      <c r="M2089" s="29">
        <f t="shared" si="278"/>
        <v>745.85000000000036</v>
      </c>
      <c r="N2089" s="29"/>
      <c r="O2089" s="44">
        <f t="shared" si="279"/>
        <v>9.1776026381685444E-2</v>
      </c>
    </row>
    <row r="2090" spans="1:15" ht="20.100000000000001" customHeight="1" x14ac:dyDescent="0.25">
      <c r="A2090" s="89">
        <v>373</v>
      </c>
      <c r="B2090" s="4">
        <v>44312</v>
      </c>
      <c r="C2090" s="26" t="s">
        <v>149</v>
      </c>
      <c r="D2090" s="3">
        <v>18924</v>
      </c>
      <c r="E2090" s="4">
        <v>44313</v>
      </c>
      <c r="F2090" s="92" t="s">
        <v>28</v>
      </c>
      <c r="G2090" s="32">
        <v>44333</v>
      </c>
      <c r="H2090" s="27">
        <f t="shared" si="280"/>
        <v>18924</v>
      </c>
      <c r="I2090" s="27"/>
      <c r="J2090" s="27"/>
      <c r="K2090" s="99"/>
      <c r="L2090" s="27">
        <v>12490</v>
      </c>
      <c r="M2090" s="29">
        <f t="shared" si="278"/>
        <v>6434</v>
      </c>
      <c r="N2090" s="29"/>
      <c r="O2090" s="44">
        <f t="shared" si="279"/>
        <v>0.33999154512787993</v>
      </c>
    </row>
    <row r="2091" spans="1:15" ht="20.100000000000001" customHeight="1" x14ac:dyDescent="0.25">
      <c r="A2091" s="89">
        <v>351</v>
      </c>
      <c r="B2091" s="4">
        <v>44306</v>
      </c>
      <c r="C2091" s="5" t="s">
        <v>491</v>
      </c>
      <c r="D2091" s="3">
        <v>198990</v>
      </c>
      <c r="E2091" s="4">
        <v>44314</v>
      </c>
      <c r="F2091" s="92" t="s">
        <v>28</v>
      </c>
      <c r="G2091" s="32">
        <v>44315</v>
      </c>
      <c r="H2091" s="27">
        <f t="shared" si="280"/>
        <v>198990</v>
      </c>
      <c r="I2091" s="27">
        <f>H2091</f>
        <v>198990</v>
      </c>
      <c r="J2091" s="27"/>
      <c r="K2091" s="99"/>
      <c r="L2091" s="27">
        <v>146138</v>
      </c>
      <c r="M2091" s="29">
        <f t="shared" si="278"/>
        <v>52852</v>
      </c>
      <c r="N2091" s="29">
        <f>M2091</f>
        <v>52852</v>
      </c>
      <c r="O2091" s="44">
        <f t="shared" si="279"/>
        <v>0.26560128649680886</v>
      </c>
    </row>
    <row r="2092" spans="1:15" ht="20.100000000000001" customHeight="1" x14ac:dyDescent="0.25">
      <c r="A2092" s="89">
        <v>265</v>
      </c>
      <c r="B2092" s="4">
        <v>44285</v>
      </c>
      <c r="C2092" s="26" t="s">
        <v>53</v>
      </c>
      <c r="D2092" s="3">
        <v>14355</v>
      </c>
      <c r="E2092" s="4">
        <v>44314</v>
      </c>
      <c r="F2092" s="92" t="s">
        <v>28</v>
      </c>
      <c r="G2092" s="32">
        <v>44315</v>
      </c>
      <c r="H2092" s="27">
        <f t="shared" si="280"/>
        <v>14355</v>
      </c>
      <c r="I2092" s="27"/>
      <c r="J2092" s="27"/>
      <c r="K2092" s="99"/>
      <c r="L2092" s="27">
        <v>11196</v>
      </c>
      <c r="M2092" s="29">
        <f t="shared" si="278"/>
        <v>3159</v>
      </c>
      <c r="N2092" s="29"/>
      <c r="O2092" s="44">
        <f t="shared" si="279"/>
        <v>0.22006269592476488</v>
      </c>
    </row>
    <row r="2093" spans="1:15" ht="20.100000000000001" customHeight="1" x14ac:dyDescent="0.25">
      <c r="A2093" s="89">
        <v>334</v>
      </c>
      <c r="B2093" s="4">
        <v>44301</v>
      </c>
      <c r="C2093" s="26" t="s">
        <v>443</v>
      </c>
      <c r="D2093" s="3">
        <v>3212</v>
      </c>
      <c r="E2093" s="4">
        <v>44315</v>
      </c>
      <c r="F2093" s="92" t="s">
        <v>28</v>
      </c>
      <c r="G2093" s="32">
        <v>44321</v>
      </c>
      <c r="H2093" s="27">
        <f t="shared" si="280"/>
        <v>3212</v>
      </c>
      <c r="I2093" s="27"/>
      <c r="J2093" s="27"/>
      <c r="K2093" s="99"/>
      <c r="L2093" s="27">
        <v>2208</v>
      </c>
      <c r="M2093" s="29">
        <f t="shared" si="278"/>
        <v>1004</v>
      </c>
      <c r="N2093" s="29"/>
      <c r="O2093" s="44">
        <f t="shared" si="279"/>
        <v>0.3125778331257783</v>
      </c>
    </row>
    <row r="2094" spans="1:15" ht="20.100000000000001" customHeight="1" x14ac:dyDescent="0.25">
      <c r="A2094" s="89">
        <v>897</v>
      </c>
      <c r="B2094" s="4">
        <v>44110</v>
      </c>
      <c r="C2094" s="26" t="s">
        <v>38</v>
      </c>
      <c r="D2094" s="3">
        <v>1725817.5</v>
      </c>
      <c r="E2094" s="4">
        <v>44315</v>
      </c>
      <c r="F2094" s="92" t="s">
        <v>28</v>
      </c>
      <c r="G2094" s="32">
        <v>44189</v>
      </c>
      <c r="H2094" s="27">
        <f t="shared" si="280"/>
        <v>1725817.5</v>
      </c>
      <c r="I2094" s="27"/>
      <c r="J2094" s="27">
        <v>50000</v>
      </c>
      <c r="K2094" s="99">
        <f>30*1200+1800</f>
        <v>37800</v>
      </c>
      <c r="L2094" s="27">
        <v>1412214.45</v>
      </c>
      <c r="M2094" s="29">
        <f t="shared" si="278"/>
        <v>225803.05000000005</v>
      </c>
      <c r="N2094" s="29"/>
      <c r="O2094" s="44">
        <f t="shared" si="279"/>
        <v>0.13083831285752986</v>
      </c>
    </row>
    <row r="2095" spans="1:15" ht="19.5" customHeight="1" x14ac:dyDescent="0.25">
      <c r="A2095" s="89"/>
      <c r="B2095" s="4"/>
      <c r="C2095" s="5"/>
      <c r="D2095" s="3"/>
      <c r="E2095" s="97">
        <v>83771</v>
      </c>
      <c r="F2095" s="98">
        <f>M2095*0.17+N2095*0.06+10000</f>
        <v>83771.018400000001</v>
      </c>
      <c r="G2095" s="21">
        <f>H2095*0.05+I2095*0.02+10000</f>
        <v>137342.712</v>
      </c>
      <c r="H2095" s="16">
        <f t="shared" ref="H2095:N2095" si="281">SUM(H2073:H2094)</f>
        <v>2467258.2400000002</v>
      </c>
      <c r="I2095" s="16">
        <f t="shared" si="281"/>
        <v>198990</v>
      </c>
      <c r="J2095" s="16">
        <f t="shared" si="281"/>
        <v>50000</v>
      </c>
      <c r="K2095" s="16">
        <f t="shared" si="281"/>
        <v>37800</v>
      </c>
      <c r="L2095" s="16">
        <f t="shared" si="281"/>
        <v>1964164.72</v>
      </c>
      <c r="M2095" s="16">
        <f t="shared" si="281"/>
        <v>415293.52</v>
      </c>
      <c r="N2095" s="16">
        <f t="shared" si="281"/>
        <v>52852</v>
      </c>
      <c r="O2095" s="44">
        <f t="shared" si="279"/>
        <v>0.16832186970424304</v>
      </c>
    </row>
    <row r="2096" spans="1:15" ht="23.25" x14ac:dyDescent="0.35">
      <c r="B2096" s="94"/>
      <c r="C2096" s="94" t="s">
        <v>639</v>
      </c>
    </row>
    <row r="2097" spans="1:15" ht="20.100000000000001" customHeight="1" x14ac:dyDescent="0.25">
      <c r="A2097" s="89">
        <v>242</v>
      </c>
      <c r="B2097" s="4">
        <v>44279</v>
      </c>
      <c r="C2097" s="26" t="s">
        <v>99</v>
      </c>
      <c r="D2097" s="3">
        <v>70190</v>
      </c>
      <c r="E2097" s="4">
        <v>44320</v>
      </c>
      <c r="F2097" s="92" t="s">
        <v>28</v>
      </c>
      <c r="G2097" s="32">
        <v>44286</v>
      </c>
      <c r="H2097" s="27">
        <f t="shared" ref="H2097:H2120" si="282">D2097</f>
        <v>70190</v>
      </c>
      <c r="I2097" s="27"/>
      <c r="J2097" s="27"/>
      <c r="K2097" s="99"/>
      <c r="L2097" s="29">
        <v>54746</v>
      </c>
      <c r="M2097" s="29">
        <f t="shared" ref="M2097:M2122" si="283">H2097-L2097-J2097-K2097</f>
        <v>15444</v>
      </c>
      <c r="N2097" s="29"/>
      <c r="O2097" s="44">
        <f t="shared" ref="O2097:O2123" si="284">M2097/H2097</f>
        <v>0.22003134349622452</v>
      </c>
    </row>
    <row r="2098" spans="1:15" ht="20.100000000000001" customHeight="1" x14ac:dyDescent="0.25">
      <c r="A2098" s="89">
        <v>61</v>
      </c>
      <c r="B2098" s="4">
        <v>44232</v>
      </c>
      <c r="C2098" s="26" t="s">
        <v>65</v>
      </c>
      <c r="D2098" s="3">
        <v>84546</v>
      </c>
      <c r="E2098" s="4">
        <v>44322</v>
      </c>
      <c r="F2098" s="92" t="s">
        <v>28</v>
      </c>
      <c r="G2098" s="32">
        <v>44294</v>
      </c>
      <c r="H2098" s="27">
        <f t="shared" si="282"/>
        <v>84546</v>
      </c>
      <c r="I2098" s="27"/>
      <c r="J2098" s="27"/>
      <c r="K2098" s="99"/>
      <c r="L2098" s="27">
        <v>68281</v>
      </c>
      <c r="M2098" s="29">
        <f t="shared" si="283"/>
        <v>16265</v>
      </c>
      <c r="N2098" s="29"/>
      <c r="O2098" s="44">
        <f t="shared" si="284"/>
        <v>0.19238047926572516</v>
      </c>
    </row>
    <row r="2099" spans="1:15" ht="20.100000000000001" customHeight="1" x14ac:dyDescent="0.25">
      <c r="A2099" s="89">
        <v>276</v>
      </c>
      <c r="B2099" s="4">
        <v>44294</v>
      </c>
      <c r="C2099" s="26" t="s">
        <v>56</v>
      </c>
      <c r="D2099" s="3">
        <v>65583</v>
      </c>
      <c r="E2099" s="4">
        <v>44327</v>
      </c>
      <c r="F2099" s="92" t="s">
        <v>28</v>
      </c>
      <c r="G2099" s="32">
        <v>44314</v>
      </c>
      <c r="H2099" s="27">
        <f t="shared" si="282"/>
        <v>65583</v>
      </c>
      <c r="I2099" s="27"/>
      <c r="J2099" s="27"/>
      <c r="K2099" s="99"/>
      <c r="L2099" s="27">
        <v>44078</v>
      </c>
      <c r="M2099" s="29">
        <f t="shared" si="283"/>
        <v>21505</v>
      </c>
      <c r="N2099" s="29"/>
      <c r="O2099" s="44">
        <f t="shared" si="284"/>
        <v>0.32790509735754692</v>
      </c>
    </row>
    <row r="2100" spans="1:15" ht="20.100000000000001" customHeight="1" x14ac:dyDescent="0.25">
      <c r="A2100" s="89">
        <v>37</v>
      </c>
      <c r="B2100" s="4">
        <v>44256</v>
      </c>
      <c r="C2100" s="26" t="s">
        <v>56</v>
      </c>
      <c r="D2100" s="3">
        <v>394717</v>
      </c>
      <c r="E2100" s="4">
        <v>44327</v>
      </c>
      <c r="F2100" s="92" t="s">
        <v>28</v>
      </c>
      <c r="G2100" s="32">
        <v>44314</v>
      </c>
      <c r="H2100" s="27">
        <f t="shared" si="282"/>
        <v>394717</v>
      </c>
      <c r="I2100" s="27"/>
      <c r="J2100" s="27"/>
      <c r="K2100" s="99"/>
      <c r="L2100" s="27">
        <v>316386</v>
      </c>
      <c r="M2100" s="29">
        <f t="shared" si="283"/>
        <v>78331</v>
      </c>
      <c r="N2100" s="29"/>
      <c r="O2100" s="44">
        <f t="shared" si="284"/>
        <v>0.19844850867836958</v>
      </c>
    </row>
    <row r="2101" spans="1:15" ht="20.100000000000001" customHeight="1" x14ac:dyDescent="0.25">
      <c r="A2101" s="89">
        <v>399</v>
      </c>
      <c r="B2101" s="4">
        <v>44327</v>
      </c>
      <c r="C2101" s="26" t="s">
        <v>410</v>
      </c>
      <c r="D2101" s="3">
        <v>98720</v>
      </c>
      <c r="E2101" s="4">
        <v>44328</v>
      </c>
      <c r="F2101" s="92" t="s">
        <v>28</v>
      </c>
      <c r="G2101" s="32">
        <v>44342</v>
      </c>
      <c r="H2101" s="27">
        <f t="shared" si="282"/>
        <v>98720</v>
      </c>
      <c r="I2101" s="27"/>
      <c r="J2101" s="27"/>
      <c r="K2101" s="99"/>
      <c r="L2101" s="27">
        <v>76470</v>
      </c>
      <c r="M2101" s="29">
        <f t="shared" si="283"/>
        <v>22250</v>
      </c>
      <c r="N2101" s="29"/>
      <c r="O2101" s="44">
        <f t="shared" si="284"/>
        <v>0.22538492706645058</v>
      </c>
    </row>
    <row r="2102" spans="1:15" ht="20.100000000000001" customHeight="1" x14ac:dyDescent="0.25">
      <c r="A2102" s="89">
        <v>405</v>
      </c>
      <c r="B2102" s="4">
        <v>44327</v>
      </c>
      <c r="C2102" s="26" t="s">
        <v>230</v>
      </c>
      <c r="D2102" s="3">
        <v>8000</v>
      </c>
      <c r="E2102" s="4">
        <v>44328</v>
      </c>
      <c r="F2102" s="92" t="s">
        <v>28</v>
      </c>
      <c r="G2102" s="32">
        <v>44330</v>
      </c>
      <c r="H2102" s="27">
        <f t="shared" si="282"/>
        <v>8000</v>
      </c>
      <c r="I2102" s="27"/>
      <c r="J2102" s="27"/>
      <c r="K2102" s="99">
        <v>1200</v>
      </c>
      <c r="L2102" s="27">
        <v>2357</v>
      </c>
      <c r="M2102" s="29">
        <f t="shared" si="283"/>
        <v>4443</v>
      </c>
      <c r="N2102" s="29"/>
      <c r="O2102" s="44">
        <f t="shared" si="284"/>
        <v>0.55537499999999995</v>
      </c>
    </row>
    <row r="2103" spans="1:15" ht="20.100000000000001" customHeight="1" x14ac:dyDescent="0.25">
      <c r="A2103" s="89">
        <v>404</v>
      </c>
      <c r="B2103" s="4">
        <v>44327</v>
      </c>
      <c r="C2103" s="26" t="s">
        <v>430</v>
      </c>
      <c r="D2103" s="3">
        <v>4993</v>
      </c>
      <c r="E2103" s="4">
        <v>44328</v>
      </c>
      <c r="F2103" s="92" t="s">
        <v>28</v>
      </c>
      <c r="G2103" s="32">
        <v>44329</v>
      </c>
      <c r="H2103" s="27">
        <f t="shared" si="282"/>
        <v>4993</v>
      </c>
      <c r="I2103" s="27"/>
      <c r="J2103" s="27"/>
      <c r="K2103" s="99"/>
      <c r="L2103" s="27">
        <v>3295</v>
      </c>
      <c r="M2103" s="29">
        <f t="shared" si="283"/>
        <v>1698</v>
      </c>
      <c r="N2103" s="29"/>
      <c r="O2103" s="44">
        <f t="shared" si="284"/>
        <v>0.34007610654916881</v>
      </c>
    </row>
    <row r="2104" spans="1:15" ht="20.100000000000001" customHeight="1" x14ac:dyDescent="0.25">
      <c r="A2104" s="89">
        <v>400</v>
      </c>
      <c r="B2104" s="4">
        <v>44327</v>
      </c>
      <c r="C2104" s="26" t="s">
        <v>281</v>
      </c>
      <c r="D2104" s="3">
        <v>11377</v>
      </c>
      <c r="E2104" s="4">
        <v>44329</v>
      </c>
      <c r="F2104" s="92" t="s">
        <v>28</v>
      </c>
      <c r="G2104" s="32">
        <v>44328</v>
      </c>
      <c r="H2104" s="27">
        <f t="shared" si="282"/>
        <v>11377</v>
      </c>
      <c r="I2104" s="27"/>
      <c r="J2104" s="27"/>
      <c r="K2104" s="99"/>
      <c r="L2104" s="27">
        <v>7000</v>
      </c>
      <c r="M2104" s="29">
        <f t="shared" si="283"/>
        <v>4377</v>
      </c>
      <c r="N2104" s="29"/>
      <c r="O2104" s="44">
        <f t="shared" si="284"/>
        <v>0.38472356508745714</v>
      </c>
    </row>
    <row r="2105" spans="1:15" ht="20.100000000000001" customHeight="1" x14ac:dyDescent="0.25">
      <c r="A2105" s="89">
        <v>421</v>
      </c>
      <c r="B2105" s="4">
        <v>44329</v>
      </c>
      <c r="C2105" s="26" t="s">
        <v>492</v>
      </c>
      <c r="D2105" s="3">
        <v>9911</v>
      </c>
      <c r="E2105" s="4">
        <v>44329</v>
      </c>
      <c r="F2105" s="92" t="s">
        <v>28</v>
      </c>
      <c r="G2105" s="32">
        <v>44333</v>
      </c>
      <c r="H2105" s="27">
        <f t="shared" si="282"/>
        <v>9911</v>
      </c>
      <c r="I2105" s="27"/>
      <c r="J2105" s="27"/>
      <c r="K2105" s="99"/>
      <c r="L2105" s="27">
        <v>7305</v>
      </c>
      <c r="M2105" s="29">
        <f t="shared" si="283"/>
        <v>2606</v>
      </c>
      <c r="N2105" s="29"/>
      <c r="O2105" s="44">
        <f t="shared" si="284"/>
        <v>0.26294016749066695</v>
      </c>
    </row>
    <row r="2106" spans="1:15" ht="20.100000000000001" customHeight="1" x14ac:dyDescent="0.25">
      <c r="A2106" s="89">
        <v>148</v>
      </c>
      <c r="B2106" s="4">
        <v>44328</v>
      </c>
      <c r="C2106" s="26" t="s">
        <v>491</v>
      </c>
      <c r="D2106" s="3">
        <v>71485</v>
      </c>
      <c r="E2106" s="4">
        <v>44329</v>
      </c>
      <c r="F2106" s="92" t="s">
        <v>28</v>
      </c>
      <c r="G2106" s="32">
        <v>44333</v>
      </c>
      <c r="H2106" s="27">
        <f t="shared" si="282"/>
        <v>71485</v>
      </c>
      <c r="I2106" s="27"/>
      <c r="J2106" s="27"/>
      <c r="K2106" s="99"/>
      <c r="L2106" s="27">
        <v>48136.44</v>
      </c>
      <c r="M2106" s="29">
        <f t="shared" si="283"/>
        <v>23348.559999999998</v>
      </c>
      <c r="N2106" s="29"/>
      <c r="O2106" s="44">
        <f t="shared" si="284"/>
        <v>0.32662180877107083</v>
      </c>
    </row>
    <row r="2107" spans="1:15" ht="20.100000000000001" customHeight="1" x14ac:dyDescent="0.25">
      <c r="A2107" s="89">
        <v>407</v>
      </c>
      <c r="B2107" s="4">
        <v>44330</v>
      </c>
      <c r="C2107" s="5" t="s">
        <v>493</v>
      </c>
      <c r="D2107" s="3">
        <v>26115.5</v>
      </c>
      <c r="E2107" s="4">
        <v>44330</v>
      </c>
      <c r="F2107" s="92" t="s">
        <v>28</v>
      </c>
      <c r="G2107" s="32">
        <v>44330</v>
      </c>
      <c r="H2107" s="27">
        <f t="shared" si="282"/>
        <v>26115.5</v>
      </c>
      <c r="I2107" s="27">
        <f>H2107</f>
        <v>26115.5</v>
      </c>
      <c r="J2107" s="27"/>
      <c r="K2107" s="99"/>
      <c r="L2107" s="27">
        <v>19697</v>
      </c>
      <c r="M2107" s="29">
        <f t="shared" si="283"/>
        <v>6418.5</v>
      </c>
      <c r="N2107" s="29">
        <f>M2107</f>
        <v>6418.5</v>
      </c>
      <c r="O2107" s="44">
        <f t="shared" si="284"/>
        <v>0.24577358273822059</v>
      </c>
    </row>
    <row r="2108" spans="1:15" ht="20.100000000000001" customHeight="1" x14ac:dyDescent="0.25">
      <c r="A2108" s="89">
        <v>398</v>
      </c>
      <c r="B2108" s="4">
        <v>44323</v>
      </c>
      <c r="C2108" s="26" t="s">
        <v>494</v>
      </c>
      <c r="D2108" s="3">
        <v>2500</v>
      </c>
      <c r="E2108" s="4">
        <v>44330</v>
      </c>
      <c r="F2108" s="92" t="s">
        <v>28</v>
      </c>
      <c r="G2108" s="32">
        <v>44334</v>
      </c>
      <c r="H2108" s="27">
        <f t="shared" si="282"/>
        <v>2500</v>
      </c>
      <c r="I2108" s="27"/>
      <c r="J2108" s="27"/>
      <c r="K2108" s="99"/>
      <c r="L2108" s="27">
        <v>1330</v>
      </c>
      <c r="M2108" s="29">
        <f t="shared" si="283"/>
        <v>1170</v>
      </c>
      <c r="N2108" s="29"/>
      <c r="O2108" s="44">
        <f t="shared" si="284"/>
        <v>0.46800000000000003</v>
      </c>
    </row>
    <row r="2109" spans="1:15" ht="20.100000000000001" customHeight="1" x14ac:dyDescent="0.25">
      <c r="A2109" s="89">
        <v>427</v>
      </c>
      <c r="B2109" s="4">
        <v>44333</v>
      </c>
      <c r="C2109" s="26" t="s">
        <v>71</v>
      </c>
      <c r="D2109" s="3">
        <v>21056.5</v>
      </c>
      <c r="E2109" s="4">
        <v>44333</v>
      </c>
      <c r="F2109" s="92" t="s">
        <v>28</v>
      </c>
      <c r="G2109" s="32">
        <v>44334</v>
      </c>
      <c r="H2109" s="27">
        <f t="shared" si="282"/>
        <v>21056.5</v>
      </c>
      <c r="I2109" s="27"/>
      <c r="J2109" s="27"/>
      <c r="K2109" s="99"/>
      <c r="L2109" s="27">
        <v>15865</v>
      </c>
      <c r="M2109" s="29">
        <f t="shared" si="283"/>
        <v>5191.5</v>
      </c>
      <c r="N2109" s="29"/>
      <c r="O2109" s="44">
        <f t="shared" si="284"/>
        <v>0.24655094626362406</v>
      </c>
    </row>
    <row r="2110" spans="1:15" ht="20.100000000000001" customHeight="1" x14ac:dyDescent="0.25">
      <c r="A2110" s="89">
        <v>435</v>
      </c>
      <c r="B2110" s="4">
        <v>44333</v>
      </c>
      <c r="C2110" s="26" t="s">
        <v>492</v>
      </c>
      <c r="D2110" s="3">
        <v>19901</v>
      </c>
      <c r="E2110" s="4">
        <v>44333</v>
      </c>
      <c r="F2110" s="92" t="s">
        <v>28</v>
      </c>
      <c r="G2110" s="32">
        <v>44334</v>
      </c>
      <c r="H2110" s="27">
        <f t="shared" si="282"/>
        <v>19901</v>
      </c>
      <c r="I2110" s="27"/>
      <c r="J2110" s="27"/>
      <c r="K2110" s="99"/>
      <c r="L2110" s="27">
        <v>14647</v>
      </c>
      <c r="M2110" s="29">
        <f t="shared" si="283"/>
        <v>5254</v>
      </c>
      <c r="N2110" s="29"/>
      <c r="O2110" s="44">
        <f t="shared" si="284"/>
        <v>0.26400683382744583</v>
      </c>
    </row>
    <row r="2111" spans="1:15" ht="20.100000000000001" customHeight="1" x14ac:dyDescent="0.25">
      <c r="A2111" s="89">
        <v>444</v>
      </c>
      <c r="B2111" s="4">
        <v>44334</v>
      </c>
      <c r="C2111" s="26" t="s">
        <v>216</v>
      </c>
      <c r="D2111" s="3">
        <v>2248</v>
      </c>
      <c r="E2111" s="4">
        <v>44334</v>
      </c>
      <c r="F2111" s="92" t="s">
        <v>28</v>
      </c>
      <c r="G2111" s="32">
        <v>44336</v>
      </c>
      <c r="H2111" s="27">
        <f t="shared" si="282"/>
        <v>2248</v>
      </c>
      <c r="I2111" s="27"/>
      <c r="J2111" s="27"/>
      <c r="K2111" s="99"/>
      <c r="L2111" s="27">
        <v>1504</v>
      </c>
      <c r="M2111" s="29">
        <f t="shared" si="283"/>
        <v>744</v>
      </c>
      <c r="N2111" s="29"/>
      <c r="O2111" s="44">
        <f t="shared" si="284"/>
        <v>0.33096085409252668</v>
      </c>
    </row>
    <row r="2112" spans="1:15" ht="20.100000000000001" customHeight="1" x14ac:dyDescent="0.25">
      <c r="A2112" s="89">
        <v>406</v>
      </c>
      <c r="B2112" s="4">
        <v>44327</v>
      </c>
      <c r="C2112" s="26" t="s">
        <v>433</v>
      </c>
      <c r="D2112" s="3">
        <v>24990</v>
      </c>
      <c r="E2112" s="4">
        <v>44334</v>
      </c>
      <c r="F2112" s="92" t="s">
        <v>28</v>
      </c>
      <c r="G2112" s="32">
        <v>44327</v>
      </c>
      <c r="H2112" s="27">
        <f t="shared" si="282"/>
        <v>24990</v>
      </c>
      <c r="I2112" s="27"/>
      <c r="J2112" s="27"/>
      <c r="K2112" s="99"/>
      <c r="L2112" s="27">
        <v>18367</v>
      </c>
      <c r="M2112" s="29">
        <f t="shared" si="283"/>
        <v>6623</v>
      </c>
      <c r="N2112" s="29"/>
      <c r="O2112" s="44">
        <f t="shared" si="284"/>
        <v>0.26502601040416168</v>
      </c>
    </row>
    <row r="2113" spans="1:15" ht="20.100000000000001" customHeight="1" x14ac:dyDescent="0.25">
      <c r="A2113" s="89">
        <v>437</v>
      </c>
      <c r="B2113" s="4">
        <v>44333</v>
      </c>
      <c r="C2113" s="26" t="s">
        <v>353</v>
      </c>
      <c r="D2113" s="3">
        <v>43490</v>
      </c>
      <c r="E2113" s="4">
        <v>44335</v>
      </c>
      <c r="F2113" s="92" t="s">
        <v>28</v>
      </c>
      <c r="G2113" s="32">
        <v>44355</v>
      </c>
      <c r="H2113" s="27">
        <f t="shared" si="282"/>
        <v>43490</v>
      </c>
      <c r="I2113" s="27"/>
      <c r="J2113" s="27"/>
      <c r="K2113" s="99"/>
      <c r="L2113" s="27">
        <v>32182.6</v>
      </c>
      <c r="M2113" s="29">
        <f t="shared" si="283"/>
        <v>11307.400000000001</v>
      </c>
      <c r="N2113" s="29"/>
      <c r="O2113" s="44">
        <f t="shared" si="284"/>
        <v>0.26</v>
      </c>
    </row>
    <row r="2114" spans="1:15" ht="20.100000000000001" customHeight="1" x14ac:dyDescent="0.25">
      <c r="A2114" s="89">
        <v>340</v>
      </c>
      <c r="B2114" s="4">
        <v>44335</v>
      </c>
      <c r="C2114" s="26" t="s">
        <v>373</v>
      </c>
      <c r="D2114" s="3">
        <v>24964.1</v>
      </c>
      <c r="E2114" s="4">
        <v>44337</v>
      </c>
      <c r="F2114" s="92" t="s">
        <v>28</v>
      </c>
      <c r="G2114" s="32">
        <v>44349</v>
      </c>
      <c r="H2114" s="27">
        <f t="shared" si="282"/>
        <v>24964.1</v>
      </c>
      <c r="I2114" s="27"/>
      <c r="J2114" s="27"/>
      <c r="K2114" s="99"/>
      <c r="L2114" s="27">
        <v>18905</v>
      </c>
      <c r="M2114" s="29">
        <f t="shared" si="283"/>
        <v>6059.0999999999985</v>
      </c>
      <c r="N2114" s="29"/>
      <c r="O2114" s="44">
        <f t="shared" si="284"/>
        <v>0.24271253520054795</v>
      </c>
    </row>
    <row r="2115" spans="1:15" ht="20.100000000000001" customHeight="1" x14ac:dyDescent="0.25">
      <c r="A2115" s="89">
        <v>462</v>
      </c>
      <c r="B2115" s="4">
        <v>44336</v>
      </c>
      <c r="C2115" s="26" t="s">
        <v>470</v>
      </c>
      <c r="D2115" s="3">
        <v>4300</v>
      </c>
      <c r="E2115" s="4">
        <v>44337</v>
      </c>
      <c r="F2115" s="92" t="s">
        <v>28</v>
      </c>
      <c r="G2115" s="32">
        <v>44341</v>
      </c>
      <c r="H2115" s="27">
        <f t="shared" si="282"/>
        <v>4300</v>
      </c>
      <c r="I2115" s="27"/>
      <c r="J2115" s="27"/>
      <c r="K2115" s="99"/>
      <c r="L2115" s="27">
        <v>3350</v>
      </c>
      <c r="M2115" s="29">
        <f t="shared" si="283"/>
        <v>950</v>
      </c>
      <c r="N2115" s="29"/>
      <c r="O2115" s="44">
        <f t="shared" si="284"/>
        <v>0.22093023255813954</v>
      </c>
    </row>
    <row r="2116" spans="1:15" ht="20.100000000000001" customHeight="1" x14ac:dyDescent="0.25">
      <c r="A2116" s="89">
        <v>384</v>
      </c>
      <c r="B2116" s="4">
        <v>44327</v>
      </c>
      <c r="C2116" s="26" t="s">
        <v>443</v>
      </c>
      <c r="D2116" s="3">
        <v>24956</v>
      </c>
      <c r="E2116" s="4">
        <v>44340</v>
      </c>
      <c r="F2116" s="92" t="s">
        <v>28</v>
      </c>
      <c r="G2116" s="32">
        <v>44342</v>
      </c>
      <c r="H2116" s="27">
        <f t="shared" si="282"/>
        <v>24956</v>
      </c>
      <c r="I2116" s="27"/>
      <c r="J2116" s="27"/>
      <c r="K2116" s="99"/>
      <c r="L2116" s="27">
        <v>18142</v>
      </c>
      <c r="M2116" s="29">
        <f t="shared" si="283"/>
        <v>6814</v>
      </c>
      <c r="N2116" s="29"/>
      <c r="O2116" s="44">
        <f t="shared" si="284"/>
        <v>0.27304055137041194</v>
      </c>
    </row>
    <row r="2117" spans="1:15" ht="20.100000000000001" customHeight="1" x14ac:dyDescent="0.25">
      <c r="A2117" s="89">
        <v>495</v>
      </c>
      <c r="B2117" s="4">
        <v>44342</v>
      </c>
      <c r="C2117" s="26" t="s">
        <v>492</v>
      </c>
      <c r="D2117" s="3">
        <v>8683</v>
      </c>
      <c r="E2117" s="4">
        <v>44342</v>
      </c>
      <c r="F2117" s="92" t="s">
        <v>28</v>
      </c>
      <c r="G2117" s="32">
        <v>44343</v>
      </c>
      <c r="H2117" s="27">
        <f t="shared" si="282"/>
        <v>8683</v>
      </c>
      <c r="I2117" s="27"/>
      <c r="J2117" s="27"/>
      <c r="K2117" s="99"/>
      <c r="L2117" s="27">
        <v>6460</v>
      </c>
      <c r="M2117" s="29">
        <f t="shared" si="283"/>
        <v>2223</v>
      </c>
      <c r="N2117" s="29"/>
      <c r="O2117" s="44">
        <f t="shared" si="284"/>
        <v>0.25601750547045954</v>
      </c>
    </row>
    <row r="2118" spans="1:15" ht="20.100000000000001" customHeight="1" x14ac:dyDescent="0.25">
      <c r="A2118" s="89">
        <v>467</v>
      </c>
      <c r="B2118" s="4">
        <v>44336</v>
      </c>
      <c r="C2118" s="26" t="s">
        <v>443</v>
      </c>
      <c r="D2118" s="3">
        <v>6396</v>
      </c>
      <c r="E2118" s="4">
        <v>44342</v>
      </c>
      <c r="F2118" s="92" t="s">
        <v>28</v>
      </c>
      <c r="G2118" s="32">
        <v>44347</v>
      </c>
      <c r="H2118" s="27">
        <f t="shared" si="282"/>
        <v>6396</v>
      </c>
      <c r="I2118" s="27"/>
      <c r="J2118" s="27"/>
      <c r="K2118" s="99"/>
      <c r="L2118" s="27">
        <v>3728</v>
      </c>
      <c r="M2118" s="29">
        <f t="shared" si="283"/>
        <v>2668</v>
      </c>
      <c r="N2118" s="29"/>
      <c r="O2118" s="44">
        <f t="shared" si="284"/>
        <v>0.41713570981863662</v>
      </c>
    </row>
    <row r="2119" spans="1:15" ht="20.100000000000001" customHeight="1" x14ac:dyDescent="0.25">
      <c r="A2119" s="89">
        <v>494</v>
      </c>
      <c r="B2119" s="4">
        <v>44341</v>
      </c>
      <c r="C2119" s="26" t="s">
        <v>396</v>
      </c>
      <c r="D2119" s="3">
        <v>1032</v>
      </c>
      <c r="E2119" s="4">
        <v>44342</v>
      </c>
      <c r="F2119" s="92" t="s">
        <v>28</v>
      </c>
      <c r="G2119" s="32">
        <v>44344</v>
      </c>
      <c r="H2119" s="27">
        <f t="shared" si="282"/>
        <v>1032</v>
      </c>
      <c r="I2119" s="27"/>
      <c r="J2119" s="27"/>
      <c r="K2119" s="99"/>
      <c r="L2119" s="27">
        <v>681</v>
      </c>
      <c r="M2119" s="29">
        <f t="shared" si="283"/>
        <v>351</v>
      </c>
      <c r="N2119" s="29"/>
      <c r="O2119" s="44">
        <f t="shared" si="284"/>
        <v>0.34011627906976744</v>
      </c>
    </row>
    <row r="2120" spans="1:15" ht="20.100000000000001" customHeight="1" x14ac:dyDescent="0.25">
      <c r="A2120" s="89">
        <v>486</v>
      </c>
      <c r="B2120" s="4">
        <v>44340</v>
      </c>
      <c r="C2120" s="26" t="s">
        <v>495</v>
      </c>
      <c r="D2120" s="3">
        <v>13990</v>
      </c>
      <c r="E2120" s="4">
        <v>44343</v>
      </c>
      <c r="F2120" s="92" t="s">
        <v>28</v>
      </c>
      <c r="G2120" s="32">
        <v>44357</v>
      </c>
      <c r="H2120" s="27">
        <f t="shared" si="282"/>
        <v>13990</v>
      </c>
      <c r="I2120" s="27"/>
      <c r="J2120" s="27"/>
      <c r="K2120" s="99"/>
      <c r="L2120" s="27">
        <v>10282</v>
      </c>
      <c r="M2120" s="29">
        <f t="shared" si="283"/>
        <v>3708</v>
      </c>
      <c r="N2120" s="29"/>
      <c r="O2120" s="44">
        <f t="shared" si="284"/>
        <v>0.26504646175839885</v>
      </c>
    </row>
    <row r="2121" spans="1:15" ht="20.100000000000001" customHeight="1" x14ac:dyDescent="0.25">
      <c r="A2121" s="89">
        <v>515</v>
      </c>
      <c r="B2121" s="4">
        <v>44344</v>
      </c>
      <c r="C2121" s="26" t="s">
        <v>209</v>
      </c>
      <c r="D2121" s="3">
        <v>8894.4</v>
      </c>
      <c r="E2121" s="4">
        <v>44344</v>
      </c>
      <c r="F2121" s="92" t="s">
        <v>28</v>
      </c>
      <c r="G2121" s="32">
        <v>44371</v>
      </c>
      <c r="H2121" s="27">
        <v>1320</v>
      </c>
      <c r="I2121" s="27"/>
      <c r="J2121" s="27"/>
      <c r="K2121" s="99"/>
      <c r="L2121" s="27">
        <v>1050</v>
      </c>
      <c r="M2121" s="29">
        <f t="shared" si="283"/>
        <v>270</v>
      </c>
      <c r="N2121" s="29"/>
      <c r="O2121" s="44">
        <f t="shared" si="284"/>
        <v>0.20454545454545456</v>
      </c>
    </row>
    <row r="2122" spans="1:15" ht="20.100000000000001" customHeight="1" x14ac:dyDescent="0.25">
      <c r="A2122" s="89">
        <v>492</v>
      </c>
      <c r="B2122" s="4">
        <v>44341</v>
      </c>
      <c r="C2122" s="26" t="s">
        <v>403</v>
      </c>
      <c r="D2122" s="3">
        <v>7175</v>
      </c>
      <c r="E2122" s="4">
        <v>44347</v>
      </c>
      <c r="F2122" s="92" t="s">
        <v>28</v>
      </c>
      <c r="G2122" s="32">
        <v>44352</v>
      </c>
      <c r="H2122" s="27">
        <f>D2122</f>
        <v>7175</v>
      </c>
      <c r="I2122" s="27"/>
      <c r="J2122" s="27"/>
      <c r="K2122" s="99"/>
      <c r="L2122" s="27">
        <v>5378</v>
      </c>
      <c r="M2122" s="29">
        <f t="shared" si="283"/>
        <v>1797</v>
      </c>
      <c r="N2122" s="29"/>
      <c r="O2122" s="44">
        <f t="shared" si="284"/>
        <v>0.25045296167247388</v>
      </c>
    </row>
    <row r="2123" spans="1:15" ht="19.5" customHeight="1" x14ac:dyDescent="0.25">
      <c r="A2123" s="89"/>
      <c r="B2123" s="4"/>
      <c r="C2123" s="5"/>
      <c r="D2123" s="3"/>
      <c r="E2123" s="97">
        <v>53194</v>
      </c>
      <c r="F2123" s="98">
        <f>M2123*0.17+N2123*0.06+10000</f>
        <v>53193.840200000006</v>
      </c>
      <c r="G2123" s="21">
        <f>H2123*0.05+I2123*0.02+10000</f>
        <v>63154.265000000007</v>
      </c>
      <c r="H2123" s="16">
        <f t="shared" ref="H2123:N2123" si="285">SUM(H2097:H2122)</f>
        <v>1052639.1000000001</v>
      </c>
      <c r="I2123" s="16">
        <f t="shared" si="285"/>
        <v>26115.5</v>
      </c>
      <c r="J2123" s="16">
        <f t="shared" si="285"/>
        <v>0</v>
      </c>
      <c r="K2123" s="16">
        <f t="shared" si="285"/>
        <v>1200</v>
      </c>
      <c r="L2123" s="16">
        <f t="shared" si="285"/>
        <v>799623.03999999992</v>
      </c>
      <c r="M2123" s="16">
        <f t="shared" si="285"/>
        <v>251816.06</v>
      </c>
      <c r="N2123" s="16">
        <f t="shared" si="285"/>
        <v>6418.5</v>
      </c>
      <c r="O2123" s="44">
        <f t="shared" si="284"/>
        <v>0.23922354774775131</v>
      </c>
    </row>
    <row r="2124" spans="1:15" ht="23.25" x14ac:dyDescent="0.35">
      <c r="B2124" s="94"/>
      <c r="C2124" s="94" t="s">
        <v>640</v>
      </c>
    </row>
    <row r="2125" spans="1:15" ht="20.100000000000001" customHeight="1" x14ac:dyDescent="0.25">
      <c r="A2125" s="89">
        <v>524</v>
      </c>
      <c r="B2125" s="4">
        <v>44347</v>
      </c>
      <c r="C2125" s="26" t="s">
        <v>91</v>
      </c>
      <c r="D2125" s="3">
        <v>10377</v>
      </c>
      <c r="E2125" s="4">
        <v>44348</v>
      </c>
      <c r="F2125" s="92" t="s">
        <v>28</v>
      </c>
      <c r="G2125" s="32">
        <v>44356</v>
      </c>
      <c r="H2125" s="27">
        <f>D2125</f>
        <v>10377</v>
      </c>
      <c r="I2125" s="27"/>
      <c r="J2125" s="27"/>
      <c r="K2125" s="99"/>
      <c r="L2125" s="29">
        <v>7852.56</v>
      </c>
      <c r="M2125" s="29">
        <f t="shared" ref="M2125:M2138" si="286">H2125-L2125-J2125-K2125</f>
        <v>2524.4399999999996</v>
      </c>
      <c r="N2125" s="29"/>
      <c r="O2125" s="44">
        <f t="shared" ref="O2125:O2138" si="287">M2125/H2125</f>
        <v>0.2432726221451286</v>
      </c>
    </row>
    <row r="2126" spans="1:15" ht="20.100000000000001" customHeight="1" x14ac:dyDescent="0.25">
      <c r="A2126" s="89">
        <v>517</v>
      </c>
      <c r="B2126" s="4">
        <v>44347</v>
      </c>
      <c r="C2126" s="26" t="s">
        <v>496</v>
      </c>
      <c r="D2126" s="3">
        <v>2440</v>
      </c>
      <c r="E2126" s="4">
        <v>44348</v>
      </c>
      <c r="F2126" s="92" t="s">
        <v>28</v>
      </c>
      <c r="G2126" s="32">
        <v>44349</v>
      </c>
      <c r="H2126" s="27">
        <f>D2126</f>
        <v>2440</v>
      </c>
      <c r="I2126" s="27"/>
      <c r="J2126" s="27"/>
      <c r="K2126" s="99"/>
      <c r="L2126" s="29">
        <v>1316</v>
      </c>
      <c r="M2126" s="29">
        <f t="shared" si="286"/>
        <v>1124</v>
      </c>
      <c r="N2126" s="29"/>
      <c r="O2126" s="44">
        <f t="shared" si="287"/>
        <v>0.46065573770491802</v>
      </c>
    </row>
    <row r="2127" spans="1:15" ht="20.100000000000001" customHeight="1" x14ac:dyDescent="0.25">
      <c r="A2127" s="89">
        <v>450</v>
      </c>
      <c r="B2127" s="4">
        <v>44335</v>
      </c>
      <c r="C2127" s="26" t="s">
        <v>236</v>
      </c>
      <c r="D2127" s="3">
        <v>88090</v>
      </c>
      <c r="E2127" s="4">
        <v>44350</v>
      </c>
      <c r="F2127" s="92" t="s">
        <v>28</v>
      </c>
      <c r="G2127" s="32">
        <v>44355</v>
      </c>
      <c r="H2127" s="27">
        <f>D2127</f>
        <v>88090</v>
      </c>
      <c r="I2127" s="27"/>
      <c r="J2127" s="27"/>
      <c r="K2127" s="99"/>
      <c r="L2127" s="29">
        <v>64038.5</v>
      </c>
      <c r="M2127" s="29">
        <f t="shared" si="286"/>
        <v>24051.5</v>
      </c>
      <c r="N2127" s="29"/>
      <c r="O2127" s="44">
        <f t="shared" si="287"/>
        <v>0.27303326143716655</v>
      </c>
    </row>
    <row r="2128" spans="1:15" ht="20.100000000000001" customHeight="1" x14ac:dyDescent="0.25">
      <c r="A2128" s="89">
        <v>262</v>
      </c>
      <c r="B2128" s="4">
        <v>44284</v>
      </c>
      <c r="C2128" s="26" t="s">
        <v>66</v>
      </c>
      <c r="D2128" s="3">
        <v>2500</v>
      </c>
      <c r="E2128" s="4">
        <v>44351</v>
      </c>
      <c r="F2128" s="92" t="s">
        <v>28</v>
      </c>
      <c r="G2128" s="32">
        <v>44291</v>
      </c>
      <c r="H2128" s="27">
        <f>D2128</f>
        <v>2500</v>
      </c>
      <c r="I2128" s="27"/>
      <c r="J2128" s="27"/>
      <c r="K2128" s="99"/>
      <c r="L2128" s="29">
        <v>1786</v>
      </c>
      <c r="M2128" s="29">
        <f t="shared" si="286"/>
        <v>714</v>
      </c>
      <c r="N2128" s="29"/>
      <c r="O2128" s="44">
        <f t="shared" si="287"/>
        <v>0.28560000000000002</v>
      </c>
    </row>
    <row r="2129" spans="1:15" ht="20.100000000000001" customHeight="1" x14ac:dyDescent="0.25">
      <c r="A2129" s="89">
        <v>554</v>
      </c>
      <c r="B2129" s="4">
        <v>44354</v>
      </c>
      <c r="C2129" s="26" t="s">
        <v>497</v>
      </c>
      <c r="D2129" s="3">
        <v>5330</v>
      </c>
      <c r="E2129" s="4">
        <v>44355</v>
      </c>
      <c r="F2129" s="92" t="s">
        <v>28</v>
      </c>
      <c r="G2129" s="32">
        <v>44369</v>
      </c>
      <c r="H2129" s="27">
        <f>D2129</f>
        <v>5330</v>
      </c>
      <c r="I2129" s="27"/>
      <c r="J2129" s="27"/>
      <c r="K2129" s="99"/>
      <c r="L2129" s="29">
        <v>4158</v>
      </c>
      <c r="M2129" s="29">
        <f t="shared" si="286"/>
        <v>1172</v>
      </c>
      <c r="N2129" s="29"/>
      <c r="O2129" s="44">
        <f t="shared" si="287"/>
        <v>0.2198874296435272</v>
      </c>
    </row>
    <row r="2130" spans="1:15" ht="20.100000000000001" customHeight="1" x14ac:dyDescent="0.25">
      <c r="A2130" s="89">
        <v>482</v>
      </c>
      <c r="B2130" s="4">
        <v>44340</v>
      </c>
      <c r="C2130" s="26" t="s">
        <v>60</v>
      </c>
      <c r="D2130" s="3">
        <v>5015</v>
      </c>
      <c r="E2130" s="4">
        <v>44355</v>
      </c>
      <c r="F2130" s="92" t="s">
        <v>28</v>
      </c>
      <c r="G2130" s="32">
        <v>44341</v>
      </c>
      <c r="H2130" s="27">
        <v>4031</v>
      </c>
      <c r="I2130" s="27"/>
      <c r="J2130" s="27"/>
      <c r="K2130" s="99"/>
      <c r="L2130" s="29">
        <v>2847</v>
      </c>
      <c r="M2130" s="29">
        <f t="shared" si="286"/>
        <v>1184</v>
      </c>
      <c r="N2130" s="29"/>
      <c r="O2130" s="44">
        <f t="shared" si="287"/>
        <v>0.29372364177623417</v>
      </c>
    </row>
    <row r="2131" spans="1:15" ht="20.100000000000001" customHeight="1" x14ac:dyDescent="0.25">
      <c r="A2131" s="89">
        <v>545</v>
      </c>
      <c r="B2131" s="4">
        <v>44350</v>
      </c>
      <c r="C2131" s="26" t="s">
        <v>77</v>
      </c>
      <c r="D2131" s="3">
        <v>4208</v>
      </c>
      <c r="E2131" s="4">
        <v>44355</v>
      </c>
      <c r="F2131" s="92" t="s">
        <v>28</v>
      </c>
      <c r="G2131" s="32">
        <v>44357</v>
      </c>
      <c r="H2131" s="27">
        <f t="shared" ref="H2131:H2139" si="288">D2131</f>
        <v>4208</v>
      </c>
      <c r="I2131" s="27"/>
      <c r="J2131" s="27"/>
      <c r="K2131" s="99"/>
      <c r="L2131" s="29">
        <v>3190</v>
      </c>
      <c r="M2131" s="29">
        <f t="shared" si="286"/>
        <v>1018</v>
      </c>
      <c r="N2131" s="29"/>
      <c r="O2131" s="44">
        <f t="shared" si="287"/>
        <v>0.24192015209125475</v>
      </c>
    </row>
    <row r="2132" spans="1:15" ht="20.100000000000001" customHeight="1" x14ac:dyDescent="0.25">
      <c r="A2132" s="89">
        <v>538</v>
      </c>
      <c r="B2132" s="4">
        <v>44348</v>
      </c>
      <c r="C2132" s="26" t="s">
        <v>13</v>
      </c>
      <c r="D2132" s="3">
        <v>13836</v>
      </c>
      <c r="E2132" s="4">
        <v>44362</v>
      </c>
      <c r="F2132" s="92" t="s">
        <v>28</v>
      </c>
      <c r="G2132" s="32">
        <v>44350</v>
      </c>
      <c r="H2132" s="27">
        <f t="shared" si="288"/>
        <v>13836</v>
      </c>
      <c r="I2132" s="27"/>
      <c r="J2132" s="27"/>
      <c r="K2132" s="99"/>
      <c r="L2132" s="29">
        <v>10488</v>
      </c>
      <c r="M2132" s="29">
        <f t="shared" si="286"/>
        <v>3348</v>
      </c>
      <c r="N2132" s="29"/>
      <c r="O2132" s="44">
        <f t="shared" si="287"/>
        <v>0.24197745013009539</v>
      </c>
    </row>
    <row r="2133" spans="1:15" ht="20.100000000000001" customHeight="1" x14ac:dyDescent="0.25">
      <c r="A2133" s="89">
        <v>585</v>
      </c>
      <c r="B2133" s="4">
        <v>44358</v>
      </c>
      <c r="C2133" s="26" t="s">
        <v>334</v>
      </c>
      <c r="D2133" s="3">
        <v>4309</v>
      </c>
      <c r="E2133" s="4">
        <v>44363</v>
      </c>
      <c r="F2133" s="92" t="s">
        <v>28</v>
      </c>
      <c r="G2133" s="32">
        <v>44362</v>
      </c>
      <c r="H2133" s="27">
        <f t="shared" si="288"/>
        <v>4309</v>
      </c>
      <c r="I2133" s="27"/>
      <c r="J2133" s="27"/>
      <c r="K2133" s="99"/>
      <c r="L2133" s="29">
        <v>3308</v>
      </c>
      <c r="M2133" s="29">
        <f t="shared" si="286"/>
        <v>1001</v>
      </c>
      <c r="N2133" s="29"/>
      <c r="O2133" s="44">
        <f t="shared" si="287"/>
        <v>0.23230447899744722</v>
      </c>
    </row>
    <row r="2134" spans="1:15" ht="20.100000000000001" customHeight="1" x14ac:dyDescent="0.25">
      <c r="A2134" s="89">
        <v>527</v>
      </c>
      <c r="B2134" s="4">
        <v>44347</v>
      </c>
      <c r="C2134" s="26" t="s">
        <v>56</v>
      </c>
      <c r="D2134" s="3">
        <v>29339</v>
      </c>
      <c r="E2134" s="4">
        <v>44363</v>
      </c>
      <c r="F2134" s="92" t="s">
        <v>28</v>
      </c>
      <c r="G2134" s="32">
        <v>44348</v>
      </c>
      <c r="H2134" s="27">
        <f t="shared" si="288"/>
        <v>29339</v>
      </c>
      <c r="I2134" s="27"/>
      <c r="J2134" s="27"/>
      <c r="K2134" s="99"/>
      <c r="L2134" s="29">
        <v>22258</v>
      </c>
      <c r="M2134" s="29">
        <f t="shared" si="286"/>
        <v>7081</v>
      </c>
      <c r="N2134" s="29"/>
      <c r="O2134" s="44">
        <f t="shared" si="287"/>
        <v>0.24135110262790144</v>
      </c>
    </row>
    <row r="2135" spans="1:15" ht="20.100000000000001" customHeight="1" x14ac:dyDescent="0.25">
      <c r="A2135" s="89">
        <v>561</v>
      </c>
      <c r="B2135" s="4">
        <v>44355</v>
      </c>
      <c r="C2135" s="5" t="s">
        <v>498</v>
      </c>
      <c r="D2135" s="3">
        <v>35682</v>
      </c>
      <c r="E2135" s="4">
        <v>44363</v>
      </c>
      <c r="F2135" s="92" t="s">
        <v>28</v>
      </c>
      <c r="G2135" s="32">
        <v>44368</v>
      </c>
      <c r="H2135" s="27">
        <f t="shared" si="288"/>
        <v>35682</v>
      </c>
      <c r="I2135" s="27">
        <f>H2135</f>
        <v>35682</v>
      </c>
      <c r="J2135" s="27"/>
      <c r="K2135" s="99">
        <v>600</v>
      </c>
      <c r="L2135" s="29">
        <v>24877.7</v>
      </c>
      <c r="M2135" s="29">
        <f t="shared" si="286"/>
        <v>10204.299999999999</v>
      </c>
      <c r="N2135" s="27">
        <f>M2135</f>
        <v>10204.299999999999</v>
      </c>
      <c r="O2135" s="44">
        <f t="shared" si="287"/>
        <v>0.28597892494815313</v>
      </c>
    </row>
    <row r="2136" spans="1:15" ht="20.100000000000001" customHeight="1" x14ac:dyDescent="0.25">
      <c r="A2136" s="89">
        <v>590</v>
      </c>
      <c r="B2136" s="4">
        <v>44362</v>
      </c>
      <c r="C2136" s="26" t="s">
        <v>455</v>
      </c>
      <c r="D2136" s="3">
        <v>24200</v>
      </c>
      <c r="E2136" s="4">
        <v>44364</v>
      </c>
      <c r="F2136" s="92" t="s">
        <v>28</v>
      </c>
      <c r="G2136" s="32">
        <v>44376</v>
      </c>
      <c r="H2136" s="27">
        <f t="shared" si="288"/>
        <v>24200</v>
      </c>
      <c r="I2136" s="27"/>
      <c r="J2136" s="27"/>
      <c r="K2136" s="99">
        <v>2400</v>
      </c>
      <c r="L2136" s="29">
        <v>10917.88</v>
      </c>
      <c r="M2136" s="29">
        <f t="shared" si="286"/>
        <v>10882.12</v>
      </c>
      <c r="N2136" s="29"/>
      <c r="O2136" s="44">
        <f t="shared" si="287"/>
        <v>0.44967438016528927</v>
      </c>
    </row>
    <row r="2137" spans="1:15" ht="20.100000000000001" customHeight="1" x14ac:dyDescent="0.25">
      <c r="A2137" s="89">
        <v>599</v>
      </c>
      <c r="B2137" s="4">
        <v>44364</v>
      </c>
      <c r="C2137" s="26" t="s">
        <v>5</v>
      </c>
      <c r="D2137" s="3">
        <v>51552</v>
      </c>
      <c r="E2137" s="4">
        <v>44364</v>
      </c>
      <c r="F2137" s="92" t="s">
        <v>28</v>
      </c>
      <c r="G2137" s="32">
        <v>44364</v>
      </c>
      <c r="H2137" s="27">
        <f t="shared" si="288"/>
        <v>51552</v>
      </c>
      <c r="I2137" s="27"/>
      <c r="J2137" s="27"/>
      <c r="K2137" s="99"/>
      <c r="L2137" s="29">
        <v>37870.9</v>
      </c>
      <c r="M2137" s="29">
        <f t="shared" si="286"/>
        <v>13681.099999999999</v>
      </c>
      <c r="N2137" s="29"/>
      <c r="O2137" s="44">
        <f t="shared" si="287"/>
        <v>0.26538446617008066</v>
      </c>
    </row>
    <row r="2138" spans="1:15" ht="20.100000000000001" customHeight="1" x14ac:dyDescent="0.25">
      <c r="A2138" s="89">
        <v>596</v>
      </c>
      <c r="B2138" s="4">
        <v>44363</v>
      </c>
      <c r="C2138" s="26" t="s">
        <v>270</v>
      </c>
      <c r="D2138" s="3">
        <v>9157</v>
      </c>
      <c r="E2138" s="4">
        <v>44364</v>
      </c>
      <c r="F2138" s="92" t="s">
        <v>28</v>
      </c>
      <c r="G2138" s="32">
        <v>44375</v>
      </c>
      <c r="H2138" s="27">
        <f t="shared" si="288"/>
        <v>9157</v>
      </c>
      <c r="I2138" s="27"/>
      <c r="J2138" s="27"/>
      <c r="K2138" s="99"/>
      <c r="L2138" s="29">
        <v>7109</v>
      </c>
      <c r="M2138" s="29">
        <f t="shared" si="286"/>
        <v>2048</v>
      </c>
      <c r="N2138" s="29"/>
      <c r="O2138" s="44">
        <f t="shared" si="287"/>
        <v>0.22365403516435514</v>
      </c>
    </row>
    <row r="2139" spans="1:15" ht="20.100000000000001" hidden="1" customHeight="1" x14ac:dyDescent="0.25">
      <c r="A2139" s="89">
        <v>525</v>
      </c>
      <c r="B2139" s="4">
        <v>44347</v>
      </c>
      <c r="C2139" s="26" t="s">
        <v>302</v>
      </c>
      <c r="D2139" s="3">
        <v>6639</v>
      </c>
      <c r="E2139" s="4">
        <v>44365</v>
      </c>
      <c r="F2139" s="92" t="s">
        <v>28</v>
      </c>
      <c r="G2139" s="32">
        <v>44355</v>
      </c>
      <c r="H2139" s="27">
        <f t="shared" si="288"/>
        <v>6639</v>
      </c>
      <c r="I2139" s="27"/>
      <c r="J2139" s="27"/>
      <c r="K2139" s="99"/>
      <c r="L2139" s="29"/>
      <c r="M2139" s="29"/>
      <c r="N2139" s="29"/>
      <c r="O2139" s="44"/>
    </row>
    <row r="2140" spans="1:15" ht="20.100000000000001" hidden="1" customHeight="1" x14ac:dyDescent="0.25">
      <c r="A2140" s="89">
        <v>542</v>
      </c>
      <c r="B2140" s="4">
        <v>44349</v>
      </c>
      <c r="C2140" s="26" t="s">
        <v>60</v>
      </c>
      <c r="D2140" s="3">
        <v>16080</v>
      </c>
      <c r="E2140" s="4">
        <v>44366</v>
      </c>
      <c r="F2140" s="92" t="s">
        <v>28</v>
      </c>
      <c r="G2140" s="32">
        <v>44356</v>
      </c>
      <c r="H2140" s="27">
        <v>6030</v>
      </c>
      <c r="I2140" s="27"/>
      <c r="J2140" s="27"/>
      <c r="K2140" s="99"/>
      <c r="L2140" s="29"/>
      <c r="M2140" s="29"/>
      <c r="N2140" s="29"/>
      <c r="O2140" s="44"/>
    </row>
    <row r="2141" spans="1:15" ht="20.100000000000001" hidden="1" customHeight="1" x14ac:dyDescent="0.25">
      <c r="A2141" s="89">
        <v>482</v>
      </c>
      <c r="B2141" s="4">
        <v>44340</v>
      </c>
      <c r="C2141" s="26" t="s">
        <v>60</v>
      </c>
      <c r="D2141" s="3">
        <v>5015</v>
      </c>
      <c r="E2141" s="4">
        <v>44367</v>
      </c>
      <c r="F2141" s="92" t="s">
        <v>28</v>
      </c>
      <c r="G2141" s="32">
        <v>44356</v>
      </c>
      <c r="H2141" s="27">
        <v>984</v>
      </c>
      <c r="I2141" s="27"/>
      <c r="J2141" s="27"/>
      <c r="K2141" s="99"/>
      <c r="L2141" s="29"/>
      <c r="M2141" s="29"/>
      <c r="N2141" s="29"/>
      <c r="O2141" s="44"/>
    </row>
    <row r="2142" spans="1:15" ht="20.100000000000001" customHeight="1" x14ac:dyDescent="0.25">
      <c r="A2142" s="89">
        <v>584</v>
      </c>
      <c r="B2142" s="4">
        <v>44358</v>
      </c>
      <c r="C2142" s="26" t="s">
        <v>410</v>
      </c>
      <c r="D2142" s="3">
        <v>28495</v>
      </c>
      <c r="E2142" s="4">
        <v>44368</v>
      </c>
      <c r="F2142" s="92" t="s">
        <v>28</v>
      </c>
      <c r="G2142" s="32">
        <v>44397</v>
      </c>
      <c r="H2142" s="27">
        <f>D2142</f>
        <v>28495</v>
      </c>
      <c r="I2142" s="27"/>
      <c r="J2142" s="27"/>
      <c r="K2142" s="99"/>
      <c r="L2142" s="29">
        <v>16329.5</v>
      </c>
      <c r="M2142" s="29">
        <f>H2142-L2142-J2142-K2142</f>
        <v>12165.5</v>
      </c>
      <c r="N2142" s="29"/>
      <c r="O2142" s="44">
        <f t="shared" ref="O2142:O2147" si="289">M2142/H2142</f>
        <v>0.4269345499210388</v>
      </c>
    </row>
    <row r="2143" spans="1:15" ht="20.100000000000001" customHeight="1" x14ac:dyDescent="0.25">
      <c r="A2143" s="89">
        <v>623</v>
      </c>
      <c r="B2143" s="4">
        <v>44371</v>
      </c>
      <c r="C2143" s="26" t="s">
        <v>475</v>
      </c>
      <c r="D2143" s="3">
        <v>3330</v>
      </c>
      <c r="E2143" s="4">
        <v>44371</v>
      </c>
      <c r="F2143" s="92" t="s">
        <v>28</v>
      </c>
      <c r="G2143" s="32">
        <v>44371</v>
      </c>
      <c r="H2143" s="27">
        <f>D2143</f>
        <v>3330</v>
      </c>
      <c r="I2143" s="27"/>
      <c r="J2143" s="27"/>
      <c r="K2143" s="99"/>
      <c r="L2143" s="29">
        <v>531.5</v>
      </c>
      <c r="M2143" s="29">
        <f>H2143-L2143-J2143-K2143</f>
        <v>2798.5</v>
      </c>
      <c r="N2143" s="29"/>
      <c r="O2143" s="44">
        <f t="shared" si="289"/>
        <v>0.84039039039039043</v>
      </c>
    </row>
    <row r="2144" spans="1:15" ht="20.100000000000001" customHeight="1" x14ac:dyDescent="0.25">
      <c r="A2144" s="89">
        <v>497</v>
      </c>
      <c r="B2144" s="4">
        <v>44362</v>
      </c>
      <c r="C2144" s="5" t="s">
        <v>499</v>
      </c>
      <c r="D2144" s="3">
        <v>9544</v>
      </c>
      <c r="E2144" s="4">
        <v>44377</v>
      </c>
      <c r="F2144" s="92" t="s">
        <v>28</v>
      </c>
      <c r="G2144" s="32">
        <v>44364</v>
      </c>
      <c r="H2144" s="27">
        <f>D2144</f>
        <v>9544</v>
      </c>
      <c r="I2144" s="27">
        <f>H2144</f>
        <v>9544</v>
      </c>
      <c r="J2144" s="27"/>
      <c r="K2144" s="99"/>
      <c r="L2144" s="29">
        <v>6301</v>
      </c>
      <c r="M2144" s="29">
        <f>H2144-L2144-J2144-K2144</f>
        <v>3243</v>
      </c>
      <c r="N2144" s="27">
        <f>M2144</f>
        <v>3243</v>
      </c>
      <c r="O2144" s="44">
        <f t="shared" si="289"/>
        <v>0.33979463537300925</v>
      </c>
    </row>
    <row r="2145" spans="1:15" ht="20.100000000000001" customHeight="1" x14ac:dyDescent="0.25">
      <c r="A2145" s="89">
        <v>644</v>
      </c>
      <c r="B2145" s="4">
        <v>44377</v>
      </c>
      <c r="C2145" s="26" t="s">
        <v>209</v>
      </c>
      <c r="D2145" s="3">
        <v>8894.4</v>
      </c>
      <c r="E2145" s="4">
        <v>44377</v>
      </c>
      <c r="F2145" s="92" t="s">
        <v>28</v>
      </c>
      <c r="G2145" s="32">
        <v>44406</v>
      </c>
      <c r="H2145" s="27">
        <f>D2145</f>
        <v>8894.4</v>
      </c>
      <c r="I2145" s="27"/>
      <c r="J2145" s="27"/>
      <c r="K2145" s="99"/>
      <c r="L2145" s="27">
        <v>8057</v>
      </c>
      <c r="M2145" s="29">
        <f>H2145-L2145-J2145-K2145</f>
        <v>837.39999999999964</v>
      </c>
      <c r="N2145" s="29"/>
      <c r="O2145" s="44">
        <f t="shared" si="289"/>
        <v>9.4149127540924596E-2</v>
      </c>
    </row>
    <row r="2146" spans="1:15" ht="20.100000000000001" customHeight="1" x14ac:dyDescent="0.25">
      <c r="A2146" s="89">
        <v>515</v>
      </c>
      <c r="B2146" s="4">
        <v>44344</v>
      </c>
      <c r="C2146" s="26" t="s">
        <v>209</v>
      </c>
      <c r="D2146" s="3">
        <v>8894.4</v>
      </c>
      <c r="E2146" s="4">
        <v>44377</v>
      </c>
      <c r="F2146" s="92" t="s">
        <v>28</v>
      </c>
      <c r="G2146" s="32">
        <v>44371</v>
      </c>
      <c r="H2146" s="27">
        <v>7574.4</v>
      </c>
      <c r="I2146" s="27"/>
      <c r="J2146" s="27"/>
      <c r="K2146" s="99"/>
      <c r="L2146" s="27">
        <v>6792</v>
      </c>
      <c r="M2146" s="29">
        <f>H2146-L2146-J2146-K2146</f>
        <v>782.39999999999964</v>
      </c>
      <c r="N2146" s="29"/>
      <c r="O2146" s="44">
        <f t="shared" si="289"/>
        <v>0.10329531051964508</v>
      </c>
    </row>
    <row r="2147" spans="1:15" ht="19.5" customHeight="1" x14ac:dyDescent="0.25">
      <c r="A2147" s="89"/>
      <c r="B2147" s="4"/>
      <c r="C2147" s="5"/>
      <c r="D2147" s="3"/>
      <c r="E2147" s="97">
        <v>15800</v>
      </c>
      <c r="F2147" s="98">
        <f>M2147*0.05+N2147*0.06+10000</f>
        <v>15799.850999999999</v>
      </c>
      <c r="G2147" s="21">
        <f>H2147*0.02+I2147*0.02+10000</f>
        <v>18035.356</v>
      </c>
      <c r="H2147" s="16">
        <f t="shared" ref="H2147:N2147" si="290">SUM(H2125:H2146)</f>
        <v>356541.80000000005</v>
      </c>
      <c r="I2147" s="16">
        <f t="shared" si="290"/>
        <v>45226</v>
      </c>
      <c r="J2147" s="16">
        <f t="shared" si="290"/>
        <v>0</v>
      </c>
      <c r="K2147" s="16">
        <f t="shared" si="290"/>
        <v>3000</v>
      </c>
      <c r="L2147" s="16">
        <f t="shared" si="290"/>
        <v>240028.54</v>
      </c>
      <c r="M2147" s="16">
        <f t="shared" si="290"/>
        <v>99860.26</v>
      </c>
      <c r="N2147" s="16">
        <f t="shared" si="290"/>
        <v>13447.3</v>
      </c>
      <c r="O2147" s="44">
        <f t="shared" si="289"/>
        <v>0.28008009159094382</v>
      </c>
    </row>
    <row r="2148" spans="1:15" ht="23.25" x14ac:dyDescent="0.35">
      <c r="B2148" s="94"/>
      <c r="C2148" s="94" t="s">
        <v>641</v>
      </c>
    </row>
    <row r="2149" spans="1:15" ht="20.100000000000001" customHeight="1" x14ac:dyDescent="0.25">
      <c r="A2149" s="89">
        <v>542</v>
      </c>
      <c r="B2149" s="4">
        <v>44349</v>
      </c>
      <c r="C2149" s="26" t="s">
        <v>60</v>
      </c>
      <c r="D2149" s="3">
        <v>16080</v>
      </c>
      <c r="E2149" s="4">
        <v>44378</v>
      </c>
      <c r="F2149" s="92" t="s">
        <v>28</v>
      </c>
      <c r="G2149" s="32">
        <v>44363</v>
      </c>
      <c r="H2149" s="27">
        <v>10050</v>
      </c>
      <c r="I2149" s="27"/>
      <c r="J2149" s="27"/>
      <c r="K2149" s="99"/>
      <c r="L2149" s="29">
        <v>7835</v>
      </c>
      <c r="M2149" s="29">
        <f t="shared" ref="M2149:M2167" si="291">H2149-L2149-J2149-K2149</f>
        <v>2215</v>
      </c>
      <c r="N2149" s="29"/>
      <c r="O2149" s="44">
        <f t="shared" ref="O2149:O2168" si="292">M2149/H2149</f>
        <v>0.22039800995024875</v>
      </c>
    </row>
    <row r="2150" spans="1:15" ht="20.100000000000001" customHeight="1" x14ac:dyDescent="0.25">
      <c r="A2150" s="89">
        <v>621</v>
      </c>
      <c r="B2150" s="4">
        <v>44378</v>
      </c>
      <c r="C2150" s="5" t="s">
        <v>500</v>
      </c>
      <c r="D2150" s="3">
        <v>120290</v>
      </c>
      <c r="E2150" s="4">
        <v>44379</v>
      </c>
      <c r="F2150" s="92" t="s">
        <v>28</v>
      </c>
      <c r="G2150" s="32">
        <v>44379</v>
      </c>
      <c r="H2150" s="27">
        <f t="shared" ref="H2150:H2167" si="293">D2150</f>
        <v>120290</v>
      </c>
      <c r="I2150" s="27">
        <f>H2150</f>
        <v>120290</v>
      </c>
      <c r="J2150" s="27"/>
      <c r="K2150" s="99"/>
      <c r="L2150" s="29">
        <v>76737</v>
      </c>
      <c r="M2150" s="29">
        <f t="shared" si="291"/>
        <v>43553</v>
      </c>
      <c r="N2150" s="27">
        <f>M2150</f>
        <v>43553</v>
      </c>
      <c r="O2150" s="44">
        <f t="shared" si="292"/>
        <v>0.36206667220882865</v>
      </c>
    </row>
    <row r="2151" spans="1:15" ht="20.100000000000001" customHeight="1" x14ac:dyDescent="0.25">
      <c r="A2151" s="89">
        <v>657</v>
      </c>
      <c r="B2151" s="4">
        <v>44382</v>
      </c>
      <c r="C2151" s="5" t="s">
        <v>500</v>
      </c>
      <c r="D2151" s="3">
        <v>116980</v>
      </c>
      <c r="E2151" s="4">
        <v>44382</v>
      </c>
      <c r="F2151" s="92" t="s">
        <v>28</v>
      </c>
      <c r="G2151" s="32">
        <v>44382</v>
      </c>
      <c r="H2151" s="27">
        <f t="shared" si="293"/>
        <v>116980</v>
      </c>
      <c r="I2151" s="27">
        <f>H2151</f>
        <v>116980</v>
      </c>
      <c r="J2151" s="27"/>
      <c r="K2151" s="99"/>
      <c r="L2151" s="29">
        <v>77807.38</v>
      </c>
      <c r="M2151" s="29">
        <f t="shared" si="291"/>
        <v>39172.619999999995</v>
      </c>
      <c r="N2151" s="27">
        <f>M2151</f>
        <v>39172.619999999995</v>
      </c>
      <c r="O2151" s="44">
        <f t="shared" si="292"/>
        <v>0.33486595999316121</v>
      </c>
    </row>
    <row r="2152" spans="1:15" ht="20.100000000000001" customHeight="1" x14ac:dyDescent="0.25">
      <c r="A2152" s="89">
        <v>629</v>
      </c>
      <c r="B2152" s="4">
        <v>44375</v>
      </c>
      <c r="C2152" s="26" t="s">
        <v>403</v>
      </c>
      <c r="D2152" s="3">
        <v>7175</v>
      </c>
      <c r="E2152" s="4">
        <v>44382</v>
      </c>
      <c r="F2152" s="92" t="s">
        <v>28</v>
      </c>
      <c r="G2152" s="32">
        <v>44383</v>
      </c>
      <c r="H2152" s="27">
        <f t="shared" si="293"/>
        <v>7175</v>
      </c>
      <c r="I2152" s="27"/>
      <c r="J2152" s="27"/>
      <c r="K2152" s="99"/>
      <c r="L2152" s="29">
        <v>5461.43</v>
      </c>
      <c r="M2152" s="29">
        <f t="shared" si="291"/>
        <v>1713.5699999999997</v>
      </c>
      <c r="N2152" s="29"/>
      <c r="O2152" s="44">
        <f t="shared" si="292"/>
        <v>0.23882508710801389</v>
      </c>
    </row>
    <row r="2153" spans="1:15" ht="20.100000000000001" customHeight="1" x14ac:dyDescent="0.25">
      <c r="A2153" s="89">
        <v>675</v>
      </c>
      <c r="B2153" s="4">
        <v>44382</v>
      </c>
      <c r="C2153" s="26" t="s">
        <v>270</v>
      </c>
      <c r="D2153" s="3">
        <v>18990</v>
      </c>
      <c r="E2153" s="4">
        <v>44383</v>
      </c>
      <c r="F2153" s="92" t="s">
        <v>28</v>
      </c>
      <c r="G2153" s="32">
        <v>44383</v>
      </c>
      <c r="H2153" s="27">
        <f t="shared" si="293"/>
        <v>18990</v>
      </c>
      <c r="I2153" s="27"/>
      <c r="J2153" s="27"/>
      <c r="K2153" s="99"/>
      <c r="L2153" s="29">
        <v>14052</v>
      </c>
      <c r="M2153" s="29">
        <f t="shared" si="291"/>
        <v>4938</v>
      </c>
      <c r="N2153" s="29"/>
      <c r="O2153" s="44">
        <f t="shared" si="292"/>
        <v>0.26003159557661926</v>
      </c>
    </row>
    <row r="2154" spans="1:15" ht="20.100000000000001" customHeight="1" x14ac:dyDescent="0.25">
      <c r="A2154" s="89">
        <v>682</v>
      </c>
      <c r="B2154" s="4">
        <v>44383</v>
      </c>
      <c r="C2154" s="26" t="s">
        <v>496</v>
      </c>
      <c r="D2154" s="3">
        <v>2500</v>
      </c>
      <c r="E2154" s="4">
        <v>44383</v>
      </c>
      <c r="F2154" s="92" t="s">
        <v>28</v>
      </c>
      <c r="G2154" s="32">
        <v>44384</v>
      </c>
      <c r="H2154" s="27">
        <f t="shared" si="293"/>
        <v>2500</v>
      </c>
      <c r="I2154" s="27"/>
      <c r="J2154" s="27"/>
      <c r="K2154" s="99"/>
      <c r="L2154" s="29">
        <v>1330.31</v>
      </c>
      <c r="M2154" s="29">
        <f t="shared" si="291"/>
        <v>1169.69</v>
      </c>
      <c r="N2154" s="29"/>
      <c r="O2154" s="44">
        <f t="shared" si="292"/>
        <v>0.46787600000000001</v>
      </c>
    </row>
    <row r="2155" spans="1:15" ht="20.100000000000001" customHeight="1" x14ac:dyDescent="0.25">
      <c r="A2155" s="89">
        <v>656</v>
      </c>
      <c r="B2155" s="4">
        <v>44379</v>
      </c>
      <c r="C2155" s="26" t="s">
        <v>270</v>
      </c>
      <c r="D2155" s="3">
        <v>6032</v>
      </c>
      <c r="E2155" s="4">
        <v>44384</v>
      </c>
      <c r="F2155" s="92" t="s">
        <v>28</v>
      </c>
      <c r="G2155" s="32">
        <v>44379</v>
      </c>
      <c r="H2155" s="27">
        <f t="shared" si="293"/>
        <v>6032</v>
      </c>
      <c r="I2155" s="27"/>
      <c r="J2155" s="27"/>
      <c r="K2155" s="99"/>
      <c r="L2155" s="29">
        <v>4704</v>
      </c>
      <c r="M2155" s="29">
        <f t="shared" si="291"/>
        <v>1328</v>
      </c>
      <c r="N2155" s="29"/>
      <c r="O2155" s="44">
        <f t="shared" si="292"/>
        <v>0.22015915119363394</v>
      </c>
    </row>
    <row r="2156" spans="1:15" ht="20.100000000000001" customHeight="1" x14ac:dyDescent="0.25">
      <c r="A2156" s="89">
        <v>659</v>
      </c>
      <c r="B2156" s="4">
        <v>44382</v>
      </c>
      <c r="C2156" s="26" t="s">
        <v>474</v>
      </c>
      <c r="D2156" s="3">
        <v>14490</v>
      </c>
      <c r="E2156" s="4">
        <v>44384</v>
      </c>
      <c r="F2156" s="92" t="s">
        <v>28</v>
      </c>
      <c r="G2156" s="32">
        <v>44399</v>
      </c>
      <c r="H2156" s="27">
        <f t="shared" si="293"/>
        <v>14490</v>
      </c>
      <c r="I2156" s="27"/>
      <c r="J2156" s="27"/>
      <c r="K2156" s="99"/>
      <c r="L2156" s="29">
        <v>10650</v>
      </c>
      <c r="M2156" s="29">
        <f t="shared" si="291"/>
        <v>3840</v>
      </c>
      <c r="N2156" s="29"/>
      <c r="O2156" s="44">
        <f t="shared" si="292"/>
        <v>0.26501035196687373</v>
      </c>
    </row>
    <row r="2157" spans="1:15" ht="20.100000000000001" customHeight="1" x14ac:dyDescent="0.25">
      <c r="A2157" s="89">
        <v>696</v>
      </c>
      <c r="B2157" s="4">
        <v>44384</v>
      </c>
      <c r="C2157" s="26" t="s">
        <v>149</v>
      </c>
      <c r="D2157" s="3">
        <v>9348</v>
      </c>
      <c r="E2157" s="4">
        <v>44385</v>
      </c>
      <c r="F2157" s="92" t="s">
        <v>28</v>
      </c>
      <c r="G2157" s="32">
        <v>44386</v>
      </c>
      <c r="H2157" s="27">
        <f t="shared" si="293"/>
        <v>9348</v>
      </c>
      <c r="I2157" s="27"/>
      <c r="J2157" s="27"/>
      <c r="K2157" s="99"/>
      <c r="L2157" s="29">
        <v>7290</v>
      </c>
      <c r="M2157" s="29">
        <f t="shared" si="291"/>
        <v>2058</v>
      </c>
      <c r="N2157" s="29"/>
      <c r="O2157" s="44">
        <f t="shared" si="292"/>
        <v>0.22015404364569963</v>
      </c>
    </row>
    <row r="2158" spans="1:15" ht="20.100000000000001" customHeight="1" x14ac:dyDescent="0.25">
      <c r="A2158" s="89">
        <v>618</v>
      </c>
      <c r="B2158" s="4">
        <v>44369</v>
      </c>
      <c r="C2158" s="26" t="s">
        <v>455</v>
      </c>
      <c r="D2158" s="3">
        <v>24149</v>
      </c>
      <c r="E2158" s="4">
        <v>44385</v>
      </c>
      <c r="F2158" s="92" t="s">
        <v>28</v>
      </c>
      <c r="G2158" s="32">
        <v>44399</v>
      </c>
      <c r="H2158" s="27">
        <f t="shared" si="293"/>
        <v>24149</v>
      </c>
      <c r="I2158" s="27"/>
      <c r="J2158" s="27"/>
      <c r="K2158" s="99">
        <v>1200</v>
      </c>
      <c r="L2158" s="29">
        <v>14930</v>
      </c>
      <c r="M2158" s="29">
        <f t="shared" si="291"/>
        <v>8019</v>
      </c>
      <c r="N2158" s="29"/>
      <c r="O2158" s="44">
        <f t="shared" si="292"/>
        <v>0.33206343947989564</v>
      </c>
    </row>
    <row r="2159" spans="1:15" ht="20.100000000000001" customHeight="1" x14ac:dyDescent="0.25">
      <c r="A2159" s="89">
        <v>710</v>
      </c>
      <c r="B2159" s="4">
        <v>44390</v>
      </c>
      <c r="C2159" s="26" t="s">
        <v>281</v>
      </c>
      <c r="D2159" s="3">
        <v>3537</v>
      </c>
      <c r="E2159" s="4">
        <v>44391</v>
      </c>
      <c r="F2159" s="92" t="s">
        <v>28</v>
      </c>
      <c r="G2159" s="32">
        <v>44392</v>
      </c>
      <c r="H2159" s="27">
        <f t="shared" si="293"/>
        <v>3537</v>
      </c>
      <c r="I2159" s="27"/>
      <c r="J2159" s="27"/>
      <c r="K2159" s="99"/>
      <c r="L2159" s="29">
        <v>2714</v>
      </c>
      <c r="M2159" s="29">
        <f t="shared" si="291"/>
        <v>823</v>
      </c>
      <c r="N2159" s="29"/>
      <c r="O2159" s="44">
        <f t="shared" si="292"/>
        <v>0.23268306474413344</v>
      </c>
    </row>
    <row r="2160" spans="1:15" ht="20.100000000000001" customHeight="1" x14ac:dyDescent="0.25">
      <c r="A2160" s="89">
        <v>622</v>
      </c>
      <c r="B2160" s="4">
        <v>44401</v>
      </c>
      <c r="C2160" s="26" t="s">
        <v>69</v>
      </c>
      <c r="D2160" s="3">
        <v>21357</v>
      </c>
      <c r="E2160" s="4">
        <v>44393</v>
      </c>
      <c r="F2160" s="92" t="s">
        <v>28</v>
      </c>
      <c r="G2160" s="32">
        <v>44412</v>
      </c>
      <c r="H2160" s="27">
        <f t="shared" si="293"/>
        <v>21357</v>
      </c>
      <c r="I2160" s="27"/>
      <c r="J2160" s="27"/>
      <c r="K2160" s="99"/>
      <c r="L2160" s="29">
        <v>14410</v>
      </c>
      <c r="M2160" s="29">
        <f t="shared" si="291"/>
        <v>6947</v>
      </c>
      <c r="N2160" s="29"/>
      <c r="O2160" s="44">
        <f t="shared" si="292"/>
        <v>0.32527976775764389</v>
      </c>
    </row>
    <row r="2161" spans="1:15" ht="20.100000000000001" customHeight="1" x14ac:dyDescent="0.25">
      <c r="A2161" s="89">
        <v>662</v>
      </c>
      <c r="B2161" s="4">
        <v>44382</v>
      </c>
      <c r="C2161" s="26" t="s">
        <v>467</v>
      </c>
      <c r="D2161" s="3">
        <v>6990</v>
      </c>
      <c r="E2161" s="4">
        <v>44393</v>
      </c>
      <c r="F2161" s="92" t="s">
        <v>28</v>
      </c>
      <c r="G2161" s="32">
        <v>44404</v>
      </c>
      <c r="H2161" s="27">
        <f t="shared" si="293"/>
        <v>6990</v>
      </c>
      <c r="I2161" s="27"/>
      <c r="J2161" s="27"/>
      <c r="K2161" s="99">
        <v>600</v>
      </c>
      <c r="L2161" s="29">
        <v>3087.69</v>
      </c>
      <c r="M2161" s="29">
        <f t="shared" si="291"/>
        <v>3302.31</v>
      </c>
      <c r="N2161" s="29"/>
      <c r="O2161" s="44">
        <f t="shared" si="292"/>
        <v>0.47243347639484978</v>
      </c>
    </row>
    <row r="2162" spans="1:15" ht="20.100000000000001" customHeight="1" x14ac:dyDescent="0.25">
      <c r="A2162" s="89">
        <v>592</v>
      </c>
      <c r="B2162" s="4">
        <v>44362</v>
      </c>
      <c r="C2162" s="26" t="s">
        <v>275</v>
      </c>
      <c r="D2162" s="3">
        <v>143169</v>
      </c>
      <c r="E2162" s="4">
        <v>44397</v>
      </c>
      <c r="F2162" s="92" t="s">
        <v>28</v>
      </c>
      <c r="G2162" s="32">
        <v>44376</v>
      </c>
      <c r="H2162" s="27">
        <f t="shared" si="293"/>
        <v>143169</v>
      </c>
      <c r="I2162" s="27"/>
      <c r="J2162" s="27"/>
      <c r="K2162" s="99"/>
      <c r="L2162" s="27">
        <f>112584+1960</f>
        <v>114544</v>
      </c>
      <c r="M2162" s="29">
        <f t="shared" si="291"/>
        <v>28625</v>
      </c>
      <c r="N2162" s="29"/>
      <c r="O2162" s="44">
        <f t="shared" si="292"/>
        <v>0.1999385341798853</v>
      </c>
    </row>
    <row r="2163" spans="1:15" ht="20.100000000000001" customHeight="1" x14ac:dyDescent="0.25">
      <c r="A2163" s="89">
        <v>185</v>
      </c>
      <c r="B2163" s="4">
        <v>44362</v>
      </c>
      <c r="C2163" s="26" t="s">
        <v>275</v>
      </c>
      <c r="D2163" s="3">
        <v>132040</v>
      </c>
      <c r="E2163" s="4">
        <v>44397</v>
      </c>
      <c r="F2163" s="92" t="s">
        <v>28</v>
      </c>
      <c r="G2163" s="32">
        <v>44369</v>
      </c>
      <c r="H2163" s="27">
        <f t="shared" si="293"/>
        <v>132040</v>
      </c>
      <c r="I2163" s="27"/>
      <c r="J2163" s="27"/>
      <c r="K2163" s="99"/>
      <c r="L2163" s="27">
        <v>105812</v>
      </c>
      <c r="M2163" s="29">
        <f t="shared" si="291"/>
        <v>26228</v>
      </c>
      <c r="N2163" s="29"/>
      <c r="O2163" s="44">
        <f t="shared" si="292"/>
        <v>0.19863677673432292</v>
      </c>
    </row>
    <row r="2164" spans="1:15" ht="20.100000000000001" customHeight="1" x14ac:dyDescent="0.25">
      <c r="A2164" s="89">
        <v>739</v>
      </c>
      <c r="B2164" s="4">
        <v>44398</v>
      </c>
      <c r="C2164" s="26" t="s">
        <v>51</v>
      </c>
      <c r="D2164" s="3">
        <v>65290</v>
      </c>
      <c r="E2164" s="4">
        <v>44399</v>
      </c>
      <c r="F2164" s="92" t="s">
        <v>28</v>
      </c>
      <c r="G2164" s="32">
        <v>44405</v>
      </c>
      <c r="H2164" s="27">
        <f t="shared" si="293"/>
        <v>65290</v>
      </c>
      <c r="I2164" s="27"/>
      <c r="J2164" s="27"/>
      <c r="K2164" s="99"/>
      <c r="L2164" s="27">
        <v>48314</v>
      </c>
      <c r="M2164" s="29">
        <f t="shared" si="291"/>
        <v>16976</v>
      </c>
      <c r="N2164" s="29"/>
      <c r="O2164" s="44">
        <f t="shared" si="292"/>
        <v>0.26000918976872417</v>
      </c>
    </row>
    <row r="2165" spans="1:15" ht="20.100000000000001" customHeight="1" x14ac:dyDescent="0.25">
      <c r="A2165" s="89">
        <v>701</v>
      </c>
      <c r="B2165" s="4">
        <v>44386</v>
      </c>
      <c r="C2165" s="26" t="s">
        <v>56</v>
      </c>
      <c r="D2165" s="3">
        <v>42361</v>
      </c>
      <c r="E2165" s="4">
        <v>44400</v>
      </c>
      <c r="F2165" s="92" t="s">
        <v>28</v>
      </c>
      <c r="G2165" s="32">
        <v>44392</v>
      </c>
      <c r="H2165" s="27">
        <f t="shared" si="293"/>
        <v>42361</v>
      </c>
      <c r="I2165" s="27"/>
      <c r="J2165" s="27"/>
      <c r="K2165" s="99"/>
      <c r="L2165" s="29">
        <v>32134</v>
      </c>
      <c r="M2165" s="29">
        <f t="shared" si="291"/>
        <v>10227</v>
      </c>
      <c r="N2165" s="29"/>
      <c r="O2165" s="44">
        <f t="shared" si="292"/>
        <v>0.24142489554070962</v>
      </c>
    </row>
    <row r="2166" spans="1:15" ht="20.100000000000001" customHeight="1" x14ac:dyDescent="0.25">
      <c r="A2166" s="89">
        <v>605</v>
      </c>
      <c r="B2166" s="4">
        <v>44397</v>
      </c>
      <c r="C2166" s="26" t="s">
        <v>494</v>
      </c>
      <c r="D2166" s="3">
        <v>69990</v>
      </c>
      <c r="E2166" s="4">
        <v>44405</v>
      </c>
      <c r="F2166" s="92" t="s">
        <v>28</v>
      </c>
      <c r="G2166" s="32">
        <v>44427</v>
      </c>
      <c r="H2166" s="27">
        <f t="shared" si="293"/>
        <v>69990</v>
      </c>
      <c r="I2166" s="27"/>
      <c r="J2166" s="27"/>
      <c r="K2166" s="99"/>
      <c r="L2166" s="29">
        <v>51792.6</v>
      </c>
      <c r="M2166" s="29">
        <f t="shared" si="291"/>
        <v>18197.400000000001</v>
      </c>
      <c r="N2166" s="29"/>
      <c r="O2166" s="44">
        <f t="shared" si="292"/>
        <v>0.26</v>
      </c>
    </row>
    <row r="2167" spans="1:15" ht="20.100000000000001" customHeight="1" x14ac:dyDescent="0.25">
      <c r="A2167" s="89">
        <v>598</v>
      </c>
      <c r="B2167" s="4">
        <v>44363</v>
      </c>
      <c r="C2167" s="26" t="s">
        <v>66</v>
      </c>
      <c r="D2167" s="3">
        <v>2780</v>
      </c>
      <c r="E2167" s="92">
        <v>44406</v>
      </c>
      <c r="F2167" s="92" t="s">
        <v>28</v>
      </c>
      <c r="G2167" s="32">
        <v>44369</v>
      </c>
      <c r="H2167" s="27">
        <f t="shared" si="293"/>
        <v>2780</v>
      </c>
      <c r="I2167" s="27"/>
      <c r="J2167" s="27"/>
      <c r="K2167" s="99"/>
      <c r="L2167" s="27">
        <v>1960</v>
      </c>
      <c r="M2167" s="29">
        <f t="shared" si="291"/>
        <v>820</v>
      </c>
      <c r="N2167" s="29"/>
      <c r="O2167" s="44">
        <f t="shared" si="292"/>
        <v>0.29496402877697842</v>
      </c>
    </row>
    <row r="2168" spans="1:15" ht="19.5" customHeight="1" x14ac:dyDescent="0.25">
      <c r="A2168" s="89"/>
      <c r="B2168" s="4"/>
      <c r="C2168" s="5"/>
      <c r="D2168" s="3"/>
      <c r="E2168" s="97">
        <v>31382</v>
      </c>
      <c r="F2168" s="98">
        <f>M2168*0.12+N2168*0.06</f>
        <v>31381.847999999998</v>
      </c>
      <c r="G2168" s="21">
        <f>H2168*0.04+I2168*0.02</f>
        <v>37446.120000000003</v>
      </c>
      <c r="H2168" s="16">
        <f t="shared" ref="H2168:N2168" si="294">SUM(H2149:H2167)</f>
        <v>817518</v>
      </c>
      <c r="I2168" s="16">
        <f t="shared" si="294"/>
        <v>237270</v>
      </c>
      <c r="J2168" s="16">
        <f t="shared" si="294"/>
        <v>0</v>
      </c>
      <c r="K2168" s="16">
        <f t="shared" si="294"/>
        <v>1800</v>
      </c>
      <c r="L2168" s="16">
        <f t="shared" si="294"/>
        <v>595565.41</v>
      </c>
      <c r="M2168" s="16">
        <f t="shared" si="294"/>
        <v>220152.59</v>
      </c>
      <c r="N2168" s="16">
        <f t="shared" si="294"/>
        <v>82725.62</v>
      </c>
      <c r="O2168" s="44">
        <f t="shared" si="292"/>
        <v>0.26929387487492629</v>
      </c>
    </row>
    <row r="2169" spans="1:15" ht="23.25" x14ac:dyDescent="0.35">
      <c r="B2169" s="94"/>
      <c r="C2169" s="94" t="s">
        <v>642</v>
      </c>
    </row>
    <row r="2170" spans="1:15" ht="20.100000000000001" customHeight="1" x14ac:dyDescent="0.25">
      <c r="A2170" s="89">
        <v>785</v>
      </c>
      <c r="B2170" s="4">
        <v>44410</v>
      </c>
      <c r="C2170" s="26" t="s">
        <v>469</v>
      </c>
      <c r="D2170" s="3">
        <v>13990</v>
      </c>
      <c r="E2170" s="4">
        <v>44411</v>
      </c>
      <c r="F2170" s="92" t="s">
        <v>28</v>
      </c>
      <c r="G2170" s="32">
        <v>44425</v>
      </c>
      <c r="H2170" s="27">
        <f>D2170</f>
        <v>13990</v>
      </c>
      <c r="I2170" s="27"/>
      <c r="J2170" s="27"/>
      <c r="K2170" s="99"/>
      <c r="L2170" s="29">
        <v>10283</v>
      </c>
      <c r="M2170" s="29">
        <f t="shared" ref="M2170:M2191" si="295">H2170-L2170-J2170-K2170</f>
        <v>3707</v>
      </c>
      <c r="N2170" s="29"/>
      <c r="O2170" s="44">
        <f t="shared" ref="O2170:O2192" si="296">M2170/H2170</f>
        <v>0.26497498213009291</v>
      </c>
    </row>
    <row r="2171" spans="1:15" ht="20.100000000000001" customHeight="1" x14ac:dyDescent="0.25">
      <c r="A2171" s="89">
        <v>788</v>
      </c>
      <c r="B2171" s="4">
        <v>44411</v>
      </c>
      <c r="C2171" s="26" t="s">
        <v>251</v>
      </c>
      <c r="D2171" s="3">
        <v>3250</v>
      </c>
      <c r="E2171" s="4">
        <v>44411</v>
      </c>
      <c r="F2171" s="92" t="s">
        <v>28</v>
      </c>
      <c r="G2171" s="32">
        <v>44413</v>
      </c>
      <c r="H2171" s="27">
        <f>D2171</f>
        <v>3250</v>
      </c>
      <c r="I2171" s="27"/>
      <c r="J2171" s="27"/>
      <c r="K2171" s="99"/>
      <c r="L2171" s="29">
        <v>2861</v>
      </c>
      <c r="M2171" s="29">
        <f t="shared" si="295"/>
        <v>389</v>
      </c>
      <c r="N2171" s="29"/>
      <c r="O2171" s="44">
        <f t="shared" si="296"/>
        <v>0.1196923076923077</v>
      </c>
    </row>
    <row r="2172" spans="1:15" ht="20.100000000000001" customHeight="1" x14ac:dyDescent="0.25">
      <c r="A2172" s="89">
        <v>783</v>
      </c>
      <c r="B2172" s="4">
        <v>44407</v>
      </c>
      <c r="C2172" s="26" t="s">
        <v>258</v>
      </c>
      <c r="D2172" s="3">
        <v>21357</v>
      </c>
      <c r="E2172" s="4">
        <v>44412</v>
      </c>
      <c r="F2172" s="92" t="s">
        <v>28</v>
      </c>
      <c r="G2172" s="32">
        <v>44426</v>
      </c>
      <c r="H2172" s="27">
        <f>D2172</f>
        <v>21357</v>
      </c>
      <c r="I2172" s="27"/>
      <c r="J2172" s="27"/>
      <c r="K2172" s="99"/>
      <c r="L2172" s="29">
        <v>14410</v>
      </c>
      <c r="M2172" s="29">
        <f t="shared" si="295"/>
        <v>6947</v>
      </c>
      <c r="N2172" s="29"/>
      <c r="O2172" s="44">
        <f t="shared" si="296"/>
        <v>0.32527976775764389</v>
      </c>
    </row>
    <row r="2173" spans="1:15" ht="20.100000000000001" customHeight="1" x14ac:dyDescent="0.25">
      <c r="A2173" s="89">
        <v>790</v>
      </c>
      <c r="B2173" s="4">
        <v>44411</v>
      </c>
      <c r="C2173" s="26" t="s">
        <v>372</v>
      </c>
      <c r="D2173" s="3">
        <v>3459</v>
      </c>
      <c r="E2173" s="4">
        <v>44412</v>
      </c>
      <c r="F2173" s="92" t="s">
        <v>28</v>
      </c>
      <c r="G2173" s="32">
        <v>44413</v>
      </c>
      <c r="H2173" s="27">
        <f>D2173</f>
        <v>3459</v>
      </c>
      <c r="I2173" s="27"/>
      <c r="J2173" s="27"/>
      <c r="K2173" s="99"/>
      <c r="L2173" s="29">
        <v>2610.81</v>
      </c>
      <c r="M2173" s="29">
        <f t="shared" si="295"/>
        <v>848.19</v>
      </c>
      <c r="N2173" s="29"/>
      <c r="O2173" s="44">
        <f t="shared" si="296"/>
        <v>0.24521248915871641</v>
      </c>
    </row>
    <row r="2174" spans="1:15" ht="20.100000000000001" customHeight="1" x14ac:dyDescent="0.25">
      <c r="A2174" s="89">
        <v>801</v>
      </c>
      <c r="B2174" s="4">
        <v>44412</v>
      </c>
      <c r="C2174" s="26" t="s">
        <v>149</v>
      </c>
      <c r="D2174" s="3">
        <v>3016</v>
      </c>
      <c r="E2174" s="4">
        <v>44413</v>
      </c>
      <c r="F2174" s="92" t="s">
        <v>28</v>
      </c>
      <c r="G2174" s="32">
        <v>44413</v>
      </c>
      <c r="H2174" s="27">
        <f>D2174</f>
        <v>3016</v>
      </c>
      <c r="I2174" s="27"/>
      <c r="J2174" s="27"/>
      <c r="K2174" s="99"/>
      <c r="L2174" s="29">
        <v>2352</v>
      </c>
      <c r="M2174" s="29">
        <f t="shared" si="295"/>
        <v>664</v>
      </c>
      <c r="N2174" s="29"/>
      <c r="O2174" s="44">
        <f t="shared" si="296"/>
        <v>0.22015915119363394</v>
      </c>
    </row>
    <row r="2175" spans="1:15" ht="20.100000000000001" customHeight="1" x14ac:dyDescent="0.25">
      <c r="A2175" s="89">
        <v>736</v>
      </c>
      <c r="B2175" s="4">
        <v>44398</v>
      </c>
      <c r="C2175" s="26" t="s">
        <v>60</v>
      </c>
      <c r="D2175" s="3">
        <v>65324</v>
      </c>
      <c r="E2175" s="4">
        <v>44414</v>
      </c>
      <c r="F2175" s="92" t="s">
        <v>28</v>
      </c>
      <c r="G2175" s="32">
        <v>44399</v>
      </c>
      <c r="H2175" s="27">
        <v>32662</v>
      </c>
      <c r="I2175" s="27"/>
      <c r="J2175" s="27"/>
      <c r="K2175" s="99"/>
      <c r="L2175" s="29">
        <v>19184</v>
      </c>
      <c r="M2175" s="29">
        <f t="shared" si="295"/>
        <v>13478</v>
      </c>
      <c r="N2175" s="29"/>
      <c r="O2175" s="44">
        <f t="shared" si="296"/>
        <v>0.4126507868471006</v>
      </c>
    </row>
    <row r="2176" spans="1:15" ht="20.100000000000001" customHeight="1" x14ac:dyDescent="0.25">
      <c r="A2176" s="89">
        <v>762</v>
      </c>
      <c r="B2176" s="4">
        <v>44403</v>
      </c>
      <c r="C2176" s="26" t="s">
        <v>13</v>
      </c>
      <c r="D2176" s="3">
        <v>6918</v>
      </c>
      <c r="E2176" s="4">
        <v>44418</v>
      </c>
      <c r="F2176" s="92" t="s">
        <v>28</v>
      </c>
      <c r="G2176" s="32">
        <v>44405</v>
      </c>
      <c r="H2176" s="27">
        <f t="shared" ref="H2176:H2182" si="297">D2176</f>
        <v>6918</v>
      </c>
      <c r="I2176" s="27"/>
      <c r="J2176" s="27"/>
      <c r="K2176" s="99"/>
      <c r="L2176" s="29">
        <v>5226</v>
      </c>
      <c r="M2176" s="29">
        <f t="shared" si="295"/>
        <v>1692</v>
      </c>
      <c r="N2176" s="29"/>
      <c r="O2176" s="44">
        <f t="shared" si="296"/>
        <v>0.2445793581960104</v>
      </c>
    </row>
    <row r="2177" spans="1:15" ht="20.100000000000001" customHeight="1" x14ac:dyDescent="0.25">
      <c r="A2177" s="89">
        <v>786</v>
      </c>
      <c r="B2177" s="4">
        <v>44410</v>
      </c>
      <c r="C2177" s="26" t="s">
        <v>228</v>
      </c>
      <c r="D2177" s="3">
        <v>11180</v>
      </c>
      <c r="E2177" s="4">
        <v>44418</v>
      </c>
      <c r="F2177" s="92" t="s">
        <v>28</v>
      </c>
      <c r="G2177" s="32">
        <v>44420</v>
      </c>
      <c r="H2177" s="27">
        <f t="shared" si="297"/>
        <v>11180</v>
      </c>
      <c r="I2177" s="27"/>
      <c r="J2177" s="27"/>
      <c r="K2177" s="99"/>
      <c r="L2177" s="29">
        <v>8720</v>
      </c>
      <c r="M2177" s="29">
        <f t="shared" si="295"/>
        <v>2460</v>
      </c>
      <c r="N2177" s="29"/>
      <c r="O2177" s="44">
        <f t="shared" si="296"/>
        <v>0.22003577817531306</v>
      </c>
    </row>
    <row r="2178" spans="1:15" ht="20.100000000000001" customHeight="1" x14ac:dyDescent="0.25">
      <c r="A2178" s="89">
        <v>722</v>
      </c>
      <c r="B2178" s="4">
        <v>44392</v>
      </c>
      <c r="C2178" s="5" t="s">
        <v>501</v>
      </c>
      <c r="D2178" s="3">
        <v>25490</v>
      </c>
      <c r="E2178" s="4">
        <v>44418</v>
      </c>
      <c r="F2178" s="92" t="s">
        <v>28</v>
      </c>
      <c r="G2178" s="32">
        <v>44420</v>
      </c>
      <c r="H2178" s="27">
        <f t="shared" si="297"/>
        <v>25490</v>
      </c>
      <c r="I2178" s="27">
        <f>H2178</f>
        <v>25490</v>
      </c>
      <c r="J2178" s="27"/>
      <c r="K2178" s="99"/>
      <c r="L2178" s="29">
        <v>18735</v>
      </c>
      <c r="M2178" s="29">
        <f t="shared" si="295"/>
        <v>6755</v>
      </c>
      <c r="N2178" s="27">
        <f>M2178</f>
        <v>6755</v>
      </c>
      <c r="O2178" s="44">
        <f t="shared" si="296"/>
        <v>0.26500588466065123</v>
      </c>
    </row>
    <row r="2179" spans="1:15" ht="20.100000000000001" customHeight="1" x14ac:dyDescent="0.25">
      <c r="A2179" s="89">
        <v>837</v>
      </c>
      <c r="B2179" s="4">
        <v>44419</v>
      </c>
      <c r="C2179" s="26" t="s">
        <v>179</v>
      </c>
      <c r="D2179" s="3">
        <v>11290</v>
      </c>
      <c r="E2179" s="4">
        <v>44419</v>
      </c>
      <c r="F2179" s="92" t="s">
        <v>28</v>
      </c>
      <c r="G2179" s="32">
        <v>44419</v>
      </c>
      <c r="H2179" s="27">
        <f t="shared" si="297"/>
        <v>11290</v>
      </c>
      <c r="I2179" s="27"/>
      <c r="J2179" s="27"/>
      <c r="K2179" s="99"/>
      <c r="L2179" s="29">
        <v>8298</v>
      </c>
      <c r="M2179" s="29">
        <f t="shared" si="295"/>
        <v>2992</v>
      </c>
      <c r="N2179" s="29"/>
      <c r="O2179" s="44">
        <f t="shared" si="296"/>
        <v>0.26501328609388841</v>
      </c>
    </row>
    <row r="2180" spans="1:15" ht="20.100000000000001" customHeight="1" x14ac:dyDescent="0.25">
      <c r="A2180" s="89">
        <v>773</v>
      </c>
      <c r="B2180" s="4">
        <v>44405</v>
      </c>
      <c r="C2180" s="26" t="s">
        <v>11</v>
      </c>
      <c r="D2180" s="3">
        <v>3900</v>
      </c>
      <c r="E2180" s="4">
        <v>44419</v>
      </c>
      <c r="F2180" s="92" t="s">
        <v>28</v>
      </c>
      <c r="G2180" s="32">
        <v>44440</v>
      </c>
      <c r="H2180" s="27">
        <f t="shared" si="297"/>
        <v>3900</v>
      </c>
      <c r="I2180" s="27"/>
      <c r="J2180" s="27"/>
      <c r="K2180" s="99"/>
      <c r="L2180" s="29">
        <v>3042</v>
      </c>
      <c r="M2180" s="29">
        <f t="shared" si="295"/>
        <v>858</v>
      </c>
      <c r="N2180" s="29"/>
      <c r="O2180" s="44">
        <f t="shared" si="296"/>
        <v>0.22</v>
      </c>
    </row>
    <row r="2181" spans="1:15" ht="20.100000000000001" customHeight="1" x14ac:dyDescent="0.25">
      <c r="A2181" s="89">
        <v>822</v>
      </c>
      <c r="B2181" s="4">
        <v>44414</v>
      </c>
      <c r="C2181" s="26" t="s">
        <v>404</v>
      </c>
      <c r="D2181" s="3">
        <v>4496</v>
      </c>
      <c r="E2181" s="4">
        <v>44420</v>
      </c>
      <c r="F2181" s="92" t="s">
        <v>28</v>
      </c>
      <c r="G2181" s="32">
        <v>44420</v>
      </c>
      <c r="H2181" s="27">
        <f t="shared" si="297"/>
        <v>4496</v>
      </c>
      <c r="I2181" s="27"/>
      <c r="J2181" s="27"/>
      <c r="K2181" s="99"/>
      <c r="L2181" s="29">
        <v>3234.36</v>
      </c>
      <c r="M2181" s="29">
        <f t="shared" si="295"/>
        <v>1261.6399999999999</v>
      </c>
      <c r="N2181" s="29"/>
      <c r="O2181" s="44">
        <f t="shared" si="296"/>
        <v>0.28061387900355866</v>
      </c>
    </row>
    <row r="2182" spans="1:15" ht="20.100000000000001" customHeight="1" x14ac:dyDescent="0.25">
      <c r="A2182" s="89">
        <v>838</v>
      </c>
      <c r="B2182" s="4">
        <v>44419</v>
      </c>
      <c r="C2182" s="26" t="s">
        <v>71</v>
      </c>
      <c r="D2182" s="3">
        <v>2126</v>
      </c>
      <c r="E2182" s="4">
        <v>44421</v>
      </c>
      <c r="F2182" s="92" t="s">
        <v>28</v>
      </c>
      <c r="G2182" s="32">
        <v>44424</v>
      </c>
      <c r="H2182" s="27">
        <f t="shared" si="297"/>
        <v>2126</v>
      </c>
      <c r="I2182" s="27"/>
      <c r="J2182" s="27"/>
      <c r="K2182" s="99"/>
      <c r="L2182" s="29">
        <v>1613</v>
      </c>
      <c r="M2182" s="29">
        <f t="shared" si="295"/>
        <v>513</v>
      </c>
      <c r="N2182" s="29"/>
      <c r="O2182" s="44">
        <f t="shared" si="296"/>
        <v>0.24129821260583256</v>
      </c>
    </row>
    <row r="2183" spans="1:15" ht="20.100000000000001" customHeight="1" x14ac:dyDescent="0.25">
      <c r="A2183" s="89">
        <v>736</v>
      </c>
      <c r="B2183" s="4">
        <v>44398</v>
      </c>
      <c r="C2183" s="26" t="s">
        <v>60</v>
      </c>
      <c r="D2183" s="3">
        <v>65324</v>
      </c>
      <c r="E2183" s="4">
        <v>44424</v>
      </c>
      <c r="F2183" s="92" t="s">
        <v>28</v>
      </c>
      <c r="G2183" s="32">
        <v>44410</v>
      </c>
      <c r="H2183" s="27">
        <v>32662</v>
      </c>
      <c r="I2183" s="27"/>
      <c r="J2183" s="27"/>
      <c r="K2183" s="99"/>
      <c r="L2183" s="29">
        <v>25476</v>
      </c>
      <c r="M2183" s="29">
        <f t="shared" si="295"/>
        <v>7186</v>
      </c>
      <c r="N2183" s="29"/>
      <c r="O2183" s="44">
        <f t="shared" si="296"/>
        <v>0.22001102198273223</v>
      </c>
    </row>
    <row r="2184" spans="1:15" ht="20.100000000000001" customHeight="1" x14ac:dyDescent="0.25">
      <c r="A2184" s="89">
        <v>828</v>
      </c>
      <c r="B2184" s="4">
        <v>44424</v>
      </c>
      <c r="C2184" s="26" t="s">
        <v>481</v>
      </c>
      <c r="D2184" s="3">
        <v>5810</v>
      </c>
      <c r="E2184" s="4">
        <v>44426</v>
      </c>
      <c r="F2184" s="92" t="s">
        <v>28</v>
      </c>
      <c r="G2184" s="32">
        <v>44432</v>
      </c>
      <c r="H2184" s="27">
        <f t="shared" ref="H2184:H2191" si="298">D2184</f>
        <v>5810</v>
      </c>
      <c r="I2184" s="27"/>
      <c r="J2184" s="27"/>
      <c r="K2184" s="99"/>
      <c r="L2184" s="2">
        <v>2847.18</v>
      </c>
      <c r="M2184" s="29">
        <f t="shared" si="295"/>
        <v>2962.82</v>
      </c>
      <c r="N2184" s="29"/>
      <c r="O2184" s="44">
        <f t="shared" si="296"/>
        <v>0.50995180722891564</v>
      </c>
    </row>
    <row r="2185" spans="1:15" ht="20.100000000000001" customHeight="1" x14ac:dyDescent="0.25">
      <c r="A2185" s="89">
        <v>386</v>
      </c>
      <c r="B2185" s="4">
        <v>44376</v>
      </c>
      <c r="C2185" s="26" t="s">
        <v>99</v>
      </c>
      <c r="D2185" s="3">
        <v>384400</v>
      </c>
      <c r="E2185" s="4">
        <v>44428</v>
      </c>
      <c r="F2185" s="92" t="s">
        <v>28</v>
      </c>
      <c r="G2185" s="32">
        <v>44399</v>
      </c>
      <c r="H2185" s="27">
        <f t="shared" si="298"/>
        <v>384400</v>
      </c>
      <c r="I2185" s="27"/>
      <c r="J2185" s="27">
        <v>66000</v>
      </c>
      <c r="K2185" s="99">
        <v>13200</v>
      </c>
      <c r="L2185" s="29">
        <v>117371</v>
      </c>
      <c r="M2185" s="29">
        <f t="shared" si="295"/>
        <v>187829</v>
      </c>
      <c r="N2185" s="29"/>
      <c r="O2185" s="44">
        <f t="shared" si="296"/>
        <v>0.48862903225806453</v>
      </c>
    </row>
    <row r="2186" spans="1:15" ht="20.100000000000001" customHeight="1" x14ac:dyDescent="0.25">
      <c r="A2186" s="89">
        <v>880</v>
      </c>
      <c r="B2186" s="4">
        <v>44431</v>
      </c>
      <c r="C2186" s="26" t="s">
        <v>87</v>
      </c>
      <c r="D2186" s="3">
        <v>7990</v>
      </c>
      <c r="E2186" s="4">
        <v>44432</v>
      </c>
      <c r="F2186" s="92" t="s">
        <v>28</v>
      </c>
      <c r="G2186" s="32">
        <v>44440</v>
      </c>
      <c r="H2186" s="27">
        <f t="shared" si="298"/>
        <v>7990</v>
      </c>
      <c r="I2186" s="27"/>
      <c r="J2186" s="27"/>
      <c r="K2186" s="99">
        <v>600</v>
      </c>
      <c r="L2186" s="29">
        <v>3438.21</v>
      </c>
      <c r="M2186" s="29">
        <f t="shared" si="295"/>
        <v>3951.79</v>
      </c>
      <c r="N2186" s="29"/>
      <c r="O2186" s="44">
        <f t="shared" si="296"/>
        <v>0.49459198998748433</v>
      </c>
    </row>
    <row r="2187" spans="1:15" ht="20.100000000000001" customHeight="1" x14ac:dyDescent="0.25">
      <c r="A2187" s="89">
        <v>882</v>
      </c>
      <c r="B2187" s="4">
        <v>44431</v>
      </c>
      <c r="C2187" s="5" t="s">
        <v>502</v>
      </c>
      <c r="D2187" s="3">
        <v>3630.8</v>
      </c>
      <c r="E2187" s="4">
        <v>44433</v>
      </c>
      <c r="F2187" s="92" t="s">
        <v>28</v>
      </c>
      <c r="G2187" s="32">
        <v>44461</v>
      </c>
      <c r="H2187" s="27">
        <f t="shared" si="298"/>
        <v>3630.8</v>
      </c>
      <c r="I2187" s="27">
        <f>H2187</f>
        <v>3630.8</v>
      </c>
      <c r="J2187" s="27"/>
      <c r="K2187" s="99"/>
      <c r="L2187" s="29">
        <v>2832</v>
      </c>
      <c r="M2187" s="29">
        <f t="shared" si="295"/>
        <v>798.80000000000018</v>
      </c>
      <c r="N2187" s="27">
        <f>M2187</f>
        <v>798.80000000000018</v>
      </c>
      <c r="O2187" s="44">
        <f t="shared" si="296"/>
        <v>0.22000661011347367</v>
      </c>
    </row>
    <row r="2188" spans="1:15" ht="20.100000000000001" customHeight="1" x14ac:dyDescent="0.25">
      <c r="A2188" s="89">
        <v>902</v>
      </c>
      <c r="B2188" s="4">
        <v>44433</v>
      </c>
      <c r="C2188" s="26" t="s">
        <v>149</v>
      </c>
      <c r="D2188" s="3">
        <v>1762</v>
      </c>
      <c r="E2188" s="4">
        <v>44433</v>
      </c>
      <c r="F2188" s="92" t="s">
        <v>28</v>
      </c>
      <c r="G2188" s="32">
        <v>44469</v>
      </c>
      <c r="H2188" s="27">
        <f t="shared" si="298"/>
        <v>1762</v>
      </c>
      <c r="I2188" s="27"/>
      <c r="J2188" s="27"/>
      <c r="K2188" s="99"/>
      <c r="L2188" s="29">
        <v>1164</v>
      </c>
      <c r="M2188" s="29">
        <f t="shared" si="295"/>
        <v>598</v>
      </c>
      <c r="N2188" s="29"/>
      <c r="O2188" s="44">
        <f t="shared" si="296"/>
        <v>0.33938706015891035</v>
      </c>
    </row>
    <row r="2189" spans="1:15" ht="20.100000000000001" customHeight="1" x14ac:dyDescent="0.25">
      <c r="A2189" s="89">
        <v>905</v>
      </c>
      <c r="B2189" s="4">
        <v>44434</v>
      </c>
      <c r="C2189" s="26" t="s">
        <v>386</v>
      </c>
      <c r="D2189" s="3">
        <v>4134</v>
      </c>
      <c r="E2189" s="4">
        <v>44434</v>
      </c>
      <c r="F2189" s="92" t="s">
        <v>28</v>
      </c>
      <c r="G2189" s="32">
        <v>44434</v>
      </c>
      <c r="H2189" s="27">
        <f t="shared" si="298"/>
        <v>4134</v>
      </c>
      <c r="I2189" s="27"/>
      <c r="J2189" s="27"/>
      <c r="K2189" s="99"/>
      <c r="L2189" s="29">
        <v>3122.27</v>
      </c>
      <c r="M2189" s="29">
        <f t="shared" si="295"/>
        <v>1011.73</v>
      </c>
      <c r="N2189" s="29"/>
      <c r="O2189" s="44">
        <f t="shared" si="296"/>
        <v>0.2447339138848573</v>
      </c>
    </row>
    <row r="2190" spans="1:15" ht="20.100000000000001" customHeight="1" x14ac:dyDescent="0.25">
      <c r="A2190" s="89">
        <v>919</v>
      </c>
      <c r="B2190" s="4">
        <v>44435</v>
      </c>
      <c r="C2190" s="5" t="s">
        <v>503</v>
      </c>
      <c r="D2190" s="3">
        <v>25490</v>
      </c>
      <c r="E2190" s="4">
        <v>44435</v>
      </c>
      <c r="F2190" s="92" t="s">
        <v>28</v>
      </c>
      <c r="G2190" s="32">
        <v>44441</v>
      </c>
      <c r="H2190" s="27">
        <f t="shared" si="298"/>
        <v>25490</v>
      </c>
      <c r="I2190" s="27">
        <f>H2190</f>
        <v>25490</v>
      </c>
      <c r="J2190" s="27"/>
      <c r="K2190" s="99"/>
      <c r="L2190" s="29">
        <v>18735</v>
      </c>
      <c r="M2190" s="29">
        <f t="shared" si="295"/>
        <v>6755</v>
      </c>
      <c r="N2190" s="27">
        <f>M2190</f>
        <v>6755</v>
      </c>
      <c r="O2190" s="44">
        <f t="shared" si="296"/>
        <v>0.26500588466065123</v>
      </c>
    </row>
    <row r="2191" spans="1:15" ht="20.100000000000001" customHeight="1" x14ac:dyDescent="0.25">
      <c r="A2191" s="89">
        <v>884</v>
      </c>
      <c r="B2191" s="4">
        <v>44431</v>
      </c>
      <c r="C2191" s="26" t="s">
        <v>467</v>
      </c>
      <c r="D2191" s="3">
        <v>971</v>
      </c>
      <c r="E2191" s="4">
        <v>44435</v>
      </c>
      <c r="F2191" s="92" t="s">
        <v>28</v>
      </c>
      <c r="G2191" s="32">
        <v>44439</v>
      </c>
      <c r="H2191" s="27">
        <f t="shared" si="298"/>
        <v>971</v>
      </c>
      <c r="I2191" s="27"/>
      <c r="J2191" s="27"/>
      <c r="K2191" s="99"/>
      <c r="L2191" s="29">
        <v>612</v>
      </c>
      <c r="M2191" s="29">
        <f t="shared" si="295"/>
        <v>359</v>
      </c>
      <c r="N2191" s="29"/>
      <c r="O2191" s="44">
        <f t="shared" si="296"/>
        <v>0.36972193614830073</v>
      </c>
    </row>
    <row r="2192" spans="1:15" ht="19.5" customHeight="1" x14ac:dyDescent="0.25">
      <c r="A2192" s="89"/>
      <c r="B2192" s="4"/>
      <c r="C2192" s="5"/>
      <c r="D2192" s="3"/>
      <c r="E2192" s="97">
        <v>44042</v>
      </c>
      <c r="F2192" s="98">
        <f>M2192*0.17+N2192*0.06</f>
        <v>44041.412900000003</v>
      </c>
      <c r="G2192" s="21">
        <f>H2192*0.04+I2192*0.02</f>
        <v>25491.568000000003</v>
      </c>
      <c r="H2192" s="16">
        <f t="shared" ref="H2192:N2192" si="299">SUM(H2170:H2191)</f>
        <v>609983.80000000005</v>
      </c>
      <c r="I2192" s="16">
        <f t="shared" si="299"/>
        <v>54610.8</v>
      </c>
      <c r="J2192" s="16">
        <f t="shared" si="299"/>
        <v>66000</v>
      </c>
      <c r="K2192" s="16">
        <f t="shared" si="299"/>
        <v>13800</v>
      </c>
      <c r="L2192" s="16">
        <f t="shared" si="299"/>
        <v>276166.82999999996</v>
      </c>
      <c r="M2192" s="16">
        <f t="shared" si="299"/>
        <v>254016.97</v>
      </c>
      <c r="N2192" s="16">
        <f t="shared" si="299"/>
        <v>14308.8</v>
      </c>
      <c r="O2192" s="44">
        <f t="shared" si="296"/>
        <v>0.41643232164526334</v>
      </c>
    </row>
    <row r="2193" spans="1:15" ht="23.25" x14ac:dyDescent="0.35">
      <c r="B2193" s="94"/>
      <c r="C2193" s="94" t="s">
        <v>643</v>
      </c>
    </row>
    <row r="2194" spans="1:15" ht="20.100000000000001" customHeight="1" x14ac:dyDescent="0.25">
      <c r="A2194" s="89">
        <v>926</v>
      </c>
      <c r="B2194" s="4">
        <v>44439</v>
      </c>
      <c r="C2194" s="26" t="s">
        <v>51</v>
      </c>
      <c r="D2194" s="3">
        <v>7852</v>
      </c>
      <c r="E2194" s="4">
        <v>44440</v>
      </c>
      <c r="F2194" s="92" t="s">
        <v>28</v>
      </c>
      <c r="G2194" s="32">
        <v>44449</v>
      </c>
      <c r="H2194" s="27">
        <f t="shared" ref="H2194:H2221" si="300">D2194</f>
        <v>7852</v>
      </c>
      <c r="I2194" s="27"/>
      <c r="J2194" s="27"/>
      <c r="K2194" s="99"/>
      <c r="L2194" s="27">
        <v>6124</v>
      </c>
      <c r="M2194" s="29">
        <f t="shared" ref="M2194:M2221" si="301">H2194-L2194-J2194-K2194</f>
        <v>1728</v>
      </c>
      <c r="N2194" s="29"/>
      <c r="O2194" s="44">
        <f t="shared" ref="O2194:O2222" si="302">M2194/H2194</f>
        <v>0.22007131940906777</v>
      </c>
    </row>
    <row r="2195" spans="1:15" ht="20.100000000000001" customHeight="1" x14ac:dyDescent="0.25">
      <c r="A2195" s="89">
        <v>920</v>
      </c>
      <c r="B2195" s="4">
        <v>44438</v>
      </c>
      <c r="C2195" s="26" t="s">
        <v>179</v>
      </c>
      <c r="D2195" s="3">
        <v>6329</v>
      </c>
      <c r="E2195" s="4">
        <v>44440</v>
      </c>
      <c r="F2195" s="92" t="s">
        <v>28</v>
      </c>
      <c r="G2195" s="32">
        <v>44462</v>
      </c>
      <c r="H2195" s="27">
        <f t="shared" si="300"/>
        <v>6329</v>
      </c>
      <c r="I2195" s="27"/>
      <c r="J2195" s="27"/>
      <c r="K2195" s="99"/>
      <c r="L2195" s="27">
        <v>4177</v>
      </c>
      <c r="M2195" s="29">
        <f t="shared" si="301"/>
        <v>2152</v>
      </c>
      <c r="N2195" s="29"/>
      <c r="O2195" s="44">
        <f t="shared" si="302"/>
        <v>0.34002212039816715</v>
      </c>
    </row>
    <row r="2196" spans="1:15" ht="20.100000000000001" customHeight="1" x14ac:dyDescent="0.25">
      <c r="A2196" s="89">
        <v>927</v>
      </c>
      <c r="B2196" s="4">
        <v>44439</v>
      </c>
      <c r="C2196" s="5" t="s">
        <v>504</v>
      </c>
      <c r="D2196" s="3">
        <v>5000</v>
      </c>
      <c r="E2196" s="4">
        <v>44440</v>
      </c>
      <c r="F2196" s="92" t="s">
        <v>28</v>
      </c>
      <c r="G2196" s="32">
        <v>44440</v>
      </c>
      <c r="H2196" s="27">
        <f>D2196</f>
        <v>5000</v>
      </c>
      <c r="I2196" s="27">
        <f>H2196</f>
        <v>5000</v>
      </c>
      <c r="J2196" s="27"/>
      <c r="K2196" s="99">
        <v>600</v>
      </c>
      <c r="L2196" s="29">
        <v>2108</v>
      </c>
      <c r="M2196" s="29">
        <f t="shared" si="301"/>
        <v>2292</v>
      </c>
      <c r="N2196" s="27">
        <f>M2196</f>
        <v>2292</v>
      </c>
      <c r="O2196" s="44">
        <f t="shared" si="302"/>
        <v>0.45839999999999997</v>
      </c>
    </row>
    <row r="2197" spans="1:15" ht="20.100000000000001" customHeight="1" x14ac:dyDescent="0.25">
      <c r="A2197" s="89">
        <v>729</v>
      </c>
      <c r="B2197" s="4">
        <v>44441</v>
      </c>
      <c r="C2197" s="26" t="s">
        <v>502</v>
      </c>
      <c r="D2197" s="3">
        <v>24494</v>
      </c>
      <c r="E2197" s="4">
        <v>44441</v>
      </c>
      <c r="F2197" s="92" t="s">
        <v>28</v>
      </c>
      <c r="G2197" s="32">
        <v>44461</v>
      </c>
      <c r="H2197" s="27">
        <f t="shared" si="300"/>
        <v>24494</v>
      </c>
      <c r="I2197" s="27"/>
      <c r="J2197" s="27"/>
      <c r="K2197" s="99"/>
      <c r="L2197" s="29">
        <v>19105</v>
      </c>
      <c r="M2197" s="29">
        <f t="shared" si="301"/>
        <v>5389</v>
      </c>
      <c r="N2197" s="29"/>
      <c r="O2197" s="44">
        <f t="shared" si="302"/>
        <v>0.22001306442394056</v>
      </c>
    </row>
    <row r="2198" spans="1:15" ht="20.100000000000001" customHeight="1" x14ac:dyDescent="0.25">
      <c r="A2198" s="89">
        <v>993</v>
      </c>
      <c r="B2198" s="4">
        <v>44440</v>
      </c>
      <c r="C2198" s="26" t="s">
        <v>372</v>
      </c>
      <c r="D2198" s="3">
        <v>6918</v>
      </c>
      <c r="E2198" s="4">
        <v>44441</v>
      </c>
      <c r="F2198" s="92" t="s">
        <v>28</v>
      </c>
      <c r="G2198" s="32">
        <v>44442</v>
      </c>
      <c r="H2198" s="27">
        <f t="shared" si="300"/>
        <v>6918</v>
      </c>
      <c r="I2198" s="27"/>
      <c r="J2198" s="27"/>
      <c r="K2198" s="99"/>
      <c r="L2198" s="29">
        <v>5218.42</v>
      </c>
      <c r="M2198" s="29">
        <f t="shared" si="301"/>
        <v>1699.58</v>
      </c>
      <c r="N2198" s="29"/>
      <c r="O2198" s="44">
        <f t="shared" si="302"/>
        <v>0.24567505059265682</v>
      </c>
    </row>
    <row r="2199" spans="1:15" ht="20.100000000000001" customHeight="1" x14ac:dyDescent="0.25">
      <c r="A2199" s="89">
        <v>939</v>
      </c>
      <c r="B2199" s="4">
        <v>44440</v>
      </c>
      <c r="C2199" s="26" t="s">
        <v>16</v>
      </c>
      <c r="D2199" s="3">
        <v>1998</v>
      </c>
      <c r="E2199" s="4">
        <v>44441</v>
      </c>
      <c r="F2199" s="92" t="s">
        <v>28</v>
      </c>
      <c r="G2199" s="32">
        <v>44469</v>
      </c>
      <c r="H2199" s="27">
        <f t="shared" si="300"/>
        <v>1998</v>
      </c>
      <c r="I2199" s="27"/>
      <c r="J2199" s="27"/>
      <c r="K2199" s="99"/>
      <c r="L2199" s="29">
        <v>1319</v>
      </c>
      <c r="M2199" s="29">
        <f t="shared" si="301"/>
        <v>679</v>
      </c>
      <c r="N2199" s="29"/>
      <c r="O2199" s="44">
        <f t="shared" si="302"/>
        <v>0.33983983983983984</v>
      </c>
    </row>
    <row r="2200" spans="1:15" ht="20.100000000000001" customHeight="1" x14ac:dyDescent="0.25">
      <c r="A2200" s="89">
        <v>916</v>
      </c>
      <c r="B2200" s="4">
        <v>44435</v>
      </c>
      <c r="C2200" s="26" t="s">
        <v>101</v>
      </c>
      <c r="D2200" s="3">
        <v>8345</v>
      </c>
      <c r="E2200" s="4">
        <v>44442</v>
      </c>
      <c r="F2200" s="92" t="s">
        <v>28</v>
      </c>
      <c r="G2200" s="32">
        <v>44477</v>
      </c>
      <c r="H2200" s="27">
        <f>D2200</f>
        <v>8345</v>
      </c>
      <c r="I2200" s="27"/>
      <c r="J2200" s="27"/>
      <c r="K2200" s="99"/>
      <c r="L2200" s="29">
        <v>6509</v>
      </c>
      <c r="M2200" s="29">
        <f t="shared" si="301"/>
        <v>1836</v>
      </c>
      <c r="N2200" s="29"/>
      <c r="O2200" s="44">
        <f t="shared" si="302"/>
        <v>0.22001198322348711</v>
      </c>
    </row>
    <row r="2201" spans="1:15" ht="20.100000000000001" customHeight="1" x14ac:dyDescent="0.25">
      <c r="A2201" s="89">
        <v>936</v>
      </c>
      <c r="B2201" s="4">
        <v>44440</v>
      </c>
      <c r="C2201" s="26" t="s">
        <v>377</v>
      </c>
      <c r="D2201" s="3">
        <v>12395</v>
      </c>
      <c r="E2201" s="4">
        <v>44446</v>
      </c>
      <c r="F2201" s="92" t="s">
        <v>28</v>
      </c>
      <c r="G2201" s="32">
        <v>44447</v>
      </c>
      <c r="H2201" s="27">
        <f>D2201</f>
        <v>12395</v>
      </c>
      <c r="I2201" s="27"/>
      <c r="J2201" s="27"/>
      <c r="K2201" s="99"/>
      <c r="L2201" s="29">
        <v>9382</v>
      </c>
      <c r="M2201" s="29">
        <f t="shared" si="301"/>
        <v>3013</v>
      </c>
      <c r="N2201" s="29"/>
      <c r="O2201" s="44">
        <f t="shared" si="302"/>
        <v>0.24308188785800727</v>
      </c>
    </row>
    <row r="2202" spans="1:15" ht="20.100000000000001" customHeight="1" x14ac:dyDescent="0.25">
      <c r="A2202" s="89">
        <v>962</v>
      </c>
      <c r="B2202" s="4">
        <v>44447</v>
      </c>
      <c r="C2202" s="26" t="s">
        <v>470</v>
      </c>
      <c r="D2202" s="3">
        <v>4500</v>
      </c>
      <c r="E2202" s="4">
        <v>44448</v>
      </c>
      <c r="F2202" s="92" t="s">
        <v>28</v>
      </c>
      <c r="G2202" s="4"/>
      <c r="H2202" s="27">
        <f t="shared" si="300"/>
        <v>4500</v>
      </c>
      <c r="I2202" s="27"/>
      <c r="J2202" s="27"/>
      <c r="K2202" s="99"/>
      <c r="L2202" s="29">
        <v>3015</v>
      </c>
      <c r="M2202" s="29">
        <f t="shared" si="301"/>
        <v>1485</v>
      </c>
      <c r="N2202" s="29"/>
      <c r="O2202" s="44">
        <f t="shared" si="302"/>
        <v>0.33</v>
      </c>
    </row>
    <row r="2203" spans="1:15" ht="20.100000000000001" customHeight="1" x14ac:dyDescent="0.25">
      <c r="A2203" s="89">
        <v>903</v>
      </c>
      <c r="B2203" s="4">
        <v>44434</v>
      </c>
      <c r="C2203" s="26" t="s">
        <v>11</v>
      </c>
      <c r="D2203" s="3">
        <v>40756</v>
      </c>
      <c r="E2203" s="4">
        <v>44448</v>
      </c>
      <c r="F2203" s="92" t="s">
        <v>28</v>
      </c>
      <c r="G2203" s="32">
        <v>44454</v>
      </c>
      <c r="H2203" s="27">
        <f t="shared" si="300"/>
        <v>40756</v>
      </c>
      <c r="I2203" s="27"/>
      <c r="J2203" s="27"/>
      <c r="K2203" s="99"/>
      <c r="L2203" s="29">
        <v>30880</v>
      </c>
      <c r="M2203" s="29">
        <f t="shared" si="301"/>
        <v>9876</v>
      </c>
      <c r="N2203" s="29"/>
      <c r="O2203" s="44">
        <f t="shared" si="302"/>
        <v>0.24232014918048878</v>
      </c>
    </row>
    <row r="2204" spans="1:15" ht="20.100000000000001" customHeight="1" x14ac:dyDescent="0.25">
      <c r="A2204" s="89">
        <v>978</v>
      </c>
      <c r="B2204" s="4">
        <v>44452</v>
      </c>
      <c r="C2204" s="26" t="s">
        <v>125</v>
      </c>
      <c r="D2204" s="3">
        <v>1652</v>
      </c>
      <c r="E2204" s="4">
        <v>44453</v>
      </c>
      <c r="F2204" s="92" t="s">
        <v>28</v>
      </c>
      <c r="G2204" s="32">
        <v>44452</v>
      </c>
      <c r="H2204" s="27">
        <f t="shared" si="300"/>
        <v>1652</v>
      </c>
      <c r="I2204" s="27"/>
      <c r="J2204" s="27"/>
      <c r="K2204" s="99"/>
      <c r="L2204" s="29">
        <v>1104</v>
      </c>
      <c r="M2204" s="29">
        <f t="shared" si="301"/>
        <v>548</v>
      </c>
      <c r="N2204" s="29"/>
      <c r="O2204" s="44">
        <f t="shared" si="302"/>
        <v>0.33171912832929784</v>
      </c>
    </row>
    <row r="2205" spans="1:15" ht="20.100000000000001" customHeight="1" x14ac:dyDescent="0.25">
      <c r="A2205" s="89">
        <v>981</v>
      </c>
      <c r="B2205" s="4">
        <v>44452</v>
      </c>
      <c r="C2205" s="26" t="s">
        <v>270</v>
      </c>
      <c r="D2205" s="3">
        <v>1279</v>
      </c>
      <c r="E2205" s="4">
        <v>44455</v>
      </c>
      <c r="F2205" s="92" t="s">
        <v>28</v>
      </c>
      <c r="G2205" s="32">
        <v>44453</v>
      </c>
      <c r="H2205" s="27">
        <f t="shared" si="300"/>
        <v>1279</v>
      </c>
      <c r="I2205" s="27"/>
      <c r="J2205" s="27"/>
      <c r="K2205" s="99"/>
      <c r="L2205" s="29">
        <v>997</v>
      </c>
      <c r="M2205" s="29">
        <f t="shared" si="301"/>
        <v>282</v>
      </c>
      <c r="N2205" s="29"/>
      <c r="O2205" s="44">
        <f t="shared" si="302"/>
        <v>0.22048475371383894</v>
      </c>
    </row>
    <row r="2206" spans="1:15" ht="20.100000000000001" customHeight="1" x14ac:dyDescent="0.25">
      <c r="A2206" s="89">
        <v>900</v>
      </c>
      <c r="B2206" s="4">
        <v>44441</v>
      </c>
      <c r="C2206" s="26" t="s">
        <v>301</v>
      </c>
      <c r="D2206" s="3">
        <v>7680</v>
      </c>
      <c r="E2206" s="4">
        <v>44456</v>
      </c>
      <c r="F2206" s="92" t="s">
        <v>28</v>
      </c>
      <c r="G2206" s="32">
        <v>44461</v>
      </c>
      <c r="H2206" s="27">
        <f t="shared" si="300"/>
        <v>7680</v>
      </c>
      <c r="I2206" s="27"/>
      <c r="J2206" s="27"/>
      <c r="K2206" s="99"/>
      <c r="L2206" s="29">
        <v>5750</v>
      </c>
      <c r="M2206" s="29">
        <f t="shared" si="301"/>
        <v>1930</v>
      </c>
      <c r="N2206" s="29"/>
      <c r="O2206" s="44">
        <f t="shared" si="302"/>
        <v>0.25130208333333331</v>
      </c>
    </row>
    <row r="2207" spans="1:15" ht="20.100000000000001" customHeight="1" x14ac:dyDescent="0.25">
      <c r="A2207" s="89">
        <v>888</v>
      </c>
      <c r="B2207" s="4">
        <v>44460</v>
      </c>
      <c r="C2207" s="5" t="s">
        <v>505</v>
      </c>
      <c r="D2207" s="3">
        <v>673676.4</v>
      </c>
      <c r="E2207" s="4">
        <v>44460</v>
      </c>
      <c r="F2207" s="92" t="s">
        <v>28</v>
      </c>
      <c r="G2207" s="32">
        <v>44468</v>
      </c>
      <c r="H2207" s="27">
        <f t="shared" si="300"/>
        <v>673676.4</v>
      </c>
      <c r="I2207" s="27">
        <f>H2207</f>
        <v>673676.4</v>
      </c>
      <c r="J2207" s="27"/>
      <c r="K2207" s="99"/>
      <c r="L2207" s="29">
        <v>545244</v>
      </c>
      <c r="M2207" s="29">
        <f t="shared" si="301"/>
        <v>128432.40000000002</v>
      </c>
      <c r="N2207" s="27">
        <f>M2207</f>
        <v>128432.40000000002</v>
      </c>
      <c r="O2207" s="44">
        <f t="shared" si="302"/>
        <v>0.19064405402950144</v>
      </c>
    </row>
    <row r="2208" spans="1:15" ht="20.100000000000001" customHeight="1" x14ac:dyDescent="0.25">
      <c r="A2208" s="89">
        <v>886</v>
      </c>
      <c r="B2208" s="4">
        <v>44446</v>
      </c>
      <c r="C2208" s="26" t="s">
        <v>13</v>
      </c>
      <c r="D2208" s="3">
        <v>108458</v>
      </c>
      <c r="E2208" s="4">
        <v>44460</v>
      </c>
      <c r="F2208" s="92" t="s">
        <v>28</v>
      </c>
      <c r="G2208" s="32">
        <v>44467</v>
      </c>
      <c r="H2208" s="27">
        <f t="shared" si="300"/>
        <v>108458</v>
      </c>
      <c r="I2208" s="27"/>
      <c r="J2208" s="27"/>
      <c r="K2208" s="99"/>
      <c r="L2208" s="29">
        <v>73023.14</v>
      </c>
      <c r="M2208" s="29">
        <f t="shared" si="301"/>
        <v>35434.86</v>
      </c>
      <c r="N2208" s="29"/>
      <c r="O2208" s="44">
        <f t="shared" si="302"/>
        <v>0.32671504176732008</v>
      </c>
    </row>
    <row r="2209" spans="1:15" ht="20.100000000000001" customHeight="1" x14ac:dyDescent="0.25">
      <c r="A2209" s="89">
        <v>1002</v>
      </c>
      <c r="B2209" s="4">
        <v>44460</v>
      </c>
      <c r="C2209" s="26" t="s">
        <v>216</v>
      </c>
      <c r="D2209" s="3">
        <v>3432</v>
      </c>
      <c r="E2209" s="4">
        <v>44460</v>
      </c>
      <c r="F2209" s="92" t="s">
        <v>28</v>
      </c>
      <c r="G2209" s="32">
        <v>44460</v>
      </c>
      <c r="H2209" s="27">
        <f t="shared" si="300"/>
        <v>3432</v>
      </c>
      <c r="I2209" s="27"/>
      <c r="J2209" s="27"/>
      <c r="K2209" s="99"/>
      <c r="L2209" s="29">
        <v>1992</v>
      </c>
      <c r="M2209" s="29">
        <f t="shared" si="301"/>
        <v>1440</v>
      </c>
      <c r="N2209" s="29"/>
      <c r="O2209" s="44">
        <f t="shared" si="302"/>
        <v>0.41958041958041958</v>
      </c>
    </row>
    <row r="2210" spans="1:15" ht="20.100000000000001" customHeight="1" x14ac:dyDescent="0.25">
      <c r="A2210" s="89">
        <v>1007</v>
      </c>
      <c r="B2210" s="4">
        <v>44460</v>
      </c>
      <c r="C2210" s="26" t="s">
        <v>166</v>
      </c>
      <c r="D2210" s="3">
        <v>8910</v>
      </c>
      <c r="E2210" s="4">
        <v>44461</v>
      </c>
      <c r="F2210" s="92" t="s">
        <v>28</v>
      </c>
      <c r="G2210" s="32">
        <v>44462</v>
      </c>
      <c r="H2210" s="27">
        <f t="shared" si="300"/>
        <v>8910</v>
      </c>
      <c r="I2210" s="27"/>
      <c r="J2210" s="27"/>
      <c r="K2210" s="99"/>
      <c r="L2210" s="29">
        <v>6949</v>
      </c>
      <c r="M2210" s="29">
        <f t="shared" si="301"/>
        <v>1961</v>
      </c>
      <c r="N2210" s="29"/>
      <c r="O2210" s="44">
        <f t="shared" si="302"/>
        <v>0.22008978675645341</v>
      </c>
    </row>
    <row r="2211" spans="1:15" ht="20.100000000000001" customHeight="1" x14ac:dyDescent="0.25">
      <c r="A2211" s="89">
        <v>1009</v>
      </c>
      <c r="B2211" s="4">
        <v>44460</v>
      </c>
      <c r="C2211" s="26" t="s">
        <v>166</v>
      </c>
      <c r="D2211" s="3">
        <v>5000</v>
      </c>
      <c r="E2211" s="4">
        <v>44461</v>
      </c>
      <c r="F2211" s="92" t="s">
        <v>28</v>
      </c>
      <c r="G2211" s="32">
        <v>44474</v>
      </c>
      <c r="H2211" s="27">
        <f t="shared" si="300"/>
        <v>5000</v>
      </c>
      <c r="I2211" s="27"/>
      <c r="J2211" s="27"/>
      <c r="K2211" s="99">
        <v>600</v>
      </c>
      <c r="L2211" s="29">
        <v>2108</v>
      </c>
      <c r="M2211" s="29">
        <f t="shared" si="301"/>
        <v>2292</v>
      </c>
      <c r="N2211" s="29"/>
      <c r="O2211" s="44">
        <f t="shared" si="302"/>
        <v>0.45839999999999997</v>
      </c>
    </row>
    <row r="2212" spans="1:15" ht="20.100000000000001" customHeight="1" x14ac:dyDescent="0.25">
      <c r="A2212" s="89">
        <v>1014</v>
      </c>
      <c r="B2212" s="4">
        <v>44461</v>
      </c>
      <c r="C2212" s="26" t="s">
        <v>435</v>
      </c>
      <c r="D2212" s="3">
        <v>2990</v>
      </c>
      <c r="E2212" s="4">
        <v>44461</v>
      </c>
      <c r="F2212" s="92" t="s">
        <v>28</v>
      </c>
      <c r="G2212" s="32">
        <v>44466</v>
      </c>
      <c r="H2212" s="27">
        <f t="shared" si="300"/>
        <v>2990</v>
      </c>
      <c r="I2212" s="27"/>
      <c r="J2212" s="27"/>
      <c r="K2212" s="99"/>
      <c r="L2212" s="29">
        <v>1330.42</v>
      </c>
      <c r="M2212" s="29">
        <f t="shared" si="301"/>
        <v>1659.58</v>
      </c>
      <c r="N2212" s="29"/>
      <c r="O2212" s="44">
        <f t="shared" si="302"/>
        <v>0.55504347826086953</v>
      </c>
    </row>
    <row r="2213" spans="1:15" ht="20.100000000000001" customHeight="1" x14ac:dyDescent="0.25">
      <c r="A2213" s="89">
        <v>824</v>
      </c>
      <c r="B2213" s="4">
        <v>44414</v>
      </c>
      <c r="C2213" s="26" t="s">
        <v>56</v>
      </c>
      <c r="D2213" s="3">
        <v>56873</v>
      </c>
      <c r="E2213" s="4">
        <v>44462</v>
      </c>
      <c r="F2213" s="92" t="s">
        <v>28</v>
      </c>
      <c r="G2213" s="32">
        <v>44452</v>
      </c>
      <c r="H2213" s="27">
        <f t="shared" si="300"/>
        <v>56873</v>
      </c>
      <c r="I2213" s="27"/>
      <c r="J2213" s="27"/>
      <c r="K2213" s="99"/>
      <c r="L2213" s="29">
        <v>39844</v>
      </c>
      <c r="M2213" s="29">
        <f t="shared" si="301"/>
        <v>17029</v>
      </c>
      <c r="N2213" s="29"/>
      <c r="O2213" s="44">
        <f t="shared" si="302"/>
        <v>0.2994215181193185</v>
      </c>
    </row>
    <row r="2214" spans="1:15" ht="20.100000000000001" customHeight="1" x14ac:dyDescent="0.25">
      <c r="A2214" s="89">
        <v>846</v>
      </c>
      <c r="B2214" s="4">
        <v>44420</v>
      </c>
      <c r="C2214" s="26" t="s">
        <v>56</v>
      </c>
      <c r="D2214" s="3">
        <v>22890</v>
      </c>
      <c r="E2214" s="4">
        <v>44462</v>
      </c>
      <c r="F2214" s="92" t="s">
        <v>28</v>
      </c>
      <c r="G2214" s="32">
        <v>44452</v>
      </c>
      <c r="H2214" s="27">
        <f t="shared" si="300"/>
        <v>22890</v>
      </c>
      <c r="I2214" s="27"/>
      <c r="J2214" s="27"/>
      <c r="K2214" s="99"/>
      <c r="L2214" s="29">
        <v>15105</v>
      </c>
      <c r="M2214" s="29">
        <f t="shared" si="301"/>
        <v>7785</v>
      </c>
      <c r="N2214" s="29"/>
      <c r="O2214" s="44">
        <f t="shared" si="302"/>
        <v>0.34010484927916118</v>
      </c>
    </row>
    <row r="2215" spans="1:15" ht="20.100000000000001" customHeight="1" x14ac:dyDescent="0.25">
      <c r="A2215" s="89">
        <v>1004</v>
      </c>
      <c r="B2215" s="4">
        <v>44460</v>
      </c>
      <c r="C2215" s="26" t="s">
        <v>372</v>
      </c>
      <c r="D2215" s="3">
        <v>9071</v>
      </c>
      <c r="E2215" s="4">
        <v>44462</v>
      </c>
      <c r="F2215" s="92" t="s">
        <v>28</v>
      </c>
      <c r="G2215" s="32">
        <v>44463</v>
      </c>
      <c r="H2215" s="27">
        <f t="shared" si="300"/>
        <v>9071</v>
      </c>
      <c r="I2215" s="27"/>
      <c r="J2215" s="27"/>
      <c r="K2215" s="99"/>
      <c r="L2215" s="29">
        <v>5644</v>
      </c>
      <c r="M2215" s="29">
        <f t="shared" si="301"/>
        <v>3427</v>
      </c>
      <c r="N2215" s="29"/>
      <c r="O2215" s="44">
        <f t="shared" si="302"/>
        <v>0.37779737625399623</v>
      </c>
    </row>
    <row r="2216" spans="1:15" ht="20.100000000000001" customHeight="1" x14ac:dyDescent="0.25">
      <c r="A2216" s="89">
        <v>725</v>
      </c>
      <c r="B2216" s="4">
        <v>44393</v>
      </c>
      <c r="C2216" s="26" t="s">
        <v>99</v>
      </c>
      <c r="D2216" s="3">
        <v>81000</v>
      </c>
      <c r="E2216" s="4">
        <v>44462</v>
      </c>
      <c r="F2216" s="92" t="s">
        <v>28</v>
      </c>
      <c r="G2216" s="32">
        <v>44433</v>
      </c>
      <c r="H2216" s="27">
        <f t="shared" si="300"/>
        <v>81000</v>
      </c>
      <c r="I2216" s="27"/>
      <c r="J2216" s="27">
        <v>9000</v>
      </c>
      <c r="K2216" s="99"/>
      <c r="L2216" s="29">
        <v>46600</v>
      </c>
      <c r="M2216" s="29">
        <f t="shared" si="301"/>
        <v>25400</v>
      </c>
      <c r="N2216" s="29"/>
      <c r="O2216" s="44">
        <f t="shared" si="302"/>
        <v>0.31358024691358027</v>
      </c>
    </row>
    <row r="2217" spans="1:15" ht="20.100000000000001" customHeight="1" x14ac:dyDescent="0.25">
      <c r="A2217" s="89">
        <v>867</v>
      </c>
      <c r="B2217" s="4">
        <v>44426</v>
      </c>
      <c r="C2217" s="26" t="s">
        <v>65</v>
      </c>
      <c r="D2217" s="3">
        <v>97728</v>
      </c>
      <c r="E2217" s="4">
        <v>44463</v>
      </c>
      <c r="F2217" s="92" t="s">
        <v>28</v>
      </c>
      <c r="G2217" s="32">
        <v>44427</v>
      </c>
      <c r="H2217" s="27">
        <v>24432</v>
      </c>
      <c r="I2217" s="27"/>
      <c r="J2217" s="27"/>
      <c r="K2217" s="99"/>
      <c r="L2217" s="29">
        <f>12732+1800</f>
        <v>14532</v>
      </c>
      <c r="M2217" s="29">
        <f t="shared" si="301"/>
        <v>9900</v>
      </c>
      <c r="N2217" s="29"/>
      <c r="O2217" s="44">
        <f t="shared" si="302"/>
        <v>0.40520628683693516</v>
      </c>
    </row>
    <row r="2218" spans="1:15" ht="20.100000000000001" customHeight="1" x14ac:dyDescent="0.25">
      <c r="A2218" s="89">
        <v>1020</v>
      </c>
      <c r="B2218" s="4">
        <v>44466</v>
      </c>
      <c r="C2218" s="26" t="s">
        <v>410</v>
      </c>
      <c r="D2218" s="3">
        <v>26127</v>
      </c>
      <c r="E2218" s="4">
        <v>44466</v>
      </c>
      <c r="F2218" s="92" t="s">
        <v>28</v>
      </c>
      <c r="G2218" s="32">
        <v>44491</v>
      </c>
      <c r="H2218" s="27">
        <f t="shared" si="300"/>
        <v>26127</v>
      </c>
      <c r="I2218" s="27"/>
      <c r="J2218" s="27"/>
      <c r="K2218" s="99"/>
      <c r="L2218" s="29">
        <v>17244</v>
      </c>
      <c r="M2218" s="29">
        <f t="shared" si="301"/>
        <v>8883</v>
      </c>
      <c r="N2218" s="29"/>
      <c r="O2218" s="44">
        <f t="shared" si="302"/>
        <v>0.33999311057526699</v>
      </c>
    </row>
    <row r="2219" spans="1:15" ht="20.100000000000001" customHeight="1" x14ac:dyDescent="0.25">
      <c r="A2219" s="89">
        <v>583</v>
      </c>
      <c r="B2219" s="4">
        <v>44419</v>
      </c>
      <c r="C2219" s="26" t="s">
        <v>275</v>
      </c>
      <c r="D2219" s="3">
        <v>117750</v>
      </c>
      <c r="E2219" s="4">
        <v>44467</v>
      </c>
      <c r="F2219" s="92" t="s">
        <v>28</v>
      </c>
      <c r="G2219" s="32">
        <v>44434</v>
      </c>
      <c r="H2219" s="27">
        <f t="shared" si="300"/>
        <v>117750</v>
      </c>
      <c r="I2219" s="27"/>
      <c r="J2219" s="27"/>
      <c r="K2219" s="99"/>
      <c r="L2219" s="29">
        <v>86514.75</v>
      </c>
      <c r="M2219" s="29">
        <f t="shared" si="301"/>
        <v>31235.25</v>
      </c>
      <c r="N2219" s="29"/>
      <c r="O2219" s="44">
        <f t="shared" si="302"/>
        <v>0.2652675159235669</v>
      </c>
    </row>
    <row r="2220" spans="1:15" ht="20.100000000000001" customHeight="1" x14ac:dyDescent="0.25">
      <c r="A2220" s="89">
        <v>867</v>
      </c>
      <c r="B2220" s="4">
        <v>44426</v>
      </c>
      <c r="C2220" s="26" t="s">
        <v>65</v>
      </c>
      <c r="D2220" s="3">
        <v>97728</v>
      </c>
      <c r="E2220" s="4">
        <v>44467</v>
      </c>
      <c r="F2220" s="92" t="s">
        <v>28</v>
      </c>
      <c r="G2220" s="32">
        <v>44433</v>
      </c>
      <c r="H2220" s="27">
        <v>73296</v>
      </c>
      <c r="I2220" s="27"/>
      <c r="J2220" s="27"/>
      <c r="K2220" s="99"/>
      <c r="L2220" s="29">
        <f>30366+5400</f>
        <v>35766</v>
      </c>
      <c r="M2220" s="29">
        <f t="shared" si="301"/>
        <v>37530</v>
      </c>
      <c r="N2220" s="29"/>
      <c r="O2220" s="44">
        <f t="shared" si="302"/>
        <v>0.51203339882121812</v>
      </c>
    </row>
    <row r="2221" spans="1:15" ht="20.100000000000001" customHeight="1" x14ac:dyDescent="0.25">
      <c r="A2221" s="89">
        <v>1026</v>
      </c>
      <c r="B2221" s="4">
        <v>44468</v>
      </c>
      <c r="C2221" s="26" t="s">
        <v>507</v>
      </c>
      <c r="D2221" s="3">
        <v>12990</v>
      </c>
      <c r="E2221" s="4">
        <v>44468</v>
      </c>
      <c r="F2221" s="92" t="s">
        <v>28</v>
      </c>
      <c r="G2221" s="32">
        <v>44468</v>
      </c>
      <c r="H2221" s="27">
        <f t="shared" si="300"/>
        <v>12990</v>
      </c>
      <c r="I2221" s="27"/>
      <c r="J2221" s="27"/>
      <c r="K2221" s="99"/>
      <c r="L2221" s="29">
        <v>9612</v>
      </c>
      <c r="M2221" s="29">
        <f t="shared" si="301"/>
        <v>3378</v>
      </c>
      <c r="N2221" s="29"/>
      <c r="O2221" s="44">
        <f t="shared" si="302"/>
        <v>0.26004618937644342</v>
      </c>
    </row>
    <row r="2222" spans="1:15" ht="19.5" customHeight="1" x14ac:dyDescent="0.25">
      <c r="A2222" s="89"/>
      <c r="B2222" s="4"/>
      <c r="C2222" s="5"/>
      <c r="D2222" s="3"/>
      <c r="E2222" s="97">
        <v>67122</v>
      </c>
      <c r="F2222" s="98">
        <f>M2222*0.17+N2222*0.06</f>
        <v>67121.897900000011</v>
      </c>
      <c r="G2222" s="21">
        <f>H2222*0.04+I2222*0.02</f>
        <v>67817.263999999996</v>
      </c>
      <c r="H2222" s="16">
        <f t="shared" ref="H2222:N2222" si="303">SUM(H2194:H2221)</f>
        <v>1356093.4</v>
      </c>
      <c r="I2222" s="16">
        <f t="shared" si="303"/>
        <v>678676.4</v>
      </c>
      <c r="J2222" s="16">
        <f t="shared" si="303"/>
        <v>9000</v>
      </c>
      <c r="K2222" s="16">
        <f t="shared" si="303"/>
        <v>1200</v>
      </c>
      <c r="L2222" s="16">
        <f t="shared" si="303"/>
        <v>997196.7300000001</v>
      </c>
      <c r="M2222" s="16">
        <f t="shared" si="303"/>
        <v>348696.67000000004</v>
      </c>
      <c r="N2222" s="16">
        <f t="shared" si="303"/>
        <v>130724.40000000002</v>
      </c>
      <c r="O2222" s="44">
        <f t="shared" si="302"/>
        <v>0.25713322548432138</v>
      </c>
    </row>
    <row r="2223" spans="1:15" ht="23.25" x14ac:dyDescent="0.35">
      <c r="B2223" s="94"/>
      <c r="C2223" s="94" t="s">
        <v>644</v>
      </c>
    </row>
    <row r="2224" spans="1:15" ht="20.100000000000001" customHeight="1" x14ac:dyDescent="0.25">
      <c r="A2224" s="89">
        <v>1029</v>
      </c>
      <c r="B2224" s="4">
        <v>44469</v>
      </c>
      <c r="C2224" s="26" t="s">
        <v>270</v>
      </c>
      <c r="D2224" s="3">
        <v>432</v>
      </c>
      <c r="E2224" s="4">
        <v>44470</v>
      </c>
      <c r="F2224" s="92" t="s">
        <v>28</v>
      </c>
      <c r="G2224" s="32">
        <v>44557</v>
      </c>
      <c r="H2224" s="27">
        <f t="shared" ref="H2224:H2243" si="304">D2224</f>
        <v>432</v>
      </c>
      <c r="I2224" s="27"/>
      <c r="J2224" s="27"/>
      <c r="K2224" s="99"/>
      <c r="L2224" s="29">
        <v>285</v>
      </c>
      <c r="M2224" s="29">
        <f t="shared" ref="M2224:M2243" si="305">H2224-L2224-J2224-K2224</f>
        <v>147</v>
      </c>
      <c r="N2224" s="29"/>
      <c r="O2224" s="44">
        <f t="shared" ref="O2224:O2244" si="306">M2224/H2224</f>
        <v>0.34027777777777779</v>
      </c>
    </row>
    <row r="2225" spans="1:15" ht="20.100000000000001" customHeight="1" x14ac:dyDescent="0.25">
      <c r="A2225" s="89">
        <v>1035</v>
      </c>
      <c r="B2225" s="4">
        <v>44473</v>
      </c>
      <c r="C2225" s="26" t="s">
        <v>461</v>
      </c>
      <c r="D2225" s="3">
        <v>32158</v>
      </c>
      <c r="E2225" s="4">
        <v>44473</v>
      </c>
      <c r="F2225" s="92" t="s">
        <v>28</v>
      </c>
      <c r="G2225" s="32">
        <v>44482</v>
      </c>
      <c r="H2225" s="27">
        <f t="shared" si="304"/>
        <v>32158</v>
      </c>
      <c r="I2225" s="27"/>
      <c r="J2225" s="27"/>
      <c r="K2225" s="99"/>
      <c r="L2225" s="29">
        <v>23012.3</v>
      </c>
      <c r="M2225" s="29">
        <f t="shared" si="305"/>
        <v>9145.7000000000007</v>
      </c>
      <c r="N2225" s="29"/>
      <c r="O2225" s="44">
        <f t="shared" si="306"/>
        <v>0.28439890540456497</v>
      </c>
    </row>
    <row r="2226" spans="1:15" ht="20.100000000000001" customHeight="1" x14ac:dyDescent="0.25">
      <c r="A2226" s="89">
        <v>1037</v>
      </c>
      <c r="B2226" s="4">
        <v>44473</v>
      </c>
      <c r="C2226" s="26" t="s">
        <v>16</v>
      </c>
      <c r="D2226" s="3">
        <v>1299887.1200000001</v>
      </c>
      <c r="E2226" s="4">
        <v>44475</v>
      </c>
      <c r="F2226" s="92" t="s">
        <v>28</v>
      </c>
      <c r="G2226" s="32">
        <v>44476</v>
      </c>
      <c r="H2226" s="27">
        <v>1001096.12</v>
      </c>
      <c r="I2226" s="27"/>
      <c r="J2226" s="27"/>
      <c r="K2226" s="99"/>
      <c r="L2226" s="29">
        <v>892167</v>
      </c>
      <c r="M2226" s="29">
        <f t="shared" si="305"/>
        <v>108929.12</v>
      </c>
      <c r="N2226" s="29"/>
      <c r="O2226" s="44">
        <f t="shared" si="306"/>
        <v>0.10880985134574291</v>
      </c>
    </row>
    <row r="2227" spans="1:15" ht="20.100000000000001" customHeight="1" x14ac:dyDescent="0.25">
      <c r="A2227" s="89">
        <v>1036</v>
      </c>
      <c r="B2227" s="4">
        <v>44473</v>
      </c>
      <c r="C2227" s="26" t="s">
        <v>169</v>
      </c>
      <c r="D2227" s="3">
        <v>24080</v>
      </c>
      <c r="E2227" s="4">
        <v>44475</v>
      </c>
      <c r="F2227" s="92" t="s">
        <v>28</v>
      </c>
      <c r="G2227" s="32">
        <v>44477</v>
      </c>
      <c r="H2227" s="27">
        <f t="shared" si="304"/>
        <v>24080</v>
      </c>
      <c r="I2227" s="27"/>
      <c r="J2227" s="27"/>
      <c r="K2227" s="99">
        <v>1200</v>
      </c>
      <c r="L2227" s="29">
        <v>16638.86</v>
      </c>
      <c r="M2227" s="29">
        <f t="shared" si="305"/>
        <v>6241.1399999999994</v>
      </c>
      <c r="N2227" s="29"/>
      <c r="O2227" s="44">
        <f t="shared" si="306"/>
        <v>0.25918355481727573</v>
      </c>
    </row>
    <row r="2228" spans="1:15" ht="20.100000000000001" customHeight="1" x14ac:dyDescent="0.25">
      <c r="A2228" s="89">
        <v>1043</v>
      </c>
      <c r="B2228" s="4">
        <v>44474</v>
      </c>
      <c r="C2228" s="26" t="s">
        <v>139</v>
      </c>
      <c r="D2228" s="3">
        <v>36864</v>
      </c>
      <c r="E2228" s="4">
        <v>44475</v>
      </c>
      <c r="F2228" s="92" t="s">
        <v>28</v>
      </c>
      <c r="G2228" s="32">
        <v>44496</v>
      </c>
      <c r="H2228" s="27">
        <f t="shared" si="304"/>
        <v>36864</v>
      </c>
      <c r="I2228" s="27"/>
      <c r="J2228" s="27"/>
      <c r="K2228" s="99"/>
      <c r="L2228" s="29">
        <v>27600</v>
      </c>
      <c r="M2228" s="29">
        <f t="shared" si="305"/>
        <v>9264</v>
      </c>
      <c r="N2228" s="29"/>
      <c r="O2228" s="44">
        <f t="shared" si="306"/>
        <v>0.25130208333333331</v>
      </c>
    </row>
    <row r="2229" spans="1:15" ht="20.100000000000001" customHeight="1" x14ac:dyDescent="0.25">
      <c r="A2229" s="89">
        <v>678</v>
      </c>
      <c r="B2229" s="4">
        <v>44384</v>
      </c>
      <c r="C2229" s="26" t="s">
        <v>66</v>
      </c>
      <c r="D2229" s="3">
        <v>13157.5</v>
      </c>
      <c r="E2229" s="4">
        <v>44476</v>
      </c>
      <c r="F2229" s="92" t="s">
        <v>28</v>
      </c>
      <c r="G2229" s="32">
        <v>44385</v>
      </c>
      <c r="H2229" s="27">
        <f t="shared" si="304"/>
        <v>13157.5</v>
      </c>
      <c r="I2229" s="27"/>
      <c r="J2229" s="27"/>
      <c r="K2229" s="99"/>
      <c r="L2229" s="27">
        <v>9747</v>
      </c>
      <c r="M2229" s="29">
        <f t="shared" si="305"/>
        <v>3410.5</v>
      </c>
      <c r="N2229" s="29"/>
      <c r="O2229" s="44">
        <f t="shared" si="306"/>
        <v>0.25920577617328522</v>
      </c>
    </row>
    <row r="2230" spans="1:15" ht="20.100000000000001" customHeight="1" x14ac:dyDescent="0.25">
      <c r="A2230" s="89">
        <v>1034</v>
      </c>
      <c r="B2230" s="4">
        <v>44470</v>
      </c>
      <c r="C2230" s="26" t="s">
        <v>77</v>
      </c>
      <c r="D2230" s="3">
        <v>4208</v>
      </c>
      <c r="E2230" s="4">
        <v>44476</v>
      </c>
      <c r="F2230" s="92" t="s">
        <v>28</v>
      </c>
      <c r="G2230" s="32">
        <v>44385</v>
      </c>
      <c r="H2230" s="27">
        <f t="shared" si="304"/>
        <v>4208</v>
      </c>
      <c r="I2230" s="27"/>
      <c r="J2230" s="27"/>
      <c r="K2230" s="99"/>
      <c r="L2230" s="27">
        <v>3282</v>
      </c>
      <c r="M2230" s="29">
        <f t="shared" si="305"/>
        <v>926</v>
      </c>
      <c r="N2230" s="29"/>
      <c r="O2230" s="44">
        <f t="shared" si="306"/>
        <v>0.22005703422053233</v>
      </c>
    </row>
    <row r="2231" spans="1:15" ht="20.100000000000001" customHeight="1" x14ac:dyDescent="0.25">
      <c r="A2231" s="89">
        <v>965</v>
      </c>
      <c r="B2231" s="4">
        <v>44447</v>
      </c>
      <c r="C2231" s="26" t="s">
        <v>66</v>
      </c>
      <c r="D2231" s="3">
        <v>24812</v>
      </c>
      <c r="E2231" s="4">
        <v>44477</v>
      </c>
      <c r="F2231" s="92" t="s">
        <v>28</v>
      </c>
      <c r="G2231" s="32">
        <v>44488</v>
      </c>
      <c r="H2231" s="27">
        <f t="shared" si="304"/>
        <v>24812</v>
      </c>
      <c r="I2231" s="27"/>
      <c r="J2231" s="27"/>
      <c r="K2231" s="99"/>
      <c r="L2231" s="27">
        <v>19108</v>
      </c>
      <c r="M2231" s="29">
        <f t="shared" si="305"/>
        <v>5704</v>
      </c>
      <c r="N2231" s="29"/>
      <c r="O2231" s="44">
        <f t="shared" si="306"/>
        <v>0.22988876350153151</v>
      </c>
    </row>
    <row r="2232" spans="1:15" ht="20.100000000000001" customHeight="1" x14ac:dyDescent="0.25">
      <c r="A2232" s="89">
        <v>1023</v>
      </c>
      <c r="B2232" s="4">
        <v>44467</v>
      </c>
      <c r="C2232" s="26" t="s">
        <v>392</v>
      </c>
      <c r="D2232" s="3">
        <v>16292</v>
      </c>
      <c r="E2232" s="4">
        <v>44477</v>
      </c>
      <c r="F2232" s="92" t="s">
        <v>28</v>
      </c>
      <c r="G2232" s="32">
        <v>44508</v>
      </c>
      <c r="H2232" s="27">
        <f t="shared" si="304"/>
        <v>16292</v>
      </c>
      <c r="I2232" s="27"/>
      <c r="J2232" s="27"/>
      <c r="K2232" s="99"/>
      <c r="L2232" s="27">
        <v>10753</v>
      </c>
      <c r="M2232" s="29">
        <f t="shared" si="305"/>
        <v>5539</v>
      </c>
      <c r="N2232" s="29"/>
      <c r="O2232" s="44">
        <f t="shared" si="306"/>
        <v>0.33998281365087157</v>
      </c>
    </row>
    <row r="2233" spans="1:15" ht="20.100000000000001" customHeight="1" x14ac:dyDescent="0.25">
      <c r="A2233" s="89">
        <v>1050</v>
      </c>
      <c r="B2233" s="4">
        <v>44477</v>
      </c>
      <c r="C2233" s="26" t="s">
        <v>16</v>
      </c>
      <c r="D2233" s="3">
        <v>6770</v>
      </c>
      <c r="E2233" s="4">
        <v>44480</v>
      </c>
      <c r="F2233" s="92" t="s">
        <v>28</v>
      </c>
      <c r="G2233" s="32">
        <v>44495</v>
      </c>
      <c r="H2233" s="27">
        <f t="shared" si="304"/>
        <v>6770</v>
      </c>
      <c r="I2233" s="27"/>
      <c r="J2233" s="27"/>
      <c r="K2233" s="99"/>
      <c r="L2233" s="27">
        <v>5280</v>
      </c>
      <c r="M2233" s="29">
        <f t="shared" si="305"/>
        <v>1490</v>
      </c>
      <c r="N2233" s="29"/>
      <c r="O2233" s="44">
        <f t="shared" si="306"/>
        <v>0.22008862629246675</v>
      </c>
    </row>
    <row r="2234" spans="1:15" ht="20.100000000000001" customHeight="1" x14ac:dyDescent="0.25">
      <c r="A2234" s="89">
        <v>1063</v>
      </c>
      <c r="B2234" s="4">
        <v>44482</v>
      </c>
      <c r="C2234" s="26" t="s">
        <v>124</v>
      </c>
      <c r="D2234" s="3">
        <v>8110</v>
      </c>
      <c r="E2234" s="4">
        <v>44482</v>
      </c>
      <c r="F2234" s="92" t="s">
        <v>28</v>
      </c>
      <c r="G2234" s="32">
        <v>44482</v>
      </c>
      <c r="H2234" s="27">
        <f t="shared" si="304"/>
        <v>8110</v>
      </c>
      <c r="I2234" s="27"/>
      <c r="J2234" s="27"/>
      <c r="K2234" s="99"/>
      <c r="L2234" s="27">
        <v>5904</v>
      </c>
      <c r="M2234" s="29">
        <f t="shared" si="305"/>
        <v>2206</v>
      </c>
      <c r="N2234" s="29"/>
      <c r="O2234" s="44">
        <f t="shared" si="306"/>
        <v>0.27200986436498148</v>
      </c>
    </row>
    <row r="2235" spans="1:15" ht="20.100000000000001" customHeight="1" x14ac:dyDescent="0.25">
      <c r="A2235" s="89">
        <v>1074</v>
      </c>
      <c r="B2235" s="4">
        <v>44484</v>
      </c>
      <c r="C2235" s="26" t="s">
        <v>492</v>
      </c>
      <c r="D2235" s="3">
        <v>10211</v>
      </c>
      <c r="E2235" s="4">
        <v>44484</v>
      </c>
      <c r="F2235" s="92" t="s">
        <v>28</v>
      </c>
      <c r="G2235" s="32">
        <v>44488</v>
      </c>
      <c r="H2235" s="27">
        <f t="shared" si="304"/>
        <v>10211</v>
      </c>
      <c r="I2235" s="27"/>
      <c r="J2235" s="27"/>
      <c r="K2235" s="99"/>
      <c r="L2235" s="27">
        <v>7546</v>
      </c>
      <c r="M2235" s="29">
        <f t="shared" si="305"/>
        <v>2665</v>
      </c>
      <c r="N2235" s="29"/>
      <c r="O2235" s="44">
        <f t="shared" si="306"/>
        <v>0.26099304671432766</v>
      </c>
    </row>
    <row r="2236" spans="1:15" ht="20.100000000000001" customHeight="1" x14ac:dyDescent="0.25">
      <c r="A2236" s="89">
        <v>1083</v>
      </c>
      <c r="B2236" s="4">
        <v>44487</v>
      </c>
      <c r="C2236" s="26" t="s">
        <v>410</v>
      </c>
      <c r="D2236" s="3">
        <v>36644</v>
      </c>
      <c r="E2236" s="4">
        <v>44488</v>
      </c>
      <c r="F2236" s="92" t="s">
        <v>28</v>
      </c>
      <c r="G2236" s="32">
        <v>44557</v>
      </c>
      <c r="H2236" s="27">
        <f t="shared" si="304"/>
        <v>36644</v>
      </c>
      <c r="I2236" s="27"/>
      <c r="J2236" s="27"/>
      <c r="K2236" s="99"/>
      <c r="L2236" s="27">
        <v>25710</v>
      </c>
      <c r="M2236" s="29">
        <f t="shared" si="305"/>
        <v>10934</v>
      </c>
      <c r="N2236" s="29"/>
      <c r="O2236" s="44">
        <f t="shared" si="306"/>
        <v>0.29838445584543172</v>
      </c>
    </row>
    <row r="2237" spans="1:15" ht="20.100000000000001" customHeight="1" x14ac:dyDescent="0.25">
      <c r="A2237" s="89">
        <v>860</v>
      </c>
      <c r="B2237" s="4">
        <v>44431</v>
      </c>
      <c r="C2237" s="26" t="s">
        <v>506</v>
      </c>
      <c r="D2237" s="3">
        <v>44190</v>
      </c>
      <c r="E2237" s="4">
        <v>44491</v>
      </c>
      <c r="F2237" s="92" t="s">
        <v>28</v>
      </c>
      <c r="G2237" s="32">
        <v>44460</v>
      </c>
      <c r="H2237" s="27">
        <f t="shared" si="304"/>
        <v>44190</v>
      </c>
      <c r="I2237" s="27"/>
      <c r="J2237" s="27"/>
      <c r="K2237" s="99"/>
      <c r="L2237" s="29">
        <v>32924</v>
      </c>
      <c r="M2237" s="29">
        <f t="shared" si="305"/>
        <v>11266</v>
      </c>
      <c r="N2237" s="29"/>
      <c r="O2237" s="44">
        <f t="shared" si="306"/>
        <v>0.25494455759221546</v>
      </c>
    </row>
    <row r="2238" spans="1:15" ht="20.100000000000001" customHeight="1" x14ac:dyDescent="0.25">
      <c r="A2238" s="89">
        <v>1096</v>
      </c>
      <c r="B2238" s="4">
        <v>44491</v>
      </c>
      <c r="C2238" s="26" t="s">
        <v>403</v>
      </c>
      <c r="D2238" s="3">
        <v>4062</v>
      </c>
      <c r="E2238" s="4">
        <v>44494</v>
      </c>
      <c r="F2238" s="92" t="s">
        <v>28</v>
      </c>
      <c r="G2238" s="32">
        <v>44496</v>
      </c>
      <c r="H2238" s="27">
        <f t="shared" si="304"/>
        <v>4062</v>
      </c>
      <c r="I2238" s="27"/>
      <c r="J2238" s="27"/>
      <c r="K2238" s="99"/>
      <c r="L2238" s="29">
        <v>3127</v>
      </c>
      <c r="M2238" s="29">
        <f t="shared" si="305"/>
        <v>935</v>
      </c>
      <c r="N2238" s="29"/>
      <c r="O2238" s="44">
        <f t="shared" si="306"/>
        <v>0.23018217626784834</v>
      </c>
    </row>
    <row r="2239" spans="1:15" ht="20.100000000000001" customHeight="1" x14ac:dyDescent="0.25">
      <c r="A2239" s="89">
        <v>1112</v>
      </c>
      <c r="B2239" s="4">
        <v>44495</v>
      </c>
      <c r="C2239" s="26" t="s">
        <v>149</v>
      </c>
      <c r="D2239" s="3">
        <v>9672</v>
      </c>
      <c r="E2239" s="4">
        <v>44496</v>
      </c>
      <c r="F2239" s="92" t="s">
        <v>28</v>
      </c>
      <c r="G2239" s="32">
        <v>44529</v>
      </c>
      <c r="H2239" s="27">
        <f t="shared" si="304"/>
        <v>9672</v>
      </c>
      <c r="I2239" s="27"/>
      <c r="J2239" s="27"/>
      <c r="K2239" s="99"/>
      <c r="L2239" s="29">
        <v>7542</v>
      </c>
      <c r="M2239" s="29">
        <f t="shared" si="305"/>
        <v>2130</v>
      </c>
      <c r="N2239" s="29"/>
      <c r="O2239" s="44">
        <f t="shared" si="306"/>
        <v>0.22022332506203474</v>
      </c>
    </row>
    <row r="2240" spans="1:15" ht="20.100000000000001" customHeight="1" x14ac:dyDescent="0.25">
      <c r="A2240" s="89">
        <v>1061</v>
      </c>
      <c r="B2240" s="4">
        <v>44481</v>
      </c>
      <c r="C2240" s="26" t="s">
        <v>56</v>
      </c>
      <c r="D2240" s="3">
        <v>60638</v>
      </c>
      <c r="E2240" s="4">
        <v>44497</v>
      </c>
      <c r="F2240" s="92" t="s">
        <v>28</v>
      </c>
      <c r="G2240" s="32">
        <v>44494</v>
      </c>
      <c r="H2240" s="27">
        <f t="shared" si="304"/>
        <v>60638</v>
      </c>
      <c r="I2240" s="27"/>
      <c r="J2240" s="27"/>
      <c r="K2240" s="99"/>
      <c r="L2240" s="29">
        <v>42765</v>
      </c>
      <c r="M2240" s="29">
        <f t="shared" si="305"/>
        <v>17873</v>
      </c>
      <c r="N2240" s="29"/>
      <c r="O2240" s="44">
        <f t="shared" si="306"/>
        <v>0.29474916718889144</v>
      </c>
    </row>
    <row r="2241" spans="1:15" ht="20.100000000000001" customHeight="1" x14ac:dyDescent="0.25">
      <c r="A2241" s="89">
        <v>998</v>
      </c>
      <c r="B2241" s="4">
        <v>44474</v>
      </c>
      <c r="C2241" s="26" t="s">
        <v>13</v>
      </c>
      <c r="D2241" s="3">
        <v>544275.9</v>
      </c>
      <c r="E2241" s="4">
        <v>44497</v>
      </c>
      <c r="F2241" s="92" t="s">
        <v>28</v>
      </c>
      <c r="G2241" s="32">
        <v>44552</v>
      </c>
      <c r="H2241" s="27">
        <f t="shared" si="304"/>
        <v>544275.9</v>
      </c>
      <c r="I2241" s="27"/>
      <c r="J2241" s="27"/>
      <c r="K2241" s="99"/>
      <c r="L2241" s="29">
        <v>422095</v>
      </c>
      <c r="M2241" s="29">
        <f t="shared" si="305"/>
        <v>122180.90000000002</v>
      </c>
      <c r="N2241" s="29"/>
      <c r="O2241" s="44">
        <f t="shared" si="306"/>
        <v>0.22448339160341294</v>
      </c>
    </row>
    <row r="2242" spans="1:15" ht="20.100000000000001" customHeight="1" x14ac:dyDescent="0.25">
      <c r="A2242" s="89">
        <v>932</v>
      </c>
      <c r="B2242" s="4">
        <v>44440</v>
      </c>
      <c r="C2242" s="26" t="s">
        <v>99</v>
      </c>
      <c r="D2242" s="3">
        <v>177100</v>
      </c>
      <c r="E2242" s="4">
        <v>44497</v>
      </c>
      <c r="F2242" s="92" t="s">
        <v>28</v>
      </c>
      <c r="G2242" s="32">
        <v>44473</v>
      </c>
      <c r="H2242" s="27">
        <f t="shared" si="304"/>
        <v>177100</v>
      </c>
      <c r="I2242" s="27"/>
      <c r="J2242" s="27">
        <v>36000</v>
      </c>
      <c r="K2242" s="99"/>
      <c r="L2242" s="29">
        <f>29753+5650</f>
        <v>35403</v>
      </c>
      <c r="M2242" s="29">
        <f t="shared" si="305"/>
        <v>105697</v>
      </c>
      <c r="N2242" s="29"/>
      <c r="O2242" s="44">
        <f t="shared" si="306"/>
        <v>0.59682100508187463</v>
      </c>
    </row>
    <row r="2243" spans="1:15" ht="20.100000000000001" customHeight="1" x14ac:dyDescent="0.25">
      <c r="A2243" s="89">
        <v>1095</v>
      </c>
      <c r="B2243" s="4">
        <v>44491</v>
      </c>
      <c r="C2243" s="26" t="s">
        <v>13</v>
      </c>
      <c r="D2243" s="3">
        <v>10377</v>
      </c>
      <c r="E2243" s="4">
        <v>44498</v>
      </c>
      <c r="F2243" s="92" t="s">
        <v>28</v>
      </c>
      <c r="G2243" s="32">
        <v>44508</v>
      </c>
      <c r="H2243" s="27">
        <f t="shared" si="304"/>
        <v>10377</v>
      </c>
      <c r="I2243" s="27"/>
      <c r="J2243" s="27"/>
      <c r="K2243" s="99"/>
      <c r="L2243" s="29">
        <v>6150</v>
      </c>
      <c r="M2243" s="29">
        <f t="shared" si="305"/>
        <v>4227</v>
      </c>
      <c r="N2243" s="29"/>
      <c r="O2243" s="44">
        <f t="shared" si="306"/>
        <v>0.40734316276380456</v>
      </c>
    </row>
    <row r="2244" spans="1:15" ht="19.5" customHeight="1" x14ac:dyDescent="0.25">
      <c r="A2244" s="89"/>
      <c r="B2244" s="4"/>
      <c r="C2244" s="5"/>
      <c r="D2244" s="3"/>
      <c r="E2244" s="97">
        <v>73255</v>
      </c>
      <c r="F2244" s="98">
        <f>M2244*0.17+N2244*0.06</f>
        <v>73254.761200000008</v>
      </c>
      <c r="G2244" s="21">
        <f>H2244*0.04+I2244*0.02</f>
        <v>82605.980800000005</v>
      </c>
      <c r="H2244" s="16">
        <f t="shared" ref="H2244:N2244" si="307">SUM(H2224:H2243)</f>
        <v>2065149.52</v>
      </c>
      <c r="I2244" s="16">
        <f t="shared" si="307"/>
        <v>0</v>
      </c>
      <c r="J2244" s="16">
        <f t="shared" si="307"/>
        <v>36000</v>
      </c>
      <c r="K2244" s="16">
        <f t="shared" si="307"/>
        <v>1200</v>
      </c>
      <c r="L2244" s="16">
        <f t="shared" si="307"/>
        <v>1597039.1600000001</v>
      </c>
      <c r="M2244" s="16">
        <f t="shared" si="307"/>
        <v>430910.36</v>
      </c>
      <c r="N2244" s="16">
        <f t="shared" si="307"/>
        <v>0</v>
      </c>
      <c r="O2244" s="44">
        <f t="shared" si="306"/>
        <v>0.20865818955326779</v>
      </c>
    </row>
    <row r="2245" spans="1:15" ht="23.25" x14ac:dyDescent="0.35">
      <c r="B2245" s="94"/>
      <c r="C2245" s="94" t="s">
        <v>645</v>
      </c>
    </row>
    <row r="2246" spans="1:15" ht="20.100000000000001" customHeight="1" x14ac:dyDescent="0.25">
      <c r="A2246" s="89">
        <v>1131</v>
      </c>
      <c r="B2246" s="4">
        <v>44498</v>
      </c>
      <c r="C2246" s="26" t="s">
        <v>206</v>
      </c>
      <c r="D2246" s="3">
        <v>4524</v>
      </c>
      <c r="E2246" s="4">
        <v>44508</v>
      </c>
      <c r="F2246" s="92" t="s">
        <v>28</v>
      </c>
      <c r="G2246" s="32">
        <v>44498</v>
      </c>
      <c r="H2246" s="27">
        <f t="shared" ref="H2246:H2269" si="308">D2246</f>
        <v>4524</v>
      </c>
      <c r="I2246" s="27"/>
      <c r="J2246" s="27"/>
      <c r="K2246" s="99"/>
      <c r="L2246" s="29">
        <v>3528</v>
      </c>
      <c r="M2246" s="29">
        <f t="shared" ref="M2246:M2269" si="309">H2246-L2246-J2246-K2246</f>
        <v>996</v>
      </c>
      <c r="N2246" s="29"/>
      <c r="O2246" s="44">
        <f t="shared" ref="O2246:O2270" si="310">M2246/H2246</f>
        <v>0.22015915119363394</v>
      </c>
    </row>
    <row r="2247" spans="1:15" ht="20.100000000000001" customHeight="1" x14ac:dyDescent="0.25">
      <c r="A2247" s="89">
        <v>1042</v>
      </c>
      <c r="B2247" s="4">
        <v>44474</v>
      </c>
      <c r="C2247" s="26" t="s">
        <v>60</v>
      </c>
      <c r="D2247" s="3">
        <v>28647</v>
      </c>
      <c r="E2247" s="4">
        <v>44509</v>
      </c>
      <c r="F2247" s="92" t="s">
        <v>28</v>
      </c>
      <c r="G2247" s="32">
        <v>44495</v>
      </c>
      <c r="H2247" s="27">
        <f t="shared" si="308"/>
        <v>28647</v>
      </c>
      <c r="I2247" s="27"/>
      <c r="J2247" s="27"/>
      <c r="K2247" s="99"/>
      <c r="L2247" s="29">
        <v>22343</v>
      </c>
      <c r="M2247" s="29">
        <f t="shared" si="309"/>
        <v>6304</v>
      </c>
      <c r="N2247" s="29"/>
      <c r="O2247" s="44">
        <f t="shared" si="310"/>
        <v>0.22005794673089679</v>
      </c>
    </row>
    <row r="2248" spans="1:15" ht="20.100000000000001" customHeight="1" x14ac:dyDescent="0.25">
      <c r="A2248" s="89">
        <v>1149</v>
      </c>
      <c r="B2248" s="4">
        <v>44509</v>
      </c>
      <c r="C2248" s="26" t="s">
        <v>470</v>
      </c>
      <c r="D2248" s="3">
        <v>10000</v>
      </c>
      <c r="E2248" s="4">
        <v>44509</v>
      </c>
      <c r="F2248" s="92" t="s">
        <v>28</v>
      </c>
      <c r="G2248" s="32">
        <v>44512</v>
      </c>
      <c r="H2248" s="27">
        <f t="shared" si="308"/>
        <v>10000</v>
      </c>
      <c r="I2248" s="27"/>
      <c r="J2248" s="27"/>
      <c r="K2248" s="99"/>
      <c r="L2248" s="29">
        <v>7800</v>
      </c>
      <c r="M2248" s="29">
        <f t="shared" si="309"/>
        <v>2200</v>
      </c>
      <c r="N2248" s="29"/>
      <c r="O2248" s="44">
        <f t="shared" si="310"/>
        <v>0.22</v>
      </c>
    </row>
    <row r="2249" spans="1:15" ht="20.100000000000001" customHeight="1" x14ac:dyDescent="0.25">
      <c r="A2249" s="89">
        <v>1147</v>
      </c>
      <c r="B2249" s="4">
        <v>44508</v>
      </c>
      <c r="C2249" s="26" t="s">
        <v>426</v>
      </c>
      <c r="D2249" s="3">
        <v>14490</v>
      </c>
      <c r="E2249" s="4">
        <v>44510</v>
      </c>
      <c r="F2249" s="92" t="s">
        <v>28</v>
      </c>
      <c r="G2249" s="32">
        <v>44517</v>
      </c>
      <c r="H2249" s="27">
        <f t="shared" si="308"/>
        <v>14490</v>
      </c>
      <c r="I2249" s="27"/>
      <c r="J2249" s="27"/>
      <c r="K2249" s="99"/>
      <c r="L2249" s="29">
        <v>11018</v>
      </c>
      <c r="M2249" s="29">
        <f t="shared" si="309"/>
        <v>3472</v>
      </c>
      <c r="N2249" s="29"/>
      <c r="O2249" s="44">
        <f t="shared" si="310"/>
        <v>0.23961352657004831</v>
      </c>
    </row>
    <row r="2250" spans="1:15" ht="20.100000000000001" customHeight="1" x14ac:dyDescent="0.25">
      <c r="A2250" s="89">
        <v>1115</v>
      </c>
      <c r="B2250" s="4">
        <v>44497</v>
      </c>
      <c r="C2250" s="5" t="s">
        <v>508</v>
      </c>
      <c r="D2250" s="3">
        <v>170000</v>
      </c>
      <c r="E2250" s="4">
        <v>44510</v>
      </c>
      <c r="F2250" s="92" t="s">
        <v>28</v>
      </c>
      <c r="G2250" s="32">
        <v>44512</v>
      </c>
      <c r="H2250" s="27">
        <f t="shared" si="308"/>
        <v>170000</v>
      </c>
      <c r="I2250" s="27">
        <f>H2250</f>
        <v>170000</v>
      </c>
      <c r="J2250" s="27"/>
      <c r="K2250" s="99"/>
      <c r="L2250" s="29">
        <v>169545</v>
      </c>
      <c r="M2250" s="29">
        <f t="shared" si="309"/>
        <v>455</v>
      </c>
      <c r="N2250" s="27">
        <f>M2250</f>
        <v>455</v>
      </c>
      <c r="O2250" s="44">
        <f t="shared" si="310"/>
        <v>2.676470588235294E-3</v>
      </c>
    </row>
    <row r="2251" spans="1:15" ht="20.100000000000001" customHeight="1" x14ac:dyDescent="0.25">
      <c r="A2251" s="89">
        <v>1170</v>
      </c>
      <c r="B2251" s="4">
        <v>44511</v>
      </c>
      <c r="C2251" s="26" t="s">
        <v>372</v>
      </c>
      <c r="D2251" s="3">
        <v>6918</v>
      </c>
      <c r="E2251" s="4">
        <v>44511</v>
      </c>
      <c r="F2251" s="92" t="s">
        <v>28</v>
      </c>
      <c r="G2251" s="32">
        <v>44512</v>
      </c>
      <c r="H2251" s="27">
        <f t="shared" si="308"/>
        <v>6918</v>
      </c>
      <c r="I2251" s="27"/>
      <c r="J2251" s="27"/>
      <c r="K2251" s="99"/>
      <c r="L2251" s="29">
        <v>5200</v>
      </c>
      <c r="M2251" s="29">
        <f t="shared" si="309"/>
        <v>1718</v>
      </c>
      <c r="N2251" s="27"/>
      <c r="O2251" s="44">
        <f t="shared" si="310"/>
        <v>0.24833766984677652</v>
      </c>
    </row>
    <row r="2252" spans="1:15" ht="20.100000000000001" customHeight="1" x14ac:dyDescent="0.25">
      <c r="A2252" s="89">
        <v>1169</v>
      </c>
      <c r="B2252" s="4">
        <v>44511</v>
      </c>
      <c r="C2252" s="26" t="s">
        <v>77</v>
      </c>
      <c r="D2252" s="3">
        <v>6341</v>
      </c>
      <c r="E2252" s="4">
        <v>44512</v>
      </c>
      <c r="F2252" s="92" t="s">
        <v>28</v>
      </c>
      <c r="G2252" s="32">
        <v>44512</v>
      </c>
      <c r="H2252" s="27">
        <f t="shared" si="308"/>
        <v>6341</v>
      </c>
      <c r="I2252" s="27"/>
      <c r="J2252" s="27"/>
      <c r="K2252" s="99"/>
      <c r="L2252" s="29">
        <v>4945</v>
      </c>
      <c r="M2252" s="29">
        <f t="shared" si="309"/>
        <v>1396</v>
      </c>
      <c r="N2252" s="27"/>
      <c r="O2252" s="44">
        <f t="shared" si="310"/>
        <v>0.22015454975555906</v>
      </c>
    </row>
    <row r="2253" spans="1:15" ht="19.5" customHeight="1" x14ac:dyDescent="0.25">
      <c r="A2253" s="89">
        <v>984</v>
      </c>
      <c r="B2253" s="4">
        <v>44453</v>
      </c>
      <c r="C2253" s="26" t="s">
        <v>65</v>
      </c>
      <c r="D2253" s="3">
        <v>97728</v>
      </c>
      <c r="E2253" s="4">
        <v>44512</v>
      </c>
      <c r="F2253" s="92" t="s">
        <v>28</v>
      </c>
      <c r="G2253" s="32">
        <v>44481</v>
      </c>
      <c r="H2253" s="27">
        <f t="shared" si="308"/>
        <v>97728</v>
      </c>
      <c r="I2253" s="27"/>
      <c r="J2253" s="27"/>
      <c r="K2253" s="99"/>
      <c r="L2253" s="29">
        <f>34704+7400</f>
        <v>42104</v>
      </c>
      <c r="M2253" s="29">
        <f t="shared" si="309"/>
        <v>55624</v>
      </c>
      <c r="N2253" s="27"/>
      <c r="O2253" s="44">
        <f t="shared" si="310"/>
        <v>0.56917157825802223</v>
      </c>
    </row>
    <row r="2254" spans="1:15" ht="19.5" customHeight="1" x14ac:dyDescent="0.25">
      <c r="A2254" s="89">
        <v>1175</v>
      </c>
      <c r="B2254" s="4">
        <v>44512</v>
      </c>
      <c r="C2254" s="26" t="s">
        <v>124</v>
      </c>
      <c r="D2254" s="3">
        <v>2000</v>
      </c>
      <c r="E2254" s="4">
        <v>44515</v>
      </c>
      <c r="F2254" s="92" t="s">
        <v>28</v>
      </c>
      <c r="G2254" s="32">
        <v>44522</v>
      </c>
      <c r="H2254" s="27">
        <f t="shared" si="308"/>
        <v>2000</v>
      </c>
      <c r="I2254" s="27"/>
      <c r="J2254" s="27"/>
      <c r="K2254" s="99"/>
      <c r="L2254" s="29">
        <v>1430</v>
      </c>
      <c r="M2254" s="29">
        <f t="shared" si="309"/>
        <v>570</v>
      </c>
      <c r="N2254" s="27"/>
      <c r="O2254" s="44">
        <f t="shared" si="310"/>
        <v>0.28499999999999998</v>
      </c>
    </row>
    <row r="2255" spans="1:15" ht="19.5" customHeight="1" x14ac:dyDescent="0.25">
      <c r="A2255" s="89">
        <v>1157</v>
      </c>
      <c r="B2255" s="4">
        <v>44510</v>
      </c>
      <c r="C2255" s="26" t="s">
        <v>509</v>
      </c>
      <c r="D2255" s="3">
        <v>15182</v>
      </c>
      <c r="E2255" s="4">
        <v>44515</v>
      </c>
      <c r="F2255" s="92" t="s">
        <v>28</v>
      </c>
      <c r="G2255" s="32">
        <v>44518</v>
      </c>
      <c r="H2255" s="27">
        <f t="shared" si="308"/>
        <v>15182</v>
      </c>
      <c r="I2255" s="27"/>
      <c r="J2255" s="27"/>
      <c r="K2255" s="99">
        <v>2400</v>
      </c>
      <c r="L2255" s="29">
        <v>7688</v>
      </c>
      <c r="M2255" s="29">
        <f t="shared" si="309"/>
        <v>5094</v>
      </c>
      <c r="N2255" s="27"/>
      <c r="O2255" s="44">
        <f t="shared" si="310"/>
        <v>0.3355289158213674</v>
      </c>
    </row>
    <row r="2256" spans="1:15" ht="19.5" customHeight="1" x14ac:dyDescent="0.25">
      <c r="A2256" s="89">
        <v>1188</v>
      </c>
      <c r="B2256" s="4">
        <v>44516</v>
      </c>
      <c r="C2256" s="26" t="s">
        <v>16</v>
      </c>
      <c r="D2256" s="3">
        <v>21525</v>
      </c>
      <c r="E2256" s="4">
        <v>44517</v>
      </c>
      <c r="F2256" s="92" t="s">
        <v>28</v>
      </c>
      <c r="G2256" s="32">
        <v>44519</v>
      </c>
      <c r="H2256" s="27">
        <f t="shared" si="308"/>
        <v>21525</v>
      </c>
      <c r="I2256" s="27"/>
      <c r="J2256" s="27"/>
      <c r="K2256" s="99"/>
      <c r="L2256" s="29">
        <v>16426</v>
      </c>
      <c r="M2256" s="29">
        <f t="shared" si="309"/>
        <v>5099</v>
      </c>
      <c r="N2256" s="27"/>
      <c r="O2256" s="44">
        <f t="shared" si="310"/>
        <v>0.23688734030197445</v>
      </c>
    </row>
    <row r="2257" spans="1:15" ht="20.100000000000001" customHeight="1" x14ac:dyDescent="0.25">
      <c r="A2257" s="89">
        <v>1049</v>
      </c>
      <c r="B2257" s="4">
        <v>44477</v>
      </c>
      <c r="C2257" s="26" t="s">
        <v>275</v>
      </c>
      <c r="D2257" s="3">
        <v>9000</v>
      </c>
      <c r="E2257" s="4">
        <v>44518</v>
      </c>
      <c r="F2257" s="92" t="s">
        <v>28</v>
      </c>
      <c r="G2257" s="32">
        <v>44489</v>
      </c>
      <c r="H2257" s="27">
        <f t="shared" si="308"/>
        <v>9000</v>
      </c>
      <c r="I2257" s="27"/>
      <c r="J2257" s="27"/>
      <c r="K2257" s="99">
        <v>1200</v>
      </c>
      <c r="L2257" s="27">
        <v>2774</v>
      </c>
      <c r="M2257" s="29">
        <f t="shared" si="309"/>
        <v>5026</v>
      </c>
      <c r="N2257" s="27"/>
      <c r="O2257" s="44">
        <f t="shared" si="310"/>
        <v>0.55844444444444441</v>
      </c>
    </row>
    <row r="2258" spans="1:15" ht="20.100000000000001" customHeight="1" x14ac:dyDescent="0.25">
      <c r="A2258" s="89">
        <v>1198</v>
      </c>
      <c r="B2258" s="4">
        <v>44518</v>
      </c>
      <c r="C2258" s="26" t="s">
        <v>16</v>
      </c>
      <c r="D2258" s="3">
        <v>8940</v>
      </c>
      <c r="E2258" s="4">
        <v>44518</v>
      </c>
      <c r="F2258" s="92" t="s">
        <v>28</v>
      </c>
      <c r="G2258" s="32">
        <v>44519</v>
      </c>
      <c r="H2258" s="27">
        <f t="shared" si="308"/>
        <v>8940</v>
      </c>
      <c r="I2258" s="27"/>
      <c r="J2258" s="27"/>
      <c r="K2258" s="99"/>
      <c r="L2258" s="27">
        <v>5046</v>
      </c>
      <c r="M2258" s="29">
        <f t="shared" si="309"/>
        <v>3894</v>
      </c>
      <c r="N2258" s="27"/>
      <c r="O2258" s="44">
        <f t="shared" si="310"/>
        <v>0.43557046979865771</v>
      </c>
    </row>
    <row r="2259" spans="1:15" ht="20.100000000000001" customHeight="1" x14ac:dyDescent="0.25">
      <c r="A2259" s="89">
        <v>1206</v>
      </c>
      <c r="B2259" s="4">
        <v>44518</v>
      </c>
      <c r="C2259" s="5" t="s">
        <v>510</v>
      </c>
      <c r="D2259" s="3">
        <v>1536</v>
      </c>
      <c r="E2259" s="4">
        <v>44519</v>
      </c>
      <c r="F2259" s="92" t="s">
        <v>28</v>
      </c>
      <c r="G2259" s="32">
        <v>44519</v>
      </c>
      <c r="H2259" s="27">
        <f t="shared" si="308"/>
        <v>1536</v>
      </c>
      <c r="I2259" s="27">
        <f>H2259</f>
        <v>1536</v>
      </c>
      <c r="J2259" s="27"/>
      <c r="K2259" s="99"/>
      <c r="L2259" s="27">
        <f>591*2</f>
        <v>1182</v>
      </c>
      <c r="M2259" s="29">
        <f t="shared" si="309"/>
        <v>354</v>
      </c>
      <c r="N2259" s="27">
        <f>M2259</f>
        <v>354</v>
      </c>
      <c r="O2259" s="44">
        <f t="shared" si="310"/>
        <v>0.23046875</v>
      </c>
    </row>
    <row r="2260" spans="1:15" ht="19.5" customHeight="1" x14ac:dyDescent="0.25">
      <c r="A2260" s="89">
        <v>1177</v>
      </c>
      <c r="B2260" s="4">
        <v>44515</v>
      </c>
      <c r="C2260" s="26" t="s">
        <v>281</v>
      </c>
      <c r="D2260" s="3">
        <v>3537</v>
      </c>
      <c r="E2260" s="4">
        <v>44522</v>
      </c>
      <c r="F2260" s="92" t="s">
        <v>28</v>
      </c>
      <c r="G2260" s="32">
        <v>44515</v>
      </c>
      <c r="H2260" s="27">
        <f t="shared" si="308"/>
        <v>3537</v>
      </c>
      <c r="I2260" s="27"/>
      <c r="J2260" s="27"/>
      <c r="K2260" s="99"/>
      <c r="L2260" s="29">
        <v>2714</v>
      </c>
      <c r="M2260" s="29">
        <f t="shared" si="309"/>
        <v>823</v>
      </c>
      <c r="N2260" s="27"/>
      <c r="O2260" s="44">
        <f t="shared" si="310"/>
        <v>0.23268306474413344</v>
      </c>
    </row>
    <row r="2261" spans="1:15" ht="19.5" customHeight="1" x14ac:dyDescent="0.25">
      <c r="A2261" s="89">
        <v>1208</v>
      </c>
      <c r="B2261" s="4">
        <v>44519</v>
      </c>
      <c r="C2261" s="26" t="s">
        <v>403</v>
      </c>
      <c r="D2261" s="3">
        <v>4715</v>
      </c>
      <c r="E2261" s="4">
        <v>44522</v>
      </c>
      <c r="F2261" s="92" t="s">
        <v>28</v>
      </c>
      <c r="G2261" s="32">
        <v>44526</v>
      </c>
      <c r="H2261" s="27">
        <f t="shared" si="308"/>
        <v>4715</v>
      </c>
      <c r="I2261" s="27"/>
      <c r="J2261" s="27"/>
      <c r="K2261" s="99"/>
      <c r="L2261" s="29">
        <v>3484</v>
      </c>
      <c r="M2261" s="29">
        <f t="shared" si="309"/>
        <v>1231</v>
      </c>
      <c r="N2261" s="27"/>
      <c r="O2261" s="44">
        <f t="shared" si="310"/>
        <v>0.26108165429480384</v>
      </c>
    </row>
    <row r="2262" spans="1:15" ht="20.100000000000001" customHeight="1" x14ac:dyDescent="0.25">
      <c r="A2262" s="89">
        <v>1145</v>
      </c>
      <c r="B2262" s="4">
        <v>44508</v>
      </c>
      <c r="C2262" s="26" t="s">
        <v>60</v>
      </c>
      <c r="D2262" s="3">
        <v>4398</v>
      </c>
      <c r="E2262" s="4">
        <v>44523</v>
      </c>
      <c r="F2262" s="92" t="s">
        <v>28</v>
      </c>
      <c r="G2262" s="32">
        <v>44509</v>
      </c>
      <c r="H2262" s="27">
        <f t="shared" si="308"/>
        <v>4398</v>
      </c>
      <c r="I2262" s="27"/>
      <c r="J2262" s="27"/>
      <c r="K2262" s="99"/>
      <c r="L2262" s="29">
        <v>2446</v>
      </c>
      <c r="M2262" s="29">
        <f t="shared" si="309"/>
        <v>1952</v>
      </c>
      <c r="N2262" s="27"/>
      <c r="O2262" s="44">
        <f t="shared" si="310"/>
        <v>0.44383810823101411</v>
      </c>
    </row>
    <row r="2263" spans="1:15" ht="20.100000000000001" customHeight="1" x14ac:dyDescent="0.25">
      <c r="A2263" s="89">
        <v>1213</v>
      </c>
      <c r="B2263" s="4">
        <v>44523</v>
      </c>
      <c r="C2263" s="26" t="s">
        <v>496</v>
      </c>
      <c r="D2263" s="3">
        <v>2840.5</v>
      </c>
      <c r="E2263" s="4">
        <v>44523</v>
      </c>
      <c r="F2263" s="92" t="s">
        <v>28</v>
      </c>
      <c r="G2263" s="32">
        <v>44524</v>
      </c>
      <c r="H2263" s="27">
        <f t="shared" si="308"/>
        <v>2840.5</v>
      </c>
      <c r="I2263" s="27"/>
      <c r="J2263" s="27"/>
      <c r="K2263" s="99"/>
      <c r="L2263" s="29">
        <v>2332</v>
      </c>
      <c r="M2263" s="29">
        <f t="shared" si="309"/>
        <v>508.5</v>
      </c>
      <c r="N2263" s="27"/>
      <c r="O2263" s="44">
        <f t="shared" si="310"/>
        <v>0.17901777856011267</v>
      </c>
    </row>
    <row r="2264" spans="1:15" ht="20.100000000000001" customHeight="1" x14ac:dyDescent="0.25">
      <c r="A2264" s="89">
        <v>1212</v>
      </c>
      <c r="B2264" s="4">
        <v>44523</v>
      </c>
      <c r="C2264" s="26" t="s">
        <v>468</v>
      </c>
      <c r="D2264" s="3">
        <v>9918</v>
      </c>
      <c r="E2264" s="4">
        <v>44524</v>
      </c>
      <c r="F2264" s="92" t="s">
        <v>28</v>
      </c>
      <c r="G2264" s="32">
        <v>44557</v>
      </c>
      <c r="H2264" s="27">
        <f t="shared" si="308"/>
        <v>9918</v>
      </c>
      <c r="I2264" s="27"/>
      <c r="J2264" s="27"/>
      <c r="K2264" s="99"/>
      <c r="L2264" s="29">
        <v>6546</v>
      </c>
      <c r="M2264" s="29">
        <f t="shared" si="309"/>
        <v>3372</v>
      </c>
      <c r="N2264" s="27"/>
      <c r="O2264" s="44">
        <f t="shared" si="310"/>
        <v>0.33998790078644886</v>
      </c>
    </row>
    <row r="2265" spans="1:15" ht="20.100000000000001" customHeight="1" x14ac:dyDescent="0.25">
      <c r="A2265" s="89">
        <v>1214</v>
      </c>
      <c r="B2265" s="4">
        <v>44523</v>
      </c>
      <c r="C2265" s="26" t="s">
        <v>481</v>
      </c>
      <c r="D2265" s="3">
        <v>921</v>
      </c>
      <c r="E2265" s="4">
        <v>44524</v>
      </c>
      <c r="F2265" s="92" t="s">
        <v>28</v>
      </c>
      <c r="G2265" s="32">
        <v>44571</v>
      </c>
      <c r="H2265" s="27">
        <f t="shared" si="308"/>
        <v>921</v>
      </c>
      <c r="I2265" s="27"/>
      <c r="J2265" s="27"/>
      <c r="K2265" s="99"/>
      <c r="L2265" s="29">
        <v>718</v>
      </c>
      <c r="M2265" s="29">
        <f t="shared" si="309"/>
        <v>203</v>
      </c>
      <c r="N2265" s="27"/>
      <c r="O2265" s="44">
        <f t="shared" si="310"/>
        <v>0.22041259500542887</v>
      </c>
    </row>
    <row r="2266" spans="1:15" ht="20.100000000000001" customHeight="1" x14ac:dyDescent="0.25">
      <c r="A2266" s="89">
        <v>1088</v>
      </c>
      <c r="B2266" s="4">
        <v>44488</v>
      </c>
      <c r="C2266" s="26" t="s">
        <v>99</v>
      </c>
      <c r="D2266" s="3">
        <v>259900</v>
      </c>
      <c r="E2266" s="4">
        <v>44525</v>
      </c>
      <c r="F2266" s="92" t="s">
        <v>28</v>
      </c>
      <c r="G2266" s="32">
        <v>44496</v>
      </c>
      <c r="H2266" s="27">
        <f t="shared" si="308"/>
        <v>259900</v>
      </c>
      <c r="I2266" s="27"/>
      <c r="J2266" s="27">
        <v>54000</v>
      </c>
      <c r="K2266" s="99"/>
      <c r="L2266" s="29">
        <f>37471.51+9000</f>
        <v>46471.51</v>
      </c>
      <c r="M2266" s="29">
        <f t="shared" si="309"/>
        <v>159428.49</v>
      </c>
      <c r="N2266" s="27"/>
      <c r="O2266" s="44">
        <f t="shared" si="310"/>
        <v>0.61342243170450172</v>
      </c>
    </row>
    <row r="2267" spans="1:15" ht="20.100000000000001" customHeight="1" x14ac:dyDescent="0.25">
      <c r="A2267" s="89">
        <v>1183</v>
      </c>
      <c r="B2267" s="4">
        <v>44515</v>
      </c>
      <c r="C2267" s="26" t="s">
        <v>450</v>
      </c>
      <c r="D2267" s="3">
        <v>525</v>
      </c>
      <c r="E2267" s="4">
        <v>44525</v>
      </c>
      <c r="F2267" s="92" t="s">
        <v>28</v>
      </c>
      <c r="G2267" s="32">
        <v>44579</v>
      </c>
      <c r="H2267" s="27">
        <f t="shared" si="308"/>
        <v>525</v>
      </c>
      <c r="I2267" s="27"/>
      <c r="J2267" s="27"/>
      <c r="K2267" s="99"/>
      <c r="L2267" s="29">
        <v>299</v>
      </c>
      <c r="M2267" s="29">
        <f t="shared" si="309"/>
        <v>226</v>
      </c>
      <c r="N2267" s="27"/>
      <c r="O2267" s="44">
        <f t="shared" si="310"/>
        <v>0.43047619047619046</v>
      </c>
    </row>
    <row r="2268" spans="1:15" ht="20.100000000000001" customHeight="1" x14ac:dyDescent="0.25">
      <c r="A2268" s="89">
        <v>1223</v>
      </c>
      <c r="B2268" s="4">
        <v>44525</v>
      </c>
      <c r="C2268" s="26" t="s">
        <v>444</v>
      </c>
      <c r="D2268" s="3">
        <v>1950</v>
      </c>
      <c r="E2268" s="4">
        <v>44526</v>
      </c>
      <c r="F2268" s="92" t="s">
        <v>28</v>
      </c>
      <c r="G2268" s="32">
        <v>44526</v>
      </c>
      <c r="H2268" s="27">
        <f t="shared" si="308"/>
        <v>1950</v>
      </c>
      <c r="I2268" s="27"/>
      <c r="J2268" s="27"/>
      <c r="K2268" s="99"/>
      <c r="L2268" s="29">
        <v>1521</v>
      </c>
      <c r="M2268" s="29">
        <f t="shared" si="309"/>
        <v>429</v>
      </c>
      <c r="N2268" s="27"/>
      <c r="O2268" s="44">
        <f t="shared" si="310"/>
        <v>0.22</v>
      </c>
    </row>
    <row r="2269" spans="1:15" ht="20.100000000000001" customHeight="1" x14ac:dyDescent="0.25">
      <c r="A2269" s="89">
        <v>1222</v>
      </c>
      <c r="B2269" s="4">
        <v>44525</v>
      </c>
      <c r="C2269" s="26" t="s">
        <v>278</v>
      </c>
      <c r="D2269" s="3">
        <v>23301</v>
      </c>
      <c r="E2269" s="4">
        <v>44530</v>
      </c>
      <c r="F2269" s="92" t="s">
        <v>28</v>
      </c>
      <c r="G2269" s="32">
        <v>44531</v>
      </c>
      <c r="H2269" s="27">
        <f t="shared" si="308"/>
        <v>23301</v>
      </c>
      <c r="I2269" s="27"/>
      <c r="J2269" s="27"/>
      <c r="K2269" s="99"/>
      <c r="L2269" s="29">
        <v>14768</v>
      </c>
      <c r="M2269" s="29">
        <f t="shared" si="309"/>
        <v>8533</v>
      </c>
      <c r="N2269" s="27"/>
      <c r="O2269" s="44">
        <f t="shared" si="310"/>
        <v>0.36620745890734302</v>
      </c>
    </row>
    <row r="2270" spans="1:15" ht="19.5" customHeight="1" x14ac:dyDescent="0.25">
      <c r="A2270" s="89"/>
      <c r="B2270" s="4"/>
      <c r="C2270" s="5"/>
      <c r="D2270" s="3"/>
      <c r="E2270" s="97">
        <v>50763</v>
      </c>
      <c r="F2270" s="98">
        <f>M2270*0.17+N2270*0.06+5000</f>
        <v>50762.898300000001</v>
      </c>
      <c r="G2270" s="21">
        <f>H2270*0.04+I2270*0.02</f>
        <v>31784.18</v>
      </c>
      <c r="H2270" s="16">
        <f t="shared" ref="H2270:N2270" si="311">SUM(H2246:H2269)</f>
        <v>708836.5</v>
      </c>
      <c r="I2270" s="16">
        <f t="shared" si="311"/>
        <v>171536</v>
      </c>
      <c r="J2270" s="16">
        <f t="shared" si="311"/>
        <v>54000</v>
      </c>
      <c r="K2270" s="16">
        <f t="shared" si="311"/>
        <v>3600</v>
      </c>
      <c r="L2270" s="16">
        <f t="shared" si="311"/>
        <v>382328.51</v>
      </c>
      <c r="M2270" s="16">
        <f t="shared" si="311"/>
        <v>268907.99</v>
      </c>
      <c r="N2270" s="16">
        <f t="shared" si="311"/>
        <v>809</v>
      </c>
      <c r="O2270" s="44">
        <f t="shared" si="310"/>
        <v>0.37936532613656321</v>
      </c>
    </row>
    <row r="2271" spans="1:15" ht="23.25" x14ac:dyDescent="0.35">
      <c r="B2271" s="94"/>
      <c r="C2271" s="94" t="s">
        <v>646</v>
      </c>
    </row>
    <row r="2272" spans="1:15" ht="19.5" customHeight="1" x14ac:dyDescent="0.25">
      <c r="A2272" s="89">
        <v>1239</v>
      </c>
      <c r="B2272" s="4">
        <v>44530</v>
      </c>
      <c r="C2272" s="26" t="s">
        <v>149</v>
      </c>
      <c r="D2272" s="3">
        <v>8328</v>
      </c>
      <c r="E2272" s="4">
        <v>44531</v>
      </c>
      <c r="F2272" s="92" t="s">
        <v>28</v>
      </c>
      <c r="G2272" s="32">
        <v>44532</v>
      </c>
      <c r="H2272" s="27">
        <f t="shared" ref="H2272:H2294" si="312">D2272</f>
        <v>8328</v>
      </c>
      <c r="I2272" s="27"/>
      <c r="J2272" s="27"/>
      <c r="K2272" s="99"/>
      <c r="L2272" s="29">
        <v>4875</v>
      </c>
      <c r="M2272" s="29">
        <f t="shared" ref="M2272:M2288" si="313">H2272-L2272-J2272-K2272</f>
        <v>3453</v>
      </c>
      <c r="N2272" s="27"/>
      <c r="O2272" s="44">
        <f t="shared" ref="O2272:O2288" si="314">M2272/H2272</f>
        <v>0.41462536023054752</v>
      </c>
    </row>
    <row r="2273" spans="1:15" ht="19.5" customHeight="1" x14ac:dyDescent="0.25">
      <c r="A2273" s="89">
        <v>1240</v>
      </c>
      <c r="B2273" s="4">
        <v>44531</v>
      </c>
      <c r="C2273" s="26" t="s">
        <v>404</v>
      </c>
      <c r="D2273" s="3">
        <v>34866</v>
      </c>
      <c r="E2273" s="4">
        <v>44531</v>
      </c>
      <c r="F2273" s="92" t="s">
        <v>28</v>
      </c>
      <c r="G2273" s="32">
        <v>44536</v>
      </c>
      <c r="H2273" s="27">
        <f t="shared" si="312"/>
        <v>34866</v>
      </c>
      <c r="I2273" s="27"/>
      <c r="J2273" s="27"/>
      <c r="K2273" s="99"/>
      <c r="L2273" s="29">
        <v>25858</v>
      </c>
      <c r="M2273" s="29">
        <f t="shared" si="313"/>
        <v>9008</v>
      </c>
      <c r="N2273" s="27"/>
      <c r="O2273" s="44">
        <f t="shared" si="314"/>
        <v>0.25836058050823152</v>
      </c>
    </row>
    <row r="2274" spans="1:15" ht="20.100000000000001" customHeight="1" x14ac:dyDescent="0.25">
      <c r="A2274" s="89">
        <v>1196</v>
      </c>
      <c r="B2274" s="4">
        <v>44517</v>
      </c>
      <c r="C2274" s="26" t="s">
        <v>60</v>
      </c>
      <c r="D2274" s="3">
        <v>3660</v>
      </c>
      <c r="E2274" s="4">
        <v>44532</v>
      </c>
      <c r="F2274" s="92" t="s">
        <v>28</v>
      </c>
      <c r="G2274" s="32">
        <v>44518</v>
      </c>
      <c r="H2274" s="27">
        <f t="shared" si="312"/>
        <v>3660</v>
      </c>
      <c r="I2274" s="27"/>
      <c r="J2274" s="27"/>
      <c r="K2274" s="99"/>
      <c r="L2274" s="29">
        <v>2594</v>
      </c>
      <c r="M2274" s="29">
        <f t="shared" si="313"/>
        <v>1066</v>
      </c>
      <c r="N2274" s="27"/>
      <c r="O2274" s="44">
        <f t="shared" si="314"/>
        <v>0.29125683060109292</v>
      </c>
    </row>
    <row r="2275" spans="1:15" ht="19.5" customHeight="1" x14ac:dyDescent="0.25">
      <c r="A2275" s="89">
        <v>1259</v>
      </c>
      <c r="B2275" s="4">
        <v>44532</v>
      </c>
      <c r="C2275" s="26" t="s">
        <v>83</v>
      </c>
      <c r="D2275" s="3">
        <v>18719</v>
      </c>
      <c r="E2275" s="4">
        <v>44533</v>
      </c>
      <c r="F2275" s="92" t="s">
        <v>28</v>
      </c>
      <c r="G2275" s="32">
        <v>44558</v>
      </c>
      <c r="H2275" s="27">
        <f t="shared" si="312"/>
        <v>18719</v>
      </c>
      <c r="I2275" s="27"/>
      <c r="J2275" s="27"/>
      <c r="K2275" s="99"/>
      <c r="L2275" s="29">
        <v>9112</v>
      </c>
      <c r="M2275" s="29">
        <f t="shared" si="313"/>
        <v>9607</v>
      </c>
      <c r="N2275" s="27"/>
      <c r="O2275" s="44">
        <f t="shared" si="314"/>
        <v>0.51322186014210158</v>
      </c>
    </row>
    <row r="2276" spans="1:15" ht="19.5" customHeight="1" x14ac:dyDescent="0.25">
      <c r="A2276" s="89">
        <v>1184</v>
      </c>
      <c r="B2276" s="4">
        <v>44531</v>
      </c>
      <c r="C2276" s="26">
        <v>2019</v>
      </c>
      <c r="D2276" s="3">
        <v>3000</v>
      </c>
      <c r="E2276" s="4">
        <v>44536</v>
      </c>
      <c r="F2276" s="92" t="s">
        <v>28</v>
      </c>
      <c r="G2276" s="32">
        <v>44536</v>
      </c>
      <c r="H2276" s="27">
        <f t="shared" si="312"/>
        <v>3000</v>
      </c>
      <c r="I2276" s="27"/>
      <c r="J2276" s="27"/>
      <c r="K2276" s="99"/>
      <c r="L2276" s="29">
        <v>1350</v>
      </c>
      <c r="M2276" s="29">
        <f t="shared" si="313"/>
        <v>1650</v>
      </c>
      <c r="N2276" s="27"/>
      <c r="O2276" s="44">
        <f t="shared" si="314"/>
        <v>0.55000000000000004</v>
      </c>
    </row>
    <row r="2277" spans="1:15" ht="19.5" customHeight="1" x14ac:dyDescent="0.25">
      <c r="A2277" s="89">
        <v>1271</v>
      </c>
      <c r="B2277" s="4">
        <v>44536</v>
      </c>
      <c r="C2277" s="26" t="s">
        <v>124</v>
      </c>
      <c r="D2277" s="3">
        <v>2000</v>
      </c>
      <c r="E2277" s="4">
        <v>44536</v>
      </c>
      <c r="F2277" s="92" t="s">
        <v>28</v>
      </c>
      <c r="G2277" s="32">
        <v>44537</v>
      </c>
      <c r="H2277" s="27">
        <f t="shared" si="312"/>
        <v>2000</v>
      </c>
      <c r="I2277" s="27"/>
      <c r="J2277" s="27"/>
      <c r="K2277" s="99"/>
      <c r="L2277" s="29">
        <v>1430</v>
      </c>
      <c r="M2277" s="29">
        <f t="shared" si="313"/>
        <v>570</v>
      </c>
      <c r="N2277" s="27"/>
      <c r="O2277" s="44">
        <f t="shared" si="314"/>
        <v>0.28499999999999998</v>
      </c>
    </row>
    <row r="2278" spans="1:15" ht="19.5" customHeight="1" x14ac:dyDescent="0.25">
      <c r="A2278" s="89">
        <v>1161</v>
      </c>
      <c r="B2278" s="4">
        <v>44510</v>
      </c>
      <c r="C2278" s="26" t="s">
        <v>488</v>
      </c>
      <c r="D2278" s="3">
        <v>3250</v>
      </c>
      <c r="E2278" s="4">
        <v>44538</v>
      </c>
      <c r="F2278" s="92" t="s">
        <v>28</v>
      </c>
      <c r="G2278" s="32">
        <v>44510</v>
      </c>
      <c r="H2278" s="27">
        <f t="shared" si="312"/>
        <v>3250</v>
      </c>
      <c r="I2278" s="27"/>
      <c r="J2278" s="27"/>
      <c r="K2278" s="99"/>
      <c r="L2278" s="29">
        <v>2861</v>
      </c>
      <c r="M2278" s="29">
        <f t="shared" si="313"/>
        <v>389</v>
      </c>
      <c r="N2278" s="27"/>
      <c r="O2278" s="44">
        <f t="shared" si="314"/>
        <v>0.1196923076923077</v>
      </c>
    </row>
    <row r="2279" spans="1:15" ht="19.5" customHeight="1" x14ac:dyDescent="0.25">
      <c r="A2279" s="89">
        <v>1160</v>
      </c>
      <c r="B2279" s="4">
        <v>44510</v>
      </c>
      <c r="C2279" s="26" t="s">
        <v>488</v>
      </c>
      <c r="D2279" s="3">
        <v>50490</v>
      </c>
      <c r="E2279" s="4">
        <v>44539</v>
      </c>
      <c r="F2279" s="92" t="s">
        <v>28</v>
      </c>
      <c r="G2279" s="32">
        <v>44510</v>
      </c>
      <c r="H2279" s="27">
        <f t="shared" si="312"/>
        <v>50490</v>
      </c>
      <c r="I2279" s="27"/>
      <c r="J2279" s="27"/>
      <c r="K2279" s="99"/>
      <c r="L2279" s="29">
        <v>37110</v>
      </c>
      <c r="M2279" s="29">
        <f t="shared" si="313"/>
        <v>13380</v>
      </c>
      <c r="N2279" s="27"/>
      <c r="O2279" s="44">
        <f t="shared" si="314"/>
        <v>0.26500297088532382</v>
      </c>
    </row>
    <row r="2280" spans="1:15" ht="19.5" customHeight="1" x14ac:dyDescent="0.25">
      <c r="A2280" s="89">
        <v>1269</v>
      </c>
      <c r="B2280" s="4">
        <v>44533</v>
      </c>
      <c r="C2280" s="26" t="s">
        <v>368</v>
      </c>
      <c r="D2280" s="3">
        <v>13990</v>
      </c>
      <c r="E2280" s="4">
        <v>44539</v>
      </c>
      <c r="F2280" s="92" t="s">
        <v>28</v>
      </c>
      <c r="G2280" s="32">
        <v>44546</v>
      </c>
      <c r="H2280" s="27">
        <f t="shared" si="312"/>
        <v>13990</v>
      </c>
      <c r="I2280" s="27"/>
      <c r="J2280" s="27"/>
      <c r="K2280" s="99"/>
      <c r="L2280" s="29">
        <f>9210+600</f>
        <v>9810</v>
      </c>
      <c r="M2280" s="29">
        <f t="shared" si="313"/>
        <v>4180</v>
      </c>
      <c r="N2280" s="27"/>
      <c r="O2280" s="44">
        <f t="shared" si="314"/>
        <v>0.29878484631879915</v>
      </c>
    </row>
    <row r="2281" spans="1:15" ht="19.5" customHeight="1" x14ac:dyDescent="0.25">
      <c r="A2281" s="89">
        <v>1283</v>
      </c>
      <c r="B2281" s="4">
        <v>44539</v>
      </c>
      <c r="C2281" s="26" t="s">
        <v>139</v>
      </c>
      <c r="D2281" s="3">
        <v>69990</v>
      </c>
      <c r="E2281" s="4">
        <v>44543</v>
      </c>
      <c r="F2281" s="92" t="s">
        <v>28</v>
      </c>
      <c r="G2281" s="32">
        <v>44550</v>
      </c>
      <c r="H2281" s="27">
        <f t="shared" si="312"/>
        <v>69990</v>
      </c>
      <c r="I2281" s="27"/>
      <c r="J2281" s="27"/>
      <c r="K2281" s="99"/>
      <c r="L2281" s="29">
        <v>51792</v>
      </c>
      <c r="M2281" s="29">
        <f t="shared" si="313"/>
        <v>18198</v>
      </c>
      <c r="N2281" s="27"/>
      <c r="O2281" s="44">
        <f t="shared" si="314"/>
        <v>0.26000857265323618</v>
      </c>
    </row>
    <row r="2282" spans="1:15" ht="19.5" customHeight="1" x14ac:dyDescent="0.25">
      <c r="A2282" s="89">
        <v>1300</v>
      </c>
      <c r="B2282" s="4">
        <v>44544</v>
      </c>
      <c r="C2282" s="26" t="s">
        <v>511</v>
      </c>
      <c r="D2282" s="3">
        <v>4570</v>
      </c>
      <c r="E2282" s="4">
        <v>44545</v>
      </c>
      <c r="F2282" s="92" t="s">
        <v>28</v>
      </c>
      <c r="G2282" s="32">
        <v>44559</v>
      </c>
      <c r="H2282" s="27">
        <f t="shared" si="312"/>
        <v>4570</v>
      </c>
      <c r="I2282" s="27"/>
      <c r="J2282" s="27"/>
      <c r="K2282" s="99"/>
      <c r="L2282" s="29">
        <v>3509</v>
      </c>
      <c r="M2282" s="29">
        <f t="shared" si="313"/>
        <v>1061</v>
      </c>
      <c r="N2282" s="27"/>
      <c r="O2282" s="44">
        <f t="shared" si="314"/>
        <v>0.23216630196936541</v>
      </c>
    </row>
    <row r="2283" spans="1:15" ht="19.5" customHeight="1" x14ac:dyDescent="0.25">
      <c r="A2283" s="89">
        <v>1178</v>
      </c>
      <c r="B2283" s="4">
        <v>44515</v>
      </c>
      <c r="C2283" s="26" t="s">
        <v>281</v>
      </c>
      <c r="D2283" s="3">
        <v>977</v>
      </c>
      <c r="E2283" s="4">
        <v>44546</v>
      </c>
      <c r="F2283" s="92" t="s">
        <v>28</v>
      </c>
      <c r="G2283" s="32">
        <v>44546</v>
      </c>
      <c r="H2283" s="27">
        <f t="shared" si="312"/>
        <v>977</v>
      </c>
      <c r="I2283" s="27"/>
      <c r="J2283" s="27"/>
      <c r="K2283" s="99"/>
      <c r="L2283" s="29">
        <v>644</v>
      </c>
      <c r="M2283" s="29">
        <f t="shared" si="313"/>
        <v>333</v>
      </c>
      <c r="N2283" s="27"/>
      <c r="O2283" s="44">
        <f t="shared" si="314"/>
        <v>0.34083930399181167</v>
      </c>
    </row>
    <row r="2284" spans="1:15" ht="20.100000000000001" customHeight="1" x14ac:dyDescent="0.25">
      <c r="A2284" s="89">
        <v>1091</v>
      </c>
      <c r="B2284" s="4">
        <v>44490</v>
      </c>
      <c r="C2284" s="26" t="s">
        <v>56</v>
      </c>
      <c r="D2284" s="3">
        <v>97583</v>
      </c>
      <c r="E2284" s="4">
        <v>44547</v>
      </c>
      <c r="F2284" s="92" t="s">
        <v>28</v>
      </c>
      <c r="G2284" s="32">
        <v>44537</v>
      </c>
      <c r="H2284" s="27">
        <f t="shared" si="312"/>
        <v>97583</v>
      </c>
      <c r="I2284" s="27"/>
      <c r="J2284" s="27"/>
      <c r="K2284" s="99"/>
      <c r="L2284" s="29">
        <v>67577.399999999994</v>
      </c>
      <c r="M2284" s="29">
        <f t="shared" si="313"/>
        <v>30005.600000000006</v>
      </c>
      <c r="N2284" s="27"/>
      <c r="O2284" s="44">
        <f t="shared" si="314"/>
        <v>0.30748798458747945</v>
      </c>
    </row>
    <row r="2285" spans="1:15" ht="20.100000000000001" customHeight="1" x14ac:dyDescent="0.25">
      <c r="A2285" s="89">
        <v>1182</v>
      </c>
      <c r="B2285" s="4">
        <v>44515</v>
      </c>
      <c r="C2285" s="26" t="s">
        <v>56</v>
      </c>
      <c r="D2285" s="3">
        <v>165000</v>
      </c>
      <c r="E2285" s="4">
        <v>44547</v>
      </c>
      <c r="F2285" s="92" t="s">
        <v>28</v>
      </c>
      <c r="G2285" s="32">
        <v>44543</v>
      </c>
      <c r="H2285" s="27">
        <f t="shared" si="312"/>
        <v>165000</v>
      </c>
      <c r="I2285" s="27"/>
      <c r="J2285" s="27"/>
      <c r="K2285" s="99"/>
      <c r="L2285" s="29">
        <v>152000</v>
      </c>
      <c r="M2285" s="29">
        <f t="shared" si="313"/>
        <v>13000</v>
      </c>
      <c r="N2285" s="27"/>
      <c r="O2285" s="44">
        <f t="shared" si="314"/>
        <v>7.8787878787878782E-2</v>
      </c>
    </row>
    <row r="2286" spans="1:15" ht="20.100000000000001" customHeight="1" x14ac:dyDescent="0.25">
      <c r="A2286" s="89">
        <v>943</v>
      </c>
      <c r="B2286" s="4">
        <v>44442</v>
      </c>
      <c r="C2286" s="26" t="s">
        <v>66</v>
      </c>
      <c r="D2286" s="3">
        <v>20000</v>
      </c>
      <c r="E2286" s="4">
        <v>44550</v>
      </c>
      <c r="F2286" s="92" t="s">
        <v>28</v>
      </c>
      <c r="G2286" s="32">
        <v>44446</v>
      </c>
      <c r="H2286" s="27">
        <f t="shared" si="312"/>
        <v>20000</v>
      </c>
      <c r="I2286" s="27"/>
      <c r="J2286" s="27"/>
      <c r="K2286" s="99">
        <v>2400</v>
      </c>
      <c r="L2286" s="27">
        <v>6600</v>
      </c>
      <c r="M2286" s="29">
        <f t="shared" si="313"/>
        <v>11000</v>
      </c>
      <c r="N2286" s="27"/>
      <c r="O2286" s="44">
        <f t="shared" si="314"/>
        <v>0.55000000000000004</v>
      </c>
    </row>
    <row r="2287" spans="1:15" ht="20.100000000000001" customHeight="1" x14ac:dyDescent="0.25">
      <c r="A2287" s="89">
        <v>1056</v>
      </c>
      <c r="B2287" s="4">
        <v>44481</v>
      </c>
      <c r="C2287" s="26" t="s">
        <v>66</v>
      </c>
      <c r="D2287" s="3">
        <v>17774.5</v>
      </c>
      <c r="E2287" s="4">
        <v>44550</v>
      </c>
      <c r="F2287" s="92" t="s">
        <v>28</v>
      </c>
      <c r="G2287" s="32">
        <v>44488</v>
      </c>
      <c r="H2287" s="27">
        <f t="shared" si="312"/>
        <v>17774.5</v>
      </c>
      <c r="I2287" s="27"/>
      <c r="J2287" s="27"/>
      <c r="K2287" s="99"/>
      <c r="L2287" s="29">
        <v>13197</v>
      </c>
      <c r="M2287" s="29">
        <f t="shared" si="313"/>
        <v>4577.5</v>
      </c>
      <c r="N2287" s="27"/>
      <c r="O2287" s="44">
        <f t="shared" si="314"/>
        <v>0.25753185743621482</v>
      </c>
    </row>
    <row r="2288" spans="1:15" ht="20.100000000000001" customHeight="1" x14ac:dyDescent="0.25">
      <c r="A2288" s="89">
        <v>1289</v>
      </c>
      <c r="B2288" s="4">
        <v>44539</v>
      </c>
      <c r="C2288" s="26" t="s">
        <v>403</v>
      </c>
      <c r="D2288" s="3">
        <v>4062</v>
      </c>
      <c r="E2288" s="4">
        <v>44550</v>
      </c>
      <c r="F2288" s="92" t="s">
        <v>28</v>
      </c>
      <c r="G2288" s="32">
        <v>44557</v>
      </c>
      <c r="H2288" s="27">
        <f t="shared" si="312"/>
        <v>4062</v>
      </c>
      <c r="I2288" s="27"/>
      <c r="J2288" s="27"/>
      <c r="K2288" s="99"/>
      <c r="L2288" s="29">
        <v>3127</v>
      </c>
      <c r="M2288" s="29">
        <f t="shared" si="313"/>
        <v>935</v>
      </c>
      <c r="N2288" s="27"/>
      <c r="O2288" s="44">
        <f t="shared" si="314"/>
        <v>0.23018217626784834</v>
      </c>
    </row>
    <row r="2289" spans="1:15" ht="19.5" customHeight="1" x14ac:dyDescent="0.25">
      <c r="A2289" s="89">
        <v>1303</v>
      </c>
      <c r="B2289" s="4">
        <v>44544</v>
      </c>
      <c r="C2289" s="26" t="s">
        <v>488</v>
      </c>
      <c r="D2289" s="3">
        <v>50490</v>
      </c>
      <c r="E2289" s="4">
        <v>44550</v>
      </c>
      <c r="F2289" s="92" t="s">
        <v>28</v>
      </c>
      <c r="G2289" s="32">
        <v>44554</v>
      </c>
      <c r="H2289" s="27">
        <f t="shared" si="312"/>
        <v>50490</v>
      </c>
      <c r="I2289" s="27"/>
      <c r="J2289" s="27"/>
      <c r="K2289" s="99"/>
      <c r="L2289" s="29">
        <v>37110</v>
      </c>
      <c r="M2289" s="29">
        <f>H2289-L2289-J2289-K2289</f>
        <v>13380</v>
      </c>
      <c r="N2289" s="27"/>
      <c r="O2289" s="44">
        <f>M2289/H2289</f>
        <v>0.26500297088532382</v>
      </c>
    </row>
    <row r="2290" spans="1:15" ht="20.100000000000001" customHeight="1" x14ac:dyDescent="0.25">
      <c r="A2290" s="89">
        <v>1119</v>
      </c>
      <c r="B2290" s="4">
        <v>44497</v>
      </c>
      <c r="C2290" s="26" t="s">
        <v>13</v>
      </c>
      <c r="D2290" s="3">
        <v>24582</v>
      </c>
      <c r="E2290" s="4">
        <v>44551</v>
      </c>
      <c r="F2290" s="92" t="s">
        <v>28</v>
      </c>
      <c r="G2290" s="32">
        <v>44530</v>
      </c>
      <c r="H2290" s="27">
        <f t="shared" si="312"/>
        <v>24582</v>
      </c>
      <c r="I2290" s="27"/>
      <c r="J2290" s="27"/>
      <c r="K2290" s="99"/>
      <c r="L2290" s="29">
        <v>16943</v>
      </c>
      <c r="M2290" s="29">
        <f t="shared" ref="M2290:M2294" si="315">H2290-L2290-J2290-K2290</f>
        <v>7639</v>
      </c>
      <c r="N2290" s="27"/>
      <c r="O2290" s="44">
        <f t="shared" ref="O2290:O2295" si="316">M2290/H2290</f>
        <v>0.31075583760475145</v>
      </c>
    </row>
    <row r="2291" spans="1:15" ht="20.100000000000001" customHeight="1" x14ac:dyDescent="0.25">
      <c r="A2291" s="89">
        <v>1231</v>
      </c>
      <c r="B2291" s="4">
        <v>44529</v>
      </c>
      <c r="C2291" s="26" t="s">
        <v>209</v>
      </c>
      <c r="D2291" s="3">
        <v>10464</v>
      </c>
      <c r="E2291" s="4">
        <v>44554</v>
      </c>
      <c r="F2291" s="92" t="s">
        <v>28</v>
      </c>
      <c r="G2291" s="32">
        <v>44554</v>
      </c>
      <c r="H2291" s="27">
        <f t="shared" si="312"/>
        <v>10464</v>
      </c>
      <c r="I2291" s="27"/>
      <c r="J2291" s="27"/>
      <c r="K2291" s="99"/>
      <c r="L2291" s="27">
        <v>8057</v>
      </c>
      <c r="M2291" s="29">
        <f t="shared" si="315"/>
        <v>2407</v>
      </c>
      <c r="N2291" s="27"/>
      <c r="O2291" s="44">
        <f t="shared" si="316"/>
        <v>0.23002675840978593</v>
      </c>
    </row>
    <row r="2292" spans="1:15" ht="19.5" customHeight="1" x14ac:dyDescent="0.25">
      <c r="A2292" s="89">
        <v>1225</v>
      </c>
      <c r="B2292" s="4">
        <v>44222</v>
      </c>
      <c r="C2292" s="26" t="s">
        <v>13</v>
      </c>
      <c r="D2292" s="3">
        <v>18348</v>
      </c>
      <c r="E2292" s="4">
        <v>44554</v>
      </c>
      <c r="F2292" s="92" t="s">
        <v>28</v>
      </c>
      <c r="G2292" s="32">
        <v>44546</v>
      </c>
      <c r="H2292" s="27">
        <f t="shared" si="312"/>
        <v>18348</v>
      </c>
      <c r="I2292" s="27"/>
      <c r="J2292" s="27"/>
      <c r="K2292" s="99"/>
      <c r="L2292" s="29">
        <v>14310</v>
      </c>
      <c r="M2292" s="29">
        <f t="shared" si="315"/>
        <v>4038</v>
      </c>
      <c r="N2292" s="27"/>
      <c r="O2292" s="44">
        <f t="shared" si="316"/>
        <v>0.22007848266841074</v>
      </c>
    </row>
    <row r="2293" spans="1:15" ht="19.5" customHeight="1" x14ac:dyDescent="0.25">
      <c r="A2293" s="89">
        <v>1310</v>
      </c>
      <c r="B2293" s="4">
        <v>44547</v>
      </c>
      <c r="C2293" s="26" t="s">
        <v>467</v>
      </c>
      <c r="D2293" s="3">
        <v>8910</v>
      </c>
      <c r="E2293" s="4">
        <v>44559</v>
      </c>
      <c r="F2293" s="92" t="s">
        <v>28</v>
      </c>
      <c r="G2293" s="32">
        <v>44624</v>
      </c>
      <c r="H2293" s="27">
        <f t="shared" si="312"/>
        <v>8910</v>
      </c>
      <c r="I2293" s="27"/>
      <c r="J2293" s="27"/>
      <c r="K2293" s="99"/>
      <c r="L2293" s="29">
        <v>6950</v>
      </c>
      <c r="M2293" s="29">
        <f t="shared" si="315"/>
        <v>1960</v>
      </c>
      <c r="N2293" s="27"/>
      <c r="O2293" s="44">
        <f t="shared" si="316"/>
        <v>0.21997755331088664</v>
      </c>
    </row>
    <row r="2294" spans="1:15" ht="19.5" customHeight="1" x14ac:dyDescent="0.25">
      <c r="A2294" s="89">
        <v>1204</v>
      </c>
      <c r="B2294" s="4">
        <v>44883</v>
      </c>
      <c r="C2294" s="26" t="s">
        <v>275</v>
      </c>
      <c r="D2294" s="3">
        <v>135840.5</v>
      </c>
      <c r="E2294" s="4">
        <v>44560</v>
      </c>
      <c r="F2294" s="92" t="s">
        <v>28</v>
      </c>
      <c r="G2294" s="32">
        <v>44607</v>
      </c>
      <c r="H2294" s="27">
        <f t="shared" si="312"/>
        <v>135840.5</v>
      </c>
      <c r="I2294" s="27"/>
      <c r="J2294" s="27"/>
      <c r="K2294" s="99"/>
      <c r="L2294" s="29">
        <v>105812</v>
      </c>
      <c r="M2294" s="29">
        <f t="shared" si="315"/>
        <v>30028.5</v>
      </c>
      <c r="N2294" s="27"/>
      <c r="O2294" s="44">
        <f t="shared" si="316"/>
        <v>0.22105704852382022</v>
      </c>
    </row>
    <row r="2295" spans="1:15" ht="19.5" customHeight="1" x14ac:dyDescent="0.25">
      <c r="A2295" s="89"/>
      <c r="B2295" s="4"/>
      <c r="C2295" s="5"/>
      <c r="D2295" s="3"/>
      <c r="E2295" s="97">
        <v>21824</v>
      </c>
      <c r="F2295" s="98">
        <f>M2295*0.12+N2295*0.06</f>
        <v>21823.871999999999</v>
      </c>
      <c r="G2295" s="21">
        <f>H2295*0.04+I2295*0.02</f>
        <v>30675.760000000002</v>
      </c>
      <c r="H2295" s="16">
        <f t="shared" ref="H2295:N2295" si="317">SUM(H2272:H2294)</f>
        <v>766894</v>
      </c>
      <c r="I2295" s="16">
        <f t="shared" si="317"/>
        <v>0</v>
      </c>
      <c r="J2295" s="16">
        <f t="shared" si="317"/>
        <v>0</v>
      </c>
      <c r="K2295" s="16">
        <f t="shared" si="317"/>
        <v>2400</v>
      </c>
      <c r="L2295" s="16">
        <f t="shared" si="317"/>
        <v>582628.4</v>
      </c>
      <c r="M2295" s="16">
        <f t="shared" si="317"/>
        <v>181865.60000000001</v>
      </c>
      <c r="N2295" s="16">
        <f t="shared" si="317"/>
        <v>0</v>
      </c>
      <c r="O2295" s="44">
        <f t="shared" si="316"/>
        <v>0.23714568115019807</v>
      </c>
    </row>
    <row r="2296" spans="1:15" ht="23.25" x14ac:dyDescent="0.35">
      <c r="B2296" s="94">
        <v>2022</v>
      </c>
      <c r="C2296" s="94" t="s">
        <v>647</v>
      </c>
    </row>
    <row r="2297" spans="1:15" ht="20.100000000000001" customHeight="1" x14ac:dyDescent="0.25">
      <c r="A2297" s="89">
        <v>1174</v>
      </c>
      <c r="B2297" s="4">
        <v>44512</v>
      </c>
      <c r="C2297" s="26" t="s">
        <v>60</v>
      </c>
      <c r="D2297" s="3">
        <v>4400</v>
      </c>
      <c r="E2297" s="4">
        <v>44571</v>
      </c>
      <c r="F2297" s="92" t="s">
        <v>28</v>
      </c>
      <c r="G2297" s="32">
        <v>44546</v>
      </c>
      <c r="H2297" s="27">
        <f t="shared" ref="H2297:H2308" si="318">D2297</f>
        <v>4400</v>
      </c>
      <c r="I2297" s="27"/>
      <c r="J2297" s="27"/>
      <c r="K2297" s="99"/>
      <c r="L2297" s="29">
        <v>3430</v>
      </c>
      <c r="M2297" s="29">
        <f t="shared" ref="M2297:M2308" si="319">H2297-L2297-J2297-K2297</f>
        <v>970</v>
      </c>
      <c r="N2297" s="27"/>
      <c r="O2297" s="44">
        <f t="shared" ref="O2297:O2309" si="320">M2297/H2297</f>
        <v>0.22045454545454546</v>
      </c>
    </row>
    <row r="2298" spans="1:15" ht="20.100000000000001" customHeight="1" x14ac:dyDescent="0.25">
      <c r="A2298" s="89">
        <v>13</v>
      </c>
      <c r="B2298" s="4">
        <v>44574</v>
      </c>
      <c r="C2298" s="26" t="s">
        <v>124</v>
      </c>
      <c r="D2298" s="3">
        <v>4403</v>
      </c>
      <c r="E2298" s="4">
        <v>44574</v>
      </c>
      <c r="F2298" s="92" t="s">
        <v>28</v>
      </c>
      <c r="G2298" s="32">
        <v>44575</v>
      </c>
      <c r="H2298" s="27">
        <f t="shared" si="318"/>
        <v>4403</v>
      </c>
      <c r="I2298" s="27"/>
      <c r="J2298" s="27"/>
      <c r="K2298" s="99"/>
      <c r="L2298" s="29">
        <v>3304</v>
      </c>
      <c r="M2298" s="29">
        <f t="shared" si="319"/>
        <v>1099</v>
      </c>
      <c r="N2298" s="27"/>
      <c r="O2298" s="44">
        <f t="shared" si="320"/>
        <v>0.24960254372019078</v>
      </c>
    </row>
    <row r="2299" spans="1:15" ht="20.100000000000001" customHeight="1" x14ac:dyDescent="0.25">
      <c r="A2299" s="89">
        <v>12</v>
      </c>
      <c r="B2299" s="4">
        <v>44574</v>
      </c>
      <c r="C2299" s="26" t="s">
        <v>77</v>
      </c>
      <c r="D2299" s="3">
        <v>4208</v>
      </c>
      <c r="E2299" s="4">
        <v>44579</v>
      </c>
      <c r="F2299" s="92" t="s">
        <v>28</v>
      </c>
      <c r="G2299" s="32">
        <v>44581</v>
      </c>
      <c r="H2299" s="27">
        <f t="shared" si="318"/>
        <v>4208</v>
      </c>
      <c r="I2299" s="27"/>
      <c r="J2299" s="27"/>
      <c r="K2299" s="99"/>
      <c r="L2299" s="29">
        <v>3282</v>
      </c>
      <c r="M2299" s="29">
        <f t="shared" si="319"/>
        <v>926</v>
      </c>
      <c r="N2299" s="27"/>
      <c r="O2299" s="44">
        <f t="shared" si="320"/>
        <v>0.22005703422053233</v>
      </c>
    </row>
    <row r="2300" spans="1:15" ht="20.100000000000001" customHeight="1" x14ac:dyDescent="0.25">
      <c r="A2300" s="89">
        <v>1280</v>
      </c>
      <c r="B2300" s="4">
        <v>44538</v>
      </c>
      <c r="C2300" s="26" t="s">
        <v>56</v>
      </c>
      <c r="D2300" s="3">
        <v>38446</v>
      </c>
      <c r="E2300" s="4">
        <v>44580</v>
      </c>
      <c r="F2300" s="92" t="s">
        <v>28</v>
      </c>
      <c r="G2300" s="32">
        <v>44578</v>
      </c>
      <c r="H2300" s="27">
        <f t="shared" si="318"/>
        <v>38446</v>
      </c>
      <c r="I2300" s="27"/>
      <c r="J2300" s="27"/>
      <c r="K2300" s="99"/>
      <c r="L2300" s="27">
        <v>29711</v>
      </c>
      <c r="M2300" s="29">
        <f t="shared" si="319"/>
        <v>8735</v>
      </c>
      <c r="N2300" s="27"/>
      <c r="O2300" s="44">
        <f t="shared" si="320"/>
        <v>0.22720178952296727</v>
      </c>
    </row>
    <row r="2301" spans="1:15" ht="20.100000000000001" customHeight="1" x14ac:dyDescent="0.25">
      <c r="A2301" s="89">
        <v>31</v>
      </c>
      <c r="B2301" s="4">
        <v>44580</v>
      </c>
      <c r="C2301" s="26" t="s">
        <v>179</v>
      </c>
      <c r="D2301" s="3">
        <v>12616</v>
      </c>
      <c r="E2301" s="4">
        <v>44581</v>
      </c>
      <c r="F2301" s="92" t="s">
        <v>28</v>
      </c>
      <c r="G2301" s="32">
        <v>44622</v>
      </c>
      <c r="H2301" s="27">
        <f t="shared" si="318"/>
        <v>12616</v>
      </c>
      <c r="I2301" s="27"/>
      <c r="J2301" s="27"/>
      <c r="K2301" s="99"/>
      <c r="L2301" s="27">
        <f>4762+5078</f>
        <v>9840</v>
      </c>
      <c r="M2301" s="29">
        <f t="shared" si="319"/>
        <v>2776</v>
      </c>
      <c r="N2301" s="27"/>
      <c r="O2301" s="44">
        <f t="shared" si="320"/>
        <v>0.22003804692454026</v>
      </c>
    </row>
    <row r="2302" spans="1:15" ht="20.100000000000001" customHeight="1" x14ac:dyDescent="0.25">
      <c r="A2302" s="89">
        <v>33</v>
      </c>
      <c r="B2302" s="4">
        <v>44582</v>
      </c>
      <c r="C2302" s="26" t="s">
        <v>508</v>
      </c>
      <c r="D2302" s="3">
        <v>1684</v>
      </c>
      <c r="E2302" s="4">
        <v>44582</v>
      </c>
      <c r="F2302" s="92" t="s">
        <v>28</v>
      </c>
      <c r="G2302" s="32">
        <v>44588</v>
      </c>
      <c r="H2302" s="27">
        <f t="shared" si="318"/>
        <v>1684</v>
      </c>
      <c r="I2302" s="27"/>
      <c r="J2302" s="27"/>
      <c r="K2302" s="99"/>
      <c r="L2302" s="27">
        <v>1111</v>
      </c>
      <c r="M2302" s="29">
        <f t="shared" si="319"/>
        <v>573</v>
      </c>
      <c r="N2302" s="27"/>
      <c r="O2302" s="44">
        <f t="shared" si="320"/>
        <v>0.34026128266033256</v>
      </c>
    </row>
    <row r="2303" spans="1:15" ht="20.100000000000001" customHeight="1" x14ac:dyDescent="0.25">
      <c r="A2303" s="89">
        <v>22</v>
      </c>
      <c r="B2303" s="4">
        <v>44575</v>
      </c>
      <c r="C2303" s="26" t="s">
        <v>403</v>
      </c>
      <c r="D2303" s="3">
        <v>4062</v>
      </c>
      <c r="E2303" s="4">
        <v>44585</v>
      </c>
      <c r="F2303" s="92" t="s">
        <v>28</v>
      </c>
      <c r="G2303" s="32">
        <v>44595</v>
      </c>
      <c r="H2303" s="27">
        <f t="shared" si="318"/>
        <v>4062</v>
      </c>
      <c r="I2303" s="27"/>
      <c r="J2303" s="27"/>
      <c r="K2303" s="99"/>
      <c r="L2303" s="27">
        <v>3127</v>
      </c>
      <c r="M2303" s="29">
        <f t="shared" si="319"/>
        <v>935</v>
      </c>
      <c r="N2303" s="27"/>
      <c r="O2303" s="44">
        <f t="shared" si="320"/>
        <v>0.23018217626784834</v>
      </c>
    </row>
    <row r="2304" spans="1:15" ht="20.100000000000001" customHeight="1" x14ac:dyDescent="0.25">
      <c r="A2304" s="89">
        <v>1314</v>
      </c>
      <c r="B2304" s="4">
        <v>44558</v>
      </c>
      <c r="C2304" s="26" t="s">
        <v>13</v>
      </c>
      <c r="D2304" s="3">
        <v>310040</v>
      </c>
      <c r="E2304" s="4">
        <v>44586</v>
      </c>
      <c r="F2304" s="92" t="s">
        <v>28</v>
      </c>
      <c r="G2304" s="32">
        <v>44650</v>
      </c>
      <c r="H2304" s="27">
        <f t="shared" si="318"/>
        <v>310040</v>
      </c>
      <c r="I2304" s="27"/>
      <c r="J2304" s="27"/>
      <c r="K2304" s="99"/>
      <c r="L2304" s="27">
        <v>229265.62</v>
      </c>
      <c r="M2304" s="29">
        <f t="shared" si="319"/>
        <v>80774.38</v>
      </c>
      <c r="N2304" s="27"/>
      <c r="O2304" s="44">
        <f t="shared" si="320"/>
        <v>0.26052889949683911</v>
      </c>
    </row>
    <row r="2305" spans="1:15" ht="19.5" customHeight="1" x14ac:dyDescent="0.25">
      <c r="A2305" s="89">
        <v>1233</v>
      </c>
      <c r="B2305" s="4">
        <v>44529</v>
      </c>
      <c r="C2305" s="26" t="s">
        <v>65</v>
      </c>
      <c r="D2305" s="3">
        <v>97728</v>
      </c>
      <c r="E2305" s="4">
        <v>44586</v>
      </c>
      <c r="F2305" s="92" t="s">
        <v>28</v>
      </c>
      <c r="G2305" s="32">
        <v>44544</v>
      </c>
      <c r="H2305" s="27">
        <f t="shared" si="318"/>
        <v>97728</v>
      </c>
      <c r="I2305" s="27"/>
      <c r="J2305" s="27"/>
      <c r="K2305" s="99"/>
      <c r="L2305" s="29">
        <f>34624+8000</f>
        <v>42624</v>
      </c>
      <c r="M2305" s="29">
        <f t="shared" si="319"/>
        <v>55104</v>
      </c>
      <c r="N2305" s="27"/>
      <c r="O2305" s="44">
        <f t="shared" si="320"/>
        <v>0.56385068762278978</v>
      </c>
    </row>
    <row r="2306" spans="1:15" ht="19.5" customHeight="1" x14ac:dyDescent="0.25">
      <c r="A2306" s="89">
        <v>16</v>
      </c>
      <c r="B2306" s="4">
        <v>44574</v>
      </c>
      <c r="C2306" s="26" t="s">
        <v>11</v>
      </c>
      <c r="D2306" s="3">
        <v>2776</v>
      </c>
      <c r="E2306" s="4">
        <v>44587</v>
      </c>
      <c r="F2306" s="92" t="s">
        <v>28</v>
      </c>
      <c r="G2306" s="32">
        <v>44588</v>
      </c>
      <c r="H2306" s="27">
        <f t="shared" si="318"/>
        <v>2776</v>
      </c>
      <c r="I2306" s="27"/>
      <c r="J2306" s="27"/>
      <c r="K2306" s="99"/>
      <c r="L2306" s="29">
        <v>1857</v>
      </c>
      <c r="M2306" s="29">
        <f t="shared" si="319"/>
        <v>919</v>
      </c>
      <c r="N2306" s="27"/>
      <c r="O2306" s="44">
        <f t="shared" si="320"/>
        <v>0.33105187319884727</v>
      </c>
    </row>
    <row r="2307" spans="1:15" ht="19.5" customHeight="1" x14ac:dyDescent="0.25">
      <c r="A2307" s="89">
        <v>4</v>
      </c>
      <c r="B2307" s="4">
        <v>44571</v>
      </c>
      <c r="C2307" s="26" t="s">
        <v>99</v>
      </c>
      <c r="D2307" s="3">
        <v>209250</v>
      </c>
      <c r="E2307" s="4">
        <v>44588</v>
      </c>
      <c r="F2307" s="92" t="s">
        <v>28</v>
      </c>
      <c r="G2307" s="32">
        <v>44571</v>
      </c>
      <c r="H2307" s="27">
        <f t="shared" si="318"/>
        <v>209250</v>
      </c>
      <c r="I2307" s="27"/>
      <c r="J2307" s="27">
        <f>3000*15</f>
        <v>45000</v>
      </c>
      <c r="K2307" s="99"/>
      <c r="L2307" s="29">
        <v>31928.75</v>
      </c>
      <c r="M2307" s="29">
        <f t="shared" si="319"/>
        <v>132321.25</v>
      </c>
      <c r="N2307" s="27"/>
      <c r="O2307" s="44">
        <f t="shared" si="320"/>
        <v>0.63235961768219828</v>
      </c>
    </row>
    <row r="2308" spans="1:15" ht="19.5" customHeight="1" x14ac:dyDescent="0.25">
      <c r="A2308" s="89">
        <v>14</v>
      </c>
      <c r="B2308" s="4">
        <v>44574</v>
      </c>
      <c r="C2308" s="26" t="s">
        <v>11</v>
      </c>
      <c r="D2308" s="3">
        <v>12000</v>
      </c>
      <c r="E2308" s="4">
        <v>44592</v>
      </c>
      <c r="F2308" s="92" t="s">
        <v>28</v>
      </c>
      <c r="G2308" s="32">
        <v>44609</v>
      </c>
      <c r="H2308" s="27">
        <f t="shared" si="318"/>
        <v>12000</v>
      </c>
      <c r="I2308" s="27"/>
      <c r="J2308" s="27"/>
      <c r="K2308" s="99"/>
      <c r="L2308" s="29">
        <f>1106.41*8</f>
        <v>8851.2800000000007</v>
      </c>
      <c r="M2308" s="29">
        <f t="shared" si="319"/>
        <v>3148.7199999999993</v>
      </c>
      <c r="N2308" s="27"/>
      <c r="O2308" s="44">
        <f t="shared" si="320"/>
        <v>0.26239333333333326</v>
      </c>
    </row>
    <row r="2309" spans="1:15" ht="19.5" customHeight="1" x14ac:dyDescent="0.25">
      <c r="A2309" s="89"/>
      <c r="B2309" s="4"/>
      <c r="C2309" s="5"/>
      <c r="D2309" s="3"/>
      <c r="E2309" s="97">
        <v>49008</v>
      </c>
      <c r="F2309" s="98">
        <f>M2309*0.17+N2309*0.06</f>
        <v>49007.8295</v>
      </c>
      <c r="G2309" s="21">
        <f>H2309*0.04+I2309*0.02</f>
        <v>28064.52</v>
      </c>
      <c r="H2309" s="16">
        <f t="shared" ref="H2309:N2309" si="321">SUM(H2297:H2308)</f>
        <v>701613</v>
      </c>
      <c r="I2309" s="16">
        <f t="shared" si="321"/>
        <v>0</v>
      </c>
      <c r="J2309" s="16">
        <f t="shared" si="321"/>
        <v>45000</v>
      </c>
      <c r="K2309" s="16">
        <f t="shared" si="321"/>
        <v>0</v>
      </c>
      <c r="L2309" s="16">
        <f t="shared" si="321"/>
        <v>368331.65</v>
      </c>
      <c r="M2309" s="16">
        <f t="shared" si="321"/>
        <v>288281.34999999998</v>
      </c>
      <c r="N2309" s="16">
        <f t="shared" si="321"/>
        <v>0</v>
      </c>
      <c r="O2309" s="44">
        <f t="shared" si="320"/>
        <v>0.41088370654477607</v>
      </c>
    </row>
    <row r="2310" spans="1:15" ht="23.25" x14ac:dyDescent="0.35">
      <c r="B2310" s="94"/>
      <c r="C2310" s="94" t="s">
        <v>648</v>
      </c>
    </row>
    <row r="2311" spans="1:15" ht="19.5" customHeight="1" x14ac:dyDescent="0.25">
      <c r="A2311" s="89">
        <v>56</v>
      </c>
      <c r="B2311" s="4">
        <v>44593</v>
      </c>
      <c r="C2311" s="26" t="s">
        <v>512</v>
      </c>
      <c r="D2311" s="3">
        <v>18290</v>
      </c>
      <c r="E2311" s="4">
        <v>44594</v>
      </c>
      <c r="F2311" s="92" t="s">
        <v>28</v>
      </c>
      <c r="G2311" s="32">
        <v>44596</v>
      </c>
      <c r="H2311" s="27">
        <f t="shared" ref="H2311:H2324" si="322">D2311</f>
        <v>18290</v>
      </c>
      <c r="I2311" s="27"/>
      <c r="J2311" s="27"/>
      <c r="K2311" s="99"/>
      <c r="L2311" s="29">
        <v>12855</v>
      </c>
      <c r="M2311" s="29">
        <f t="shared" ref="M2311:M2324" si="323">H2311-L2311-J2311-K2311</f>
        <v>5435</v>
      </c>
      <c r="N2311" s="27"/>
      <c r="O2311" s="44">
        <f t="shared" ref="O2311:O2325" si="324">M2311/H2311</f>
        <v>0.297156916347731</v>
      </c>
    </row>
    <row r="2312" spans="1:15" ht="19.5" customHeight="1" x14ac:dyDescent="0.25">
      <c r="A2312" s="89">
        <v>65</v>
      </c>
      <c r="B2312" s="4">
        <v>44595</v>
      </c>
      <c r="C2312" s="26" t="s">
        <v>339</v>
      </c>
      <c r="D2312" s="3">
        <v>1260</v>
      </c>
      <c r="E2312" s="4">
        <v>44596</v>
      </c>
      <c r="F2312" s="92" t="s">
        <v>28</v>
      </c>
      <c r="G2312" s="32">
        <v>44620</v>
      </c>
      <c r="H2312" s="27">
        <f t="shared" si="322"/>
        <v>1260</v>
      </c>
      <c r="I2312" s="27"/>
      <c r="J2312" s="27"/>
      <c r="K2312" s="99"/>
      <c r="L2312" s="29">
        <v>932.13</v>
      </c>
      <c r="M2312" s="29">
        <f t="shared" si="323"/>
        <v>327.87</v>
      </c>
      <c r="N2312" s="27"/>
      <c r="O2312" s="44">
        <f t="shared" si="324"/>
        <v>0.26021428571428573</v>
      </c>
    </row>
    <row r="2313" spans="1:15" ht="20.100000000000001" customHeight="1" x14ac:dyDescent="0.25">
      <c r="A2313" s="89">
        <v>40</v>
      </c>
      <c r="B2313" s="4">
        <v>44585</v>
      </c>
      <c r="C2313" s="26" t="s">
        <v>60</v>
      </c>
      <c r="D2313" s="3">
        <v>63064</v>
      </c>
      <c r="E2313" s="4">
        <v>44599</v>
      </c>
      <c r="F2313" s="92" t="s">
        <v>28</v>
      </c>
      <c r="G2313" s="32">
        <v>44585</v>
      </c>
      <c r="H2313" s="27">
        <v>36557</v>
      </c>
      <c r="I2313" s="27"/>
      <c r="J2313" s="27"/>
      <c r="K2313" s="99"/>
      <c r="L2313" s="29">
        <v>28509</v>
      </c>
      <c r="M2313" s="29">
        <f t="shared" si="323"/>
        <v>8048</v>
      </c>
      <c r="N2313" s="27"/>
      <c r="O2313" s="44">
        <f t="shared" si="324"/>
        <v>0.22014935580053069</v>
      </c>
    </row>
    <row r="2314" spans="1:15" ht="20.100000000000001" customHeight="1" x14ac:dyDescent="0.25">
      <c r="A2314" s="89">
        <v>1180</v>
      </c>
      <c r="B2314" s="4">
        <v>44515</v>
      </c>
      <c r="C2314" s="26" t="s">
        <v>275</v>
      </c>
      <c r="D2314" s="3">
        <v>7338</v>
      </c>
      <c r="E2314" s="4">
        <v>44600</v>
      </c>
      <c r="F2314" s="92" t="s">
        <v>28</v>
      </c>
      <c r="G2314" s="32">
        <v>44546</v>
      </c>
      <c r="H2314" s="27">
        <f t="shared" si="322"/>
        <v>7338</v>
      </c>
      <c r="I2314" s="27"/>
      <c r="J2314" s="27"/>
      <c r="K2314" s="99"/>
      <c r="L2314" s="29">
        <v>4747</v>
      </c>
      <c r="M2314" s="29">
        <f t="shared" si="323"/>
        <v>2591</v>
      </c>
      <c r="N2314" s="27"/>
      <c r="O2314" s="44">
        <f t="shared" si="324"/>
        <v>0.35309348596347778</v>
      </c>
    </row>
    <row r="2315" spans="1:15" ht="20.100000000000001" customHeight="1" x14ac:dyDescent="0.25">
      <c r="A2315" s="89">
        <v>85</v>
      </c>
      <c r="B2315" s="4">
        <v>44603</v>
      </c>
      <c r="C2315" s="26" t="s">
        <v>149</v>
      </c>
      <c r="D2315" s="3">
        <v>4550</v>
      </c>
      <c r="E2315" s="4">
        <v>44603</v>
      </c>
      <c r="F2315" s="92" t="s">
        <v>28</v>
      </c>
      <c r="G2315" s="32">
        <v>44606</v>
      </c>
      <c r="H2315" s="27">
        <f t="shared" si="322"/>
        <v>4550</v>
      </c>
      <c r="I2315" s="27"/>
      <c r="J2315" s="27"/>
      <c r="K2315" s="99"/>
      <c r="L2315" s="29">
        <v>3229.5</v>
      </c>
      <c r="M2315" s="29">
        <f t="shared" si="323"/>
        <v>1320.5</v>
      </c>
      <c r="N2315" s="27"/>
      <c r="O2315" s="44">
        <f t="shared" si="324"/>
        <v>0.29021978021978023</v>
      </c>
    </row>
    <row r="2316" spans="1:15" ht="20.100000000000001" customHeight="1" x14ac:dyDescent="0.25">
      <c r="A2316" s="89">
        <v>94</v>
      </c>
      <c r="B2316" s="4">
        <v>44609</v>
      </c>
      <c r="C2316" s="5" t="s">
        <v>513</v>
      </c>
      <c r="D2316" s="3">
        <v>191000</v>
      </c>
      <c r="E2316" s="4">
        <v>44609</v>
      </c>
      <c r="F2316" s="92" t="s">
        <v>28</v>
      </c>
      <c r="G2316" s="32">
        <v>44609</v>
      </c>
      <c r="H2316" s="27">
        <f t="shared" si="322"/>
        <v>191000</v>
      </c>
      <c r="I2316" s="27">
        <f>H2316</f>
        <v>191000</v>
      </c>
      <c r="J2316" s="27"/>
      <c r="K2316" s="99"/>
      <c r="L2316" s="29">
        <v>151322</v>
      </c>
      <c r="M2316" s="29">
        <f t="shared" si="323"/>
        <v>39678</v>
      </c>
      <c r="N2316" s="27">
        <f>M2316</f>
        <v>39678</v>
      </c>
      <c r="O2316" s="44">
        <f t="shared" si="324"/>
        <v>0.20773821989528796</v>
      </c>
    </row>
    <row r="2317" spans="1:15" ht="20.100000000000001" customHeight="1" x14ac:dyDescent="0.25">
      <c r="A2317" s="89">
        <v>101</v>
      </c>
      <c r="B2317" s="4">
        <v>44613</v>
      </c>
      <c r="C2317" s="26" t="s">
        <v>16</v>
      </c>
      <c r="D2317" s="3">
        <v>3630</v>
      </c>
      <c r="E2317" s="4">
        <v>44613</v>
      </c>
      <c r="F2317" s="92" t="s">
        <v>28</v>
      </c>
      <c r="G2317" s="32">
        <v>44651</v>
      </c>
      <c r="H2317" s="27">
        <f t="shared" si="322"/>
        <v>3630</v>
      </c>
      <c r="I2317" s="27"/>
      <c r="J2317" s="27"/>
      <c r="K2317" s="99"/>
      <c r="L2317" s="29">
        <v>2396</v>
      </c>
      <c r="M2317" s="29">
        <f t="shared" si="323"/>
        <v>1234</v>
      </c>
      <c r="N2317" s="27"/>
      <c r="O2317" s="44">
        <f t="shared" si="324"/>
        <v>0.33994490358126722</v>
      </c>
    </row>
    <row r="2318" spans="1:15" ht="19.5" customHeight="1" x14ac:dyDescent="0.25">
      <c r="A2318" s="89">
        <v>24</v>
      </c>
      <c r="B2318" s="4">
        <v>44578</v>
      </c>
      <c r="C2318" s="26" t="s">
        <v>99</v>
      </c>
      <c r="D2318" s="3">
        <v>207000</v>
      </c>
      <c r="E2318" s="4">
        <v>44614</v>
      </c>
      <c r="F2318" s="92" t="s">
        <v>28</v>
      </c>
      <c r="G2318" s="32">
        <v>44589</v>
      </c>
      <c r="H2318" s="27">
        <f t="shared" si="322"/>
        <v>207000</v>
      </c>
      <c r="I2318" s="27"/>
      <c r="J2318" s="27">
        <f>3000*15</f>
        <v>45000</v>
      </c>
      <c r="K2318" s="99"/>
      <c r="L2318" s="29">
        <v>30660</v>
      </c>
      <c r="M2318" s="29">
        <f t="shared" si="323"/>
        <v>131340</v>
      </c>
      <c r="N2318" s="27"/>
      <c r="O2318" s="44">
        <f t="shared" si="324"/>
        <v>0.63449275362318835</v>
      </c>
    </row>
    <row r="2319" spans="1:15" ht="19.5" customHeight="1" x14ac:dyDescent="0.25">
      <c r="A2319" s="89">
        <v>86</v>
      </c>
      <c r="B2319" s="4">
        <v>44606</v>
      </c>
      <c r="C2319" s="26" t="s">
        <v>403</v>
      </c>
      <c r="D2319" s="3">
        <v>8498</v>
      </c>
      <c r="E2319" s="4">
        <v>44614</v>
      </c>
      <c r="F2319" s="92" t="s">
        <v>28</v>
      </c>
      <c r="G2319" s="32">
        <v>44618</v>
      </c>
      <c r="H2319" s="27">
        <f t="shared" si="322"/>
        <v>8498</v>
      </c>
      <c r="I2319" s="27"/>
      <c r="J2319" s="27"/>
      <c r="K2319" s="99"/>
      <c r="L2319" s="29">
        <f>3127*2</f>
        <v>6254</v>
      </c>
      <c r="M2319" s="29">
        <f t="shared" si="323"/>
        <v>2244</v>
      </c>
      <c r="N2319" s="27"/>
      <c r="O2319" s="44">
        <f t="shared" si="324"/>
        <v>0.26406213226641562</v>
      </c>
    </row>
    <row r="2320" spans="1:15" ht="19.5" customHeight="1" x14ac:dyDescent="0.25">
      <c r="A2320" s="89">
        <v>106</v>
      </c>
      <c r="B2320" s="4">
        <v>44613</v>
      </c>
      <c r="C2320" s="26" t="s">
        <v>49</v>
      </c>
      <c r="D2320" s="3">
        <v>3630</v>
      </c>
      <c r="E2320" s="4">
        <v>44705</v>
      </c>
      <c r="F2320" s="92" t="s">
        <v>28</v>
      </c>
      <c r="G2320" s="32">
        <v>44617</v>
      </c>
      <c r="H2320" s="27">
        <f t="shared" si="322"/>
        <v>3630</v>
      </c>
      <c r="I2320" s="27"/>
      <c r="J2320" s="27"/>
      <c r="K2320" s="99"/>
      <c r="L2320" s="29">
        <v>2232</v>
      </c>
      <c r="M2320" s="29">
        <f t="shared" si="323"/>
        <v>1398</v>
      </c>
      <c r="N2320" s="27"/>
      <c r="O2320" s="44">
        <f t="shared" si="324"/>
        <v>0.38512396694214879</v>
      </c>
    </row>
    <row r="2321" spans="1:15" ht="19.5" customHeight="1" x14ac:dyDescent="0.25">
      <c r="A2321" s="89">
        <v>108</v>
      </c>
      <c r="B2321" s="4">
        <v>44614</v>
      </c>
      <c r="C2321" s="26" t="s">
        <v>216</v>
      </c>
      <c r="D2321" s="3">
        <v>4720</v>
      </c>
      <c r="E2321" s="4">
        <v>44706</v>
      </c>
      <c r="F2321" s="92" t="s">
        <v>28</v>
      </c>
      <c r="G2321" s="32">
        <v>44614</v>
      </c>
      <c r="H2321" s="27">
        <f t="shared" si="322"/>
        <v>4720</v>
      </c>
      <c r="I2321" s="27"/>
      <c r="J2321" s="27"/>
      <c r="K2321" s="99"/>
      <c r="L2321" s="29">
        <v>3008</v>
      </c>
      <c r="M2321" s="29">
        <f t="shared" si="323"/>
        <v>1712</v>
      </c>
      <c r="N2321" s="27"/>
      <c r="O2321" s="44">
        <f t="shared" si="324"/>
        <v>0.36271186440677966</v>
      </c>
    </row>
    <row r="2322" spans="1:15" ht="19.5" customHeight="1" x14ac:dyDescent="0.25">
      <c r="A2322" s="89">
        <v>99</v>
      </c>
      <c r="B2322" s="4">
        <v>44610</v>
      </c>
      <c r="C2322" s="26" t="s">
        <v>91</v>
      </c>
      <c r="D2322" s="3">
        <v>10377</v>
      </c>
      <c r="E2322" s="4">
        <v>44706</v>
      </c>
      <c r="F2322" s="92" t="s">
        <v>28</v>
      </c>
      <c r="G2322" s="32">
        <v>44641</v>
      </c>
      <c r="H2322" s="27">
        <f t="shared" si="322"/>
        <v>10377</v>
      </c>
      <c r="I2322" s="27"/>
      <c r="J2322" s="27"/>
      <c r="K2322" s="99"/>
      <c r="L2322" s="29">
        <v>8061</v>
      </c>
      <c r="M2322" s="29">
        <f t="shared" si="323"/>
        <v>2316</v>
      </c>
      <c r="N2322" s="27"/>
      <c r="O2322" s="44">
        <f t="shared" si="324"/>
        <v>0.22318589187626481</v>
      </c>
    </row>
    <row r="2323" spans="1:15" ht="19.5" customHeight="1" x14ac:dyDescent="0.25">
      <c r="A2323" s="89">
        <v>117</v>
      </c>
      <c r="B2323" s="4">
        <v>44617</v>
      </c>
      <c r="C2323" s="26" t="s">
        <v>149</v>
      </c>
      <c r="D2323" s="3">
        <v>18160</v>
      </c>
      <c r="E2323" s="4">
        <v>44620</v>
      </c>
      <c r="F2323" s="92" t="s">
        <v>28</v>
      </c>
      <c r="G2323" s="32">
        <v>44692</v>
      </c>
      <c r="H2323" s="27">
        <f t="shared" si="322"/>
        <v>18160</v>
      </c>
      <c r="I2323" s="27"/>
      <c r="J2323" s="27"/>
      <c r="K2323" s="99"/>
      <c r="L2323" s="29">
        <v>11986</v>
      </c>
      <c r="M2323" s="29">
        <f t="shared" si="323"/>
        <v>6174</v>
      </c>
      <c r="N2323" s="27"/>
      <c r="O2323" s="44">
        <f t="shared" si="324"/>
        <v>0.33997797356828197</v>
      </c>
    </row>
    <row r="2324" spans="1:15" ht="20.100000000000001" customHeight="1" x14ac:dyDescent="0.25">
      <c r="A2324" s="89">
        <v>1093</v>
      </c>
      <c r="B2324" s="4">
        <v>44490</v>
      </c>
      <c r="C2324" s="26" t="s">
        <v>209</v>
      </c>
      <c r="D2324" s="3">
        <v>6211.3</v>
      </c>
      <c r="E2324" s="4">
        <v>44620</v>
      </c>
      <c r="F2324" s="92" t="s">
        <v>28</v>
      </c>
      <c r="G2324" s="32">
        <v>44581</v>
      </c>
      <c r="H2324" s="27">
        <f t="shared" si="322"/>
        <v>6211.3</v>
      </c>
      <c r="I2324" s="27"/>
      <c r="J2324" s="27"/>
      <c r="K2324" s="99"/>
      <c r="L2324" s="27">
        <f>3098+1939</f>
        <v>5037</v>
      </c>
      <c r="M2324" s="29">
        <f t="shared" si="323"/>
        <v>1174.3000000000002</v>
      </c>
      <c r="N2324" s="27"/>
      <c r="O2324" s="44">
        <f t="shared" si="324"/>
        <v>0.18905865116803247</v>
      </c>
    </row>
    <row r="2325" spans="1:15" ht="19.5" customHeight="1" x14ac:dyDescent="0.25">
      <c r="A2325" s="89"/>
      <c r="B2325" s="4"/>
      <c r="C2325" s="5"/>
      <c r="D2325" s="3"/>
      <c r="E2325" s="97">
        <v>24599</v>
      </c>
      <c r="F2325" s="98">
        <f>M2325*0.12+N2325*0.06</f>
        <v>26979.800399999996</v>
      </c>
      <c r="G2325" s="21">
        <f>H2325*0.04+I2325*0.02</f>
        <v>24668.851999999999</v>
      </c>
      <c r="H2325" s="16">
        <f t="shared" ref="H2325:N2325" si="325">SUM(H2311:H2324)</f>
        <v>521221.3</v>
      </c>
      <c r="I2325" s="16">
        <f t="shared" si="325"/>
        <v>191000</v>
      </c>
      <c r="J2325" s="16">
        <f t="shared" si="325"/>
        <v>45000</v>
      </c>
      <c r="K2325" s="16">
        <f t="shared" si="325"/>
        <v>0</v>
      </c>
      <c r="L2325" s="16">
        <f t="shared" si="325"/>
        <v>271228.63</v>
      </c>
      <c r="M2325" s="16">
        <f t="shared" si="325"/>
        <v>204992.66999999998</v>
      </c>
      <c r="N2325" s="16">
        <f t="shared" si="325"/>
        <v>39678</v>
      </c>
      <c r="O2325" s="44">
        <f t="shared" si="324"/>
        <v>0.39329296404425529</v>
      </c>
    </row>
    <row r="2326" spans="1:15" ht="23.25" x14ac:dyDescent="0.35">
      <c r="B2326" s="94"/>
      <c r="C2326" s="94" t="s">
        <v>637</v>
      </c>
    </row>
    <row r="2327" spans="1:15" ht="20.100000000000001" customHeight="1" x14ac:dyDescent="0.25">
      <c r="A2327" s="89">
        <v>40</v>
      </c>
      <c r="B2327" s="4">
        <v>44585</v>
      </c>
      <c r="C2327" s="26" t="s">
        <v>60</v>
      </c>
      <c r="D2327" s="3">
        <v>63064</v>
      </c>
      <c r="E2327" s="4">
        <v>44621</v>
      </c>
      <c r="F2327" s="92" t="s">
        <v>28</v>
      </c>
      <c r="G2327" s="32">
        <v>44606</v>
      </c>
      <c r="H2327" s="27">
        <v>26507</v>
      </c>
      <c r="I2327" s="27"/>
      <c r="J2327" s="27"/>
      <c r="K2327" s="99"/>
      <c r="L2327" s="27">
        <v>21753</v>
      </c>
      <c r="M2327" s="29">
        <f t="shared" ref="M2327:M2353" si="326">H2327-L2327-J2327-K2327</f>
        <v>4754</v>
      </c>
      <c r="N2327" s="27"/>
      <c r="O2327" s="44">
        <f t="shared" ref="O2327:O2354" si="327">M2327/H2327</f>
        <v>0.17934885124684047</v>
      </c>
    </row>
    <row r="2328" spans="1:15" ht="20.100000000000001" customHeight="1" x14ac:dyDescent="0.25">
      <c r="A2328" s="89">
        <v>122</v>
      </c>
      <c r="B2328" s="4">
        <v>44620</v>
      </c>
      <c r="C2328" s="26" t="s">
        <v>149</v>
      </c>
      <c r="D2328" s="3">
        <v>2340</v>
      </c>
      <c r="E2328" s="4">
        <v>44622</v>
      </c>
      <c r="F2328" s="92" t="s">
        <v>28</v>
      </c>
      <c r="G2328" s="32">
        <v>44623</v>
      </c>
      <c r="H2328" s="27">
        <f t="shared" ref="H2328:H2343" si="328">D2328</f>
        <v>2340</v>
      </c>
      <c r="I2328" s="27"/>
      <c r="J2328" s="27"/>
      <c r="K2328" s="99"/>
      <c r="L2328" s="27">
        <v>1738</v>
      </c>
      <c r="M2328" s="29">
        <f t="shared" si="326"/>
        <v>602</v>
      </c>
      <c r="N2328" s="27"/>
      <c r="O2328" s="44">
        <f t="shared" si="327"/>
        <v>0.25726495726495724</v>
      </c>
    </row>
    <row r="2329" spans="1:15" ht="20.100000000000001" customHeight="1" x14ac:dyDescent="0.25">
      <c r="A2329" s="89">
        <v>123</v>
      </c>
      <c r="B2329" s="4">
        <v>44621</v>
      </c>
      <c r="C2329" s="26" t="s">
        <v>118</v>
      </c>
      <c r="D2329" s="3">
        <v>22290</v>
      </c>
      <c r="E2329" s="4">
        <v>44622</v>
      </c>
      <c r="F2329" s="92" t="s">
        <v>28</v>
      </c>
      <c r="G2329" s="32">
        <v>44623</v>
      </c>
      <c r="H2329" s="27">
        <f t="shared" si="328"/>
        <v>22290</v>
      </c>
      <c r="I2329" s="27"/>
      <c r="J2329" s="27"/>
      <c r="K2329" s="99"/>
      <c r="L2329" s="27">
        <v>15612</v>
      </c>
      <c r="M2329" s="29">
        <f t="shared" si="326"/>
        <v>6678</v>
      </c>
      <c r="N2329" s="27"/>
      <c r="O2329" s="44">
        <f t="shared" si="327"/>
        <v>0.29959623149394349</v>
      </c>
    </row>
    <row r="2330" spans="1:15" ht="20.100000000000001" customHeight="1" x14ac:dyDescent="0.25">
      <c r="A2330" s="89">
        <v>128</v>
      </c>
      <c r="B2330" s="4">
        <v>44622</v>
      </c>
      <c r="C2330" s="26" t="s">
        <v>372</v>
      </c>
      <c r="D2330" s="3">
        <v>6918</v>
      </c>
      <c r="E2330" s="4">
        <v>44625</v>
      </c>
      <c r="F2330" s="92" t="s">
        <v>28</v>
      </c>
      <c r="G2330" s="32">
        <v>44629</v>
      </c>
      <c r="H2330" s="27">
        <f t="shared" si="328"/>
        <v>6918</v>
      </c>
      <c r="I2330" s="27"/>
      <c r="J2330" s="27"/>
      <c r="K2330" s="99"/>
      <c r="L2330" s="27">
        <f>2687*2</f>
        <v>5374</v>
      </c>
      <c r="M2330" s="29">
        <f t="shared" si="326"/>
        <v>1544</v>
      </c>
      <c r="N2330" s="27"/>
      <c r="O2330" s="44">
        <f t="shared" si="327"/>
        <v>0.22318589187626481</v>
      </c>
    </row>
    <row r="2331" spans="1:15" ht="20.100000000000001" customHeight="1" x14ac:dyDescent="0.25">
      <c r="A2331" s="89">
        <v>136</v>
      </c>
      <c r="B2331" s="4">
        <v>44623</v>
      </c>
      <c r="C2331" s="26" t="s">
        <v>410</v>
      </c>
      <c r="D2331" s="3">
        <v>45420</v>
      </c>
      <c r="E2331" s="4">
        <v>44625</v>
      </c>
      <c r="F2331" s="92" t="s">
        <v>28</v>
      </c>
      <c r="G2331" s="32">
        <v>44700</v>
      </c>
      <c r="H2331" s="27">
        <f t="shared" si="328"/>
        <v>45420</v>
      </c>
      <c r="I2331" s="27"/>
      <c r="J2331" s="27"/>
      <c r="K2331" s="99"/>
      <c r="L2331" s="27">
        <f>9992*3</f>
        <v>29976</v>
      </c>
      <c r="M2331" s="29">
        <f t="shared" si="326"/>
        <v>15444</v>
      </c>
      <c r="N2331" s="27"/>
      <c r="O2331" s="44">
        <f t="shared" si="327"/>
        <v>0.34002642007926026</v>
      </c>
    </row>
    <row r="2332" spans="1:15" ht="20.100000000000001" customHeight="1" x14ac:dyDescent="0.25">
      <c r="A2332" s="89">
        <v>144</v>
      </c>
      <c r="B2332" s="4">
        <v>44625</v>
      </c>
      <c r="C2332" s="26" t="s">
        <v>514</v>
      </c>
      <c r="D2332" s="3">
        <v>40490</v>
      </c>
      <c r="E2332" s="4">
        <v>44625</v>
      </c>
      <c r="F2332" s="92" t="s">
        <v>28</v>
      </c>
      <c r="G2332" s="32">
        <v>44629</v>
      </c>
      <c r="H2332" s="27">
        <f t="shared" si="328"/>
        <v>40490</v>
      </c>
      <c r="I2332" s="27"/>
      <c r="J2332" s="27"/>
      <c r="K2332" s="99"/>
      <c r="L2332" s="27">
        <v>22251</v>
      </c>
      <c r="M2332" s="29">
        <f t="shared" si="326"/>
        <v>18239</v>
      </c>
      <c r="N2332" s="27"/>
      <c r="O2332" s="44">
        <f t="shared" si="327"/>
        <v>0.45045690293899726</v>
      </c>
    </row>
    <row r="2333" spans="1:15" ht="20.100000000000001" customHeight="1" x14ac:dyDescent="0.25">
      <c r="A2333" s="89">
        <v>142</v>
      </c>
      <c r="B2333" s="4">
        <v>44625</v>
      </c>
      <c r="C2333" s="26" t="s">
        <v>209</v>
      </c>
      <c r="D2333" s="3">
        <v>1930</v>
      </c>
      <c r="E2333" s="4">
        <v>44629</v>
      </c>
      <c r="F2333" s="92" t="s">
        <v>28</v>
      </c>
      <c r="G2333" s="32">
        <v>44625</v>
      </c>
      <c r="H2333" s="27">
        <f t="shared" si="328"/>
        <v>1930</v>
      </c>
      <c r="I2333" s="27"/>
      <c r="J2333" s="27"/>
      <c r="K2333" s="99"/>
      <c r="L2333" s="27">
        <v>1180</v>
      </c>
      <c r="M2333" s="29">
        <f t="shared" si="326"/>
        <v>750</v>
      </c>
      <c r="N2333" s="27"/>
      <c r="O2333" s="44">
        <f t="shared" si="327"/>
        <v>0.38860103626943004</v>
      </c>
    </row>
    <row r="2334" spans="1:15" ht="20.100000000000001" customHeight="1" x14ac:dyDescent="0.25">
      <c r="A2334" s="89">
        <v>132</v>
      </c>
      <c r="B2334" s="4">
        <v>44623</v>
      </c>
      <c r="C2334" s="26" t="s">
        <v>209</v>
      </c>
      <c r="D2334" s="3">
        <v>10979</v>
      </c>
      <c r="E2334" s="4">
        <v>44629</v>
      </c>
      <c r="F2334" s="92" t="s">
        <v>28</v>
      </c>
      <c r="G2334" s="32">
        <v>44625</v>
      </c>
      <c r="H2334" s="27">
        <f t="shared" si="328"/>
        <v>10979</v>
      </c>
      <c r="I2334" s="27"/>
      <c r="J2334" s="27"/>
      <c r="K2334" s="99"/>
      <c r="L2334" s="27">
        <v>8057</v>
      </c>
      <c r="M2334" s="29">
        <f t="shared" si="326"/>
        <v>2922</v>
      </c>
      <c r="N2334" s="27"/>
      <c r="O2334" s="44">
        <f t="shared" si="327"/>
        <v>0.26614445760087441</v>
      </c>
    </row>
    <row r="2335" spans="1:15" ht="20.100000000000001" customHeight="1" x14ac:dyDescent="0.25">
      <c r="A2335" s="89">
        <v>1155</v>
      </c>
      <c r="B2335" s="4">
        <v>44629</v>
      </c>
      <c r="C2335" s="26" t="s">
        <v>475</v>
      </c>
      <c r="D2335" s="3">
        <v>11500</v>
      </c>
      <c r="E2335" s="4">
        <v>44630</v>
      </c>
      <c r="F2335" s="92" t="s">
        <v>28</v>
      </c>
      <c r="G2335" s="32">
        <v>44632</v>
      </c>
      <c r="H2335" s="27">
        <f t="shared" si="328"/>
        <v>11500</v>
      </c>
      <c r="I2335" s="27"/>
      <c r="J2335" s="27"/>
      <c r="K2335" s="99"/>
      <c r="L2335" s="27">
        <v>5724.25</v>
      </c>
      <c r="M2335" s="29">
        <f t="shared" si="326"/>
        <v>5775.75</v>
      </c>
      <c r="N2335" s="27"/>
      <c r="O2335" s="44">
        <f t="shared" si="327"/>
        <v>0.50223913043478263</v>
      </c>
    </row>
    <row r="2336" spans="1:15" ht="20.100000000000001" customHeight="1" x14ac:dyDescent="0.25">
      <c r="A2336" s="89">
        <v>161</v>
      </c>
      <c r="B2336" s="4">
        <v>44631</v>
      </c>
      <c r="C2336" s="26" t="s">
        <v>443</v>
      </c>
      <c r="D2336" s="3">
        <v>13510</v>
      </c>
      <c r="E2336" s="4">
        <v>44631</v>
      </c>
      <c r="F2336" s="92" t="s">
        <v>28</v>
      </c>
      <c r="G2336" s="32">
        <v>44648</v>
      </c>
      <c r="H2336" s="27">
        <v>8728</v>
      </c>
      <c r="I2336" s="27"/>
      <c r="J2336" s="27"/>
      <c r="K2336" s="99"/>
      <c r="L2336" s="27">
        <v>4450</v>
      </c>
      <c r="M2336" s="29">
        <f t="shared" si="326"/>
        <v>4278</v>
      </c>
      <c r="N2336" s="27"/>
      <c r="O2336" s="44">
        <f t="shared" si="327"/>
        <v>0.4901466544454629</v>
      </c>
    </row>
    <row r="2337" spans="1:15" ht="20.100000000000001" customHeight="1" x14ac:dyDescent="0.25">
      <c r="A2337" s="89">
        <v>137</v>
      </c>
      <c r="B2337" s="4">
        <v>44630</v>
      </c>
      <c r="C2337" s="5" t="s">
        <v>515</v>
      </c>
      <c r="D2337" s="3">
        <v>2163000</v>
      </c>
      <c r="E2337" s="4">
        <v>44631</v>
      </c>
      <c r="F2337" s="92" t="s">
        <v>28</v>
      </c>
      <c r="G2337" s="32">
        <v>44652</v>
      </c>
      <c r="H2337" s="27">
        <f t="shared" si="328"/>
        <v>2163000</v>
      </c>
      <c r="I2337" s="27">
        <f>H2337</f>
        <v>2163000</v>
      </c>
      <c r="J2337" s="27"/>
      <c r="K2337" s="99"/>
      <c r="L2337" s="27">
        <v>2007510</v>
      </c>
      <c r="M2337" s="29">
        <f t="shared" si="326"/>
        <v>155490</v>
      </c>
      <c r="N2337" s="27">
        <f t="shared" ref="N2337:N2338" si="329">M2337</f>
        <v>155490</v>
      </c>
      <c r="O2337" s="44">
        <f t="shared" si="327"/>
        <v>7.1886269070735087E-2</v>
      </c>
    </row>
    <row r="2338" spans="1:15" ht="20.100000000000001" customHeight="1" x14ac:dyDescent="0.25">
      <c r="A2338" s="89">
        <v>156</v>
      </c>
      <c r="B2338" s="4">
        <v>44630</v>
      </c>
      <c r="C2338" s="5" t="s">
        <v>515</v>
      </c>
      <c r="D2338" s="3">
        <v>2163000</v>
      </c>
      <c r="E2338" s="4">
        <v>44634</v>
      </c>
      <c r="F2338" s="92" t="s">
        <v>28</v>
      </c>
      <c r="G2338" s="4">
        <v>44652</v>
      </c>
      <c r="H2338" s="27">
        <f t="shared" si="328"/>
        <v>2163000</v>
      </c>
      <c r="I2338" s="27">
        <f>H2338</f>
        <v>2163000</v>
      </c>
      <c r="J2338" s="27"/>
      <c r="K2338" s="99"/>
      <c r="L2338" s="27">
        <v>2007520</v>
      </c>
      <c r="M2338" s="29">
        <f t="shared" si="326"/>
        <v>155480</v>
      </c>
      <c r="N2338" s="27">
        <f t="shared" si="329"/>
        <v>155480</v>
      </c>
      <c r="O2338" s="44">
        <f t="shared" si="327"/>
        <v>7.188164586222838E-2</v>
      </c>
    </row>
    <row r="2339" spans="1:15" ht="20.100000000000001" customHeight="1" x14ac:dyDescent="0.25">
      <c r="A2339" s="89">
        <v>149</v>
      </c>
      <c r="B2339" s="4">
        <v>44629</v>
      </c>
      <c r="C2339" s="26" t="s">
        <v>403</v>
      </c>
      <c r="D2339" s="3">
        <v>9118</v>
      </c>
      <c r="E2339" s="4">
        <v>44634</v>
      </c>
      <c r="F2339" s="92" t="s">
        <v>28</v>
      </c>
      <c r="G2339" s="32">
        <v>44645</v>
      </c>
      <c r="H2339" s="27">
        <f t="shared" si="328"/>
        <v>9118</v>
      </c>
      <c r="I2339" s="27"/>
      <c r="J2339" s="27"/>
      <c r="K2339" s="99"/>
      <c r="L2339" s="27">
        <v>5524</v>
      </c>
      <c r="M2339" s="29">
        <f t="shared" si="326"/>
        <v>3594</v>
      </c>
      <c r="N2339" s="27"/>
      <c r="O2339" s="44">
        <f t="shared" si="327"/>
        <v>0.394165387146304</v>
      </c>
    </row>
    <row r="2340" spans="1:15" ht="20.100000000000001" customHeight="1" x14ac:dyDescent="0.25">
      <c r="A2340" s="89">
        <v>168</v>
      </c>
      <c r="B2340" s="4">
        <v>44634</v>
      </c>
      <c r="C2340" s="26" t="s">
        <v>475</v>
      </c>
      <c r="D2340" s="3">
        <v>19930</v>
      </c>
      <c r="E2340" s="4">
        <v>44635</v>
      </c>
      <c r="F2340" s="92" t="s">
        <v>28</v>
      </c>
      <c r="G2340" s="32">
        <v>44635</v>
      </c>
      <c r="H2340" s="27">
        <f t="shared" si="328"/>
        <v>19930</v>
      </c>
      <c r="I2340" s="27"/>
      <c r="J2340" s="27"/>
      <c r="K2340" s="99"/>
      <c r="L2340" s="27">
        <v>9767</v>
      </c>
      <c r="M2340" s="29">
        <f t="shared" si="326"/>
        <v>10163</v>
      </c>
      <c r="N2340" s="27"/>
      <c r="O2340" s="44">
        <f t="shared" si="327"/>
        <v>0.50993477170095336</v>
      </c>
    </row>
    <row r="2341" spans="1:15" ht="20.100000000000001" customHeight="1" x14ac:dyDescent="0.25">
      <c r="A2341" s="89">
        <v>175</v>
      </c>
      <c r="B2341" s="4">
        <v>44636</v>
      </c>
      <c r="C2341" s="26" t="s">
        <v>281</v>
      </c>
      <c r="D2341" s="3">
        <v>5470</v>
      </c>
      <c r="E2341" s="4">
        <v>44636</v>
      </c>
      <c r="F2341" s="92" t="s">
        <v>28</v>
      </c>
      <c r="G2341" s="32">
        <v>44637</v>
      </c>
      <c r="H2341" s="27">
        <f t="shared" si="328"/>
        <v>5470</v>
      </c>
      <c r="I2341" s="27"/>
      <c r="J2341" s="27"/>
      <c r="K2341" s="99"/>
      <c r="L2341" s="27">
        <v>2714</v>
      </c>
      <c r="M2341" s="29">
        <f t="shared" si="326"/>
        <v>2756</v>
      </c>
      <c r="N2341" s="27"/>
      <c r="O2341" s="44">
        <f t="shared" si="327"/>
        <v>0.50383912248628882</v>
      </c>
    </row>
    <row r="2342" spans="1:15" ht="20.100000000000001" customHeight="1" x14ac:dyDescent="0.25">
      <c r="A2342" s="89">
        <v>3</v>
      </c>
      <c r="B2342" s="4">
        <v>44571</v>
      </c>
      <c r="C2342" s="26" t="s">
        <v>275</v>
      </c>
      <c r="D2342" s="3">
        <v>4900</v>
      </c>
      <c r="E2342" s="4">
        <v>44637</v>
      </c>
      <c r="F2342" s="92" t="s">
        <v>28</v>
      </c>
      <c r="G2342" s="32">
        <v>44600</v>
      </c>
      <c r="H2342" s="27">
        <f t="shared" si="328"/>
        <v>4900</v>
      </c>
      <c r="I2342" s="27"/>
      <c r="J2342" s="27"/>
      <c r="K2342" s="99"/>
      <c r="L2342" s="27">
        <v>3042</v>
      </c>
      <c r="M2342" s="29">
        <f t="shared" si="326"/>
        <v>1858</v>
      </c>
      <c r="N2342" s="27"/>
      <c r="O2342" s="44">
        <f t="shared" si="327"/>
        <v>0.37918367346938775</v>
      </c>
    </row>
    <row r="2343" spans="1:15" ht="20.100000000000001" customHeight="1" x14ac:dyDescent="0.25">
      <c r="A2343" s="89">
        <v>44</v>
      </c>
      <c r="B2343" s="4">
        <v>44585</v>
      </c>
      <c r="C2343" s="26" t="s">
        <v>467</v>
      </c>
      <c r="D2343" s="3">
        <v>150596</v>
      </c>
      <c r="E2343" s="4">
        <v>44637</v>
      </c>
      <c r="F2343" s="92" t="s">
        <v>28</v>
      </c>
      <c r="G2343" s="32">
        <v>44644</v>
      </c>
      <c r="H2343" s="27">
        <f t="shared" si="328"/>
        <v>150596</v>
      </c>
      <c r="I2343" s="27"/>
      <c r="J2343" s="27"/>
      <c r="K2343" s="99"/>
      <c r="L2343" s="27">
        <v>115686</v>
      </c>
      <c r="M2343" s="29">
        <f t="shared" si="326"/>
        <v>34910</v>
      </c>
      <c r="N2343" s="27"/>
      <c r="O2343" s="44">
        <f t="shared" si="327"/>
        <v>0.23181226593003798</v>
      </c>
    </row>
    <row r="2344" spans="1:15" ht="20.100000000000001" customHeight="1" x14ac:dyDescent="0.25">
      <c r="A2344" s="89">
        <v>161</v>
      </c>
      <c r="B2344" s="4">
        <v>44631</v>
      </c>
      <c r="C2344" s="26" t="s">
        <v>443</v>
      </c>
      <c r="D2344" s="3">
        <v>13510</v>
      </c>
      <c r="E2344" s="4">
        <v>44638</v>
      </c>
      <c r="F2344" s="92" t="s">
        <v>28</v>
      </c>
      <c r="G2344" s="32">
        <v>44648</v>
      </c>
      <c r="H2344" s="27">
        <v>4782</v>
      </c>
      <c r="I2344" s="27"/>
      <c r="J2344" s="27"/>
      <c r="K2344" s="99"/>
      <c r="L2344" s="27">
        <v>2447</v>
      </c>
      <c r="M2344" s="29">
        <f t="shared" si="326"/>
        <v>2335</v>
      </c>
      <c r="N2344" s="27"/>
      <c r="O2344" s="44">
        <f t="shared" si="327"/>
        <v>0.48828941865328312</v>
      </c>
    </row>
    <row r="2345" spans="1:15" ht="20.100000000000001" customHeight="1" x14ac:dyDescent="0.25">
      <c r="A2345" s="89">
        <v>247</v>
      </c>
      <c r="B2345" s="4">
        <v>44657</v>
      </c>
      <c r="C2345" s="5" t="s">
        <v>516</v>
      </c>
      <c r="D2345" s="3">
        <v>35601</v>
      </c>
      <c r="E2345" s="4">
        <v>44641</v>
      </c>
      <c r="F2345" s="92" t="s">
        <v>28</v>
      </c>
      <c r="G2345" s="32">
        <v>44699</v>
      </c>
      <c r="H2345" s="27">
        <v>35000</v>
      </c>
      <c r="I2345" s="27">
        <f>H2345</f>
        <v>35000</v>
      </c>
      <c r="J2345" s="27"/>
      <c r="K2345" s="99"/>
      <c r="L2345" s="27">
        <v>21750</v>
      </c>
      <c r="M2345" s="29">
        <f t="shared" si="326"/>
        <v>13250</v>
      </c>
      <c r="N2345" s="27">
        <f>M2345</f>
        <v>13250</v>
      </c>
      <c r="O2345" s="44">
        <f t="shared" si="327"/>
        <v>0.37857142857142856</v>
      </c>
    </row>
    <row r="2346" spans="1:15" ht="20.100000000000001" customHeight="1" x14ac:dyDescent="0.25">
      <c r="A2346" s="89">
        <v>194</v>
      </c>
      <c r="B2346" s="4">
        <v>44642</v>
      </c>
      <c r="C2346" s="26" t="s">
        <v>372</v>
      </c>
      <c r="D2346" s="3">
        <v>17680</v>
      </c>
      <c r="E2346" s="4">
        <v>44643</v>
      </c>
      <c r="F2346" s="92" t="s">
        <v>28</v>
      </c>
      <c r="G2346" s="32">
        <v>44693</v>
      </c>
      <c r="H2346" s="27">
        <f t="shared" ref="H2346:H2353" si="330">D2346</f>
        <v>17680</v>
      </c>
      <c r="I2346" s="27"/>
      <c r="J2346" s="27"/>
      <c r="K2346" s="99"/>
      <c r="L2346" s="27">
        <v>13790</v>
      </c>
      <c r="M2346" s="29">
        <f t="shared" si="326"/>
        <v>3890</v>
      </c>
      <c r="N2346" s="27"/>
      <c r="O2346" s="44">
        <f t="shared" si="327"/>
        <v>0.22002262443438914</v>
      </c>
    </row>
    <row r="2347" spans="1:15" ht="20.100000000000001" customHeight="1" x14ac:dyDescent="0.25">
      <c r="A2347" s="89">
        <v>189</v>
      </c>
      <c r="B2347" s="4">
        <v>44642</v>
      </c>
      <c r="C2347" s="26" t="s">
        <v>462</v>
      </c>
      <c r="D2347" s="3">
        <v>600</v>
      </c>
      <c r="E2347" s="4">
        <v>44644</v>
      </c>
      <c r="F2347" s="92" t="s">
        <v>28</v>
      </c>
      <c r="G2347" s="32">
        <v>44693</v>
      </c>
      <c r="H2347" s="27">
        <f t="shared" si="330"/>
        <v>600</v>
      </c>
      <c r="I2347" s="27"/>
      <c r="J2347" s="27"/>
      <c r="K2347" s="99"/>
      <c r="L2347" s="27">
        <v>243.5</v>
      </c>
      <c r="M2347" s="29">
        <f t="shared" si="326"/>
        <v>356.5</v>
      </c>
      <c r="N2347" s="27"/>
      <c r="O2347" s="44">
        <f t="shared" si="327"/>
        <v>0.59416666666666662</v>
      </c>
    </row>
    <row r="2348" spans="1:15" ht="20.100000000000001" customHeight="1" x14ac:dyDescent="0.25">
      <c r="A2348" s="89">
        <v>150</v>
      </c>
      <c r="B2348" s="4">
        <v>44629</v>
      </c>
      <c r="C2348" s="26" t="s">
        <v>13</v>
      </c>
      <c r="D2348" s="3">
        <v>26000</v>
      </c>
      <c r="E2348" s="4">
        <v>44645</v>
      </c>
      <c r="F2348" s="92" t="s">
        <v>28</v>
      </c>
      <c r="G2348" s="32">
        <v>44634</v>
      </c>
      <c r="H2348" s="27">
        <f t="shared" si="330"/>
        <v>26000</v>
      </c>
      <c r="I2348" s="27"/>
      <c r="J2348" s="27"/>
      <c r="K2348" s="99"/>
      <c r="L2348" s="27">
        <v>13430</v>
      </c>
      <c r="M2348" s="29">
        <f t="shared" si="326"/>
        <v>12570</v>
      </c>
      <c r="N2348" s="29"/>
      <c r="O2348" s="44">
        <f t="shared" si="327"/>
        <v>0.48346153846153844</v>
      </c>
    </row>
    <row r="2349" spans="1:15" ht="20.100000000000001" customHeight="1" x14ac:dyDescent="0.25">
      <c r="A2349" s="89">
        <v>171</v>
      </c>
      <c r="B2349" s="4">
        <v>44635</v>
      </c>
      <c r="C2349" s="26" t="s">
        <v>11</v>
      </c>
      <c r="D2349" s="3">
        <v>4300</v>
      </c>
      <c r="E2349" s="4">
        <v>44648</v>
      </c>
      <c r="F2349" s="92" t="s">
        <v>28</v>
      </c>
      <c r="G2349" s="32">
        <v>44651</v>
      </c>
      <c r="H2349" s="27">
        <f t="shared" si="330"/>
        <v>4300</v>
      </c>
      <c r="I2349" s="27"/>
      <c r="J2349" s="27"/>
      <c r="K2349" s="99"/>
      <c r="L2349" s="27">
        <v>1857</v>
      </c>
      <c r="M2349" s="29">
        <f t="shared" si="326"/>
        <v>2443</v>
      </c>
      <c r="N2349" s="29"/>
      <c r="O2349" s="44">
        <f t="shared" si="327"/>
        <v>0.56813953488372093</v>
      </c>
    </row>
    <row r="2350" spans="1:15" ht="20.100000000000001" customHeight="1" x14ac:dyDescent="0.25">
      <c r="A2350" s="89">
        <v>226</v>
      </c>
      <c r="B2350" s="4">
        <v>44650</v>
      </c>
      <c r="C2350" s="26" t="s">
        <v>429</v>
      </c>
      <c r="D2350" s="3">
        <v>113740</v>
      </c>
      <c r="E2350" s="4">
        <v>44650</v>
      </c>
      <c r="F2350" s="92" t="s">
        <v>28</v>
      </c>
      <c r="G2350" s="32">
        <v>44651</v>
      </c>
      <c r="H2350" s="27">
        <f t="shared" si="330"/>
        <v>113740</v>
      </c>
      <c r="I2350" s="27"/>
      <c r="J2350" s="27"/>
      <c r="K2350" s="99"/>
      <c r="L2350" s="27">
        <v>60766</v>
      </c>
      <c r="M2350" s="29">
        <f t="shared" si="326"/>
        <v>52974</v>
      </c>
      <c r="N2350" s="29"/>
      <c r="O2350" s="44">
        <f t="shared" si="327"/>
        <v>0.46574643924740639</v>
      </c>
    </row>
    <row r="2351" spans="1:15" ht="20.100000000000001" customHeight="1" x14ac:dyDescent="0.25">
      <c r="A2351" s="89">
        <v>224</v>
      </c>
      <c r="B2351" s="4">
        <v>44650</v>
      </c>
      <c r="C2351" s="26" t="s">
        <v>118</v>
      </c>
      <c r="D2351" s="3">
        <v>7668</v>
      </c>
      <c r="E2351" s="4">
        <v>44651</v>
      </c>
      <c r="F2351" s="92" t="s">
        <v>28</v>
      </c>
      <c r="G2351" s="32">
        <v>44651</v>
      </c>
      <c r="H2351" s="27">
        <f t="shared" si="330"/>
        <v>7668</v>
      </c>
      <c r="I2351" s="27"/>
      <c r="J2351" s="27"/>
      <c r="K2351" s="99"/>
      <c r="L2351" s="27">
        <v>5623</v>
      </c>
      <c r="M2351" s="29">
        <f t="shared" si="326"/>
        <v>2045</v>
      </c>
      <c r="N2351" s="29"/>
      <c r="O2351" s="44">
        <f t="shared" si="327"/>
        <v>0.26669274908711527</v>
      </c>
    </row>
    <row r="2352" spans="1:15" ht="20.100000000000001" customHeight="1" x14ac:dyDescent="0.25">
      <c r="A2352" s="89">
        <v>211</v>
      </c>
      <c r="B2352" s="4">
        <v>44645</v>
      </c>
      <c r="C2352" s="26" t="s">
        <v>392</v>
      </c>
      <c r="D2352" s="3">
        <v>1480</v>
      </c>
      <c r="E2352" s="4">
        <v>44651</v>
      </c>
      <c r="F2352" s="92" t="s">
        <v>28</v>
      </c>
      <c r="G2352" s="32">
        <v>44692</v>
      </c>
      <c r="H2352" s="27">
        <f t="shared" si="330"/>
        <v>1480</v>
      </c>
      <c r="I2352" s="27"/>
      <c r="J2352" s="27"/>
      <c r="K2352" s="99"/>
      <c r="L2352" s="27">
        <v>977</v>
      </c>
      <c r="M2352" s="29">
        <f t="shared" si="326"/>
        <v>503</v>
      </c>
      <c r="N2352" s="29"/>
      <c r="O2352" s="44">
        <f t="shared" si="327"/>
        <v>0.33986486486486489</v>
      </c>
    </row>
    <row r="2353" spans="1:15" ht="20.100000000000001" customHeight="1" x14ac:dyDescent="0.25">
      <c r="A2353" s="89">
        <v>214</v>
      </c>
      <c r="B2353" s="4">
        <v>44648</v>
      </c>
      <c r="C2353" s="26" t="s">
        <v>443</v>
      </c>
      <c r="D2353" s="3">
        <v>15920</v>
      </c>
      <c r="E2353" s="4">
        <v>44651</v>
      </c>
      <c r="F2353" s="92" t="s">
        <v>28</v>
      </c>
      <c r="G2353" s="32">
        <v>44657</v>
      </c>
      <c r="H2353" s="27">
        <f t="shared" si="330"/>
        <v>15920</v>
      </c>
      <c r="I2353" s="27"/>
      <c r="J2353" s="27"/>
      <c r="K2353" s="99"/>
      <c r="L2353" s="27">
        <v>9470</v>
      </c>
      <c r="M2353" s="29">
        <f t="shared" si="326"/>
        <v>6450</v>
      </c>
      <c r="N2353" s="29"/>
      <c r="O2353" s="44">
        <f t="shared" si="327"/>
        <v>0.40515075376884424</v>
      </c>
    </row>
    <row r="2354" spans="1:15" ht="19.5" customHeight="1" x14ac:dyDescent="0.25">
      <c r="A2354" s="89"/>
      <c r="B2354" s="4"/>
      <c r="C2354" s="5"/>
      <c r="D2354" s="3"/>
      <c r="E2354" s="97">
        <v>108203</v>
      </c>
      <c r="F2354" s="98">
        <f>M2354*0.17+N2354*0.06</f>
        <v>108202.4225</v>
      </c>
      <c r="G2354" s="21">
        <f>H2354*0.04+I2354*0.02</f>
        <v>284031.44</v>
      </c>
      <c r="H2354" s="16">
        <f t="shared" ref="H2354:N2354" si="331">SUM(H2327:H2353)</f>
        <v>4920286</v>
      </c>
      <c r="I2354" s="16">
        <f t="shared" si="331"/>
        <v>4361000</v>
      </c>
      <c r="J2354" s="16">
        <f t="shared" si="331"/>
        <v>0</v>
      </c>
      <c r="K2354" s="16">
        <f t="shared" si="331"/>
        <v>0</v>
      </c>
      <c r="L2354" s="16">
        <f t="shared" si="331"/>
        <v>4398231.75</v>
      </c>
      <c r="M2354" s="16">
        <f t="shared" si="331"/>
        <v>522054.25</v>
      </c>
      <c r="N2354" s="16">
        <f t="shared" si="331"/>
        <v>324220</v>
      </c>
      <c r="O2354" s="44">
        <f t="shared" si="327"/>
        <v>0.10610241965609316</v>
      </c>
    </row>
    <row r="2355" spans="1:15" ht="23.25" x14ac:dyDescent="0.35">
      <c r="B2355" s="94"/>
      <c r="C2355" s="94" t="s">
        <v>638</v>
      </c>
    </row>
    <row r="2356" spans="1:15" ht="20.100000000000001" customHeight="1" x14ac:dyDescent="0.25">
      <c r="A2356" s="89">
        <v>247</v>
      </c>
      <c r="B2356" s="4">
        <v>44657</v>
      </c>
      <c r="C2356" s="5" t="s">
        <v>516</v>
      </c>
      <c r="D2356" s="3">
        <v>35601</v>
      </c>
      <c r="E2356" s="4">
        <v>44657</v>
      </c>
      <c r="F2356" s="92" t="s">
        <v>28</v>
      </c>
      <c r="G2356" s="32">
        <v>44699</v>
      </c>
      <c r="H2356" s="27">
        <v>601</v>
      </c>
      <c r="I2356" s="27">
        <f>H2356</f>
        <v>601</v>
      </c>
      <c r="J2356" s="27"/>
      <c r="K2356" s="99"/>
      <c r="L2356" s="27">
        <v>601</v>
      </c>
      <c r="M2356" s="29">
        <f t="shared" ref="M2356:M2364" si="332">H2356-L2356-J2356-K2356</f>
        <v>0</v>
      </c>
      <c r="N2356" s="27">
        <f>M2356</f>
        <v>0</v>
      </c>
      <c r="O2356" s="44">
        <f t="shared" ref="O2356:O2365" si="333">M2356/H2356</f>
        <v>0</v>
      </c>
    </row>
    <row r="2357" spans="1:15" ht="19.5" customHeight="1" x14ac:dyDescent="0.25">
      <c r="A2357" s="89">
        <v>76</v>
      </c>
      <c r="B2357" s="4">
        <v>44600</v>
      </c>
      <c r="C2357" s="26" t="s">
        <v>99</v>
      </c>
      <c r="D2357" s="3">
        <v>222400</v>
      </c>
      <c r="E2357" s="4">
        <v>44658</v>
      </c>
      <c r="F2357" s="92" t="s">
        <v>28</v>
      </c>
      <c r="G2357" s="32">
        <v>44606</v>
      </c>
      <c r="H2357" s="27">
        <f t="shared" ref="H2357:H2364" si="334">D2357</f>
        <v>222400</v>
      </c>
      <c r="I2357" s="27"/>
      <c r="J2357" s="27">
        <f>3000*15</f>
        <v>45000</v>
      </c>
      <c r="K2357" s="99"/>
      <c r="L2357" s="29">
        <f>38830+7500</f>
        <v>46330</v>
      </c>
      <c r="M2357" s="29">
        <f t="shared" si="332"/>
        <v>131070</v>
      </c>
      <c r="N2357" s="29"/>
      <c r="O2357" s="44">
        <f t="shared" si="333"/>
        <v>0.58934352517985611</v>
      </c>
    </row>
    <row r="2358" spans="1:15" ht="19.5" customHeight="1" x14ac:dyDescent="0.25">
      <c r="A2358" s="89">
        <v>239</v>
      </c>
      <c r="B2358" s="4">
        <v>44655</v>
      </c>
      <c r="C2358" s="26" t="s">
        <v>49</v>
      </c>
      <c r="D2358" s="3">
        <v>492</v>
      </c>
      <c r="E2358" s="4">
        <v>44658</v>
      </c>
      <c r="F2358" s="92" t="s">
        <v>28</v>
      </c>
      <c r="G2358" s="32">
        <v>44693</v>
      </c>
      <c r="H2358" s="27">
        <f t="shared" si="334"/>
        <v>492</v>
      </c>
      <c r="I2358" s="27"/>
      <c r="J2358" s="27"/>
      <c r="K2358" s="99"/>
      <c r="L2358" s="29">
        <v>158</v>
      </c>
      <c r="M2358" s="29">
        <f t="shared" si="332"/>
        <v>334</v>
      </c>
      <c r="N2358" s="29"/>
      <c r="O2358" s="44">
        <f t="shared" si="333"/>
        <v>0.67886178861788615</v>
      </c>
    </row>
    <row r="2359" spans="1:15" ht="19.5" customHeight="1" x14ac:dyDescent="0.25">
      <c r="A2359" s="89">
        <v>253</v>
      </c>
      <c r="B2359" s="4">
        <v>44657</v>
      </c>
      <c r="C2359" s="26" t="s">
        <v>86</v>
      </c>
      <c r="D2359" s="3">
        <v>17150</v>
      </c>
      <c r="E2359" s="4">
        <v>44658</v>
      </c>
      <c r="F2359" s="92" t="s">
        <v>28</v>
      </c>
      <c r="G2359" s="32">
        <v>44698</v>
      </c>
      <c r="H2359" s="27">
        <f t="shared" si="334"/>
        <v>17150</v>
      </c>
      <c r="I2359" s="27"/>
      <c r="J2359" s="27"/>
      <c r="K2359" s="99"/>
      <c r="L2359" s="29">
        <v>8990</v>
      </c>
      <c r="M2359" s="29">
        <f t="shared" si="332"/>
        <v>8160</v>
      </c>
      <c r="N2359" s="29"/>
      <c r="O2359" s="44">
        <f t="shared" si="333"/>
        <v>0.47580174927113705</v>
      </c>
    </row>
    <row r="2360" spans="1:15" ht="20.100000000000001" customHeight="1" x14ac:dyDescent="0.25">
      <c r="A2360" s="89">
        <v>34</v>
      </c>
      <c r="B2360" s="4">
        <v>44634</v>
      </c>
      <c r="C2360" s="26" t="s">
        <v>13</v>
      </c>
      <c r="D2360" s="3">
        <v>32490</v>
      </c>
      <c r="E2360" s="4">
        <v>44659</v>
      </c>
      <c r="F2360" s="92" t="s">
        <v>28</v>
      </c>
      <c r="G2360" s="32">
        <v>44634</v>
      </c>
      <c r="H2360" s="27">
        <f t="shared" si="334"/>
        <v>32490</v>
      </c>
      <c r="I2360" s="27"/>
      <c r="J2360" s="27"/>
      <c r="K2360" s="99"/>
      <c r="L2360" s="27">
        <v>23750</v>
      </c>
      <c r="M2360" s="29">
        <f t="shared" si="332"/>
        <v>8740</v>
      </c>
      <c r="N2360" s="29"/>
      <c r="O2360" s="44">
        <f t="shared" si="333"/>
        <v>0.26900584795321636</v>
      </c>
    </row>
    <row r="2361" spans="1:15" ht="20.100000000000001" customHeight="1" x14ac:dyDescent="0.25">
      <c r="A2361" s="89">
        <v>163</v>
      </c>
      <c r="B2361" s="4">
        <v>44634</v>
      </c>
      <c r="C2361" s="26" t="s">
        <v>56</v>
      </c>
      <c r="D2361" s="3">
        <v>24100</v>
      </c>
      <c r="E2361" s="4">
        <v>44662</v>
      </c>
      <c r="F2361" s="92" t="s">
        <v>28</v>
      </c>
      <c r="G2361" s="32">
        <v>44644</v>
      </c>
      <c r="H2361" s="27">
        <f t="shared" si="334"/>
        <v>24100</v>
      </c>
      <c r="I2361" s="27"/>
      <c r="J2361" s="27"/>
      <c r="K2361" s="99"/>
      <c r="L2361" s="27">
        <v>12504</v>
      </c>
      <c r="M2361" s="29">
        <f t="shared" si="332"/>
        <v>11596</v>
      </c>
      <c r="N2361" s="29"/>
      <c r="O2361" s="44">
        <f t="shared" si="333"/>
        <v>0.48116182572614108</v>
      </c>
    </row>
    <row r="2362" spans="1:15" ht="20.100000000000001" customHeight="1" x14ac:dyDescent="0.25">
      <c r="A2362" s="89">
        <v>254</v>
      </c>
      <c r="B2362" s="4">
        <v>44658</v>
      </c>
      <c r="C2362" s="26" t="s">
        <v>13</v>
      </c>
      <c r="D2362" s="3">
        <v>21400</v>
      </c>
      <c r="E2362" s="4">
        <v>44665</v>
      </c>
      <c r="F2362" s="92" t="s">
        <v>28</v>
      </c>
      <c r="G2362" s="32">
        <v>44658</v>
      </c>
      <c r="H2362" s="27">
        <f t="shared" si="334"/>
        <v>21400</v>
      </c>
      <c r="I2362" s="27"/>
      <c r="J2362" s="27"/>
      <c r="K2362" s="99"/>
      <c r="L2362" s="27">
        <v>10697.4</v>
      </c>
      <c r="M2362" s="29">
        <f t="shared" si="332"/>
        <v>10702.6</v>
      </c>
      <c r="N2362" s="29"/>
      <c r="O2362" s="44">
        <f t="shared" si="333"/>
        <v>0.50012149532710282</v>
      </c>
    </row>
    <row r="2363" spans="1:15" ht="20.100000000000001" customHeight="1" x14ac:dyDescent="0.25">
      <c r="A2363" s="89">
        <v>291</v>
      </c>
      <c r="B2363" s="4">
        <v>44666</v>
      </c>
      <c r="C2363" s="26" t="s">
        <v>186</v>
      </c>
      <c r="D2363" s="3">
        <v>30380</v>
      </c>
      <c r="E2363" s="4">
        <v>44670</v>
      </c>
      <c r="F2363" s="92" t="s">
        <v>28</v>
      </c>
      <c r="G2363" s="32">
        <v>44728</v>
      </c>
      <c r="H2363" s="27">
        <f t="shared" si="334"/>
        <v>30380</v>
      </c>
      <c r="I2363" s="27"/>
      <c r="J2363" s="27"/>
      <c r="K2363" s="99"/>
      <c r="L2363" s="27">
        <v>23692</v>
      </c>
      <c r="M2363" s="29">
        <f t="shared" si="332"/>
        <v>6688</v>
      </c>
      <c r="N2363" s="29"/>
      <c r="O2363" s="44">
        <f t="shared" si="333"/>
        <v>0.22014483212639896</v>
      </c>
    </row>
    <row r="2364" spans="1:15" ht="20.100000000000001" customHeight="1" x14ac:dyDescent="0.25">
      <c r="A2364" s="89">
        <v>255</v>
      </c>
      <c r="B2364" s="4">
        <v>44658</v>
      </c>
      <c r="C2364" s="26" t="s">
        <v>11</v>
      </c>
      <c r="D2364" s="3">
        <v>3300</v>
      </c>
      <c r="E2364" s="4">
        <v>44673</v>
      </c>
      <c r="F2364" s="92" t="s">
        <v>28</v>
      </c>
      <c r="G2364" s="32">
        <v>44713</v>
      </c>
      <c r="H2364" s="27">
        <f t="shared" si="334"/>
        <v>3300</v>
      </c>
      <c r="I2364" s="27"/>
      <c r="J2364" s="27"/>
      <c r="K2364" s="99"/>
      <c r="L2364" s="27">
        <v>1258.5</v>
      </c>
      <c r="M2364" s="29">
        <f t="shared" si="332"/>
        <v>2041.5</v>
      </c>
      <c r="N2364" s="29"/>
      <c r="O2364" s="44">
        <f t="shared" si="333"/>
        <v>0.61863636363636365</v>
      </c>
    </row>
    <row r="2365" spans="1:15" ht="19.5" customHeight="1" x14ac:dyDescent="0.25">
      <c r="A2365" s="89"/>
      <c r="B2365" s="4"/>
      <c r="C2365" s="5"/>
      <c r="D2365" s="3"/>
      <c r="E2365" s="97">
        <v>21519</v>
      </c>
      <c r="F2365" s="98">
        <f>M2365*0.12+N2365*0.06</f>
        <v>21519.851999999999</v>
      </c>
      <c r="G2365" s="21">
        <f>H2365*0.02+I2365*0.02</f>
        <v>7058.2800000000007</v>
      </c>
      <c r="H2365" s="16">
        <f>SUM(H2356:H2364)</f>
        <v>352313</v>
      </c>
      <c r="I2365" s="16">
        <f t="shared" ref="I2365:N2365" si="335">SUM(I2356:I2364)</f>
        <v>601</v>
      </c>
      <c r="J2365" s="16">
        <f t="shared" si="335"/>
        <v>45000</v>
      </c>
      <c r="K2365" s="16">
        <f t="shared" si="335"/>
        <v>0</v>
      </c>
      <c r="L2365" s="16">
        <f t="shared" si="335"/>
        <v>127980.9</v>
      </c>
      <c r="M2365" s="16">
        <f t="shared" si="335"/>
        <v>179332.1</v>
      </c>
      <c r="N2365" s="16">
        <f t="shared" si="335"/>
        <v>0</v>
      </c>
      <c r="O2365" s="44">
        <f t="shared" si="333"/>
        <v>0.50901357599634423</v>
      </c>
    </row>
    <row r="2366" spans="1:15" ht="23.25" x14ac:dyDescent="0.35">
      <c r="B2366" s="94"/>
      <c r="C2366" s="94" t="s">
        <v>639</v>
      </c>
    </row>
    <row r="2367" spans="1:15" ht="20.100000000000001" customHeight="1" x14ac:dyDescent="0.25">
      <c r="A2367" s="89">
        <v>212</v>
      </c>
      <c r="B2367" s="4">
        <v>44645</v>
      </c>
      <c r="C2367" s="26" t="s">
        <v>60</v>
      </c>
      <c r="D2367" s="3">
        <v>21400</v>
      </c>
      <c r="E2367" s="4">
        <v>44685</v>
      </c>
      <c r="F2367" s="92" t="s">
        <v>28</v>
      </c>
      <c r="G2367" s="32">
        <v>44648</v>
      </c>
      <c r="H2367" s="27">
        <f t="shared" ref="H2367:H2374" si="336">D2367</f>
        <v>21400</v>
      </c>
      <c r="I2367" s="27"/>
      <c r="J2367" s="27"/>
      <c r="K2367" s="99"/>
      <c r="L2367" s="27">
        <v>10737</v>
      </c>
      <c r="M2367" s="29">
        <f t="shared" ref="M2367:M2374" si="337">H2367-L2367-J2367-K2367</f>
        <v>10663</v>
      </c>
      <c r="N2367" s="29"/>
      <c r="O2367" s="44">
        <f t="shared" ref="O2367:O2374" si="338">M2367/H2367</f>
        <v>0.49827102803738316</v>
      </c>
    </row>
    <row r="2368" spans="1:15" ht="20.100000000000001" customHeight="1" x14ac:dyDescent="0.25">
      <c r="A2368" s="89">
        <v>339</v>
      </c>
      <c r="B2368" s="4">
        <v>44679</v>
      </c>
      <c r="C2368" s="26" t="s">
        <v>186</v>
      </c>
      <c r="D2368" s="3">
        <v>8050</v>
      </c>
      <c r="E2368" s="4">
        <v>44685</v>
      </c>
      <c r="F2368" s="92" t="s">
        <v>28</v>
      </c>
      <c r="G2368" s="32">
        <v>44728</v>
      </c>
      <c r="H2368" s="27">
        <f t="shared" si="336"/>
        <v>8050</v>
      </c>
      <c r="I2368" s="27"/>
      <c r="J2368" s="27"/>
      <c r="K2368" s="99"/>
      <c r="L2368" s="27">
        <v>4638</v>
      </c>
      <c r="M2368" s="29">
        <f t="shared" si="337"/>
        <v>3412</v>
      </c>
      <c r="N2368" s="29"/>
      <c r="O2368" s="44">
        <f t="shared" si="338"/>
        <v>0.42385093167701865</v>
      </c>
    </row>
    <row r="2369" spans="1:15" ht="20.100000000000001" customHeight="1" x14ac:dyDescent="0.25">
      <c r="A2369" s="89">
        <v>352</v>
      </c>
      <c r="B2369" s="4">
        <v>44685</v>
      </c>
      <c r="C2369" s="26" t="s">
        <v>169</v>
      </c>
      <c r="D2369" s="3">
        <v>15070</v>
      </c>
      <c r="E2369" s="4">
        <v>44686</v>
      </c>
      <c r="F2369" s="92" t="s">
        <v>28</v>
      </c>
      <c r="G2369" s="32">
        <v>44685</v>
      </c>
      <c r="H2369" s="27">
        <f t="shared" si="336"/>
        <v>15070</v>
      </c>
      <c r="I2369" s="27"/>
      <c r="J2369" s="27"/>
      <c r="K2369" s="99"/>
      <c r="L2369" s="27">
        <v>7979</v>
      </c>
      <c r="M2369" s="29">
        <f t="shared" si="337"/>
        <v>7091</v>
      </c>
      <c r="N2369" s="29"/>
      <c r="O2369" s="44">
        <f t="shared" si="338"/>
        <v>0.4705374917053749</v>
      </c>
    </row>
    <row r="2370" spans="1:15" ht="20.100000000000001" customHeight="1" x14ac:dyDescent="0.25">
      <c r="A2370" s="89">
        <v>361</v>
      </c>
      <c r="B2370" s="4">
        <v>44686</v>
      </c>
      <c r="C2370" s="26" t="s">
        <v>251</v>
      </c>
      <c r="D2370" s="3">
        <v>24620</v>
      </c>
      <c r="E2370" s="4">
        <v>44687</v>
      </c>
      <c r="F2370" s="92" t="s">
        <v>28</v>
      </c>
      <c r="G2370" s="32">
        <v>44733</v>
      </c>
      <c r="H2370" s="27">
        <f t="shared" si="336"/>
        <v>24620</v>
      </c>
      <c r="I2370" s="27"/>
      <c r="J2370" s="27"/>
      <c r="K2370" s="99"/>
      <c r="L2370" s="27">
        <f>9602*2</f>
        <v>19204</v>
      </c>
      <c r="M2370" s="29">
        <f t="shared" si="337"/>
        <v>5416</v>
      </c>
      <c r="N2370" s="29"/>
      <c r="O2370" s="44">
        <f t="shared" si="338"/>
        <v>0.21998375304630383</v>
      </c>
    </row>
    <row r="2371" spans="1:15" ht="20.100000000000001" customHeight="1" x14ac:dyDescent="0.25">
      <c r="A2371" s="89">
        <v>386</v>
      </c>
      <c r="B2371" s="4">
        <v>44694</v>
      </c>
      <c r="C2371" s="26" t="s">
        <v>518</v>
      </c>
      <c r="D2371" s="3">
        <v>11350</v>
      </c>
      <c r="E2371" s="4">
        <v>44694</v>
      </c>
      <c r="F2371" s="92" t="s">
        <v>28</v>
      </c>
      <c r="G2371" s="32">
        <v>44699</v>
      </c>
      <c r="H2371" s="27">
        <f t="shared" si="336"/>
        <v>11350</v>
      </c>
      <c r="I2371" s="27"/>
      <c r="J2371" s="27"/>
      <c r="K2371" s="99"/>
      <c r="L2371" s="27">
        <v>4950</v>
      </c>
      <c r="M2371" s="29">
        <f t="shared" si="337"/>
        <v>6400</v>
      </c>
      <c r="N2371" s="29"/>
      <c r="O2371" s="44">
        <f t="shared" si="338"/>
        <v>0.56387665198237891</v>
      </c>
    </row>
    <row r="2372" spans="1:15" ht="20.100000000000001" customHeight="1" x14ac:dyDescent="0.25">
      <c r="A2372" s="89">
        <v>383</v>
      </c>
      <c r="B2372" s="4">
        <v>44694</v>
      </c>
      <c r="C2372" s="26" t="s">
        <v>444</v>
      </c>
      <c r="D2372" s="3">
        <v>19600</v>
      </c>
      <c r="E2372" s="4">
        <v>44697</v>
      </c>
      <c r="F2372" s="92" t="s">
        <v>28</v>
      </c>
      <c r="G2372" s="32">
        <v>44699</v>
      </c>
      <c r="H2372" s="27">
        <f t="shared" si="336"/>
        <v>19600</v>
      </c>
      <c r="I2372" s="27"/>
      <c r="J2372" s="27"/>
      <c r="K2372" s="99"/>
      <c r="L2372" s="27">
        <f>3486*2</f>
        <v>6972</v>
      </c>
      <c r="M2372" s="29">
        <f t="shared" si="337"/>
        <v>12628</v>
      </c>
      <c r="N2372" s="29"/>
      <c r="O2372" s="44">
        <f t="shared" si="338"/>
        <v>0.64428571428571424</v>
      </c>
    </row>
    <row r="2373" spans="1:15" ht="20.100000000000001" customHeight="1" x14ac:dyDescent="0.25">
      <c r="A2373" s="89">
        <v>377</v>
      </c>
      <c r="B2373" s="4">
        <v>44693</v>
      </c>
      <c r="C2373" s="26" t="s">
        <v>403</v>
      </c>
      <c r="D2373" s="3">
        <v>11100</v>
      </c>
      <c r="E2373" s="4">
        <v>44697</v>
      </c>
      <c r="F2373" s="92" t="s">
        <v>28</v>
      </c>
      <c r="G2373" s="32">
        <v>44705</v>
      </c>
      <c r="H2373" s="27">
        <f t="shared" si="336"/>
        <v>11100</v>
      </c>
      <c r="I2373" s="27"/>
      <c r="J2373" s="27"/>
      <c r="K2373" s="99"/>
      <c r="L2373" s="27">
        <v>5524</v>
      </c>
      <c r="M2373" s="29">
        <f t="shared" si="337"/>
        <v>5576</v>
      </c>
      <c r="N2373" s="29"/>
      <c r="O2373" s="44">
        <f t="shared" si="338"/>
        <v>0.50234234234234232</v>
      </c>
    </row>
    <row r="2374" spans="1:15" ht="20.100000000000001" customHeight="1" x14ac:dyDescent="0.25">
      <c r="A2374" s="89">
        <v>384</v>
      </c>
      <c r="B2374" s="4">
        <v>44694</v>
      </c>
      <c r="C2374" s="26" t="s">
        <v>147</v>
      </c>
      <c r="D2374" s="3">
        <v>9600</v>
      </c>
      <c r="E2374" s="4">
        <v>44697</v>
      </c>
      <c r="F2374" s="92" t="s">
        <v>28</v>
      </c>
      <c r="G2374" s="32">
        <v>44715</v>
      </c>
      <c r="H2374" s="27">
        <f t="shared" si="336"/>
        <v>9600</v>
      </c>
      <c r="I2374" s="27"/>
      <c r="J2374" s="27"/>
      <c r="K2374" s="99"/>
      <c r="L2374" s="27">
        <f>4365/5*4</f>
        <v>3492</v>
      </c>
      <c r="M2374" s="29">
        <f t="shared" si="337"/>
        <v>6108</v>
      </c>
      <c r="N2374" s="29"/>
      <c r="O2374" s="44">
        <f t="shared" si="338"/>
        <v>0.63624999999999998</v>
      </c>
    </row>
    <row r="2375" spans="1:15" ht="20.100000000000001" customHeight="1" x14ac:dyDescent="0.25">
      <c r="A2375" s="89">
        <v>398</v>
      </c>
      <c r="B2375" s="4">
        <v>44699</v>
      </c>
      <c r="C2375" s="26" t="s">
        <v>49</v>
      </c>
      <c r="D2375" s="3">
        <v>296</v>
      </c>
      <c r="E2375" s="4">
        <v>44700</v>
      </c>
      <c r="F2375" s="92" t="s">
        <v>28</v>
      </c>
      <c r="G2375" s="32">
        <v>44704</v>
      </c>
      <c r="H2375" s="27">
        <f>D2375</f>
        <v>296</v>
      </c>
      <c r="I2375" s="27"/>
      <c r="J2375" s="27"/>
      <c r="K2375" s="99"/>
      <c r="L2375" s="27">
        <v>54</v>
      </c>
      <c r="M2375" s="29">
        <f>H2375-L2375-J2375-K2375</f>
        <v>242</v>
      </c>
      <c r="N2375" s="29"/>
      <c r="O2375" s="44">
        <f>M2375/H2375</f>
        <v>0.81756756756756754</v>
      </c>
    </row>
    <row r="2376" spans="1:15" ht="20.100000000000001" customHeight="1" x14ac:dyDescent="0.25">
      <c r="A2376" s="89">
        <v>247</v>
      </c>
      <c r="B2376" s="4">
        <v>44657</v>
      </c>
      <c r="C2376" s="26" t="s">
        <v>516</v>
      </c>
      <c r="D2376" s="3">
        <v>45601</v>
      </c>
      <c r="E2376" s="4">
        <v>44704</v>
      </c>
      <c r="F2376" s="92" t="s">
        <v>28</v>
      </c>
      <c r="G2376" s="32">
        <v>44699</v>
      </c>
      <c r="H2376" s="27">
        <v>10000</v>
      </c>
      <c r="I2376" s="27"/>
      <c r="J2376" s="27"/>
      <c r="K2376" s="99"/>
      <c r="L2376" s="27">
        <v>10000</v>
      </c>
      <c r="M2376" s="29">
        <f>H2376-L2376-J2376-K2376</f>
        <v>0</v>
      </c>
      <c r="N2376" s="29"/>
      <c r="O2376" s="44">
        <f>M2376/H2376</f>
        <v>0</v>
      </c>
    </row>
    <row r="2377" spans="1:15" ht="20.100000000000001" customHeight="1" x14ac:dyDescent="0.25">
      <c r="A2377" s="89">
        <v>370</v>
      </c>
      <c r="B2377" s="4">
        <v>44693</v>
      </c>
      <c r="C2377" s="5" t="s">
        <v>520</v>
      </c>
      <c r="D2377" s="3">
        <v>223780</v>
      </c>
      <c r="E2377" s="4">
        <v>44705</v>
      </c>
      <c r="F2377" s="92" t="s">
        <v>28</v>
      </c>
      <c r="G2377" s="32">
        <v>44707</v>
      </c>
      <c r="H2377" s="27">
        <v>111890</v>
      </c>
      <c r="I2377" s="27">
        <f t="shared" ref="I2377:I2378" si="339">H2377</f>
        <v>111890</v>
      </c>
      <c r="J2377" s="27"/>
      <c r="K2377" s="99"/>
      <c r="L2377" s="27">
        <f>125192/2</f>
        <v>62596</v>
      </c>
      <c r="M2377" s="29">
        <f t="shared" ref="M2377:M2388" si="340">H2377-L2377-J2377-K2377</f>
        <v>49294</v>
      </c>
      <c r="N2377" s="27">
        <f t="shared" ref="N2377:N2378" si="341">M2377</f>
        <v>49294</v>
      </c>
      <c r="O2377" s="44">
        <f t="shared" ref="O2377:O2389" si="342">M2377/H2377</f>
        <v>0.44055769058897132</v>
      </c>
    </row>
    <row r="2378" spans="1:15" ht="20.100000000000001" customHeight="1" x14ac:dyDescent="0.25">
      <c r="A2378" s="89">
        <v>381</v>
      </c>
      <c r="B2378" s="4">
        <v>44693</v>
      </c>
      <c r="C2378" s="5" t="s">
        <v>520</v>
      </c>
      <c r="D2378" s="3">
        <v>1106370</v>
      </c>
      <c r="E2378" s="4">
        <v>44705</v>
      </c>
      <c r="F2378" s="92" t="s">
        <v>28</v>
      </c>
      <c r="G2378" s="32">
        <v>44707</v>
      </c>
      <c r="H2378" s="27">
        <v>553185</v>
      </c>
      <c r="I2378" s="27">
        <f t="shared" si="339"/>
        <v>553185</v>
      </c>
      <c r="J2378" s="27"/>
      <c r="K2378" s="99"/>
      <c r="L2378" s="27">
        <f>625572/2</f>
        <v>312786</v>
      </c>
      <c r="M2378" s="29">
        <f t="shared" si="340"/>
        <v>240399</v>
      </c>
      <c r="N2378" s="27">
        <f t="shared" si="341"/>
        <v>240399</v>
      </c>
      <c r="O2378" s="44">
        <f t="shared" si="342"/>
        <v>0.43457252094688031</v>
      </c>
    </row>
    <row r="2379" spans="1:15" ht="20.100000000000001" customHeight="1" x14ac:dyDescent="0.25">
      <c r="A2379" s="89">
        <v>197</v>
      </c>
      <c r="B2379" s="4">
        <v>44643</v>
      </c>
      <c r="C2379" s="26" t="s">
        <v>56</v>
      </c>
      <c r="D2379" s="3">
        <v>41430</v>
      </c>
      <c r="E2379" s="4">
        <v>44706</v>
      </c>
      <c r="F2379" s="92" t="s">
        <v>28</v>
      </c>
      <c r="G2379" s="32">
        <v>44679</v>
      </c>
      <c r="H2379" s="27">
        <f t="shared" ref="H2379:H2386" si="343">D2379</f>
        <v>41430</v>
      </c>
      <c r="I2379" s="27"/>
      <c r="J2379" s="27"/>
      <c r="K2379" s="99">
        <v>1200</v>
      </c>
      <c r="L2379" s="27">
        <v>18645</v>
      </c>
      <c r="M2379" s="29">
        <f t="shared" si="340"/>
        <v>21585</v>
      </c>
      <c r="N2379" s="29"/>
      <c r="O2379" s="44">
        <f t="shared" si="342"/>
        <v>0.52099927588703843</v>
      </c>
    </row>
    <row r="2380" spans="1:15" ht="20.100000000000001" customHeight="1" x14ac:dyDescent="0.25">
      <c r="A2380" s="89">
        <v>231</v>
      </c>
      <c r="B2380" s="4">
        <v>44650</v>
      </c>
      <c r="C2380" s="26" t="s">
        <v>56</v>
      </c>
      <c r="D2380" s="3">
        <v>68040</v>
      </c>
      <c r="E2380" s="4">
        <v>44706</v>
      </c>
      <c r="F2380" s="92" t="s">
        <v>28</v>
      </c>
      <c r="G2380" s="32">
        <v>44679</v>
      </c>
      <c r="H2380" s="27">
        <f t="shared" si="343"/>
        <v>68040</v>
      </c>
      <c r="I2380" s="27"/>
      <c r="J2380" s="27"/>
      <c r="K2380" s="99"/>
      <c r="L2380" s="27">
        <v>37627</v>
      </c>
      <c r="M2380" s="29">
        <f t="shared" si="340"/>
        <v>30413</v>
      </c>
      <c r="N2380" s="29"/>
      <c r="O2380" s="44">
        <f t="shared" si="342"/>
        <v>0.44698706643151087</v>
      </c>
    </row>
    <row r="2381" spans="1:15" ht="20.100000000000001" customHeight="1" x14ac:dyDescent="0.25">
      <c r="A2381" s="89">
        <v>243</v>
      </c>
      <c r="B2381" s="4">
        <v>44662</v>
      </c>
      <c r="C2381" s="26" t="s">
        <v>65</v>
      </c>
      <c r="D2381" s="3">
        <v>378331.2</v>
      </c>
      <c r="E2381" s="4">
        <v>44707</v>
      </c>
      <c r="F2381" s="92" t="s">
        <v>28</v>
      </c>
      <c r="G2381" s="32">
        <v>44680</v>
      </c>
      <c r="H2381" s="27">
        <v>128793.60000000001</v>
      </c>
      <c r="I2381" s="27"/>
      <c r="J2381" s="27"/>
      <c r="K2381" s="99">
        <f>1200*16</f>
        <v>19200</v>
      </c>
      <c r="L2381" s="27">
        <v>39344</v>
      </c>
      <c r="M2381" s="29">
        <f t="shared" si="340"/>
        <v>70249.600000000006</v>
      </c>
      <c r="N2381" s="29"/>
      <c r="O2381" s="44">
        <f t="shared" si="342"/>
        <v>0.54544325183860065</v>
      </c>
    </row>
    <row r="2382" spans="1:15" ht="19.5" customHeight="1" x14ac:dyDescent="0.25">
      <c r="A2382" s="89">
        <v>405</v>
      </c>
      <c r="B2382" s="4">
        <v>44701</v>
      </c>
      <c r="C2382" s="26" t="s">
        <v>519</v>
      </c>
      <c r="D2382" s="3">
        <v>19855</v>
      </c>
      <c r="E2382" s="4">
        <v>44708</v>
      </c>
      <c r="F2382" s="92" t="s">
        <v>28</v>
      </c>
      <c r="G2382" s="32">
        <v>44701</v>
      </c>
      <c r="H2382" s="27">
        <f t="shared" si="343"/>
        <v>19855</v>
      </c>
      <c r="I2382" s="27"/>
      <c r="J2382" s="27"/>
      <c r="K2382" s="99"/>
      <c r="L2382" s="27">
        <v>10308</v>
      </c>
      <c r="M2382" s="29">
        <f t="shared" si="340"/>
        <v>9547</v>
      </c>
      <c r="N2382" s="29"/>
      <c r="O2382" s="44">
        <f t="shared" si="342"/>
        <v>0.48083606144547975</v>
      </c>
    </row>
    <row r="2383" spans="1:15" ht="19.5" customHeight="1" x14ac:dyDescent="0.25">
      <c r="A2383" s="89">
        <v>196</v>
      </c>
      <c r="B2383" s="4">
        <v>44643</v>
      </c>
      <c r="C2383" s="26" t="s">
        <v>99</v>
      </c>
      <c r="D2383" s="3">
        <v>303400</v>
      </c>
      <c r="E2383" s="4">
        <v>44708</v>
      </c>
      <c r="F2383" s="92" t="s">
        <v>28</v>
      </c>
      <c r="G2383" s="32">
        <v>44679</v>
      </c>
      <c r="H2383" s="27">
        <f t="shared" si="343"/>
        <v>303400</v>
      </c>
      <c r="I2383" s="27"/>
      <c r="J2383" s="27">
        <f>20*3000</f>
        <v>60000</v>
      </c>
      <c r="K2383" s="99">
        <f>20*600</f>
        <v>12000</v>
      </c>
      <c r="L2383" s="27">
        <v>79014.2</v>
      </c>
      <c r="M2383" s="29">
        <f t="shared" si="340"/>
        <v>152385.79999999999</v>
      </c>
      <c r="N2383" s="29"/>
      <c r="O2383" s="44">
        <f t="shared" si="342"/>
        <v>0.50226038233355308</v>
      </c>
    </row>
    <row r="2384" spans="1:15" ht="20.100000000000001" customHeight="1" x14ac:dyDescent="0.25">
      <c r="A2384" s="89">
        <v>397</v>
      </c>
      <c r="B2384" s="4">
        <v>44699</v>
      </c>
      <c r="C2384" s="26" t="s">
        <v>13</v>
      </c>
      <c r="D2384" s="3">
        <v>32100</v>
      </c>
      <c r="E2384" s="4">
        <v>44712</v>
      </c>
      <c r="F2384" s="92" t="s">
        <v>28</v>
      </c>
      <c r="G2384" s="32">
        <v>44706</v>
      </c>
      <c r="H2384" s="27">
        <v>18105</v>
      </c>
      <c r="I2384" s="27"/>
      <c r="J2384" s="27"/>
      <c r="K2384" s="99"/>
      <c r="L2384" s="27">
        <v>11101</v>
      </c>
      <c r="M2384" s="29">
        <f t="shared" si="340"/>
        <v>7004</v>
      </c>
      <c r="N2384" s="29"/>
      <c r="O2384" s="44">
        <f t="shared" si="342"/>
        <v>0.38685446009389673</v>
      </c>
    </row>
    <row r="2385" spans="1:15" ht="19.5" customHeight="1" x14ac:dyDescent="0.25">
      <c r="A2385" s="89">
        <v>446</v>
      </c>
      <c r="B2385" s="4">
        <v>44711</v>
      </c>
      <c r="C2385" s="26" t="s">
        <v>12</v>
      </c>
      <c r="D2385" s="3">
        <v>250</v>
      </c>
      <c r="E2385" s="4">
        <v>44712</v>
      </c>
      <c r="F2385" s="92" t="s">
        <v>28</v>
      </c>
      <c r="G2385" s="32">
        <v>44714</v>
      </c>
      <c r="H2385" s="27">
        <f t="shared" si="343"/>
        <v>250</v>
      </c>
      <c r="I2385" s="27"/>
      <c r="J2385" s="27"/>
      <c r="K2385" s="99"/>
      <c r="L2385" s="27">
        <v>52</v>
      </c>
      <c r="M2385" s="29">
        <f t="shared" si="340"/>
        <v>198</v>
      </c>
      <c r="N2385" s="29"/>
      <c r="O2385" s="44">
        <f t="shared" si="342"/>
        <v>0.79200000000000004</v>
      </c>
    </row>
    <row r="2386" spans="1:15" ht="19.5" customHeight="1" x14ac:dyDescent="0.25">
      <c r="A2386" s="89">
        <v>427</v>
      </c>
      <c r="B2386" s="4">
        <v>44706</v>
      </c>
      <c r="C2386" s="26" t="s">
        <v>455</v>
      </c>
      <c r="D2386" s="3">
        <v>24100</v>
      </c>
      <c r="E2386" s="4">
        <v>44712</v>
      </c>
      <c r="F2386" s="92" t="s">
        <v>28</v>
      </c>
      <c r="G2386" s="32">
        <v>44719</v>
      </c>
      <c r="H2386" s="27">
        <f t="shared" si="343"/>
        <v>24100</v>
      </c>
      <c r="I2386" s="27"/>
      <c r="J2386" s="27"/>
      <c r="K2386" s="99"/>
      <c r="L2386" s="27">
        <v>14427</v>
      </c>
      <c r="M2386" s="29">
        <f t="shared" si="340"/>
        <v>9673</v>
      </c>
      <c r="N2386" s="29"/>
      <c r="O2386" s="44">
        <f t="shared" si="342"/>
        <v>0.40136929460580911</v>
      </c>
    </row>
    <row r="2387" spans="1:15" ht="20.100000000000001" customHeight="1" x14ac:dyDescent="0.25">
      <c r="A2387" s="89">
        <v>370</v>
      </c>
      <c r="B2387" s="4">
        <v>44693</v>
      </c>
      <c r="C2387" s="5" t="s">
        <v>520</v>
      </c>
      <c r="D2387" s="3">
        <v>223780</v>
      </c>
      <c r="E2387" s="4">
        <v>44712</v>
      </c>
      <c r="F2387" s="92" t="s">
        <v>28</v>
      </c>
      <c r="G2387" s="32">
        <v>44707</v>
      </c>
      <c r="H2387" s="27">
        <v>111890</v>
      </c>
      <c r="I2387" s="27">
        <f t="shared" ref="I2387:I2388" si="344">H2387</f>
        <v>111890</v>
      </c>
      <c r="J2387" s="27"/>
      <c r="K2387" s="99"/>
      <c r="L2387" s="27">
        <f>125192/2</f>
        <v>62596</v>
      </c>
      <c r="M2387" s="29">
        <f t="shared" si="340"/>
        <v>49294</v>
      </c>
      <c r="N2387" s="27">
        <f t="shared" ref="N2387:N2388" si="345">M2387</f>
        <v>49294</v>
      </c>
      <c r="O2387" s="44">
        <f t="shared" si="342"/>
        <v>0.44055769058897132</v>
      </c>
    </row>
    <row r="2388" spans="1:15" ht="20.100000000000001" customHeight="1" x14ac:dyDescent="0.25">
      <c r="A2388" s="89">
        <v>381</v>
      </c>
      <c r="B2388" s="4">
        <v>44693</v>
      </c>
      <c r="C2388" s="5" t="s">
        <v>520</v>
      </c>
      <c r="D2388" s="3">
        <v>1106370</v>
      </c>
      <c r="E2388" s="4">
        <v>44712</v>
      </c>
      <c r="F2388" s="92" t="s">
        <v>28</v>
      </c>
      <c r="G2388" s="32">
        <v>44707</v>
      </c>
      <c r="H2388" s="27">
        <v>553185</v>
      </c>
      <c r="I2388" s="27">
        <f t="shared" si="344"/>
        <v>553185</v>
      </c>
      <c r="J2388" s="27"/>
      <c r="K2388" s="99"/>
      <c r="L2388" s="27">
        <f>625572/2</f>
        <v>312786</v>
      </c>
      <c r="M2388" s="29">
        <f t="shared" si="340"/>
        <v>240399</v>
      </c>
      <c r="N2388" s="27">
        <f t="shared" si="345"/>
        <v>240399</v>
      </c>
      <c r="O2388" s="44">
        <f t="shared" si="342"/>
        <v>0.43457252094688031</v>
      </c>
    </row>
    <row r="2389" spans="1:15" ht="19.5" customHeight="1" x14ac:dyDescent="0.25">
      <c r="A2389" s="89"/>
      <c r="B2389" s="4"/>
      <c r="C2389" s="5"/>
      <c r="D2389" s="3"/>
      <c r="E2389" s="97">
        <v>194220</v>
      </c>
      <c r="F2389" s="98">
        <f>M2389*0.17+N2389*0.06</f>
        <v>194219.318</v>
      </c>
      <c r="G2389" s="21">
        <f>H2389*0.05+I2389*0.02</f>
        <v>129863.48000000001</v>
      </c>
      <c r="H2389" s="16">
        <f t="shared" ref="H2389:N2389" si="346">SUM(H2367:H2388)</f>
        <v>2065209.6</v>
      </c>
      <c r="I2389" s="16">
        <f t="shared" si="346"/>
        <v>1330150</v>
      </c>
      <c r="J2389" s="16">
        <f t="shared" si="346"/>
        <v>60000</v>
      </c>
      <c r="K2389" s="16">
        <f t="shared" si="346"/>
        <v>32400</v>
      </c>
      <c r="L2389" s="16">
        <f t="shared" si="346"/>
        <v>1034832.2</v>
      </c>
      <c r="M2389" s="16">
        <f t="shared" si="346"/>
        <v>937977.39999999991</v>
      </c>
      <c r="N2389" s="16">
        <f t="shared" si="346"/>
        <v>579386</v>
      </c>
      <c r="O2389" s="44">
        <f t="shared" si="342"/>
        <v>0.45418024398104673</v>
      </c>
    </row>
    <row r="2390" spans="1:15" ht="23.25" x14ac:dyDescent="0.35">
      <c r="B2390" s="94"/>
      <c r="C2390" s="94" t="s">
        <v>640</v>
      </c>
    </row>
    <row r="2391" spans="1:15" ht="19.5" customHeight="1" x14ac:dyDescent="0.25">
      <c r="A2391" s="89">
        <v>437</v>
      </c>
      <c r="B2391" s="4">
        <v>44708</v>
      </c>
      <c r="C2391" s="26" t="s">
        <v>311</v>
      </c>
      <c r="D2391" s="3">
        <v>10050</v>
      </c>
      <c r="E2391" s="4">
        <v>44713</v>
      </c>
      <c r="F2391" s="92" t="s">
        <v>28</v>
      </c>
      <c r="G2391" s="4">
        <v>44708</v>
      </c>
      <c r="H2391" s="27">
        <f t="shared" ref="H2391:H2393" si="347">D2391</f>
        <v>10050</v>
      </c>
      <c r="I2391" s="27"/>
      <c r="J2391" s="27"/>
      <c r="K2391" s="99"/>
      <c r="L2391" s="27">
        <v>6567</v>
      </c>
      <c r="M2391" s="29">
        <f t="shared" ref="M2391:M2394" si="348">H2391-L2391-J2391-K2391</f>
        <v>3483</v>
      </c>
      <c r="N2391" s="29"/>
      <c r="O2391" s="44">
        <f t="shared" ref="O2391:O2394" si="349">M2391/H2391</f>
        <v>0.34656716417910449</v>
      </c>
    </row>
    <row r="2392" spans="1:15" ht="19.5" customHeight="1" x14ac:dyDescent="0.25">
      <c r="A2392" s="89">
        <v>453</v>
      </c>
      <c r="B2392" s="4">
        <v>44712</v>
      </c>
      <c r="C2392" s="26" t="s">
        <v>470</v>
      </c>
      <c r="D2392" s="3">
        <v>61099</v>
      </c>
      <c r="E2392" s="4">
        <v>44714</v>
      </c>
      <c r="F2392" s="92" t="s">
        <v>28</v>
      </c>
      <c r="G2392" s="32">
        <v>44718</v>
      </c>
      <c r="H2392" s="27">
        <f t="shared" si="347"/>
        <v>61099</v>
      </c>
      <c r="I2392" s="27"/>
      <c r="J2392" s="27"/>
      <c r="K2392" s="99"/>
      <c r="L2392" s="27">
        <v>41784</v>
      </c>
      <c r="M2392" s="29">
        <f t="shared" si="348"/>
        <v>19315</v>
      </c>
      <c r="N2392" s="29"/>
      <c r="O2392" s="44">
        <f t="shared" si="349"/>
        <v>0.31612628684593858</v>
      </c>
    </row>
    <row r="2393" spans="1:15" ht="19.5" customHeight="1" x14ac:dyDescent="0.25">
      <c r="A2393" s="89">
        <v>426</v>
      </c>
      <c r="B2393" s="4">
        <v>44705</v>
      </c>
      <c r="C2393" s="26" t="s">
        <v>508</v>
      </c>
      <c r="D2393" s="3">
        <v>18700</v>
      </c>
      <c r="E2393" s="4">
        <v>44718</v>
      </c>
      <c r="F2393" s="92" t="s">
        <v>28</v>
      </c>
      <c r="G2393" s="32">
        <v>44728</v>
      </c>
      <c r="H2393" s="27">
        <f t="shared" si="347"/>
        <v>18700</v>
      </c>
      <c r="I2393" s="27"/>
      <c r="J2393" s="27"/>
      <c r="K2393" s="99"/>
      <c r="L2393" s="27">
        <v>5870</v>
      </c>
      <c r="M2393" s="29">
        <f t="shared" si="348"/>
        <v>12830</v>
      </c>
      <c r="N2393" s="29"/>
      <c r="O2393" s="44">
        <f t="shared" si="349"/>
        <v>0.68609625668449203</v>
      </c>
    </row>
    <row r="2394" spans="1:15" ht="20.100000000000001" customHeight="1" x14ac:dyDescent="0.25">
      <c r="A2394" s="89">
        <v>116</v>
      </c>
      <c r="B2394" s="4">
        <v>44670</v>
      </c>
      <c r="C2394" s="26" t="s">
        <v>517</v>
      </c>
      <c r="D2394" s="3">
        <v>96440</v>
      </c>
      <c r="E2394" s="4">
        <v>44719</v>
      </c>
      <c r="F2394" s="92" t="s">
        <v>28</v>
      </c>
      <c r="G2394" s="4">
        <v>44714</v>
      </c>
      <c r="H2394" s="27">
        <v>85470</v>
      </c>
      <c r="I2394" s="27"/>
      <c r="J2394" s="27"/>
      <c r="K2394" s="99"/>
      <c r="L2394" s="27">
        <v>48886</v>
      </c>
      <c r="M2394" s="29">
        <f t="shared" si="348"/>
        <v>36584</v>
      </c>
      <c r="N2394" s="29"/>
      <c r="O2394" s="44">
        <f t="shared" si="349"/>
        <v>0.42803322803322802</v>
      </c>
    </row>
    <row r="2395" spans="1:15" ht="20.100000000000001" customHeight="1" x14ac:dyDescent="0.25">
      <c r="A2395" s="89">
        <v>494</v>
      </c>
      <c r="B2395" s="4">
        <v>44719</v>
      </c>
      <c r="C2395" s="26" t="s">
        <v>149</v>
      </c>
      <c r="D2395" s="3">
        <v>5280</v>
      </c>
      <c r="E2395" s="4">
        <v>44720</v>
      </c>
      <c r="F2395" s="92" t="s">
        <v>28</v>
      </c>
      <c r="G2395" s="32">
        <v>44742</v>
      </c>
      <c r="H2395" s="27">
        <f>D2395</f>
        <v>5280</v>
      </c>
      <c r="I2395" s="27"/>
      <c r="J2395" s="27"/>
      <c r="K2395" s="99"/>
      <c r="L2395" s="27">
        <v>4118</v>
      </c>
      <c r="M2395" s="29">
        <f>H2395-L2395-J2395-K2395</f>
        <v>1162</v>
      </c>
      <c r="N2395" s="29"/>
      <c r="O2395" s="44">
        <f>M2395/H2395</f>
        <v>0.22007575757575756</v>
      </c>
    </row>
    <row r="2396" spans="1:15" ht="20.100000000000001" customHeight="1" x14ac:dyDescent="0.25">
      <c r="A2396" s="89">
        <v>186</v>
      </c>
      <c r="B2396" s="4">
        <v>44718</v>
      </c>
      <c r="C2396" s="26" t="s">
        <v>516</v>
      </c>
      <c r="D2396" s="3">
        <v>90063</v>
      </c>
      <c r="E2396" s="4">
        <v>44721</v>
      </c>
      <c r="F2396" s="92" t="s">
        <v>28</v>
      </c>
      <c r="G2396" s="32">
        <v>44721</v>
      </c>
      <c r="H2396" s="27">
        <v>75952</v>
      </c>
      <c r="I2396" s="27"/>
      <c r="J2396" s="27"/>
      <c r="K2396" s="99"/>
      <c r="L2396" s="27">
        <v>61549</v>
      </c>
      <c r="M2396" s="29">
        <f>H2396-L2396-J2396-K2396</f>
        <v>14403</v>
      </c>
      <c r="N2396" s="29"/>
      <c r="O2396" s="44">
        <f>M2396/H2396</f>
        <v>0.1896329260585633</v>
      </c>
    </row>
    <row r="2397" spans="1:15" ht="20.100000000000001" customHeight="1" x14ac:dyDescent="0.25">
      <c r="A2397" s="89">
        <v>243</v>
      </c>
      <c r="B2397" s="4">
        <v>44662</v>
      </c>
      <c r="C2397" s="26" t="s">
        <v>65</v>
      </c>
      <c r="D2397" s="3">
        <v>378331.2</v>
      </c>
      <c r="E2397" s="4">
        <v>44721</v>
      </c>
      <c r="F2397" s="92" t="s">
        <v>28</v>
      </c>
      <c r="G2397" s="32">
        <v>44680</v>
      </c>
      <c r="H2397" s="27">
        <v>48297.599999999999</v>
      </c>
      <c r="I2397" s="27"/>
      <c r="J2397" s="27"/>
      <c r="K2397" s="99">
        <f>6*1200</f>
        <v>7200</v>
      </c>
      <c r="L2397" s="27">
        <v>14757</v>
      </c>
      <c r="M2397" s="29">
        <f t="shared" ref="M2397:M2407" si="350">H2397-L2397-J2397-K2397</f>
        <v>26340.6</v>
      </c>
      <c r="N2397" s="29"/>
      <c r="O2397" s="44">
        <f t="shared" ref="O2397:O2408" si="351">M2397/H2397</f>
        <v>0.5453811369509044</v>
      </c>
    </row>
    <row r="2398" spans="1:15" ht="20.100000000000001" customHeight="1" x14ac:dyDescent="0.25">
      <c r="A2398" s="89">
        <v>423</v>
      </c>
      <c r="B2398" s="4">
        <v>44705</v>
      </c>
      <c r="C2398" s="26" t="s">
        <v>302</v>
      </c>
      <c r="D2398" s="3">
        <v>13580</v>
      </c>
      <c r="E2398" s="4">
        <v>44722</v>
      </c>
      <c r="F2398" s="92" t="s">
        <v>28</v>
      </c>
      <c r="G2398" s="32">
        <v>44719</v>
      </c>
      <c r="H2398" s="27">
        <f>D2398</f>
        <v>13580</v>
      </c>
      <c r="I2398" s="27"/>
      <c r="J2398" s="27"/>
      <c r="K2398" s="99"/>
      <c r="L2398" s="27">
        <v>11598</v>
      </c>
      <c r="M2398" s="29">
        <f t="shared" si="350"/>
        <v>1982</v>
      </c>
      <c r="N2398" s="29"/>
      <c r="O2398" s="44">
        <f t="shared" si="351"/>
        <v>0.14594992636229751</v>
      </c>
    </row>
    <row r="2399" spans="1:15" ht="20.100000000000001" customHeight="1" x14ac:dyDescent="0.25">
      <c r="A2399" s="89">
        <v>491</v>
      </c>
      <c r="B2399" s="4">
        <v>44719</v>
      </c>
      <c r="C2399" s="26" t="s">
        <v>13</v>
      </c>
      <c r="D2399" s="3">
        <v>26750</v>
      </c>
      <c r="E2399" s="4">
        <v>44727</v>
      </c>
      <c r="F2399" s="92" t="s">
        <v>28</v>
      </c>
      <c r="G2399" s="32">
        <v>44719</v>
      </c>
      <c r="H2399" s="27">
        <f t="shared" ref="H2399:H2401" si="352">D2399</f>
        <v>26750</v>
      </c>
      <c r="I2399" s="27"/>
      <c r="J2399" s="27"/>
      <c r="K2399" s="99"/>
      <c r="L2399" s="27">
        <v>17915</v>
      </c>
      <c r="M2399" s="29">
        <f t="shared" si="350"/>
        <v>8835</v>
      </c>
      <c r="N2399" s="29"/>
      <c r="O2399" s="44">
        <f t="shared" si="351"/>
        <v>0.33028037383177572</v>
      </c>
    </row>
    <row r="2400" spans="1:15" ht="20.100000000000001" customHeight="1" x14ac:dyDescent="0.25">
      <c r="A2400" s="89">
        <v>283</v>
      </c>
      <c r="B2400" s="4">
        <v>44665</v>
      </c>
      <c r="C2400" s="26" t="s">
        <v>56</v>
      </c>
      <c r="D2400" s="3">
        <v>144470</v>
      </c>
      <c r="E2400" s="4">
        <v>44727</v>
      </c>
      <c r="F2400" s="92" t="s">
        <v>28</v>
      </c>
      <c r="G2400" s="32">
        <v>44711</v>
      </c>
      <c r="H2400" s="27">
        <f t="shared" si="352"/>
        <v>144470</v>
      </c>
      <c r="I2400" s="27"/>
      <c r="J2400" s="27"/>
      <c r="K2400" s="99"/>
      <c r="L2400" s="27">
        <v>73277</v>
      </c>
      <c r="M2400" s="29">
        <f t="shared" si="350"/>
        <v>71193</v>
      </c>
      <c r="N2400" s="29"/>
      <c r="O2400" s="44">
        <f t="shared" si="351"/>
        <v>0.49278742991624558</v>
      </c>
    </row>
    <row r="2401" spans="1:15" ht="20.100000000000001" customHeight="1" x14ac:dyDescent="0.25">
      <c r="A2401" s="89">
        <v>477</v>
      </c>
      <c r="B2401" s="4">
        <v>44715</v>
      </c>
      <c r="C2401" s="26" t="s">
        <v>91</v>
      </c>
      <c r="D2401" s="3">
        <v>12150</v>
      </c>
      <c r="E2401" s="4">
        <v>44729</v>
      </c>
      <c r="F2401" s="92" t="s">
        <v>28</v>
      </c>
      <c r="G2401" s="32">
        <v>44735</v>
      </c>
      <c r="H2401" s="27">
        <f t="shared" si="352"/>
        <v>12150</v>
      </c>
      <c r="I2401" s="27"/>
      <c r="J2401" s="27"/>
      <c r="K2401" s="99"/>
      <c r="L2401" s="27">
        <f>3583*3</f>
        <v>10749</v>
      </c>
      <c r="M2401" s="29">
        <f t="shared" si="350"/>
        <v>1401</v>
      </c>
      <c r="N2401" s="29"/>
      <c r="O2401" s="44">
        <f t="shared" si="351"/>
        <v>0.11530864197530864</v>
      </c>
    </row>
    <row r="2402" spans="1:15" ht="20.100000000000001" customHeight="1" x14ac:dyDescent="0.25">
      <c r="A2402" s="89">
        <v>243</v>
      </c>
      <c r="B2402" s="4">
        <v>44662</v>
      </c>
      <c r="C2402" s="26" t="s">
        <v>65</v>
      </c>
      <c r="D2402" s="3">
        <v>378331.2</v>
      </c>
      <c r="E2402" s="4">
        <v>44733</v>
      </c>
      <c r="F2402" s="92" t="s">
        <v>28</v>
      </c>
      <c r="G2402" s="32">
        <v>44711</v>
      </c>
      <c r="H2402" s="27">
        <v>201240</v>
      </c>
      <c r="I2402" s="27"/>
      <c r="J2402" s="27"/>
      <c r="K2402" s="99"/>
      <c r="L2402" s="27">
        <f>70313+25*500</f>
        <v>82813</v>
      </c>
      <c r="M2402" s="29">
        <f t="shared" si="350"/>
        <v>118427</v>
      </c>
      <c r="N2402" s="29"/>
      <c r="O2402" s="44">
        <f t="shared" si="351"/>
        <v>0.58848638441661694</v>
      </c>
    </row>
    <row r="2403" spans="1:15" ht="20.100000000000001" customHeight="1" x14ac:dyDescent="0.25">
      <c r="A2403" s="89">
        <v>513</v>
      </c>
      <c r="B2403" s="4">
        <v>44726</v>
      </c>
      <c r="C2403" s="26" t="s">
        <v>520</v>
      </c>
      <c r="D2403" s="3">
        <v>559450</v>
      </c>
      <c r="E2403" s="4">
        <v>44733</v>
      </c>
      <c r="F2403" s="92" t="s">
        <v>28</v>
      </c>
      <c r="G2403" s="32">
        <v>44733</v>
      </c>
      <c r="H2403" s="27">
        <v>279725</v>
      </c>
      <c r="I2403" s="27"/>
      <c r="J2403" s="27"/>
      <c r="K2403" s="99"/>
      <c r="L2403" s="27">
        <f>312980/2</f>
        <v>156490</v>
      </c>
      <c r="M2403" s="29">
        <f t="shared" si="350"/>
        <v>123235</v>
      </c>
      <c r="N2403" s="29"/>
      <c r="O2403" s="44">
        <f t="shared" si="351"/>
        <v>0.44055769058897132</v>
      </c>
    </row>
    <row r="2404" spans="1:15" ht="20.100000000000001" customHeight="1" x14ac:dyDescent="0.25">
      <c r="A2404" s="89">
        <v>565</v>
      </c>
      <c r="B2404" s="4">
        <v>44735</v>
      </c>
      <c r="C2404" s="26" t="s">
        <v>467</v>
      </c>
      <c r="D2404" s="3">
        <v>93290</v>
      </c>
      <c r="E2404" s="4">
        <v>44741</v>
      </c>
      <c r="F2404" s="92" t="s">
        <v>28</v>
      </c>
      <c r="G2404" s="32">
        <v>44747</v>
      </c>
      <c r="H2404" s="27">
        <f t="shared" ref="H2404:H2406" si="353">D2404</f>
        <v>93290</v>
      </c>
      <c r="I2404" s="27"/>
      <c r="J2404" s="27"/>
      <c r="K2404" s="99"/>
      <c r="L2404" s="27">
        <v>58304</v>
      </c>
      <c r="M2404" s="29">
        <f t="shared" si="350"/>
        <v>34986</v>
      </c>
      <c r="N2404" s="29"/>
      <c r="O2404" s="44">
        <f t="shared" si="351"/>
        <v>0.37502411834065819</v>
      </c>
    </row>
    <row r="2405" spans="1:15" ht="20.100000000000001" customHeight="1" x14ac:dyDescent="0.25">
      <c r="A2405" s="89">
        <v>535</v>
      </c>
      <c r="B2405" s="4">
        <v>44729</v>
      </c>
      <c r="C2405" s="26" t="s">
        <v>77</v>
      </c>
      <c r="D2405" s="3">
        <v>4800</v>
      </c>
      <c r="E2405" s="4">
        <v>44742</v>
      </c>
      <c r="F2405" s="92" t="s">
        <v>28</v>
      </c>
      <c r="G2405" s="32">
        <v>44729</v>
      </c>
      <c r="H2405" s="27">
        <f t="shared" si="353"/>
        <v>4800</v>
      </c>
      <c r="I2405" s="27"/>
      <c r="J2405" s="27"/>
      <c r="K2405" s="99"/>
      <c r="L2405" s="27">
        <v>3282</v>
      </c>
      <c r="M2405" s="29">
        <f t="shared" si="350"/>
        <v>1518</v>
      </c>
      <c r="N2405" s="29"/>
      <c r="O2405" s="44">
        <f t="shared" si="351"/>
        <v>0.31624999999999998</v>
      </c>
    </row>
    <row r="2406" spans="1:15" ht="20.100000000000001" customHeight="1" x14ac:dyDescent="0.25">
      <c r="A2406" s="89">
        <v>587</v>
      </c>
      <c r="B2406" s="4">
        <v>44742</v>
      </c>
      <c r="C2406" s="26" t="s">
        <v>404</v>
      </c>
      <c r="D2406" s="3">
        <v>5260</v>
      </c>
      <c r="E2406" s="4">
        <v>44742</v>
      </c>
      <c r="F2406" s="92" t="s">
        <v>28</v>
      </c>
      <c r="G2406" s="32">
        <v>44743</v>
      </c>
      <c r="H2406" s="27">
        <f t="shared" si="353"/>
        <v>5260</v>
      </c>
      <c r="I2406" s="27"/>
      <c r="J2406" s="27"/>
      <c r="K2406" s="99"/>
      <c r="L2406" s="27">
        <v>3364</v>
      </c>
      <c r="M2406" s="29">
        <f t="shared" si="350"/>
        <v>1896</v>
      </c>
      <c r="N2406" s="29"/>
      <c r="O2406" s="44">
        <f t="shared" si="351"/>
        <v>0.36045627376425854</v>
      </c>
    </row>
    <row r="2407" spans="1:15" ht="20.100000000000001" customHeight="1" x14ac:dyDescent="0.25">
      <c r="A2407" s="89">
        <v>513</v>
      </c>
      <c r="B2407" s="4">
        <v>44726</v>
      </c>
      <c r="C2407" s="26" t="s">
        <v>520</v>
      </c>
      <c r="D2407" s="3">
        <v>559450</v>
      </c>
      <c r="E2407" s="4">
        <v>44742</v>
      </c>
      <c r="F2407" s="92" t="s">
        <v>28</v>
      </c>
      <c r="G2407" s="32">
        <v>44733</v>
      </c>
      <c r="H2407" s="27">
        <v>279725</v>
      </c>
      <c r="I2407" s="27"/>
      <c r="J2407" s="27"/>
      <c r="K2407" s="99"/>
      <c r="L2407" s="27">
        <f>312980/2</f>
        <v>156490</v>
      </c>
      <c r="M2407" s="29">
        <f t="shared" si="350"/>
        <v>123235</v>
      </c>
      <c r="N2407" s="29"/>
      <c r="O2407" s="44">
        <f t="shared" si="351"/>
        <v>0.44055769058897132</v>
      </c>
    </row>
    <row r="2408" spans="1:15" ht="19.5" customHeight="1" x14ac:dyDescent="0.25">
      <c r="A2408" s="89"/>
      <c r="B2408" s="4"/>
      <c r="C2408" s="5"/>
      <c r="D2408" s="3"/>
      <c r="E2408" s="97">
        <v>102141</v>
      </c>
      <c r="F2408" s="98">
        <f>M2408*0.17+N2408*0.06</f>
        <v>102140.352</v>
      </c>
      <c r="G2408" s="21">
        <f>H2408*0.05+I2408*0.02</f>
        <v>68291.930000000008</v>
      </c>
      <c r="H2408" s="16">
        <f t="shared" ref="H2408:N2408" si="354">SUM(H2391:H2407)</f>
        <v>1365838.6</v>
      </c>
      <c r="I2408" s="16">
        <f t="shared" si="354"/>
        <v>0</v>
      </c>
      <c r="J2408" s="16">
        <f t="shared" si="354"/>
        <v>0</v>
      </c>
      <c r="K2408" s="16">
        <f t="shared" si="354"/>
        <v>7200</v>
      </c>
      <c r="L2408" s="16">
        <f t="shared" si="354"/>
        <v>757813</v>
      </c>
      <c r="M2408" s="16">
        <f t="shared" si="354"/>
        <v>600825.59999999998</v>
      </c>
      <c r="N2408" s="16">
        <f t="shared" si="354"/>
        <v>0</v>
      </c>
      <c r="O2408" s="44">
        <f t="shared" si="351"/>
        <v>0.43989502127118091</v>
      </c>
    </row>
    <row r="2409" spans="1:15" ht="23.25" x14ac:dyDescent="0.35">
      <c r="B2409" s="94"/>
      <c r="C2409" s="94" t="s">
        <v>641</v>
      </c>
    </row>
    <row r="2410" spans="1:15" ht="19.5" customHeight="1" x14ac:dyDescent="0.25">
      <c r="A2410" s="89">
        <v>594</v>
      </c>
      <c r="B2410" s="4">
        <v>44743</v>
      </c>
      <c r="C2410" s="26" t="s">
        <v>521</v>
      </c>
      <c r="D2410" s="3">
        <v>8000</v>
      </c>
      <c r="E2410" s="4">
        <v>44743</v>
      </c>
      <c r="F2410" s="92" t="s">
        <v>28</v>
      </c>
      <c r="G2410" s="32">
        <v>44743</v>
      </c>
      <c r="H2410" s="27">
        <f t="shared" ref="H2410:H2423" si="355">D2410</f>
        <v>8000</v>
      </c>
      <c r="I2410" s="27"/>
      <c r="J2410" s="27"/>
      <c r="K2410" s="99">
        <v>600</v>
      </c>
      <c r="L2410" s="27">
        <v>2616</v>
      </c>
      <c r="M2410" s="29">
        <f t="shared" ref="M2410:M2423" si="356">H2410-L2410-J2410-K2410</f>
        <v>4784</v>
      </c>
      <c r="N2410" s="29"/>
      <c r="O2410" s="44">
        <f t="shared" ref="O2410:O2424" si="357">M2410/H2410</f>
        <v>0.59799999999999998</v>
      </c>
    </row>
    <row r="2411" spans="1:15" ht="19.5" customHeight="1" x14ac:dyDescent="0.25">
      <c r="A2411" s="89">
        <v>580</v>
      </c>
      <c r="B2411" s="4">
        <v>44740</v>
      </c>
      <c r="C2411" s="26" t="s">
        <v>270</v>
      </c>
      <c r="D2411" s="3">
        <v>5310</v>
      </c>
      <c r="E2411" s="4">
        <v>44743</v>
      </c>
      <c r="F2411" s="92" t="s">
        <v>28</v>
      </c>
      <c r="G2411" s="32">
        <v>44743</v>
      </c>
      <c r="H2411" s="27">
        <f t="shared" si="355"/>
        <v>5310</v>
      </c>
      <c r="I2411" s="27"/>
      <c r="J2411" s="27"/>
      <c r="K2411" s="99"/>
      <c r="L2411" s="27">
        <f t="shared" ref="L2411" si="358">H2411</f>
        <v>5310</v>
      </c>
      <c r="M2411" s="29">
        <f t="shared" si="356"/>
        <v>0</v>
      </c>
      <c r="N2411" s="29"/>
      <c r="O2411" s="44">
        <f t="shared" si="357"/>
        <v>0</v>
      </c>
    </row>
    <row r="2412" spans="1:15" ht="20.100000000000001" customHeight="1" x14ac:dyDescent="0.25">
      <c r="A2412" s="89">
        <v>509</v>
      </c>
      <c r="B2412" s="4">
        <v>44722</v>
      </c>
      <c r="C2412" s="26" t="s">
        <v>275</v>
      </c>
      <c r="D2412" s="3">
        <v>171290</v>
      </c>
      <c r="E2412" s="4">
        <v>44746</v>
      </c>
      <c r="F2412" s="92" t="s">
        <v>28</v>
      </c>
      <c r="G2412" s="32">
        <v>44732</v>
      </c>
      <c r="H2412" s="27">
        <f t="shared" si="355"/>
        <v>171290</v>
      </c>
      <c r="I2412" s="27"/>
      <c r="J2412" s="27"/>
      <c r="K2412" s="99"/>
      <c r="L2412" s="27">
        <v>160000</v>
      </c>
      <c r="M2412" s="29">
        <f t="shared" si="356"/>
        <v>11290</v>
      </c>
      <c r="N2412" s="29"/>
      <c r="O2412" s="44">
        <f t="shared" si="357"/>
        <v>6.5911611886274743E-2</v>
      </c>
    </row>
    <row r="2413" spans="1:15" ht="19.5" customHeight="1" x14ac:dyDescent="0.25">
      <c r="A2413" s="89">
        <v>320</v>
      </c>
      <c r="B2413" s="4">
        <v>44676</v>
      </c>
      <c r="C2413" s="26" t="s">
        <v>99</v>
      </c>
      <c r="D2413" s="3">
        <v>187500</v>
      </c>
      <c r="E2413" s="4">
        <v>44748</v>
      </c>
      <c r="F2413" s="92" t="s">
        <v>28</v>
      </c>
      <c r="G2413" s="32">
        <v>44711</v>
      </c>
      <c r="H2413" s="27">
        <f t="shared" si="355"/>
        <v>187500</v>
      </c>
      <c r="I2413" s="27"/>
      <c r="J2413" s="27">
        <f>3000*15</f>
        <v>45000</v>
      </c>
      <c r="K2413" s="99"/>
      <c r="L2413" s="27">
        <f>30600+15*500</f>
        <v>38100</v>
      </c>
      <c r="M2413" s="29">
        <f t="shared" si="356"/>
        <v>104400</v>
      </c>
      <c r="N2413" s="29"/>
      <c r="O2413" s="44">
        <f t="shared" si="357"/>
        <v>0.55679999999999996</v>
      </c>
    </row>
    <row r="2414" spans="1:15" ht="19.5" customHeight="1" x14ac:dyDescent="0.25">
      <c r="A2414" s="89">
        <v>378</v>
      </c>
      <c r="B2414" s="4">
        <v>44693</v>
      </c>
      <c r="C2414" s="26" t="s">
        <v>99</v>
      </c>
      <c r="D2414" s="3">
        <v>185000</v>
      </c>
      <c r="E2414" s="4">
        <v>44748</v>
      </c>
      <c r="F2414" s="92" t="s">
        <v>28</v>
      </c>
      <c r="G2414" s="32">
        <v>44711</v>
      </c>
      <c r="H2414" s="27">
        <f t="shared" si="355"/>
        <v>185000</v>
      </c>
      <c r="I2414" s="27"/>
      <c r="J2414" s="27">
        <f>3000*12</f>
        <v>36000</v>
      </c>
      <c r="K2414" s="99"/>
      <c r="L2414" s="27">
        <f>27790+12*500</f>
        <v>33790</v>
      </c>
      <c r="M2414" s="29">
        <f t="shared" si="356"/>
        <v>115210</v>
      </c>
      <c r="N2414" s="29"/>
      <c r="O2414" s="44">
        <f t="shared" si="357"/>
        <v>0.62275675675675679</v>
      </c>
    </row>
    <row r="2415" spans="1:15" ht="19.5" customHeight="1" x14ac:dyDescent="0.25">
      <c r="A2415" s="89">
        <v>392</v>
      </c>
      <c r="B2415" s="4">
        <v>44698</v>
      </c>
      <c r="C2415" s="26" t="s">
        <v>99</v>
      </c>
      <c r="D2415" s="3">
        <v>217500</v>
      </c>
      <c r="E2415" s="4">
        <v>44748</v>
      </c>
      <c r="F2415" s="92" t="s">
        <v>28</v>
      </c>
      <c r="G2415" s="32">
        <v>44711</v>
      </c>
      <c r="H2415" s="27">
        <f t="shared" si="355"/>
        <v>217500</v>
      </c>
      <c r="I2415" s="27"/>
      <c r="J2415" s="27">
        <f>3000*15</f>
        <v>45000</v>
      </c>
      <c r="K2415" s="99"/>
      <c r="L2415" s="27">
        <v>27405</v>
      </c>
      <c r="M2415" s="29">
        <f t="shared" si="356"/>
        <v>145095</v>
      </c>
      <c r="N2415" s="29"/>
      <c r="O2415" s="44">
        <f t="shared" si="357"/>
        <v>0.6671034482758621</v>
      </c>
    </row>
    <row r="2416" spans="1:15" ht="19.5" customHeight="1" x14ac:dyDescent="0.25">
      <c r="A2416" s="89">
        <v>589</v>
      </c>
      <c r="B2416" s="4">
        <v>44742</v>
      </c>
      <c r="C2416" s="26" t="s">
        <v>453</v>
      </c>
      <c r="D2416" s="3">
        <v>20450</v>
      </c>
      <c r="E2416" s="4">
        <v>44749</v>
      </c>
      <c r="F2416" s="92" t="s">
        <v>28</v>
      </c>
      <c r="G2416" s="32">
        <v>44750</v>
      </c>
      <c r="H2416" s="27">
        <f t="shared" si="355"/>
        <v>20450</v>
      </c>
      <c r="I2416" s="27"/>
      <c r="J2416" s="27"/>
      <c r="K2416" s="99">
        <v>600</v>
      </c>
      <c r="L2416" s="27">
        <v>3922</v>
      </c>
      <c r="M2416" s="29">
        <f t="shared" si="356"/>
        <v>15928</v>
      </c>
      <c r="N2416" s="29"/>
      <c r="O2416" s="44">
        <f t="shared" si="357"/>
        <v>0.77887530562347185</v>
      </c>
    </row>
    <row r="2417" spans="1:15" ht="20.100000000000001" customHeight="1" x14ac:dyDescent="0.25">
      <c r="A2417" s="89">
        <v>637</v>
      </c>
      <c r="B2417" s="4">
        <v>44757</v>
      </c>
      <c r="C2417" s="26" t="s">
        <v>147</v>
      </c>
      <c r="D2417" s="3">
        <v>9600</v>
      </c>
      <c r="E2417" s="4">
        <v>44757</v>
      </c>
      <c r="F2417" s="92" t="s">
        <v>28</v>
      </c>
      <c r="G2417" s="32">
        <v>44760</v>
      </c>
      <c r="H2417" s="27">
        <f t="shared" si="355"/>
        <v>9600</v>
      </c>
      <c r="I2417" s="27"/>
      <c r="J2417" s="27"/>
      <c r="K2417" s="99"/>
      <c r="L2417" s="27">
        <f>936*4</f>
        <v>3744</v>
      </c>
      <c r="M2417" s="29">
        <f t="shared" si="356"/>
        <v>5856</v>
      </c>
      <c r="N2417" s="29"/>
      <c r="O2417" s="44">
        <f t="shared" si="357"/>
        <v>0.61</v>
      </c>
    </row>
    <row r="2418" spans="1:15" ht="20.100000000000001" customHeight="1" x14ac:dyDescent="0.25">
      <c r="A2418" s="89">
        <v>502</v>
      </c>
      <c r="B2418" s="4">
        <v>44720</v>
      </c>
      <c r="C2418" s="26" t="s">
        <v>162</v>
      </c>
      <c r="D2418" s="3">
        <v>104360</v>
      </c>
      <c r="E2418" s="4">
        <v>44761</v>
      </c>
      <c r="F2418" s="92" t="s">
        <v>28</v>
      </c>
      <c r="G2418" s="32">
        <v>44735</v>
      </c>
      <c r="H2418" s="27">
        <f t="shared" si="355"/>
        <v>104360</v>
      </c>
      <c r="I2418" s="27"/>
      <c r="J2418" s="27"/>
      <c r="K2418" s="99">
        <v>600</v>
      </c>
      <c r="L2418" s="27">
        <v>71891</v>
      </c>
      <c r="M2418" s="29">
        <f t="shared" si="356"/>
        <v>31869</v>
      </c>
      <c r="N2418" s="29"/>
      <c r="O2418" s="44">
        <f t="shared" si="357"/>
        <v>0.30537562284400155</v>
      </c>
    </row>
    <row r="2419" spans="1:15" ht="20.100000000000001" customHeight="1" x14ac:dyDescent="0.25">
      <c r="A2419" s="89">
        <v>404</v>
      </c>
      <c r="B2419" s="4">
        <v>44701</v>
      </c>
      <c r="C2419" s="26" t="s">
        <v>166</v>
      </c>
      <c r="D2419" s="3">
        <v>37490</v>
      </c>
      <c r="E2419" s="4">
        <v>44762</v>
      </c>
      <c r="F2419" s="92" t="s">
        <v>28</v>
      </c>
      <c r="G2419" s="32">
        <v>44769</v>
      </c>
      <c r="H2419" s="27">
        <f t="shared" si="355"/>
        <v>37490</v>
      </c>
      <c r="I2419" s="27"/>
      <c r="J2419" s="27"/>
      <c r="K2419" s="99"/>
      <c r="L2419" s="27">
        <f>9920+17456</f>
        <v>27376</v>
      </c>
      <c r="M2419" s="29">
        <f t="shared" si="356"/>
        <v>10114</v>
      </c>
      <c r="N2419" s="29"/>
      <c r="O2419" s="44">
        <f t="shared" si="357"/>
        <v>0.26977860762870098</v>
      </c>
    </row>
    <row r="2420" spans="1:15" ht="20.100000000000001" customHeight="1" x14ac:dyDescent="0.25">
      <c r="A2420" s="89">
        <v>661</v>
      </c>
      <c r="B2420" s="4">
        <v>44763</v>
      </c>
      <c r="C2420" s="26" t="s">
        <v>149</v>
      </c>
      <c r="D2420" s="3">
        <v>10030</v>
      </c>
      <c r="E2420" s="4">
        <v>44764</v>
      </c>
      <c r="F2420" s="92" t="s">
        <v>28</v>
      </c>
      <c r="G2420" s="32">
        <v>44764</v>
      </c>
      <c r="H2420" s="27">
        <f t="shared" si="355"/>
        <v>10030</v>
      </c>
      <c r="I2420" s="27"/>
      <c r="J2420" s="27"/>
      <c r="K2420" s="99"/>
      <c r="L2420" s="27">
        <f>390*4+1338*3</f>
        <v>5574</v>
      </c>
      <c r="M2420" s="29">
        <f t="shared" si="356"/>
        <v>4456</v>
      </c>
      <c r="N2420" s="29"/>
      <c r="O2420" s="44">
        <f t="shared" si="357"/>
        <v>0.44426719840478562</v>
      </c>
    </row>
    <row r="2421" spans="1:15" ht="20.100000000000001" customHeight="1" x14ac:dyDescent="0.25">
      <c r="A2421" s="89">
        <v>669</v>
      </c>
      <c r="B2421" s="4">
        <v>44764</v>
      </c>
      <c r="C2421" s="5" t="s">
        <v>522</v>
      </c>
      <c r="D2421" s="3">
        <v>3800</v>
      </c>
      <c r="E2421" s="4">
        <v>44764</v>
      </c>
      <c r="F2421" s="92" t="s">
        <v>28</v>
      </c>
      <c r="G2421" s="32">
        <v>44767</v>
      </c>
      <c r="H2421" s="27">
        <f t="shared" si="355"/>
        <v>3800</v>
      </c>
      <c r="I2421" s="27">
        <f t="shared" ref="I2421" si="359">H2421</f>
        <v>3800</v>
      </c>
      <c r="J2421" s="27"/>
      <c r="K2421" s="99"/>
      <c r="L2421" s="27">
        <v>2964</v>
      </c>
      <c r="M2421" s="29">
        <f t="shared" si="356"/>
        <v>836</v>
      </c>
      <c r="N2421" s="27">
        <f t="shared" ref="N2421" si="360">M2421</f>
        <v>836</v>
      </c>
      <c r="O2421" s="44">
        <f t="shared" si="357"/>
        <v>0.22</v>
      </c>
    </row>
    <row r="2422" spans="1:15" ht="20.100000000000001" customHeight="1" x14ac:dyDescent="0.25">
      <c r="A2422" s="89">
        <v>662</v>
      </c>
      <c r="B2422" s="4">
        <v>44763</v>
      </c>
      <c r="C2422" s="26" t="s">
        <v>16</v>
      </c>
      <c r="D2422" s="3">
        <v>43600</v>
      </c>
      <c r="E2422" s="4">
        <v>44764</v>
      </c>
      <c r="F2422" s="92" t="s">
        <v>28</v>
      </c>
      <c r="G2422" s="32">
        <v>44764</v>
      </c>
      <c r="H2422" s="27">
        <f t="shared" si="355"/>
        <v>43600</v>
      </c>
      <c r="I2422" s="27"/>
      <c r="J2422" s="27"/>
      <c r="K2422" s="99"/>
      <c r="L2422" s="27">
        <v>27620</v>
      </c>
      <c r="M2422" s="29">
        <f t="shared" si="356"/>
        <v>15980</v>
      </c>
      <c r="N2422" s="29"/>
      <c r="O2422" s="44">
        <f t="shared" si="357"/>
        <v>0.36651376146788989</v>
      </c>
    </row>
    <row r="2423" spans="1:15" ht="20.100000000000001" customHeight="1" x14ac:dyDescent="0.25">
      <c r="A2423" s="89">
        <v>671</v>
      </c>
      <c r="B2423" s="4">
        <v>44764</v>
      </c>
      <c r="C2423" s="26" t="s">
        <v>16</v>
      </c>
      <c r="D2423" s="3">
        <v>23940</v>
      </c>
      <c r="E2423" s="4">
        <v>44770</v>
      </c>
      <c r="F2423" s="92" t="s">
        <v>28</v>
      </c>
      <c r="G2423" s="32">
        <v>44785</v>
      </c>
      <c r="H2423" s="27">
        <f t="shared" si="355"/>
        <v>23940</v>
      </c>
      <c r="I2423" s="27"/>
      <c r="J2423" s="27"/>
      <c r="K2423" s="99"/>
      <c r="L2423" s="27">
        <f>9337*2</f>
        <v>18674</v>
      </c>
      <c r="M2423" s="29">
        <f t="shared" si="356"/>
        <v>5266</v>
      </c>
      <c r="N2423" s="29"/>
      <c r="O2423" s="44">
        <f t="shared" si="357"/>
        <v>0.21996658312447787</v>
      </c>
    </row>
    <row r="2424" spans="1:15" ht="19.5" customHeight="1" x14ac:dyDescent="0.25">
      <c r="A2424" s="89"/>
      <c r="B2424" s="4"/>
      <c r="C2424" s="5"/>
      <c r="D2424" s="3"/>
      <c r="E2424" s="97">
        <v>80084</v>
      </c>
      <c r="F2424" s="98">
        <f>M2424*0.17+N2424*0.06</f>
        <v>80134.44</v>
      </c>
      <c r="G2424" s="21">
        <f>H2424*0.05+I2424*0.02</f>
        <v>51469.5</v>
      </c>
      <c r="H2424" s="16">
        <f t="shared" ref="H2424:N2424" si="361">SUM(H2410:H2423)</f>
        <v>1027870</v>
      </c>
      <c r="I2424" s="16">
        <f t="shared" si="361"/>
        <v>3800</v>
      </c>
      <c r="J2424" s="16">
        <f t="shared" si="361"/>
        <v>126000</v>
      </c>
      <c r="K2424" s="16">
        <f t="shared" si="361"/>
        <v>1800</v>
      </c>
      <c r="L2424" s="16">
        <f t="shared" si="361"/>
        <v>428986</v>
      </c>
      <c r="M2424" s="16">
        <f t="shared" si="361"/>
        <v>471084</v>
      </c>
      <c r="N2424" s="16">
        <f t="shared" si="361"/>
        <v>836</v>
      </c>
      <c r="O2424" s="44">
        <f t="shared" si="357"/>
        <v>0.45831087588897429</v>
      </c>
    </row>
    <row r="2425" spans="1:15" ht="23.25" x14ac:dyDescent="0.35">
      <c r="B2425" s="94"/>
      <c r="C2425" s="94" t="s">
        <v>642</v>
      </c>
    </row>
    <row r="2426" spans="1:15" ht="20.100000000000001" customHeight="1" x14ac:dyDescent="0.25">
      <c r="A2426" s="89">
        <v>551</v>
      </c>
      <c r="B2426" s="4">
        <v>44733</v>
      </c>
      <c r="C2426" s="26" t="s">
        <v>275</v>
      </c>
      <c r="D2426" s="3">
        <v>2500</v>
      </c>
      <c r="E2426" s="4">
        <v>44774</v>
      </c>
      <c r="F2426" s="92" t="s">
        <v>28</v>
      </c>
      <c r="G2426" s="32">
        <v>44741</v>
      </c>
      <c r="H2426" s="27">
        <f t="shared" ref="H2426:H2433" si="362">D2426</f>
        <v>2500</v>
      </c>
      <c r="I2426" s="27"/>
      <c r="J2426" s="27"/>
      <c r="K2426" s="99"/>
      <c r="L2426" s="27">
        <v>1391</v>
      </c>
      <c r="M2426" s="29">
        <f t="shared" ref="M2426:M2452" si="363">H2426-L2426-J2426-K2426</f>
        <v>1109</v>
      </c>
      <c r="N2426" s="29"/>
      <c r="O2426" s="44">
        <f t="shared" ref="O2426:O2452" si="364">M2426/H2426</f>
        <v>0.44359999999999999</v>
      </c>
    </row>
    <row r="2427" spans="1:15" ht="20.100000000000001" customHeight="1" x14ac:dyDescent="0.25">
      <c r="A2427" s="89">
        <v>712</v>
      </c>
      <c r="B2427" s="4">
        <v>44775</v>
      </c>
      <c r="C2427" s="26" t="s">
        <v>14</v>
      </c>
      <c r="D2427" s="3">
        <v>9860</v>
      </c>
      <c r="E2427" s="4">
        <v>44775</v>
      </c>
      <c r="F2427" s="92" t="s">
        <v>28</v>
      </c>
      <c r="G2427" s="32">
        <v>44776</v>
      </c>
      <c r="H2427" s="27">
        <f t="shared" si="362"/>
        <v>9860</v>
      </c>
      <c r="I2427" s="27"/>
      <c r="J2427" s="27"/>
      <c r="K2427" s="99"/>
      <c r="L2427" s="27">
        <f>4053.13*2</f>
        <v>8106.26</v>
      </c>
      <c r="M2427" s="29">
        <f t="shared" si="363"/>
        <v>1753.7399999999998</v>
      </c>
      <c r="N2427" s="29"/>
      <c r="O2427" s="44">
        <f t="shared" si="364"/>
        <v>0.17786409736308315</v>
      </c>
    </row>
    <row r="2428" spans="1:15" ht="20.100000000000001" customHeight="1" x14ac:dyDescent="0.25">
      <c r="A2428" s="89">
        <v>713</v>
      </c>
      <c r="B2428" s="4">
        <v>44775</v>
      </c>
      <c r="C2428" s="26" t="s">
        <v>14</v>
      </c>
      <c r="D2428" s="3">
        <v>2180</v>
      </c>
      <c r="E2428" s="4">
        <v>44775</v>
      </c>
      <c r="F2428" s="92" t="s">
        <v>28</v>
      </c>
      <c r="G2428" s="32">
        <v>44776</v>
      </c>
      <c r="H2428" s="27">
        <f t="shared" si="362"/>
        <v>2180</v>
      </c>
      <c r="I2428" s="27"/>
      <c r="J2428" s="27"/>
      <c r="K2428" s="99"/>
      <c r="L2428" s="27">
        <f>951*2</f>
        <v>1902</v>
      </c>
      <c r="M2428" s="29">
        <f t="shared" si="363"/>
        <v>278</v>
      </c>
      <c r="N2428" s="29"/>
      <c r="O2428" s="44">
        <f t="shared" si="364"/>
        <v>0.12752293577981652</v>
      </c>
    </row>
    <row r="2429" spans="1:15" ht="20.100000000000001" customHeight="1" x14ac:dyDescent="0.25">
      <c r="A2429" s="89">
        <v>715</v>
      </c>
      <c r="B2429" s="4">
        <v>44775</v>
      </c>
      <c r="C2429" s="26" t="s">
        <v>77</v>
      </c>
      <c r="D2429" s="3">
        <v>7200</v>
      </c>
      <c r="E2429" s="4">
        <v>44777</v>
      </c>
      <c r="F2429" s="92" t="s">
        <v>28</v>
      </c>
      <c r="G2429" s="32">
        <v>44778</v>
      </c>
      <c r="H2429" s="27">
        <f t="shared" si="362"/>
        <v>7200</v>
      </c>
      <c r="I2429" s="27"/>
      <c r="J2429" s="27"/>
      <c r="K2429" s="99"/>
      <c r="L2429" s="27">
        <f>1641*3</f>
        <v>4923</v>
      </c>
      <c r="M2429" s="29">
        <f t="shared" si="363"/>
        <v>2277</v>
      </c>
      <c r="N2429" s="29"/>
      <c r="O2429" s="44">
        <f t="shared" si="364"/>
        <v>0.31624999999999998</v>
      </c>
    </row>
    <row r="2430" spans="1:15" ht="20.100000000000001" customHeight="1" x14ac:dyDescent="0.25">
      <c r="A2430" s="89">
        <v>723</v>
      </c>
      <c r="B2430" s="4">
        <v>44776</v>
      </c>
      <c r="C2430" s="26" t="s">
        <v>523</v>
      </c>
      <c r="D2430" s="3">
        <v>4930</v>
      </c>
      <c r="E2430" s="4">
        <v>44781</v>
      </c>
      <c r="F2430" s="92" t="s">
        <v>28</v>
      </c>
      <c r="G2430" s="32">
        <v>44782</v>
      </c>
      <c r="H2430" s="27">
        <f t="shared" si="362"/>
        <v>4930</v>
      </c>
      <c r="I2430" s="27"/>
      <c r="J2430" s="27"/>
      <c r="K2430" s="99"/>
      <c r="L2430" s="27">
        <v>4286</v>
      </c>
      <c r="M2430" s="29">
        <f t="shared" si="363"/>
        <v>644</v>
      </c>
      <c r="N2430" s="29"/>
      <c r="O2430" s="44">
        <f t="shared" si="364"/>
        <v>0.1306288032454361</v>
      </c>
    </row>
    <row r="2431" spans="1:15" ht="20.100000000000001" customHeight="1" x14ac:dyDescent="0.25">
      <c r="A2431" s="89">
        <v>668</v>
      </c>
      <c r="B2431" s="4">
        <v>44734</v>
      </c>
      <c r="C2431" s="26" t="s">
        <v>13</v>
      </c>
      <c r="D2431" s="3">
        <v>26750</v>
      </c>
      <c r="E2431" s="4">
        <v>44781</v>
      </c>
      <c r="F2431" s="92" t="s">
        <v>28</v>
      </c>
      <c r="G2431" s="32">
        <v>44764</v>
      </c>
      <c r="H2431" s="27">
        <f t="shared" si="362"/>
        <v>26750</v>
      </c>
      <c r="I2431" s="27"/>
      <c r="J2431" s="27"/>
      <c r="K2431" s="99"/>
      <c r="L2431" s="27">
        <v>17915</v>
      </c>
      <c r="M2431" s="29">
        <f t="shared" si="363"/>
        <v>8835</v>
      </c>
      <c r="N2431" s="29"/>
      <c r="O2431" s="44">
        <f t="shared" si="364"/>
        <v>0.33028037383177572</v>
      </c>
    </row>
    <row r="2432" spans="1:15" ht="20.100000000000001" customHeight="1" x14ac:dyDescent="0.25">
      <c r="A2432" s="89">
        <v>1314</v>
      </c>
      <c r="B2432" s="4">
        <v>44923</v>
      </c>
      <c r="C2432" s="26" t="s">
        <v>13</v>
      </c>
      <c r="D2432" s="3">
        <v>310040</v>
      </c>
      <c r="E2432" s="4">
        <v>44781</v>
      </c>
      <c r="F2432" s="92" t="s">
        <v>28</v>
      </c>
      <c r="G2432" s="32">
        <v>44764</v>
      </c>
      <c r="H2432" s="27">
        <v>13995</v>
      </c>
      <c r="I2432" s="27"/>
      <c r="J2432" s="27"/>
      <c r="K2432" s="99"/>
      <c r="L2432" s="27">
        <v>11715</v>
      </c>
      <c r="M2432" s="29">
        <f t="shared" si="363"/>
        <v>2280</v>
      </c>
      <c r="N2432" s="29"/>
      <c r="O2432" s="44">
        <f t="shared" si="364"/>
        <v>0.16291532690246516</v>
      </c>
    </row>
    <row r="2433" spans="1:15" ht="20.100000000000001" customHeight="1" x14ac:dyDescent="0.25">
      <c r="A2433" s="89">
        <v>738</v>
      </c>
      <c r="B2433" s="4">
        <v>44781</v>
      </c>
      <c r="C2433" s="26" t="s">
        <v>404</v>
      </c>
      <c r="D2433" s="3">
        <v>10520</v>
      </c>
      <c r="E2433" s="4">
        <v>44781</v>
      </c>
      <c r="F2433" s="92" t="s">
        <v>28</v>
      </c>
      <c r="G2433" s="32">
        <v>44782</v>
      </c>
      <c r="H2433" s="27">
        <f t="shared" si="362"/>
        <v>10520</v>
      </c>
      <c r="I2433" s="27"/>
      <c r="J2433" s="27"/>
      <c r="K2433" s="99"/>
      <c r="L2433" s="27">
        <f>1753*4</f>
        <v>7012</v>
      </c>
      <c r="M2433" s="29">
        <f t="shared" si="363"/>
        <v>3508</v>
      </c>
      <c r="N2433" s="29"/>
      <c r="O2433" s="44">
        <f t="shared" si="364"/>
        <v>0.33346007604562738</v>
      </c>
    </row>
    <row r="2434" spans="1:15" ht="20.100000000000001" customHeight="1" x14ac:dyDescent="0.25">
      <c r="A2434" s="89">
        <v>729</v>
      </c>
      <c r="B2434" s="4">
        <v>44777</v>
      </c>
      <c r="C2434" s="26" t="s">
        <v>520</v>
      </c>
      <c r="D2434" s="3">
        <v>700701</v>
      </c>
      <c r="E2434" s="4">
        <v>44784</v>
      </c>
      <c r="F2434" s="92" t="s">
        <v>28</v>
      </c>
      <c r="G2434" s="32">
        <v>44788</v>
      </c>
      <c r="H2434" s="27">
        <f>D2434/2</f>
        <v>350350.5</v>
      </c>
      <c r="I2434" s="27"/>
      <c r="J2434" s="27"/>
      <c r="K2434" s="99"/>
      <c r="L2434" s="27">
        <v>208525</v>
      </c>
      <c r="M2434" s="29">
        <f t="shared" si="363"/>
        <v>141825.5</v>
      </c>
      <c r="N2434" s="29"/>
      <c r="O2434" s="44">
        <f t="shared" si="364"/>
        <v>0.40481032565958947</v>
      </c>
    </row>
    <row r="2435" spans="1:15" ht="20.100000000000001" customHeight="1" x14ac:dyDescent="0.25">
      <c r="A2435" s="89">
        <v>757</v>
      </c>
      <c r="B2435" s="4">
        <v>44785</v>
      </c>
      <c r="C2435" s="5" t="s">
        <v>524</v>
      </c>
      <c r="D2435" s="3">
        <v>77890</v>
      </c>
      <c r="E2435" s="4">
        <v>44788</v>
      </c>
      <c r="F2435" s="92" t="s">
        <v>28</v>
      </c>
      <c r="G2435" s="32">
        <v>44790</v>
      </c>
      <c r="H2435" s="27">
        <f>D2435</f>
        <v>77890</v>
      </c>
      <c r="I2435" s="27">
        <f t="shared" ref="I2435" si="365">H2435</f>
        <v>77890</v>
      </c>
      <c r="J2435" s="27"/>
      <c r="K2435" s="99"/>
      <c r="L2435" s="27">
        <v>57638</v>
      </c>
      <c r="M2435" s="29">
        <f t="shared" si="363"/>
        <v>20252</v>
      </c>
      <c r="N2435" s="27">
        <f t="shared" ref="N2435" si="366">M2435</f>
        <v>20252</v>
      </c>
      <c r="O2435" s="44">
        <f t="shared" si="364"/>
        <v>0.2600077031711388</v>
      </c>
    </row>
    <row r="2436" spans="1:15" ht="20.100000000000001" customHeight="1" x14ac:dyDescent="0.25">
      <c r="A2436" s="89">
        <v>778</v>
      </c>
      <c r="B2436" s="4">
        <v>44790</v>
      </c>
      <c r="C2436" s="26" t="s">
        <v>470</v>
      </c>
      <c r="D2436" s="3">
        <v>16070</v>
      </c>
      <c r="E2436" s="4">
        <v>44790</v>
      </c>
      <c r="F2436" s="92" t="s">
        <v>28</v>
      </c>
      <c r="G2436" s="32">
        <v>44797</v>
      </c>
      <c r="H2436" s="27">
        <f>D2436</f>
        <v>16070</v>
      </c>
      <c r="I2436" s="27"/>
      <c r="J2436" s="27"/>
      <c r="K2436" s="99"/>
      <c r="L2436" s="27">
        <f>3900+3525+1209</f>
        <v>8634</v>
      </c>
      <c r="M2436" s="29">
        <f t="shared" si="363"/>
        <v>7436</v>
      </c>
      <c r="N2436" s="29"/>
      <c r="O2436" s="44">
        <f t="shared" si="364"/>
        <v>0.46272557560672062</v>
      </c>
    </row>
    <row r="2437" spans="1:15" ht="20.100000000000001" customHeight="1" x14ac:dyDescent="0.25">
      <c r="A2437" s="89">
        <v>781</v>
      </c>
      <c r="B2437" s="4">
        <v>44790</v>
      </c>
      <c r="C2437" s="26" t="s">
        <v>372</v>
      </c>
      <c r="D2437" s="3">
        <v>8100</v>
      </c>
      <c r="E2437" s="4">
        <v>44791</v>
      </c>
      <c r="F2437" s="92" t="s">
        <v>28</v>
      </c>
      <c r="G2437" s="32">
        <v>44792</v>
      </c>
      <c r="H2437" s="27">
        <f>D2437</f>
        <v>8100</v>
      </c>
      <c r="I2437" s="27"/>
      <c r="J2437" s="27"/>
      <c r="K2437" s="99"/>
      <c r="L2437" s="27">
        <f>3179.19*2</f>
        <v>6358.38</v>
      </c>
      <c r="M2437" s="29">
        <f t="shared" si="363"/>
        <v>1741.62</v>
      </c>
      <c r="N2437" s="29"/>
      <c r="O2437" s="44">
        <f t="shared" si="364"/>
        <v>0.2150148148148148</v>
      </c>
    </row>
    <row r="2438" spans="1:15" ht="20.100000000000001" customHeight="1" x14ac:dyDescent="0.25">
      <c r="A2438" s="89">
        <v>729</v>
      </c>
      <c r="B2438" s="4">
        <v>44777</v>
      </c>
      <c r="C2438" s="26" t="s">
        <v>520</v>
      </c>
      <c r="D2438" s="3">
        <v>700701</v>
      </c>
      <c r="E2438" s="4">
        <v>44791</v>
      </c>
      <c r="F2438" s="92" t="s">
        <v>28</v>
      </c>
      <c r="G2438" s="32">
        <v>44788</v>
      </c>
      <c r="H2438" s="27">
        <f>D2438/2</f>
        <v>350350.5</v>
      </c>
      <c r="I2438" s="27"/>
      <c r="J2438" s="27"/>
      <c r="K2438" s="99"/>
      <c r="L2438" s="27">
        <v>208523</v>
      </c>
      <c r="M2438" s="29">
        <f t="shared" si="363"/>
        <v>141827.5</v>
      </c>
      <c r="N2438" s="29"/>
      <c r="O2438" s="44">
        <f t="shared" si="364"/>
        <v>0.40481603422857965</v>
      </c>
    </row>
    <row r="2439" spans="1:15" ht="20.100000000000001" customHeight="1" x14ac:dyDescent="0.25">
      <c r="A2439" s="89">
        <v>776</v>
      </c>
      <c r="B2439" s="4">
        <v>44790</v>
      </c>
      <c r="C2439" s="26" t="s">
        <v>149</v>
      </c>
      <c r="D2439" s="3">
        <v>4520</v>
      </c>
      <c r="E2439" s="4">
        <v>44792</v>
      </c>
      <c r="F2439" s="92" t="s">
        <v>28</v>
      </c>
      <c r="G2439" s="32">
        <v>44795</v>
      </c>
      <c r="H2439" s="27">
        <f t="shared" ref="H2439:H2452" si="367">D2439</f>
        <v>4520</v>
      </c>
      <c r="I2439" s="27"/>
      <c r="J2439" s="27"/>
      <c r="K2439" s="99"/>
      <c r="L2439" s="27">
        <v>3525</v>
      </c>
      <c r="M2439" s="29">
        <f t="shared" si="363"/>
        <v>995</v>
      </c>
      <c r="N2439" s="29"/>
      <c r="O2439" s="44">
        <f t="shared" si="364"/>
        <v>0.22013274336283187</v>
      </c>
    </row>
    <row r="2440" spans="1:15" ht="20.100000000000001" customHeight="1" x14ac:dyDescent="0.25">
      <c r="A2440" s="89">
        <v>777</v>
      </c>
      <c r="B2440" s="4">
        <v>44790</v>
      </c>
      <c r="C2440" s="26" t="s">
        <v>69</v>
      </c>
      <c r="D2440" s="3">
        <v>22380</v>
      </c>
      <c r="E2440" s="4">
        <v>44792</v>
      </c>
      <c r="F2440" s="92" t="s">
        <v>28</v>
      </c>
      <c r="G2440" s="32">
        <v>44824</v>
      </c>
      <c r="H2440" s="27">
        <f t="shared" si="367"/>
        <v>22380</v>
      </c>
      <c r="I2440" s="27"/>
      <c r="J2440" s="27"/>
      <c r="K2440" s="99"/>
      <c r="L2440" s="27">
        <v>17456</v>
      </c>
      <c r="M2440" s="29">
        <f t="shared" si="363"/>
        <v>4924</v>
      </c>
      <c r="N2440" s="29"/>
      <c r="O2440" s="44">
        <f t="shared" si="364"/>
        <v>0.22001787310098303</v>
      </c>
    </row>
    <row r="2441" spans="1:15" ht="20.100000000000001" customHeight="1" x14ac:dyDescent="0.25">
      <c r="A2441" s="89">
        <v>779</v>
      </c>
      <c r="B2441" s="4">
        <v>44790</v>
      </c>
      <c r="C2441" s="5" t="s">
        <v>524</v>
      </c>
      <c r="D2441" s="3">
        <v>3590</v>
      </c>
      <c r="E2441" s="4">
        <v>44792</v>
      </c>
      <c r="F2441" s="92" t="s">
        <v>28</v>
      </c>
      <c r="G2441" s="32">
        <v>44798</v>
      </c>
      <c r="H2441" s="27">
        <f t="shared" si="367"/>
        <v>3590</v>
      </c>
      <c r="I2441" s="27">
        <f t="shared" ref="I2441" si="368">H2441</f>
        <v>3590</v>
      </c>
      <c r="J2441" s="27"/>
      <c r="K2441" s="99"/>
      <c r="L2441" s="27">
        <v>2524.5</v>
      </c>
      <c r="M2441" s="29">
        <f t="shared" si="363"/>
        <v>1065.5</v>
      </c>
      <c r="N2441" s="27">
        <f t="shared" ref="N2441" si="369">M2441</f>
        <v>1065.5</v>
      </c>
      <c r="O2441" s="44">
        <f t="shared" si="364"/>
        <v>0.29679665738161559</v>
      </c>
    </row>
    <row r="2442" spans="1:15" ht="20.100000000000001" customHeight="1" x14ac:dyDescent="0.25">
      <c r="A2442" s="89">
        <v>773</v>
      </c>
      <c r="B2442" s="4">
        <v>44790</v>
      </c>
      <c r="C2442" s="26" t="s">
        <v>515</v>
      </c>
      <c r="D2442" s="3">
        <v>15400</v>
      </c>
      <c r="E2442" s="4">
        <v>44796</v>
      </c>
      <c r="F2442" s="92" t="s">
        <v>28</v>
      </c>
      <c r="G2442" s="32">
        <v>44837</v>
      </c>
      <c r="H2442" s="27">
        <f t="shared" si="367"/>
        <v>15400</v>
      </c>
      <c r="I2442" s="27"/>
      <c r="J2442" s="27"/>
      <c r="K2442" s="99"/>
      <c r="L2442" s="27">
        <f>6775*2</f>
        <v>13550</v>
      </c>
      <c r="M2442" s="29">
        <f t="shared" si="363"/>
        <v>1850</v>
      </c>
      <c r="N2442" s="29"/>
      <c r="O2442" s="44">
        <f t="shared" si="364"/>
        <v>0.12012987012987013</v>
      </c>
    </row>
    <row r="2443" spans="1:15" ht="20.100000000000001" customHeight="1" x14ac:dyDescent="0.25">
      <c r="A2443" s="89">
        <v>667</v>
      </c>
      <c r="B2443" s="4">
        <v>44796</v>
      </c>
      <c r="C2443" s="26" t="s">
        <v>525</v>
      </c>
      <c r="D2443" s="3">
        <v>367686</v>
      </c>
      <c r="E2443" s="4">
        <v>44796</v>
      </c>
      <c r="F2443" s="92" t="s">
        <v>28</v>
      </c>
      <c r="G2443" s="32">
        <v>44845</v>
      </c>
      <c r="H2443" s="27">
        <f t="shared" si="367"/>
        <v>367686</v>
      </c>
      <c r="I2443" s="27"/>
      <c r="J2443" s="27"/>
      <c r="K2443" s="99"/>
      <c r="L2443" s="27">
        <v>268407</v>
      </c>
      <c r="M2443" s="29">
        <f t="shared" si="363"/>
        <v>99279</v>
      </c>
      <c r="N2443" s="29"/>
      <c r="O2443" s="44">
        <f t="shared" si="364"/>
        <v>0.27001028051108827</v>
      </c>
    </row>
    <row r="2444" spans="1:15" ht="20.100000000000001" customHeight="1" x14ac:dyDescent="0.25">
      <c r="A2444" s="89">
        <v>792</v>
      </c>
      <c r="B2444" s="4">
        <v>44795</v>
      </c>
      <c r="C2444" s="26" t="s">
        <v>396</v>
      </c>
      <c r="D2444" s="3">
        <v>18790</v>
      </c>
      <c r="E2444" s="4">
        <v>44797</v>
      </c>
      <c r="F2444" s="92" t="s">
        <v>28</v>
      </c>
      <c r="G2444" s="32">
        <v>44823</v>
      </c>
      <c r="H2444" s="27">
        <f t="shared" si="367"/>
        <v>18790</v>
      </c>
      <c r="I2444" s="27"/>
      <c r="J2444" s="27"/>
      <c r="K2444" s="99"/>
      <c r="L2444" s="27">
        <v>13810</v>
      </c>
      <c r="M2444" s="29">
        <f t="shared" si="363"/>
        <v>4980</v>
      </c>
      <c r="N2444" s="29"/>
      <c r="O2444" s="44">
        <f t="shared" si="364"/>
        <v>0.26503459286854708</v>
      </c>
    </row>
    <row r="2445" spans="1:15" ht="20.100000000000001" customHeight="1" x14ac:dyDescent="0.25">
      <c r="A2445" s="89">
        <v>793</v>
      </c>
      <c r="B2445" s="4">
        <v>44795</v>
      </c>
      <c r="C2445" s="26" t="s">
        <v>287</v>
      </c>
      <c r="D2445" s="3">
        <v>1000</v>
      </c>
      <c r="E2445" s="4">
        <v>44797</v>
      </c>
      <c r="F2445" s="92" t="s">
        <v>28</v>
      </c>
      <c r="G2445" s="32">
        <v>44798</v>
      </c>
      <c r="H2445" s="27">
        <f t="shared" si="367"/>
        <v>1000</v>
      </c>
      <c r="I2445" s="27"/>
      <c r="J2445" s="27"/>
      <c r="K2445" s="99"/>
      <c r="L2445" s="27">
        <v>390</v>
      </c>
      <c r="M2445" s="29">
        <f t="shared" si="363"/>
        <v>610</v>
      </c>
      <c r="N2445" s="29"/>
      <c r="O2445" s="44">
        <f t="shared" si="364"/>
        <v>0.61</v>
      </c>
    </row>
    <row r="2446" spans="1:15" ht="20.100000000000001" customHeight="1" x14ac:dyDescent="0.25">
      <c r="A2446" s="89">
        <v>686</v>
      </c>
      <c r="B2446" s="4">
        <v>44782</v>
      </c>
      <c r="C2446" s="26" t="s">
        <v>11</v>
      </c>
      <c r="D2446" s="3">
        <v>1038</v>
      </c>
      <c r="E2446" s="4">
        <v>44798</v>
      </c>
      <c r="F2446" s="92" t="s">
        <v>28</v>
      </c>
      <c r="G2446" s="32">
        <v>44790</v>
      </c>
      <c r="H2446" s="27">
        <f t="shared" si="367"/>
        <v>1038</v>
      </c>
      <c r="I2446" s="27"/>
      <c r="J2446" s="27"/>
      <c r="K2446" s="99"/>
      <c r="L2446" s="27">
        <v>749</v>
      </c>
      <c r="M2446" s="29">
        <f t="shared" si="363"/>
        <v>289</v>
      </c>
      <c r="N2446" s="29"/>
      <c r="O2446" s="44">
        <f t="shared" si="364"/>
        <v>0.27842003853564545</v>
      </c>
    </row>
    <row r="2447" spans="1:15" ht="20.100000000000001" customHeight="1" x14ac:dyDescent="0.25">
      <c r="A2447" s="89">
        <v>776</v>
      </c>
      <c r="B2447" s="4">
        <v>44790</v>
      </c>
      <c r="C2447" s="26" t="s">
        <v>149</v>
      </c>
      <c r="D2447" s="3">
        <v>950</v>
      </c>
      <c r="E2447" s="4">
        <v>44798</v>
      </c>
      <c r="F2447" s="92" t="s">
        <v>28</v>
      </c>
      <c r="G2447" s="32">
        <v>44795</v>
      </c>
      <c r="H2447" s="27">
        <f t="shared" si="367"/>
        <v>950</v>
      </c>
      <c r="I2447" s="27"/>
      <c r="J2447" s="27"/>
      <c r="K2447" s="99"/>
      <c r="L2447" s="27">
        <v>120</v>
      </c>
      <c r="M2447" s="29">
        <f t="shared" si="363"/>
        <v>830</v>
      </c>
      <c r="N2447" s="29"/>
      <c r="O2447" s="44">
        <f t="shared" si="364"/>
        <v>0.87368421052631584</v>
      </c>
    </row>
    <row r="2448" spans="1:15" ht="20.100000000000001" customHeight="1" x14ac:dyDescent="0.25">
      <c r="A2448" s="89">
        <v>799</v>
      </c>
      <c r="B2448" s="4">
        <v>44796</v>
      </c>
      <c r="C2448" s="26" t="s">
        <v>372</v>
      </c>
      <c r="D2448" s="3">
        <v>3630</v>
      </c>
      <c r="E2448" s="4">
        <v>44798</v>
      </c>
      <c r="F2448" s="92" t="s">
        <v>28</v>
      </c>
      <c r="G2448" s="32">
        <v>44824</v>
      </c>
      <c r="H2448" s="27">
        <f t="shared" si="367"/>
        <v>3630</v>
      </c>
      <c r="I2448" s="27"/>
      <c r="J2448" s="27"/>
      <c r="K2448" s="99"/>
      <c r="L2448" s="27">
        <v>2831</v>
      </c>
      <c r="M2448" s="29">
        <f t="shared" si="363"/>
        <v>799</v>
      </c>
      <c r="N2448" s="29"/>
      <c r="O2448" s="44">
        <f t="shared" si="364"/>
        <v>0.22011019283746555</v>
      </c>
    </row>
    <row r="2449" spans="1:15" ht="20.100000000000001" customHeight="1" x14ac:dyDescent="0.25">
      <c r="A2449" s="89">
        <v>795</v>
      </c>
      <c r="B2449" s="4">
        <v>44795</v>
      </c>
      <c r="C2449" s="26" t="s">
        <v>520</v>
      </c>
      <c r="D2449" s="3">
        <v>44600</v>
      </c>
      <c r="E2449" s="4">
        <v>44798</v>
      </c>
      <c r="F2449" s="92" t="s">
        <v>28</v>
      </c>
      <c r="G2449" s="32">
        <v>44825</v>
      </c>
      <c r="H2449" s="27">
        <f t="shared" si="367"/>
        <v>44600</v>
      </c>
      <c r="I2449" s="27"/>
      <c r="J2449" s="27"/>
      <c r="K2449" s="99"/>
      <c r="L2449" s="27">
        <f>8697*4</f>
        <v>34788</v>
      </c>
      <c r="M2449" s="29">
        <f t="shared" si="363"/>
        <v>9812</v>
      </c>
      <c r="N2449" s="29"/>
      <c r="O2449" s="44">
        <f t="shared" si="364"/>
        <v>0.22</v>
      </c>
    </row>
    <row r="2450" spans="1:15" ht="20.100000000000001" customHeight="1" x14ac:dyDescent="0.25">
      <c r="A2450" s="89">
        <v>788</v>
      </c>
      <c r="B2450" s="4">
        <v>44795</v>
      </c>
      <c r="C2450" s="26" t="s">
        <v>186</v>
      </c>
      <c r="D2450" s="3">
        <v>6560</v>
      </c>
      <c r="E2450" s="4">
        <v>44799</v>
      </c>
      <c r="F2450" s="92" t="s">
        <v>28</v>
      </c>
      <c r="G2450" s="32">
        <v>44810</v>
      </c>
      <c r="H2450" s="27">
        <f t="shared" si="367"/>
        <v>6560</v>
      </c>
      <c r="I2450" s="27"/>
      <c r="J2450" s="27"/>
      <c r="K2450" s="99"/>
      <c r="L2450" s="27">
        <f t="shared" ref="L2450" si="370">H2450</f>
        <v>6560</v>
      </c>
      <c r="M2450" s="29">
        <f t="shared" si="363"/>
        <v>0</v>
      </c>
      <c r="N2450" s="29"/>
      <c r="O2450" s="44">
        <f t="shared" si="364"/>
        <v>0</v>
      </c>
    </row>
    <row r="2451" spans="1:15" ht="20.100000000000001" customHeight="1" x14ac:dyDescent="0.25">
      <c r="A2451" s="89">
        <v>391</v>
      </c>
      <c r="B2451" s="4">
        <v>44698</v>
      </c>
      <c r="C2451" s="26" t="s">
        <v>56</v>
      </c>
      <c r="D2451" s="3">
        <v>79620</v>
      </c>
      <c r="E2451" s="4">
        <v>44799</v>
      </c>
      <c r="F2451" s="92" t="s">
        <v>28</v>
      </c>
      <c r="G2451" s="32">
        <v>44768</v>
      </c>
      <c r="H2451" s="27">
        <f t="shared" si="367"/>
        <v>79620</v>
      </c>
      <c r="I2451" s="27"/>
      <c r="J2451" s="27"/>
      <c r="K2451" s="99"/>
      <c r="L2451" s="27">
        <v>39817.54</v>
      </c>
      <c r="M2451" s="29">
        <f t="shared" si="363"/>
        <v>39802.46</v>
      </c>
      <c r="N2451" s="29"/>
      <c r="O2451" s="44">
        <f t="shared" si="364"/>
        <v>0.49990530017583523</v>
      </c>
    </row>
    <row r="2452" spans="1:15" ht="20.100000000000001" customHeight="1" x14ac:dyDescent="0.25">
      <c r="A2452" s="89">
        <v>532</v>
      </c>
      <c r="B2452" s="4">
        <v>44729</v>
      </c>
      <c r="C2452" s="26" t="s">
        <v>56</v>
      </c>
      <c r="D2452" s="3">
        <v>81940</v>
      </c>
      <c r="E2452" s="4">
        <v>44799</v>
      </c>
      <c r="F2452" s="92" t="s">
        <v>28</v>
      </c>
      <c r="G2452" s="32">
        <v>44768</v>
      </c>
      <c r="H2452" s="27">
        <f t="shared" si="367"/>
        <v>81940</v>
      </c>
      <c r="I2452" s="27"/>
      <c r="J2452" s="27"/>
      <c r="K2452" s="99">
        <v>1200</v>
      </c>
      <c r="L2452" s="27">
        <v>39366.639999999999</v>
      </c>
      <c r="M2452" s="29">
        <f t="shared" si="363"/>
        <v>41373.360000000001</v>
      </c>
      <c r="N2452" s="29"/>
      <c r="O2452" s="44">
        <f t="shared" si="364"/>
        <v>0.50492262631193552</v>
      </c>
    </row>
    <row r="2453" spans="1:15" ht="20.100000000000001" customHeight="1" x14ac:dyDescent="0.25">
      <c r="A2453" s="89">
        <v>650</v>
      </c>
      <c r="B2453" s="4">
        <v>44761</v>
      </c>
      <c r="C2453" s="26" t="s">
        <v>56</v>
      </c>
      <c r="D2453" s="3">
        <v>6970</v>
      </c>
      <c r="E2453" s="4">
        <v>44799</v>
      </c>
      <c r="F2453" s="92" t="s">
        <v>28</v>
      </c>
      <c r="G2453" s="32">
        <v>44768</v>
      </c>
      <c r="H2453" s="27">
        <f>D2453</f>
        <v>6970</v>
      </c>
      <c r="I2453" s="27"/>
      <c r="J2453" s="27"/>
      <c r="K2453" s="99"/>
      <c r="L2453" s="27">
        <v>5026.3999999999996</v>
      </c>
      <c r="M2453" s="29">
        <f>H2453-L2453-J2453-K2453</f>
        <v>1943.6000000000004</v>
      </c>
      <c r="N2453" s="29"/>
      <c r="O2453" s="44">
        <f>M2453/H2453</f>
        <v>0.27885222381635588</v>
      </c>
    </row>
    <row r="2454" spans="1:15" ht="20.100000000000001" customHeight="1" x14ac:dyDescent="0.25">
      <c r="A2454" s="89">
        <v>764</v>
      </c>
      <c r="B2454" s="4">
        <v>44788</v>
      </c>
      <c r="C2454" s="26" t="s">
        <v>60</v>
      </c>
      <c r="D2454" s="3">
        <v>14700</v>
      </c>
      <c r="E2454" s="4">
        <v>44803</v>
      </c>
      <c r="F2454" s="92" t="s">
        <v>28</v>
      </c>
      <c r="G2454" s="32">
        <v>44789</v>
      </c>
      <c r="H2454" s="27">
        <f>D2454</f>
        <v>14700</v>
      </c>
      <c r="I2454" s="27"/>
      <c r="J2454" s="27"/>
      <c r="K2454" s="99"/>
      <c r="L2454" s="27">
        <f>1692*6</f>
        <v>10152</v>
      </c>
      <c r="M2454" s="29">
        <f>H2454-L2454-J2454-K2454</f>
        <v>4548</v>
      </c>
      <c r="N2454" s="29"/>
      <c r="O2454" s="44">
        <f>M2454/H2454</f>
        <v>0.30938775510204081</v>
      </c>
    </row>
    <row r="2455" spans="1:15" ht="19.5" customHeight="1" x14ac:dyDescent="0.25">
      <c r="A2455" s="89"/>
      <c r="B2455" s="4"/>
      <c r="C2455" s="5"/>
      <c r="D2455" s="3"/>
      <c r="E2455" s="97">
        <f>75000+19246</f>
        <v>94246</v>
      </c>
      <c r="F2455" s="98">
        <f>M2455*0.17+N2455*0.06</f>
        <v>94246.65760000002</v>
      </c>
      <c r="G2455" s="21">
        <f>H2455*0.05+I2455*0.02</f>
        <v>79333.100000000006</v>
      </c>
      <c r="H2455" s="16">
        <f t="shared" ref="H2455:N2455" si="371">SUM(H2426:H2454)</f>
        <v>1554070</v>
      </c>
      <c r="I2455" s="16">
        <f t="shared" si="371"/>
        <v>81480</v>
      </c>
      <c r="J2455" s="16">
        <f t="shared" si="371"/>
        <v>0</v>
      </c>
      <c r="K2455" s="16">
        <f t="shared" si="371"/>
        <v>1200</v>
      </c>
      <c r="L2455" s="16">
        <f t="shared" si="371"/>
        <v>1006001.7200000001</v>
      </c>
      <c r="M2455" s="16">
        <f t="shared" si="371"/>
        <v>546868.28</v>
      </c>
      <c r="N2455" s="16">
        <f t="shared" si="371"/>
        <v>21317.5</v>
      </c>
      <c r="O2455" s="44">
        <f t="shared" ref="O2455" si="372">M2455/H2455</f>
        <v>0.35189423899824335</v>
      </c>
    </row>
    <row r="2456" spans="1:15" ht="23.25" x14ac:dyDescent="0.35">
      <c r="B2456" s="94"/>
      <c r="C2456" s="94" t="s">
        <v>643</v>
      </c>
    </row>
    <row r="2457" spans="1:15" ht="20.100000000000001" customHeight="1" x14ac:dyDescent="0.25">
      <c r="A2457" s="89">
        <v>821</v>
      </c>
      <c r="B2457" s="4">
        <v>44802</v>
      </c>
      <c r="C2457" s="26" t="s">
        <v>33</v>
      </c>
      <c r="D2457" s="3">
        <v>8720</v>
      </c>
      <c r="E2457" s="4">
        <v>44805</v>
      </c>
      <c r="F2457" s="92" t="s">
        <v>28</v>
      </c>
      <c r="G2457" s="32">
        <v>44810</v>
      </c>
      <c r="H2457" s="27">
        <f t="shared" ref="H2457:H2468" si="373">D2457</f>
        <v>8720</v>
      </c>
      <c r="I2457" s="27"/>
      <c r="J2457" s="27"/>
      <c r="K2457" s="99"/>
      <c r="L2457" s="27">
        <v>6605.82</v>
      </c>
      <c r="M2457" s="29">
        <f t="shared" ref="M2457:M2470" si="374">H2457-L2457-J2457-K2457</f>
        <v>2114.1800000000003</v>
      </c>
      <c r="N2457" s="29"/>
      <c r="O2457" s="44">
        <f t="shared" ref="O2457:O2471" si="375">M2457/H2457</f>
        <v>0.24245183486238536</v>
      </c>
    </row>
    <row r="2458" spans="1:15" ht="20.100000000000001" customHeight="1" x14ac:dyDescent="0.25">
      <c r="A2458" s="89">
        <v>824</v>
      </c>
      <c r="B2458" s="4">
        <v>44803</v>
      </c>
      <c r="C2458" s="26" t="s">
        <v>481</v>
      </c>
      <c r="D2458" s="3">
        <v>7000</v>
      </c>
      <c r="E2458" s="4">
        <v>44806</v>
      </c>
      <c r="F2458" s="92" t="s">
        <v>28</v>
      </c>
      <c r="G2458" s="32">
        <v>44809</v>
      </c>
      <c r="H2458" s="27">
        <f t="shared" si="373"/>
        <v>7000</v>
      </c>
      <c r="I2458" s="27"/>
      <c r="J2458" s="27"/>
      <c r="K2458" s="99">
        <v>600</v>
      </c>
      <c r="L2458" s="27">
        <v>2022</v>
      </c>
      <c r="M2458" s="29">
        <f t="shared" si="374"/>
        <v>4378</v>
      </c>
      <c r="N2458" s="29"/>
      <c r="O2458" s="44">
        <f t="shared" si="375"/>
        <v>0.62542857142857144</v>
      </c>
    </row>
    <row r="2459" spans="1:15" ht="20.100000000000001" customHeight="1" x14ac:dyDescent="0.25">
      <c r="A2459" s="89">
        <v>831</v>
      </c>
      <c r="B2459" s="4">
        <v>44805</v>
      </c>
      <c r="C2459" s="26" t="s">
        <v>435</v>
      </c>
      <c r="D2459" s="3">
        <v>5190</v>
      </c>
      <c r="E2459" s="4">
        <v>44809</v>
      </c>
      <c r="F2459" s="92" t="s">
        <v>28</v>
      </c>
      <c r="G2459" s="32">
        <v>44827</v>
      </c>
      <c r="H2459" s="27">
        <f t="shared" si="373"/>
        <v>5190</v>
      </c>
      <c r="I2459" s="27"/>
      <c r="J2459" s="27"/>
      <c r="K2459" s="99"/>
      <c r="L2459" s="27">
        <v>2558.7199999999998</v>
      </c>
      <c r="M2459" s="29">
        <f t="shared" si="374"/>
        <v>2631.28</v>
      </c>
      <c r="N2459" s="29"/>
      <c r="O2459" s="44">
        <f t="shared" si="375"/>
        <v>0.50699036608863202</v>
      </c>
    </row>
    <row r="2460" spans="1:15" ht="20.100000000000001" customHeight="1" x14ac:dyDescent="0.25">
      <c r="A2460" s="89">
        <v>828</v>
      </c>
      <c r="B2460" s="4">
        <v>44804</v>
      </c>
      <c r="C2460" s="26" t="s">
        <v>403</v>
      </c>
      <c r="D2460" s="3">
        <v>9840</v>
      </c>
      <c r="E2460" s="4">
        <v>44809</v>
      </c>
      <c r="F2460" s="92" t="s">
        <v>28</v>
      </c>
      <c r="G2460" s="32">
        <v>44804</v>
      </c>
      <c r="H2460" s="27">
        <f t="shared" si="373"/>
        <v>9840</v>
      </c>
      <c r="I2460" s="27"/>
      <c r="J2460" s="27"/>
      <c r="K2460" s="99"/>
      <c r="L2460" s="27">
        <f>4820*2</f>
        <v>9640</v>
      </c>
      <c r="M2460" s="29">
        <f t="shared" si="374"/>
        <v>200</v>
      </c>
      <c r="N2460" s="29"/>
      <c r="O2460" s="44">
        <f t="shared" si="375"/>
        <v>2.032520325203252E-2</v>
      </c>
    </row>
    <row r="2461" spans="1:15" ht="20.100000000000001" customHeight="1" x14ac:dyDescent="0.25">
      <c r="A2461" s="89">
        <v>790</v>
      </c>
      <c r="B2461" s="4">
        <v>44795</v>
      </c>
      <c r="C2461" s="26" t="s">
        <v>526</v>
      </c>
      <c r="D2461" s="3">
        <v>17150</v>
      </c>
      <c r="E2461" s="4">
        <v>44810</v>
      </c>
      <c r="F2461" s="92" t="s">
        <v>28</v>
      </c>
      <c r="G2461" s="32">
        <v>44811</v>
      </c>
      <c r="H2461" s="27">
        <f t="shared" si="373"/>
        <v>17150</v>
      </c>
      <c r="I2461" s="27"/>
      <c r="J2461" s="27"/>
      <c r="K2461" s="99"/>
      <c r="L2461" s="27">
        <v>13992</v>
      </c>
      <c r="M2461" s="29">
        <f t="shared" si="374"/>
        <v>3158</v>
      </c>
      <c r="N2461" s="29"/>
      <c r="O2461" s="44">
        <f t="shared" si="375"/>
        <v>0.18413994169096209</v>
      </c>
    </row>
    <row r="2462" spans="1:15" ht="20.100000000000001" customHeight="1" x14ac:dyDescent="0.25">
      <c r="A2462" s="89">
        <v>832</v>
      </c>
      <c r="B2462" s="4">
        <v>44805</v>
      </c>
      <c r="C2462" s="5" t="s">
        <v>527</v>
      </c>
      <c r="D2462" s="3">
        <v>4030</v>
      </c>
      <c r="E2462" s="4">
        <v>44811</v>
      </c>
      <c r="F2462" s="92" t="s">
        <v>28</v>
      </c>
      <c r="G2462" s="32">
        <v>44805</v>
      </c>
      <c r="H2462" s="27">
        <f t="shared" si="373"/>
        <v>4030</v>
      </c>
      <c r="I2462" s="27">
        <f t="shared" ref="I2462" si="376">H2462</f>
        <v>4030</v>
      </c>
      <c r="J2462" s="27"/>
      <c r="K2462" s="99"/>
      <c r="L2462" s="27">
        <v>2009.15</v>
      </c>
      <c r="M2462" s="29">
        <f t="shared" si="374"/>
        <v>2020.85</v>
      </c>
      <c r="N2462" s="27">
        <f t="shared" ref="N2462" si="377">M2462</f>
        <v>2020.85</v>
      </c>
      <c r="O2462" s="44">
        <f t="shared" si="375"/>
        <v>0.50145161290322582</v>
      </c>
    </row>
    <row r="2463" spans="1:15" ht="20.100000000000001" customHeight="1" x14ac:dyDescent="0.25">
      <c r="A2463" s="89">
        <v>703</v>
      </c>
      <c r="B2463" s="4">
        <v>44774</v>
      </c>
      <c r="C2463" s="26" t="s">
        <v>60</v>
      </c>
      <c r="D2463" s="3">
        <v>69370</v>
      </c>
      <c r="E2463" s="4">
        <v>44811</v>
      </c>
      <c r="F2463" s="92" t="s">
        <v>28</v>
      </c>
      <c r="G2463" s="32">
        <v>44797</v>
      </c>
      <c r="H2463" s="27">
        <f t="shared" si="373"/>
        <v>69370</v>
      </c>
      <c r="I2463" s="27"/>
      <c r="J2463" s="27"/>
      <c r="K2463" s="99"/>
      <c r="L2463" s="27">
        <v>51673</v>
      </c>
      <c r="M2463" s="29">
        <f t="shared" si="374"/>
        <v>17697</v>
      </c>
      <c r="N2463" s="29"/>
      <c r="O2463" s="44">
        <f t="shared" si="375"/>
        <v>0.25511027821824994</v>
      </c>
    </row>
    <row r="2464" spans="1:15" ht="20.100000000000001" customHeight="1" x14ac:dyDescent="0.25">
      <c r="A2464" s="89">
        <v>829</v>
      </c>
      <c r="B2464" s="4">
        <v>44804</v>
      </c>
      <c r="C2464" s="26" t="s">
        <v>377</v>
      </c>
      <c r="D2464" s="3">
        <v>60020</v>
      </c>
      <c r="E2464" s="4">
        <v>44812</v>
      </c>
      <c r="F2464" s="92" t="s">
        <v>28</v>
      </c>
      <c r="G2464" s="32">
        <v>44824</v>
      </c>
      <c r="H2464" s="27">
        <f t="shared" si="373"/>
        <v>60020</v>
      </c>
      <c r="I2464" s="27"/>
      <c r="J2464" s="27"/>
      <c r="K2464" s="99"/>
      <c r="L2464" s="27">
        <v>39813</v>
      </c>
      <c r="M2464" s="29">
        <f t="shared" si="374"/>
        <v>20207</v>
      </c>
      <c r="N2464" s="29"/>
      <c r="O2464" s="44">
        <f t="shared" si="375"/>
        <v>0.33667110963012331</v>
      </c>
    </row>
    <row r="2465" spans="1:15" ht="20.100000000000001" customHeight="1" x14ac:dyDescent="0.25">
      <c r="A2465" s="89">
        <v>626</v>
      </c>
      <c r="B2465" s="4">
        <v>44755</v>
      </c>
      <c r="C2465" s="26" t="s">
        <v>56</v>
      </c>
      <c r="D2465" s="3">
        <v>84950</v>
      </c>
      <c r="E2465" s="4">
        <v>44813</v>
      </c>
      <c r="F2465" s="92" t="s">
        <v>28</v>
      </c>
      <c r="G2465" s="32">
        <v>44784</v>
      </c>
      <c r="H2465" s="27">
        <f t="shared" si="373"/>
        <v>84950</v>
      </c>
      <c r="I2465" s="27"/>
      <c r="J2465" s="27"/>
      <c r="K2465" s="99">
        <v>2400</v>
      </c>
      <c r="L2465" s="27">
        <v>33738.74</v>
      </c>
      <c r="M2465" s="29">
        <f t="shared" si="374"/>
        <v>48811.26</v>
      </c>
      <c r="N2465" s="29"/>
      <c r="O2465" s="44">
        <f t="shared" si="375"/>
        <v>0.57458811065332549</v>
      </c>
    </row>
    <row r="2466" spans="1:15" ht="20.100000000000001" customHeight="1" x14ac:dyDescent="0.25">
      <c r="A2466" s="89">
        <v>443</v>
      </c>
      <c r="B2466" s="4">
        <v>44774</v>
      </c>
      <c r="C2466" s="26" t="s">
        <v>275</v>
      </c>
      <c r="D2466" s="3">
        <v>399886</v>
      </c>
      <c r="E2466" s="4">
        <v>44818</v>
      </c>
      <c r="F2466" s="92" t="s">
        <v>28</v>
      </c>
      <c r="G2466" s="32">
        <v>44785</v>
      </c>
      <c r="H2466" s="27">
        <f t="shared" si="373"/>
        <v>399886</v>
      </c>
      <c r="I2466" s="27"/>
      <c r="J2466" s="27"/>
      <c r="K2466" s="99"/>
      <c r="L2466" s="27">
        <v>329747</v>
      </c>
      <c r="M2466" s="29">
        <f t="shared" si="374"/>
        <v>70139</v>
      </c>
      <c r="N2466" s="29"/>
      <c r="O2466" s="44">
        <f t="shared" si="375"/>
        <v>0.17539748828416099</v>
      </c>
    </row>
    <row r="2467" spans="1:15" ht="20.100000000000001" customHeight="1" x14ac:dyDescent="0.25">
      <c r="A2467" s="89">
        <v>635</v>
      </c>
      <c r="B2467" s="4">
        <v>44757</v>
      </c>
      <c r="C2467" s="26" t="s">
        <v>275</v>
      </c>
      <c r="D2467" s="3">
        <v>13170</v>
      </c>
      <c r="E2467" s="4">
        <v>44818</v>
      </c>
      <c r="F2467" s="92" t="s">
        <v>28</v>
      </c>
      <c r="G2467" s="32">
        <v>44785</v>
      </c>
      <c r="H2467" s="27">
        <f t="shared" si="373"/>
        <v>13170</v>
      </c>
      <c r="I2467" s="27"/>
      <c r="J2467" s="27"/>
      <c r="K2467" s="99"/>
      <c r="L2467" s="27">
        <v>3254</v>
      </c>
      <c r="M2467" s="29">
        <f t="shared" si="374"/>
        <v>9916</v>
      </c>
      <c r="N2467" s="29"/>
      <c r="O2467" s="44">
        <f t="shared" si="375"/>
        <v>0.75292331055429007</v>
      </c>
    </row>
    <row r="2468" spans="1:15" ht="20.100000000000001" customHeight="1" x14ac:dyDescent="0.25">
      <c r="A2468" s="89">
        <v>807</v>
      </c>
      <c r="B2468" s="4">
        <v>44797</v>
      </c>
      <c r="C2468" s="26" t="s">
        <v>443</v>
      </c>
      <c r="D2468" s="3">
        <v>7480</v>
      </c>
      <c r="E2468" s="4">
        <v>44819</v>
      </c>
      <c r="F2468" s="92" t="s">
        <v>28</v>
      </c>
      <c r="G2468" s="32">
        <v>44867</v>
      </c>
      <c r="H2468" s="27">
        <f t="shared" si="373"/>
        <v>7480</v>
      </c>
      <c r="I2468" s="27"/>
      <c r="J2468" s="27"/>
      <c r="K2468" s="99"/>
      <c r="L2468" s="27">
        <v>5864</v>
      </c>
      <c r="M2468" s="29">
        <f t="shared" si="374"/>
        <v>1616</v>
      </c>
      <c r="N2468" s="29"/>
      <c r="O2468" s="44">
        <f t="shared" si="375"/>
        <v>0.21604278074866309</v>
      </c>
    </row>
    <row r="2469" spans="1:15" ht="20.100000000000001" customHeight="1" x14ac:dyDescent="0.25">
      <c r="A2469" s="89">
        <v>863</v>
      </c>
      <c r="B2469" s="4">
        <v>44819</v>
      </c>
      <c r="C2469" s="5" t="s">
        <v>528</v>
      </c>
      <c r="D2469" s="3">
        <v>434883</v>
      </c>
      <c r="E2469" s="4">
        <v>44824</v>
      </c>
      <c r="F2469" s="92" t="s">
        <v>28</v>
      </c>
      <c r="G2469" s="32">
        <v>44820</v>
      </c>
      <c r="H2469" s="27">
        <f>D2469/2</f>
        <v>217441.5</v>
      </c>
      <c r="I2469" s="27">
        <f t="shared" ref="I2469:I2470" si="378">H2469</f>
        <v>217441.5</v>
      </c>
      <c r="J2469" s="27"/>
      <c r="K2469" s="99"/>
      <c r="L2469" s="27">
        <v>117999</v>
      </c>
      <c r="M2469" s="29">
        <f t="shared" si="374"/>
        <v>99442.5</v>
      </c>
      <c r="N2469" s="27">
        <f t="shared" ref="N2469:N2470" si="379">M2469</f>
        <v>99442.5</v>
      </c>
      <c r="O2469" s="44">
        <f t="shared" si="375"/>
        <v>0.45732990252550687</v>
      </c>
    </row>
    <row r="2470" spans="1:15" ht="20.100000000000001" customHeight="1" x14ac:dyDescent="0.25">
      <c r="A2470" s="89">
        <v>864</v>
      </c>
      <c r="B2470" s="4">
        <v>44819</v>
      </c>
      <c r="C2470" s="5" t="s">
        <v>528</v>
      </c>
      <c r="D2470" s="3">
        <v>111500</v>
      </c>
      <c r="E2470" s="4">
        <v>44824</v>
      </c>
      <c r="F2470" s="92" t="s">
        <v>28</v>
      </c>
      <c r="G2470" s="32">
        <v>44820</v>
      </c>
      <c r="H2470" s="27">
        <f>D2470/2</f>
        <v>55750</v>
      </c>
      <c r="I2470" s="27">
        <f t="shared" si="378"/>
        <v>55750</v>
      </c>
      <c r="J2470" s="27"/>
      <c r="K2470" s="99"/>
      <c r="L2470" s="27">
        <v>43485</v>
      </c>
      <c r="M2470" s="29">
        <f t="shared" si="374"/>
        <v>12265</v>
      </c>
      <c r="N2470" s="27">
        <f t="shared" si="379"/>
        <v>12265</v>
      </c>
      <c r="O2470" s="44">
        <f t="shared" si="375"/>
        <v>0.22</v>
      </c>
    </row>
    <row r="2471" spans="1:15" ht="19.5" customHeight="1" x14ac:dyDescent="0.25">
      <c r="A2471" s="89"/>
      <c r="B2471" s="4"/>
      <c r="C2471" s="5"/>
      <c r="D2471" s="3"/>
      <c r="E2471" s="97">
        <v>56905</v>
      </c>
      <c r="F2471" s="98">
        <f>M2471*0.17+N2471*0.06</f>
        <v>56905.032900000006</v>
      </c>
      <c r="G2471" s="21">
        <f>H2471*0.05+I2471*0.02</f>
        <v>53544.305</v>
      </c>
      <c r="H2471" s="16">
        <f t="shared" ref="H2471:N2471" si="380">SUM(H2457:H2470)</f>
        <v>959997.5</v>
      </c>
      <c r="I2471" s="16">
        <f t="shared" si="380"/>
        <v>277221.5</v>
      </c>
      <c r="J2471" s="16">
        <f t="shared" si="380"/>
        <v>0</v>
      </c>
      <c r="K2471" s="16">
        <f t="shared" si="380"/>
        <v>3000</v>
      </c>
      <c r="L2471" s="16">
        <f t="shared" si="380"/>
        <v>662401.42999999993</v>
      </c>
      <c r="M2471" s="16">
        <f t="shared" si="380"/>
        <v>294596.07</v>
      </c>
      <c r="N2471" s="16">
        <f t="shared" si="380"/>
        <v>113728.35</v>
      </c>
      <c r="O2471" s="44">
        <f t="shared" si="375"/>
        <v>0.30687170539506614</v>
      </c>
    </row>
    <row r="2472" spans="1:15" ht="23.25" x14ac:dyDescent="0.35">
      <c r="B2472" s="94"/>
      <c r="C2472" s="94" t="s">
        <v>644</v>
      </c>
    </row>
    <row r="2473" spans="1:15" ht="20.100000000000001" customHeight="1" x14ac:dyDescent="0.25">
      <c r="A2473" s="89">
        <v>782</v>
      </c>
      <c r="B2473" s="4">
        <v>44790</v>
      </c>
      <c r="C2473" s="26" t="s">
        <v>275</v>
      </c>
      <c r="D2473" s="3">
        <v>15500</v>
      </c>
      <c r="E2473" s="4">
        <v>44837</v>
      </c>
      <c r="F2473" s="92" t="s">
        <v>28</v>
      </c>
      <c r="G2473" s="32">
        <v>44798</v>
      </c>
      <c r="H2473" s="27">
        <f>D2473</f>
        <v>15500</v>
      </c>
      <c r="I2473" s="27"/>
      <c r="J2473" s="27"/>
      <c r="K2473" s="99">
        <v>1200</v>
      </c>
      <c r="L2473" s="27">
        <v>3254</v>
      </c>
      <c r="M2473" s="29">
        <f t="shared" ref="M2473:M2483" si="381">H2473-L2473-J2473-K2473</f>
        <v>11046</v>
      </c>
      <c r="N2473" s="29"/>
      <c r="O2473" s="44">
        <f t="shared" ref="O2473:O2488" si="382">M2473/H2473</f>
        <v>0.71264516129032263</v>
      </c>
    </row>
    <row r="2474" spans="1:15" ht="20.100000000000001" customHeight="1" x14ac:dyDescent="0.25">
      <c r="A2474" s="89">
        <v>904</v>
      </c>
      <c r="B2474" s="4">
        <v>44833</v>
      </c>
      <c r="C2474" s="26" t="s">
        <v>50</v>
      </c>
      <c r="D2474" s="3">
        <v>13120</v>
      </c>
      <c r="E2474" s="4">
        <v>44838</v>
      </c>
      <c r="F2474" s="92" t="s">
        <v>28</v>
      </c>
      <c r="G2474" s="32">
        <v>44841</v>
      </c>
      <c r="H2474" s="27">
        <f>D2474/2</f>
        <v>6560</v>
      </c>
      <c r="I2474" s="27"/>
      <c r="J2474" s="27"/>
      <c r="K2474" s="99"/>
      <c r="L2474" s="27">
        <v>6560</v>
      </c>
      <c r="M2474" s="29">
        <f t="shared" si="381"/>
        <v>0</v>
      </c>
      <c r="N2474" s="29"/>
      <c r="O2474" s="44">
        <f t="shared" si="382"/>
        <v>0</v>
      </c>
    </row>
    <row r="2475" spans="1:15" ht="20.100000000000001" customHeight="1" x14ac:dyDescent="0.25">
      <c r="A2475" s="89">
        <v>817</v>
      </c>
      <c r="B2475" s="4">
        <v>44798</v>
      </c>
      <c r="C2475" s="26" t="s">
        <v>56</v>
      </c>
      <c r="D2475" s="3">
        <v>23990</v>
      </c>
      <c r="E2475" s="4">
        <v>44839</v>
      </c>
      <c r="F2475" s="92" t="s">
        <v>28</v>
      </c>
      <c r="G2475" s="32">
        <v>44810</v>
      </c>
      <c r="H2475" s="27">
        <f t="shared" ref="H2475:H2487" si="383">D2475</f>
        <v>23990</v>
      </c>
      <c r="I2475" s="27"/>
      <c r="J2475" s="27"/>
      <c r="K2475" s="99">
        <v>1200</v>
      </c>
      <c r="L2475" s="27">
        <v>10624.41</v>
      </c>
      <c r="M2475" s="29">
        <f t="shared" si="381"/>
        <v>12165.59</v>
      </c>
      <c r="N2475" s="29"/>
      <c r="O2475" s="44">
        <f t="shared" si="382"/>
        <v>0.50711087953313883</v>
      </c>
    </row>
    <row r="2476" spans="1:15" ht="20.100000000000001" customHeight="1" x14ac:dyDescent="0.25">
      <c r="A2476" s="89">
        <v>920</v>
      </c>
      <c r="B2476" s="4">
        <v>44839</v>
      </c>
      <c r="C2476" s="26" t="s">
        <v>171</v>
      </c>
      <c r="D2476" s="3">
        <v>51990</v>
      </c>
      <c r="E2476" s="4">
        <v>44839</v>
      </c>
      <c r="F2476" s="92" t="s">
        <v>28</v>
      </c>
      <c r="G2476" s="32">
        <v>44846</v>
      </c>
      <c r="H2476" s="27">
        <f t="shared" si="383"/>
        <v>51990</v>
      </c>
      <c r="I2476" s="27"/>
      <c r="J2476" s="27"/>
      <c r="K2476" s="99"/>
      <c r="L2476" s="27">
        <v>33781.33</v>
      </c>
      <c r="M2476" s="29">
        <f t="shared" si="381"/>
        <v>18208.669999999998</v>
      </c>
      <c r="N2476" s="29"/>
      <c r="O2476" s="44">
        <f t="shared" si="382"/>
        <v>0.35023408347759183</v>
      </c>
    </row>
    <row r="2477" spans="1:15" ht="20.100000000000001" customHeight="1" x14ac:dyDescent="0.25">
      <c r="A2477" s="89">
        <v>914</v>
      </c>
      <c r="B2477" s="4">
        <v>44838</v>
      </c>
      <c r="C2477" s="26" t="s">
        <v>403</v>
      </c>
      <c r="D2477" s="3">
        <v>9840</v>
      </c>
      <c r="E2477" s="4">
        <v>44844</v>
      </c>
      <c r="F2477" s="92" t="s">
        <v>28</v>
      </c>
      <c r="G2477" s="32">
        <v>44848</v>
      </c>
      <c r="H2477" s="27">
        <f t="shared" si="383"/>
        <v>9840</v>
      </c>
      <c r="I2477" s="27"/>
      <c r="J2477" s="27"/>
      <c r="K2477" s="99"/>
      <c r="L2477" s="27">
        <f>3994.4*2</f>
        <v>7988.8</v>
      </c>
      <c r="M2477" s="29">
        <f t="shared" si="381"/>
        <v>1851.1999999999998</v>
      </c>
      <c r="N2477" s="29"/>
      <c r="O2477" s="44">
        <f t="shared" si="382"/>
        <v>0.18813008130081299</v>
      </c>
    </row>
    <row r="2478" spans="1:15" ht="20.100000000000001" customHeight="1" x14ac:dyDescent="0.25">
      <c r="A2478" s="89">
        <v>934</v>
      </c>
      <c r="B2478" s="4">
        <v>44845</v>
      </c>
      <c r="C2478" s="26" t="s">
        <v>179</v>
      </c>
      <c r="D2478" s="3">
        <v>10780</v>
      </c>
      <c r="E2478" s="4">
        <v>44846</v>
      </c>
      <c r="F2478" s="92" t="s">
        <v>28</v>
      </c>
      <c r="G2478" s="32">
        <v>44847</v>
      </c>
      <c r="H2478" s="27">
        <f t="shared" si="383"/>
        <v>10780</v>
      </c>
      <c r="I2478" s="27"/>
      <c r="J2478" s="27"/>
      <c r="K2478" s="99"/>
      <c r="L2478" s="27">
        <v>7114</v>
      </c>
      <c r="M2478" s="29">
        <f t="shared" si="381"/>
        <v>3666</v>
      </c>
      <c r="N2478" s="29"/>
      <c r="O2478" s="44">
        <f t="shared" si="382"/>
        <v>0.34007421150278294</v>
      </c>
    </row>
    <row r="2479" spans="1:15" ht="20.100000000000001" customHeight="1" x14ac:dyDescent="0.25">
      <c r="A2479" s="89">
        <v>927</v>
      </c>
      <c r="B2479" s="4">
        <v>44846</v>
      </c>
      <c r="C2479" s="26" t="s">
        <v>410</v>
      </c>
      <c r="D2479" s="3">
        <v>559936</v>
      </c>
      <c r="E2479" s="4">
        <v>44847</v>
      </c>
      <c r="F2479" s="92" t="s">
        <v>28</v>
      </c>
      <c r="G2479" s="32">
        <v>44901</v>
      </c>
      <c r="H2479" s="27">
        <f t="shared" si="383"/>
        <v>559936</v>
      </c>
      <c r="I2479" s="27"/>
      <c r="J2479" s="27"/>
      <c r="K2479" s="99"/>
      <c r="L2479" s="27">
        <v>418773</v>
      </c>
      <c r="M2479" s="29">
        <f t="shared" si="381"/>
        <v>141163</v>
      </c>
      <c r="N2479" s="29"/>
      <c r="O2479" s="44">
        <f t="shared" si="382"/>
        <v>0.25210559778260372</v>
      </c>
    </row>
    <row r="2480" spans="1:15" ht="20.100000000000001" customHeight="1" x14ac:dyDescent="0.25">
      <c r="A2480" s="89">
        <v>916</v>
      </c>
      <c r="B2480" s="4">
        <v>44838</v>
      </c>
      <c r="C2480" s="26" t="s">
        <v>472</v>
      </c>
      <c r="D2480" s="3">
        <v>10000</v>
      </c>
      <c r="E2480" s="4">
        <v>44848</v>
      </c>
      <c r="F2480" s="92" t="s">
        <v>28</v>
      </c>
      <c r="G2480" s="32">
        <v>44846</v>
      </c>
      <c r="H2480" s="27">
        <f t="shared" si="383"/>
        <v>10000</v>
      </c>
      <c r="I2480" s="27"/>
      <c r="J2480" s="27"/>
      <c r="K2480" s="99">
        <v>500</v>
      </c>
      <c r="L2480" s="27">
        <v>3259</v>
      </c>
      <c r="M2480" s="29">
        <f t="shared" si="381"/>
        <v>6241</v>
      </c>
      <c r="N2480" s="29"/>
      <c r="O2480" s="44">
        <f t="shared" si="382"/>
        <v>0.62409999999999999</v>
      </c>
    </row>
    <row r="2481" spans="1:15" ht="20.100000000000001" customHeight="1" x14ac:dyDescent="0.25">
      <c r="A2481" s="89">
        <v>958</v>
      </c>
      <c r="B2481" s="4">
        <v>44848</v>
      </c>
      <c r="C2481" s="5" t="s">
        <v>529</v>
      </c>
      <c r="D2481" s="3">
        <v>29990</v>
      </c>
      <c r="E2481" s="4">
        <v>44848</v>
      </c>
      <c r="F2481" s="92" t="s">
        <v>28</v>
      </c>
      <c r="G2481" s="32">
        <v>44851</v>
      </c>
      <c r="H2481" s="27">
        <f t="shared" si="383"/>
        <v>29990</v>
      </c>
      <c r="I2481" s="27">
        <f t="shared" ref="I2481" si="384">H2481</f>
        <v>29990</v>
      </c>
      <c r="J2481" s="27"/>
      <c r="K2481" s="99"/>
      <c r="L2481" s="27">
        <v>17631</v>
      </c>
      <c r="M2481" s="29">
        <f t="shared" si="381"/>
        <v>12359</v>
      </c>
      <c r="N2481" s="27">
        <f t="shared" ref="N2481" si="385">M2481</f>
        <v>12359</v>
      </c>
      <c r="O2481" s="44">
        <f t="shared" si="382"/>
        <v>0.41210403467822609</v>
      </c>
    </row>
    <row r="2482" spans="1:15" ht="20.100000000000001" customHeight="1" x14ac:dyDescent="0.25">
      <c r="A2482" s="89">
        <v>945</v>
      </c>
      <c r="B2482" s="4">
        <v>44846</v>
      </c>
      <c r="C2482" s="26" t="s">
        <v>258</v>
      </c>
      <c r="D2482" s="3">
        <v>8000</v>
      </c>
      <c r="E2482" s="4">
        <v>44853</v>
      </c>
      <c r="F2482" s="92" t="s">
        <v>28</v>
      </c>
      <c r="G2482" s="32">
        <v>44854</v>
      </c>
      <c r="H2482" s="27">
        <f t="shared" si="383"/>
        <v>8000</v>
      </c>
      <c r="I2482" s="27"/>
      <c r="J2482" s="27"/>
      <c r="K2482" s="99">
        <v>600</v>
      </c>
      <c r="L2482" s="27">
        <v>2434</v>
      </c>
      <c r="M2482" s="29">
        <f t="shared" si="381"/>
        <v>4966</v>
      </c>
      <c r="N2482" s="27"/>
      <c r="O2482" s="44">
        <f t="shared" si="382"/>
        <v>0.62075000000000002</v>
      </c>
    </row>
    <row r="2483" spans="1:15" ht="20.100000000000001" customHeight="1" x14ac:dyDescent="0.25">
      <c r="A2483" s="89">
        <v>904</v>
      </c>
      <c r="B2483" s="4">
        <v>44833</v>
      </c>
      <c r="C2483" s="26" t="s">
        <v>50</v>
      </c>
      <c r="D2483" s="3">
        <v>13120</v>
      </c>
      <c r="E2483" s="4">
        <v>44854</v>
      </c>
      <c r="F2483" s="92" t="s">
        <v>28</v>
      </c>
      <c r="G2483" s="32">
        <v>44858</v>
      </c>
      <c r="H2483" s="27">
        <f>D2483/2</f>
        <v>6560</v>
      </c>
      <c r="I2483" s="27"/>
      <c r="J2483" s="27"/>
      <c r="K2483" s="99"/>
      <c r="L2483" s="27">
        <f>2632.45*2</f>
        <v>5264.9</v>
      </c>
      <c r="M2483" s="29">
        <f t="shared" si="381"/>
        <v>1295.1000000000004</v>
      </c>
      <c r="N2483" s="29"/>
      <c r="O2483" s="44">
        <f t="shared" si="382"/>
        <v>0.19742378048780493</v>
      </c>
    </row>
    <row r="2484" spans="1:15" ht="20.100000000000001" customHeight="1" x14ac:dyDescent="0.25">
      <c r="A2484" s="89">
        <v>973</v>
      </c>
      <c r="B2484" s="4">
        <v>44853</v>
      </c>
      <c r="C2484" s="26" t="s">
        <v>372</v>
      </c>
      <c r="D2484" s="3">
        <v>8100</v>
      </c>
      <c r="E2484" s="4">
        <v>44859</v>
      </c>
      <c r="F2484" s="92" t="s">
        <v>28</v>
      </c>
      <c r="G2484" s="32">
        <v>44860</v>
      </c>
      <c r="H2484" s="27">
        <f t="shared" si="383"/>
        <v>8100</v>
      </c>
      <c r="I2484" s="27"/>
      <c r="J2484" s="27"/>
      <c r="K2484" s="99"/>
      <c r="L2484" s="27">
        <f>3191.62*2</f>
        <v>6383.24</v>
      </c>
      <c r="M2484" s="29">
        <f>H2484-L2484-J2484-K2484</f>
        <v>1716.7600000000002</v>
      </c>
      <c r="N2484" s="29"/>
      <c r="O2484" s="44">
        <f t="shared" si="382"/>
        <v>0.21194567901234571</v>
      </c>
    </row>
    <row r="2485" spans="1:15" ht="19.5" customHeight="1" x14ac:dyDescent="0.25">
      <c r="A2485" s="89">
        <v>834</v>
      </c>
      <c r="B2485" s="4">
        <v>44832</v>
      </c>
      <c r="C2485" s="26" t="s">
        <v>99</v>
      </c>
      <c r="D2485" s="3">
        <v>49800</v>
      </c>
      <c r="E2485" s="4">
        <v>44862</v>
      </c>
      <c r="F2485" s="92" t="s">
        <v>28</v>
      </c>
      <c r="G2485" s="32">
        <v>44832</v>
      </c>
      <c r="H2485" s="27">
        <f t="shared" si="383"/>
        <v>49800</v>
      </c>
      <c r="I2485" s="27"/>
      <c r="J2485" s="27"/>
      <c r="K2485" s="99"/>
      <c r="L2485" s="27">
        <v>12312</v>
      </c>
      <c r="M2485" s="29">
        <f>H2485-L2485-J2485-K2485</f>
        <v>37488</v>
      </c>
      <c r="N2485" s="29"/>
      <c r="O2485" s="44">
        <f t="shared" si="382"/>
        <v>0.75277108433734941</v>
      </c>
    </row>
    <row r="2486" spans="1:15" ht="20.100000000000001" customHeight="1" x14ac:dyDescent="0.25">
      <c r="A2486" s="89">
        <v>987</v>
      </c>
      <c r="B2486" s="4">
        <v>44858</v>
      </c>
      <c r="C2486" s="26" t="s">
        <v>481</v>
      </c>
      <c r="D2486" s="3">
        <v>7950</v>
      </c>
      <c r="E2486" s="4">
        <v>44862</v>
      </c>
      <c r="F2486" s="92" t="s">
        <v>28</v>
      </c>
      <c r="G2486" s="32">
        <v>44873</v>
      </c>
      <c r="H2486" s="27">
        <f>D2486</f>
        <v>7950</v>
      </c>
      <c r="I2486" s="27"/>
      <c r="J2486" s="27"/>
      <c r="K2486" s="99">
        <v>600</v>
      </c>
      <c r="L2486" s="27">
        <v>1846.5</v>
      </c>
      <c r="M2486" s="29">
        <f>H2486-L2486-J2486-K2486</f>
        <v>5503.5</v>
      </c>
      <c r="N2486" s="29"/>
      <c r="O2486" s="44">
        <f t="shared" si="382"/>
        <v>0.69226415094339622</v>
      </c>
    </row>
    <row r="2487" spans="1:15" ht="19.5" customHeight="1" x14ac:dyDescent="0.25">
      <c r="A2487" s="89">
        <v>1009</v>
      </c>
      <c r="B2487" s="4">
        <v>44865</v>
      </c>
      <c r="C2487" s="26" t="s">
        <v>124</v>
      </c>
      <c r="D2487" s="3">
        <v>3000</v>
      </c>
      <c r="E2487" s="4">
        <v>44865</v>
      </c>
      <c r="F2487" s="92" t="s">
        <v>28</v>
      </c>
      <c r="G2487" s="32">
        <v>44865</v>
      </c>
      <c r="H2487" s="27">
        <f t="shared" si="383"/>
        <v>3000</v>
      </c>
      <c r="I2487" s="27"/>
      <c r="J2487" s="27"/>
      <c r="K2487" s="99"/>
      <c r="L2487" s="27">
        <v>1560</v>
      </c>
      <c r="M2487" s="29">
        <f>H2487-L2487-J2487-K2487</f>
        <v>1440</v>
      </c>
      <c r="N2487" s="29"/>
      <c r="O2487" s="44">
        <f t="shared" si="382"/>
        <v>0.48</v>
      </c>
    </row>
    <row r="2488" spans="1:15" ht="19.5" customHeight="1" x14ac:dyDescent="0.25">
      <c r="A2488" s="89"/>
      <c r="B2488" s="4"/>
      <c r="C2488" s="5"/>
      <c r="D2488" s="3"/>
      <c r="E2488" s="97">
        <v>20000</v>
      </c>
      <c r="F2488" s="98">
        <f>M2488*0.17+N2488*0.06</f>
        <v>44790.209400000007</v>
      </c>
      <c r="G2488" s="21">
        <f>H2488*0.05+I2488*0.02</f>
        <v>40699.600000000006</v>
      </c>
      <c r="H2488" s="16">
        <f t="shared" ref="H2488:N2488" si="386">SUM(H2473:H2487)</f>
        <v>801996</v>
      </c>
      <c r="I2488" s="16">
        <f t="shared" si="386"/>
        <v>29990</v>
      </c>
      <c r="J2488" s="16">
        <f t="shared" si="386"/>
        <v>0</v>
      </c>
      <c r="K2488" s="16">
        <f t="shared" si="386"/>
        <v>4100</v>
      </c>
      <c r="L2488" s="16">
        <f t="shared" si="386"/>
        <v>538786.18000000005</v>
      </c>
      <c r="M2488" s="16">
        <f t="shared" si="386"/>
        <v>259109.82</v>
      </c>
      <c r="N2488" s="16">
        <f t="shared" si="386"/>
        <v>12359</v>
      </c>
      <c r="O2488" s="44">
        <f t="shared" si="382"/>
        <v>0.32308118743734382</v>
      </c>
    </row>
    <row r="2489" spans="1:15" ht="23.25" x14ac:dyDescent="0.35">
      <c r="B2489" s="94"/>
      <c r="C2489" s="94" t="s">
        <v>645</v>
      </c>
    </row>
    <row r="2490" spans="1:15" ht="20.100000000000001" customHeight="1" x14ac:dyDescent="0.25">
      <c r="A2490" s="89">
        <v>1005</v>
      </c>
      <c r="B2490" s="4">
        <v>44862</v>
      </c>
      <c r="C2490" s="26" t="s">
        <v>414</v>
      </c>
      <c r="D2490" s="3">
        <v>8030</v>
      </c>
      <c r="E2490" s="4">
        <v>44866</v>
      </c>
      <c r="F2490" s="92" t="s">
        <v>28</v>
      </c>
      <c r="G2490" s="32">
        <v>44911</v>
      </c>
      <c r="H2490" s="27">
        <f t="shared" ref="H2490:H2503" si="387">D2490</f>
        <v>8030</v>
      </c>
      <c r="I2490" s="27"/>
      <c r="J2490" s="27"/>
      <c r="K2490" s="99"/>
      <c r="L2490" s="27">
        <v>6263</v>
      </c>
      <c r="M2490" s="29">
        <f>H2490-L2490-J2490-K2490</f>
        <v>1767</v>
      </c>
      <c r="N2490" s="29"/>
      <c r="O2490" s="44">
        <f t="shared" ref="O2490:O2504" si="388">M2490/H2490</f>
        <v>0.22004981320049813</v>
      </c>
    </row>
    <row r="2491" spans="1:15" ht="20.100000000000001" customHeight="1" x14ac:dyDescent="0.25">
      <c r="A2491" s="89">
        <v>988</v>
      </c>
      <c r="B2491" s="4">
        <v>44859</v>
      </c>
      <c r="C2491" s="26" t="s">
        <v>439</v>
      </c>
      <c r="D2491" s="3">
        <v>227</v>
      </c>
      <c r="E2491" s="4">
        <v>44868</v>
      </c>
      <c r="F2491" s="92" t="s">
        <v>28</v>
      </c>
      <c r="G2491" s="32">
        <v>44875</v>
      </c>
      <c r="H2491" s="27">
        <f t="shared" si="387"/>
        <v>227</v>
      </c>
      <c r="I2491" s="27"/>
      <c r="J2491" s="27"/>
      <c r="K2491" s="99"/>
      <c r="L2491" s="27">
        <v>112</v>
      </c>
      <c r="M2491" s="29">
        <f>H2491-L2491-J2491-K2491</f>
        <v>115</v>
      </c>
      <c r="N2491" s="29"/>
      <c r="O2491" s="44">
        <f t="shared" si="388"/>
        <v>0.50660792951541855</v>
      </c>
    </row>
    <row r="2492" spans="1:15" ht="20.100000000000001" customHeight="1" x14ac:dyDescent="0.25">
      <c r="A2492" s="89">
        <v>1029</v>
      </c>
      <c r="B2492" s="4">
        <v>44873</v>
      </c>
      <c r="C2492" s="26" t="s">
        <v>508</v>
      </c>
      <c r="D2492" s="3">
        <v>35235</v>
      </c>
      <c r="E2492" s="4">
        <v>44873</v>
      </c>
      <c r="F2492" s="92" t="s">
        <v>28</v>
      </c>
      <c r="G2492" s="32">
        <v>44901</v>
      </c>
      <c r="H2492" s="27">
        <f t="shared" si="387"/>
        <v>35235</v>
      </c>
      <c r="I2492" s="27"/>
      <c r="J2492" s="27"/>
      <c r="K2492" s="99"/>
      <c r="L2492" s="27">
        <f>27791+1474</f>
        <v>29265</v>
      </c>
      <c r="M2492" s="29">
        <f>H2492-L2492-J2492-K2492</f>
        <v>5970</v>
      </c>
      <c r="N2492" s="29"/>
      <c r="O2492" s="44">
        <f t="shared" si="388"/>
        <v>0.16943380161770966</v>
      </c>
    </row>
    <row r="2493" spans="1:15" ht="20.100000000000001" customHeight="1" x14ac:dyDescent="0.25">
      <c r="A2493" s="89">
        <v>899</v>
      </c>
      <c r="B2493" s="4">
        <v>44837</v>
      </c>
      <c r="C2493" s="26" t="s">
        <v>56</v>
      </c>
      <c r="D2493" s="3">
        <v>33940</v>
      </c>
      <c r="E2493" s="4">
        <v>44874</v>
      </c>
      <c r="F2493" s="92" t="s">
        <v>28</v>
      </c>
      <c r="G2493" s="32">
        <v>44846</v>
      </c>
      <c r="H2493" s="27">
        <f t="shared" si="387"/>
        <v>33940</v>
      </c>
      <c r="I2493" s="27"/>
      <c r="J2493" s="27"/>
      <c r="K2493" s="99">
        <v>500</v>
      </c>
      <c r="L2493" s="27">
        <v>16181</v>
      </c>
      <c r="M2493" s="29">
        <f t="shared" ref="M2493:M2503" si="389">H2493-L2493-J2493-K2493</f>
        <v>17259</v>
      </c>
      <c r="N2493" s="29"/>
      <c r="O2493" s="44">
        <f t="shared" si="388"/>
        <v>0.50851502651738367</v>
      </c>
    </row>
    <row r="2494" spans="1:15" ht="20.100000000000001" customHeight="1" x14ac:dyDescent="0.25">
      <c r="A2494" s="89">
        <v>923</v>
      </c>
      <c r="B2494" s="4">
        <v>44840</v>
      </c>
      <c r="C2494" s="26" t="s">
        <v>56</v>
      </c>
      <c r="D2494" s="3">
        <v>15000</v>
      </c>
      <c r="E2494" s="4">
        <v>44874</v>
      </c>
      <c r="F2494" s="92" t="s">
        <v>28</v>
      </c>
      <c r="G2494" s="32">
        <v>44846</v>
      </c>
      <c r="H2494" s="27">
        <f t="shared" si="387"/>
        <v>15000</v>
      </c>
      <c r="I2494" s="27"/>
      <c r="J2494" s="27"/>
      <c r="K2494" s="99">
        <v>500</v>
      </c>
      <c r="L2494" s="27">
        <v>3672</v>
      </c>
      <c r="M2494" s="29">
        <f t="shared" si="389"/>
        <v>10828</v>
      </c>
      <c r="N2494" s="29"/>
      <c r="O2494" s="44">
        <f t="shared" si="388"/>
        <v>0.72186666666666666</v>
      </c>
    </row>
    <row r="2495" spans="1:15" ht="20.100000000000001" customHeight="1" x14ac:dyDescent="0.25">
      <c r="A2495" s="89">
        <v>990</v>
      </c>
      <c r="B2495" s="4">
        <v>44874</v>
      </c>
      <c r="C2495" s="26" t="s">
        <v>270</v>
      </c>
      <c r="D2495" s="3">
        <v>23390</v>
      </c>
      <c r="E2495" s="4">
        <v>44874</v>
      </c>
      <c r="F2495" s="92" t="s">
        <v>28</v>
      </c>
      <c r="G2495" s="32">
        <v>44874</v>
      </c>
      <c r="H2495" s="27">
        <f t="shared" si="387"/>
        <v>23390</v>
      </c>
      <c r="I2495" s="27"/>
      <c r="J2495" s="27"/>
      <c r="K2495" s="99"/>
      <c r="L2495" s="27">
        <v>17583</v>
      </c>
      <c r="M2495" s="29">
        <f t="shared" si="389"/>
        <v>5807</v>
      </c>
      <c r="N2495" s="29"/>
      <c r="O2495" s="44">
        <f t="shared" si="388"/>
        <v>0.24826849080803762</v>
      </c>
    </row>
    <row r="2496" spans="1:15" ht="20.100000000000001" customHeight="1" x14ac:dyDescent="0.25">
      <c r="A2496" s="89">
        <v>997</v>
      </c>
      <c r="B2496" s="4">
        <v>44861</v>
      </c>
      <c r="C2496" s="26" t="s">
        <v>530</v>
      </c>
      <c r="D2496" s="3">
        <v>83910</v>
      </c>
      <c r="E2496" s="4">
        <v>44874</v>
      </c>
      <c r="F2496" s="92" t="s">
        <v>28</v>
      </c>
      <c r="G2496" s="32">
        <v>44888</v>
      </c>
      <c r="H2496" s="27">
        <f t="shared" si="387"/>
        <v>83910</v>
      </c>
      <c r="I2496" s="27"/>
      <c r="J2496" s="27"/>
      <c r="K2496" s="99"/>
      <c r="L2496" s="27">
        <f>46553+9134</f>
        <v>55687</v>
      </c>
      <c r="M2496" s="29">
        <f t="shared" si="389"/>
        <v>28223</v>
      </c>
      <c r="N2496" s="29"/>
      <c r="O2496" s="44">
        <f t="shared" si="388"/>
        <v>0.33634846859730666</v>
      </c>
    </row>
    <row r="2497" spans="1:15" ht="19.5" customHeight="1" x14ac:dyDescent="0.25">
      <c r="A2497" s="89">
        <v>1047</v>
      </c>
      <c r="B2497" s="4">
        <v>44879</v>
      </c>
      <c r="C2497" s="26" t="s">
        <v>124</v>
      </c>
      <c r="D2497" s="3">
        <v>3000</v>
      </c>
      <c r="E2497" s="4">
        <v>44879</v>
      </c>
      <c r="F2497" s="92" t="s">
        <v>28</v>
      </c>
      <c r="G2497" s="32">
        <v>44880</v>
      </c>
      <c r="H2497" s="27">
        <f t="shared" si="387"/>
        <v>3000</v>
      </c>
      <c r="I2497" s="27"/>
      <c r="J2497" s="27"/>
      <c r="K2497" s="99"/>
      <c r="L2497" s="27">
        <v>1560</v>
      </c>
      <c r="M2497" s="29">
        <f t="shared" si="389"/>
        <v>1440</v>
      </c>
      <c r="N2497" s="29"/>
      <c r="O2497" s="44">
        <f t="shared" si="388"/>
        <v>0.48</v>
      </c>
    </row>
    <row r="2498" spans="1:15" ht="19.5" customHeight="1" x14ac:dyDescent="0.25">
      <c r="A2498" s="89">
        <v>1054</v>
      </c>
      <c r="B2498" s="4">
        <v>44880</v>
      </c>
      <c r="C2498" s="26" t="s">
        <v>403</v>
      </c>
      <c r="D2498" s="3">
        <v>4920</v>
      </c>
      <c r="E2498" s="4">
        <v>44886</v>
      </c>
      <c r="F2498" s="92" t="s">
        <v>28</v>
      </c>
      <c r="G2498" s="32">
        <v>44881</v>
      </c>
      <c r="H2498" s="27">
        <f t="shared" si="387"/>
        <v>4920</v>
      </c>
      <c r="I2498" s="27"/>
      <c r="J2498" s="27"/>
      <c r="K2498" s="99"/>
      <c r="L2498" s="27">
        <v>3788</v>
      </c>
      <c r="M2498" s="29">
        <f t="shared" si="389"/>
        <v>1132</v>
      </c>
      <c r="N2498" s="29"/>
      <c r="O2498" s="44">
        <f t="shared" si="388"/>
        <v>0.23008130081300812</v>
      </c>
    </row>
    <row r="2499" spans="1:15" ht="20.100000000000001" customHeight="1" x14ac:dyDescent="0.25">
      <c r="A2499" s="89">
        <v>991</v>
      </c>
      <c r="B2499" s="4">
        <v>44860</v>
      </c>
      <c r="C2499" s="26" t="s">
        <v>11</v>
      </c>
      <c r="D2499" s="3">
        <v>4520</v>
      </c>
      <c r="E2499" s="4">
        <v>44887</v>
      </c>
      <c r="F2499" s="92" t="s">
        <v>28</v>
      </c>
      <c r="G2499" s="32">
        <v>44881</v>
      </c>
      <c r="H2499" s="27">
        <f t="shared" si="387"/>
        <v>4520</v>
      </c>
      <c r="I2499" s="27"/>
      <c r="J2499" s="27"/>
      <c r="K2499" s="99"/>
      <c r="L2499" s="27">
        <v>2160</v>
      </c>
      <c r="M2499" s="29">
        <f t="shared" si="389"/>
        <v>2360</v>
      </c>
      <c r="N2499" s="29"/>
      <c r="O2499" s="44">
        <f t="shared" si="388"/>
        <v>0.52212389380530977</v>
      </c>
    </row>
    <row r="2500" spans="1:15" ht="20.100000000000001" customHeight="1" x14ac:dyDescent="0.25">
      <c r="A2500" s="89">
        <v>1085</v>
      </c>
      <c r="B2500" s="4">
        <v>44888</v>
      </c>
      <c r="C2500" s="26" t="s">
        <v>211</v>
      </c>
      <c r="D2500" s="3">
        <v>8850</v>
      </c>
      <c r="E2500" s="4">
        <v>44889</v>
      </c>
      <c r="F2500" s="92" t="s">
        <v>28</v>
      </c>
      <c r="G2500" s="4"/>
      <c r="H2500" s="27">
        <f t="shared" si="387"/>
        <v>8850</v>
      </c>
      <c r="I2500" s="27"/>
      <c r="J2500" s="27"/>
      <c r="K2500" s="99"/>
      <c r="L2500" s="27">
        <f>1380*5</f>
        <v>6900</v>
      </c>
      <c r="M2500" s="29">
        <f t="shared" si="389"/>
        <v>1950</v>
      </c>
      <c r="N2500" s="29"/>
      <c r="O2500" s="44">
        <f t="shared" si="388"/>
        <v>0.22033898305084745</v>
      </c>
    </row>
    <row r="2501" spans="1:15" ht="20.100000000000001" customHeight="1" x14ac:dyDescent="0.25">
      <c r="A2501" s="89">
        <v>1088</v>
      </c>
      <c r="B2501" s="4">
        <v>44888</v>
      </c>
      <c r="C2501" s="26" t="s">
        <v>515</v>
      </c>
      <c r="D2501" s="3">
        <v>8300</v>
      </c>
      <c r="E2501" s="4">
        <v>44889</v>
      </c>
      <c r="F2501" s="92" t="s">
        <v>28</v>
      </c>
      <c r="G2501" s="32">
        <v>44893</v>
      </c>
      <c r="H2501" s="27">
        <f t="shared" si="387"/>
        <v>8300</v>
      </c>
      <c r="I2501" s="27"/>
      <c r="J2501" s="27"/>
      <c r="K2501" s="99"/>
      <c r="L2501" s="27">
        <v>5478</v>
      </c>
      <c r="M2501" s="29">
        <f t="shared" si="389"/>
        <v>2822</v>
      </c>
      <c r="N2501" s="29"/>
      <c r="O2501" s="44">
        <f t="shared" si="388"/>
        <v>0.34</v>
      </c>
    </row>
    <row r="2502" spans="1:15" ht="20.100000000000001" customHeight="1" x14ac:dyDescent="0.25">
      <c r="A2502" s="89">
        <v>1064</v>
      </c>
      <c r="B2502" s="4">
        <v>44887</v>
      </c>
      <c r="C2502" s="26" t="s">
        <v>481</v>
      </c>
      <c r="D2502" s="3">
        <v>211340</v>
      </c>
      <c r="E2502" s="4">
        <v>44890</v>
      </c>
      <c r="F2502" s="92" t="s">
        <v>28</v>
      </c>
      <c r="G2502" s="32">
        <v>44904</v>
      </c>
      <c r="H2502" s="27">
        <f>D2502/2</f>
        <v>105670</v>
      </c>
      <c r="I2502" s="27"/>
      <c r="J2502" s="27"/>
      <c r="K2502" s="99">
        <v>600</v>
      </c>
      <c r="L2502" s="27">
        <f>(150509+1515+331)/2</f>
        <v>76177.5</v>
      </c>
      <c r="M2502" s="29">
        <f t="shared" si="389"/>
        <v>28892.5</v>
      </c>
      <c r="N2502" s="29"/>
      <c r="O2502" s="44">
        <f t="shared" si="388"/>
        <v>0.27342197407021862</v>
      </c>
    </row>
    <row r="2503" spans="1:15" ht="20.100000000000001" customHeight="1" x14ac:dyDescent="0.25">
      <c r="A2503" s="89">
        <v>1092</v>
      </c>
      <c r="B2503" s="4">
        <v>44889</v>
      </c>
      <c r="C2503" s="5" t="s">
        <v>531</v>
      </c>
      <c r="D2503" s="3">
        <v>7570</v>
      </c>
      <c r="E2503" s="4">
        <v>44890</v>
      </c>
      <c r="F2503" s="92" t="s">
        <v>28</v>
      </c>
      <c r="G2503" s="32">
        <v>44893</v>
      </c>
      <c r="H2503" s="27">
        <f t="shared" si="387"/>
        <v>7570</v>
      </c>
      <c r="I2503" s="27">
        <f t="shared" ref="I2503" si="390">H2503</f>
        <v>7570</v>
      </c>
      <c r="J2503" s="27"/>
      <c r="K2503" s="99"/>
      <c r="L2503" s="27">
        <v>5904</v>
      </c>
      <c r="M2503" s="29">
        <f t="shared" si="389"/>
        <v>1666</v>
      </c>
      <c r="N2503" s="27">
        <f t="shared" ref="N2503" si="391">M2503</f>
        <v>1666</v>
      </c>
      <c r="O2503" s="44">
        <f t="shared" si="388"/>
        <v>0.22007926023778071</v>
      </c>
    </row>
    <row r="2504" spans="1:15" ht="19.5" customHeight="1" x14ac:dyDescent="0.25">
      <c r="A2504" s="89"/>
      <c r="B2504" s="4"/>
      <c r="C2504" s="5"/>
      <c r="D2504" s="3"/>
      <c r="E2504" s="97">
        <v>6253</v>
      </c>
      <c r="F2504" s="98">
        <f>M2504*0.05+N2504*0.06</f>
        <v>5611.5350000000008</v>
      </c>
      <c r="G2504" s="21">
        <f>H2504*0.05+I2504*0.02</f>
        <v>17279.500000000004</v>
      </c>
      <c r="H2504" s="16">
        <f t="shared" ref="H2504:N2504" si="392">SUM(H2490:H2503)</f>
        <v>342562</v>
      </c>
      <c r="I2504" s="16">
        <f t="shared" si="392"/>
        <v>7570</v>
      </c>
      <c r="J2504" s="16">
        <f t="shared" si="392"/>
        <v>0</v>
      </c>
      <c r="K2504" s="16">
        <f t="shared" si="392"/>
        <v>1600</v>
      </c>
      <c r="L2504" s="16">
        <f t="shared" si="392"/>
        <v>230730.5</v>
      </c>
      <c r="M2504" s="16">
        <f t="shared" si="392"/>
        <v>110231.5</v>
      </c>
      <c r="N2504" s="16">
        <f t="shared" si="392"/>
        <v>1666</v>
      </c>
      <c r="O2504" s="44">
        <f t="shared" si="388"/>
        <v>0.3217855453903235</v>
      </c>
    </row>
    <row r="2505" spans="1:15" ht="23.25" x14ac:dyDescent="0.35">
      <c r="B2505" s="94"/>
      <c r="C2505" s="94" t="s">
        <v>646</v>
      </c>
      <c r="F2505" s="2">
        <f>H2504*0.02+I2504*0.02</f>
        <v>7002.6399999999994</v>
      </c>
    </row>
    <row r="2506" spans="1:15" ht="20.100000000000001" customHeight="1" x14ac:dyDescent="0.25">
      <c r="A2506" s="89">
        <v>1118</v>
      </c>
      <c r="B2506" s="4">
        <v>44896</v>
      </c>
      <c r="C2506" s="26" t="s">
        <v>532</v>
      </c>
      <c r="D2506" s="3">
        <v>5500</v>
      </c>
      <c r="E2506" s="4">
        <v>44897</v>
      </c>
      <c r="F2506" s="92" t="s">
        <v>28</v>
      </c>
      <c r="G2506" s="32">
        <v>44896</v>
      </c>
      <c r="H2506" s="27">
        <f t="shared" ref="H2506:H2510" si="393">D2506</f>
        <v>5500</v>
      </c>
      <c r="I2506" s="27"/>
      <c r="J2506" s="27"/>
      <c r="K2506" s="99"/>
      <c r="L2506" s="27">
        <v>4726</v>
      </c>
      <c r="M2506" s="29">
        <f t="shared" ref="M2506:M2528" si="394">H2506-L2506-J2506-K2506</f>
        <v>774</v>
      </c>
      <c r="N2506" s="29"/>
      <c r="O2506" s="44">
        <f t="shared" ref="O2506:O2529" si="395">M2506/H2506</f>
        <v>0.14072727272727273</v>
      </c>
    </row>
    <row r="2507" spans="1:15" ht="20.100000000000001" customHeight="1" x14ac:dyDescent="0.25">
      <c r="A2507" s="89">
        <v>1121</v>
      </c>
      <c r="B2507" s="4">
        <v>44900</v>
      </c>
      <c r="C2507" s="26" t="s">
        <v>508</v>
      </c>
      <c r="D2507" s="3">
        <v>11241</v>
      </c>
      <c r="E2507" s="4">
        <v>44900</v>
      </c>
      <c r="F2507" s="92" t="s">
        <v>28</v>
      </c>
      <c r="G2507" s="32">
        <v>44901</v>
      </c>
      <c r="H2507" s="27">
        <f t="shared" si="393"/>
        <v>11241</v>
      </c>
      <c r="I2507" s="27"/>
      <c r="J2507" s="27"/>
      <c r="K2507" s="99"/>
      <c r="L2507" s="27">
        <v>9742</v>
      </c>
      <c r="M2507" s="29">
        <f t="shared" si="394"/>
        <v>1499</v>
      </c>
      <c r="N2507" s="29"/>
      <c r="O2507" s="44">
        <f t="shared" si="395"/>
        <v>0.13335112534472021</v>
      </c>
    </row>
    <row r="2508" spans="1:15" ht="20.100000000000001" customHeight="1" x14ac:dyDescent="0.25">
      <c r="A2508" s="89">
        <v>1120</v>
      </c>
      <c r="B2508" s="4">
        <v>44896</v>
      </c>
      <c r="C2508" s="26" t="s">
        <v>403</v>
      </c>
      <c r="D2508" s="3">
        <v>4920</v>
      </c>
      <c r="E2508" s="4">
        <v>44900</v>
      </c>
      <c r="F2508" s="92" t="s">
        <v>28</v>
      </c>
      <c r="G2508" s="32">
        <v>44902</v>
      </c>
      <c r="H2508" s="27">
        <f t="shared" si="393"/>
        <v>4920</v>
      </c>
      <c r="I2508" s="27"/>
      <c r="J2508" s="27"/>
      <c r="K2508" s="99"/>
      <c r="L2508" s="27">
        <v>3788</v>
      </c>
      <c r="M2508" s="29">
        <f t="shared" si="394"/>
        <v>1132</v>
      </c>
      <c r="N2508" s="29"/>
      <c r="O2508" s="44">
        <f t="shared" si="395"/>
        <v>0.23008130081300812</v>
      </c>
    </row>
    <row r="2509" spans="1:15" ht="20.100000000000001" customHeight="1" x14ac:dyDescent="0.25">
      <c r="A2509" s="89">
        <v>965</v>
      </c>
      <c r="B2509" s="4">
        <v>44852</v>
      </c>
      <c r="C2509" s="26" t="s">
        <v>275</v>
      </c>
      <c r="D2509" s="3">
        <v>34313</v>
      </c>
      <c r="E2509" s="4">
        <v>44901</v>
      </c>
      <c r="F2509" s="92" t="s">
        <v>28</v>
      </c>
      <c r="G2509" s="32">
        <v>44862</v>
      </c>
      <c r="H2509" s="27">
        <f t="shared" si="393"/>
        <v>34313</v>
      </c>
      <c r="I2509" s="27"/>
      <c r="J2509" s="27"/>
      <c r="K2509" s="99"/>
      <c r="L2509" s="27">
        <v>21790</v>
      </c>
      <c r="M2509" s="29">
        <f t="shared" si="394"/>
        <v>12523</v>
      </c>
      <c r="N2509" s="29"/>
      <c r="O2509" s="44">
        <f t="shared" si="395"/>
        <v>0.36496371637571767</v>
      </c>
    </row>
    <row r="2510" spans="1:15" ht="20.100000000000001" customHeight="1" x14ac:dyDescent="0.25">
      <c r="A2510" s="89">
        <v>1095</v>
      </c>
      <c r="B2510" s="4">
        <v>44893</v>
      </c>
      <c r="C2510" s="26" t="s">
        <v>206</v>
      </c>
      <c r="D2510" s="3">
        <v>3540</v>
      </c>
      <c r="E2510" s="4">
        <v>44901</v>
      </c>
      <c r="F2510" s="92" t="s">
        <v>28</v>
      </c>
      <c r="G2510" s="32">
        <v>44893</v>
      </c>
      <c r="H2510" s="27">
        <f t="shared" si="393"/>
        <v>3540</v>
      </c>
      <c r="I2510" s="27"/>
      <c r="J2510" s="27"/>
      <c r="K2510" s="99"/>
      <c r="L2510" s="27">
        <f>1382*2</f>
        <v>2764</v>
      </c>
      <c r="M2510" s="29">
        <f t="shared" si="394"/>
        <v>776</v>
      </c>
      <c r="N2510" s="29"/>
      <c r="O2510" s="44">
        <f t="shared" si="395"/>
        <v>0.21920903954802259</v>
      </c>
    </row>
    <row r="2511" spans="1:15" ht="20.100000000000001" customHeight="1" x14ac:dyDescent="0.25">
      <c r="A2511" s="89">
        <v>1064</v>
      </c>
      <c r="B2511" s="4">
        <v>44887</v>
      </c>
      <c r="C2511" s="26" t="s">
        <v>481</v>
      </c>
      <c r="D2511" s="3">
        <v>211340</v>
      </c>
      <c r="E2511" s="4">
        <v>44902</v>
      </c>
      <c r="F2511" s="92" t="s">
        <v>28</v>
      </c>
      <c r="G2511" s="32">
        <v>44904</v>
      </c>
      <c r="H2511" s="27">
        <f>D2511/2</f>
        <v>105670</v>
      </c>
      <c r="I2511" s="27"/>
      <c r="J2511" s="27"/>
      <c r="K2511" s="99"/>
      <c r="L2511" s="27">
        <f>(150509+1515+331)/2</f>
        <v>76177.5</v>
      </c>
      <c r="M2511" s="29">
        <f t="shared" si="394"/>
        <v>29492.5</v>
      </c>
      <c r="N2511" s="29"/>
      <c r="O2511" s="44">
        <f t="shared" si="395"/>
        <v>0.27910002839027159</v>
      </c>
    </row>
    <row r="2512" spans="1:15" ht="20.100000000000001" customHeight="1" x14ac:dyDescent="0.25">
      <c r="A2512" s="89">
        <v>1060</v>
      </c>
      <c r="B2512" s="4">
        <v>44888</v>
      </c>
      <c r="C2512" s="26" t="s">
        <v>520</v>
      </c>
      <c r="D2512" s="3">
        <v>844110</v>
      </c>
      <c r="E2512" s="106">
        <v>44909</v>
      </c>
      <c r="F2512" s="92">
        <v>44910</v>
      </c>
      <c r="G2512" s="4"/>
      <c r="H2512" s="27">
        <f>D2512</f>
        <v>844110</v>
      </c>
      <c r="I2512" s="27"/>
      <c r="J2512" s="27"/>
      <c r="K2512" s="99"/>
      <c r="L2512" s="27">
        <f>245672+239012+124185</f>
        <v>608869</v>
      </c>
      <c r="M2512" s="29">
        <f t="shared" si="394"/>
        <v>235241</v>
      </c>
      <c r="N2512" s="29"/>
      <c r="O2512" s="44">
        <f t="shared" si="395"/>
        <v>0.27868524244470505</v>
      </c>
    </row>
    <row r="2513" spans="1:15" ht="20.100000000000001" customHeight="1" x14ac:dyDescent="0.25">
      <c r="A2513" s="89">
        <v>1038</v>
      </c>
      <c r="B2513" s="4">
        <v>44875</v>
      </c>
      <c r="C2513" s="26" t="s">
        <v>13</v>
      </c>
      <c r="D2513" s="3">
        <v>26750</v>
      </c>
      <c r="E2513" s="4">
        <v>44911</v>
      </c>
      <c r="F2513" s="92" t="s">
        <v>28</v>
      </c>
      <c r="G2513" s="32">
        <v>44908</v>
      </c>
      <c r="H2513" s="27">
        <f>D2513</f>
        <v>26750</v>
      </c>
      <c r="I2513" s="27"/>
      <c r="J2513" s="27"/>
      <c r="K2513" s="99"/>
      <c r="L2513" s="27">
        <v>15795</v>
      </c>
      <c r="M2513" s="29">
        <f t="shared" si="394"/>
        <v>10955</v>
      </c>
      <c r="N2513" s="29"/>
      <c r="O2513" s="44">
        <f t="shared" si="395"/>
        <v>0.40953271028037386</v>
      </c>
    </row>
    <row r="2514" spans="1:15" ht="20.100000000000001" customHeight="1" x14ac:dyDescent="0.25">
      <c r="A2514" s="89">
        <v>116</v>
      </c>
      <c r="B2514" s="4">
        <v>44670</v>
      </c>
      <c r="C2514" s="26" t="s">
        <v>517</v>
      </c>
      <c r="D2514" s="3">
        <v>96440</v>
      </c>
      <c r="E2514" s="4">
        <v>44911</v>
      </c>
      <c r="F2514" s="92" t="s">
        <v>28</v>
      </c>
      <c r="G2514" s="32">
        <v>44915</v>
      </c>
      <c r="H2514" s="27">
        <v>10970</v>
      </c>
      <c r="I2514" s="27"/>
      <c r="J2514" s="27"/>
      <c r="K2514" s="99"/>
      <c r="L2514" s="27">
        <v>6474</v>
      </c>
      <c r="M2514" s="29">
        <f t="shared" si="394"/>
        <v>4496</v>
      </c>
      <c r="N2514" s="29"/>
      <c r="O2514" s="44">
        <f t="shared" si="395"/>
        <v>0.409845031905196</v>
      </c>
    </row>
    <row r="2515" spans="1:15" ht="20.100000000000001" customHeight="1" x14ac:dyDescent="0.25">
      <c r="A2515" s="89">
        <v>1171</v>
      </c>
      <c r="B2515" s="4">
        <v>44915</v>
      </c>
      <c r="C2515" s="26" t="s">
        <v>124</v>
      </c>
      <c r="D2515" s="3">
        <v>5272</v>
      </c>
      <c r="E2515" s="4">
        <v>44915</v>
      </c>
      <c r="F2515" s="92" t="s">
        <v>28</v>
      </c>
      <c r="G2515" s="32">
        <v>44915</v>
      </c>
      <c r="H2515" s="27">
        <f>D2515</f>
        <v>5272</v>
      </c>
      <c r="I2515" s="27"/>
      <c r="J2515" s="27"/>
      <c r="K2515" s="99"/>
      <c r="L2515" s="27">
        <v>4190</v>
      </c>
      <c r="M2515" s="29">
        <f t="shared" si="394"/>
        <v>1082</v>
      </c>
      <c r="N2515" s="29"/>
      <c r="O2515" s="44">
        <f t="shared" si="395"/>
        <v>0.20523520485584218</v>
      </c>
    </row>
    <row r="2516" spans="1:15" ht="20.100000000000001" customHeight="1" x14ac:dyDescent="0.25">
      <c r="A2516" s="89">
        <v>1173</v>
      </c>
      <c r="B2516" s="4">
        <v>44915</v>
      </c>
      <c r="C2516" s="26" t="s">
        <v>124</v>
      </c>
      <c r="D2516" s="3">
        <v>3960</v>
      </c>
      <c r="E2516" s="106">
        <v>44915</v>
      </c>
      <c r="F2516" s="92">
        <v>44917</v>
      </c>
      <c r="G2516" s="4"/>
      <c r="H2516" s="27">
        <f>D2516</f>
        <v>3960</v>
      </c>
      <c r="I2516" s="27"/>
      <c r="J2516" s="27"/>
      <c r="K2516" s="99"/>
      <c r="L2516" s="27">
        <v>3088</v>
      </c>
      <c r="M2516" s="29">
        <f t="shared" si="394"/>
        <v>872</v>
      </c>
      <c r="N2516" s="29"/>
      <c r="O2516" s="44">
        <f t="shared" si="395"/>
        <v>0.2202020202020202</v>
      </c>
    </row>
    <row r="2517" spans="1:15" ht="20.100000000000001" customHeight="1" x14ac:dyDescent="0.25">
      <c r="A2517" s="89">
        <v>618</v>
      </c>
      <c r="B2517" s="4">
        <v>44753</v>
      </c>
      <c r="C2517" s="26" t="s">
        <v>66</v>
      </c>
      <c r="D2517" s="3">
        <v>63840</v>
      </c>
      <c r="E2517" s="4">
        <v>44916</v>
      </c>
      <c r="F2517" s="92" t="s">
        <v>28</v>
      </c>
      <c r="G2517" s="32">
        <v>44785</v>
      </c>
      <c r="H2517" s="27">
        <f>D2517</f>
        <v>63840</v>
      </c>
      <c r="I2517" s="27"/>
      <c r="J2517" s="27"/>
      <c r="K2517" s="99"/>
      <c r="L2517" s="27">
        <f>4*12289</f>
        <v>49156</v>
      </c>
      <c r="M2517" s="29">
        <f t="shared" si="394"/>
        <v>14684</v>
      </c>
      <c r="N2517" s="29"/>
      <c r="O2517" s="44">
        <f t="shared" si="395"/>
        <v>0.23001253132832081</v>
      </c>
    </row>
    <row r="2518" spans="1:15" ht="20.100000000000001" customHeight="1" x14ac:dyDescent="0.25">
      <c r="A2518" s="89">
        <v>1145</v>
      </c>
      <c r="B2518" s="4">
        <v>44904</v>
      </c>
      <c r="C2518" s="26" t="s">
        <v>345</v>
      </c>
      <c r="D2518" s="3">
        <v>16730</v>
      </c>
      <c r="E2518" s="106">
        <v>44917</v>
      </c>
      <c r="F2518" s="92">
        <v>44910</v>
      </c>
      <c r="G2518" s="4"/>
      <c r="H2518" s="27">
        <f t="shared" ref="H2518:H2528" si="396">D2518</f>
        <v>16730</v>
      </c>
      <c r="I2518" s="27"/>
      <c r="J2518" s="27"/>
      <c r="K2518" s="99"/>
      <c r="L2518" s="27">
        <f>7674+2035*2</f>
        <v>11744</v>
      </c>
      <c r="M2518" s="29">
        <f t="shared" si="394"/>
        <v>4986</v>
      </c>
      <c r="N2518" s="29"/>
      <c r="O2518" s="44">
        <f t="shared" si="395"/>
        <v>0.29802749551703528</v>
      </c>
    </row>
    <row r="2519" spans="1:15" ht="20.100000000000001" customHeight="1" x14ac:dyDescent="0.25">
      <c r="A2519" s="89">
        <v>1180</v>
      </c>
      <c r="B2519" s="4">
        <v>44916</v>
      </c>
      <c r="C2519" s="26" t="s">
        <v>517</v>
      </c>
      <c r="D2519" s="3">
        <v>59440</v>
      </c>
      <c r="E2519" s="106">
        <v>44917</v>
      </c>
      <c r="F2519" s="92">
        <v>44917</v>
      </c>
      <c r="G2519" s="4"/>
      <c r="H2519" s="27">
        <f t="shared" si="396"/>
        <v>59440</v>
      </c>
      <c r="I2519" s="27"/>
      <c r="J2519" s="27"/>
      <c r="K2519" s="99"/>
      <c r="L2519" s="27">
        <v>46531</v>
      </c>
      <c r="M2519" s="29">
        <f t="shared" si="394"/>
        <v>12909</v>
      </c>
      <c r="N2519" s="29"/>
      <c r="O2519" s="44">
        <f t="shared" si="395"/>
        <v>0.21717698519515477</v>
      </c>
    </row>
    <row r="2520" spans="1:15" ht="20.100000000000001" customHeight="1" x14ac:dyDescent="0.25">
      <c r="A2520" s="89">
        <v>1179</v>
      </c>
      <c r="B2520" s="4">
        <v>44916</v>
      </c>
      <c r="C2520" s="26" t="s">
        <v>351</v>
      </c>
      <c r="D2520" s="3">
        <v>8560</v>
      </c>
      <c r="E2520" s="4">
        <v>44918</v>
      </c>
      <c r="F2520" s="92" t="s">
        <v>28</v>
      </c>
      <c r="G2520" s="32">
        <v>44918</v>
      </c>
      <c r="H2520" s="27">
        <f t="shared" si="396"/>
        <v>8560</v>
      </c>
      <c r="I2520" s="27"/>
      <c r="J2520" s="27"/>
      <c r="K2520" s="99"/>
      <c r="L2520" s="27">
        <f>4485+2191</f>
        <v>6676</v>
      </c>
      <c r="M2520" s="29">
        <f t="shared" si="394"/>
        <v>1884</v>
      </c>
      <c r="N2520" s="29"/>
      <c r="O2520" s="44">
        <f t="shared" si="395"/>
        <v>0.22009345794392524</v>
      </c>
    </row>
    <row r="2521" spans="1:15" ht="20.100000000000001" customHeight="1" x14ac:dyDescent="0.25">
      <c r="A2521" s="89">
        <v>1181</v>
      </c>
      <c r="B2521" s="4">
        <v>44916</v>
      </c>
      <c r="C2521" s="26" t="s">
        <v>517</v>
      </c>
      <c r="D2521" s="3">
        <v>14960</v>
      </c>
      <c r="E2521" s="106">
        <v>44921</v>
      </c>
      <c r="F2521" s="92">
        <v>44917</v>
      </c>
      <c r="G2521" s="4"/>
      <c r="H2521" s="27">
        <f t="shared" si="396"/>
        <v>14960</v>
      </c>
      <c r="I2521" s="27"/>
      <c r="J2521" s="27"/>
      <c r="K2521" s="99"/>
      <c r="L2521" s="27">
        <f>6474+2355</f>
        <v>8829</v>
      </c>
      <c r="M2521" s="29">
        <f t="shared" si="394"/>
        <v>6131</v>
      </c>
      <c r="N2521" s="29"/>
      <c r="O2521" s="44">
        <f t="shared" si="395"/>
        <v>0.40982620320855617</v>
      </c>
    </row>
    <row r="2522" spans="1:15" ht="20.100000000000001" customHeight="1" x14ac:dyDescent="0.25">
      <c r="A2522" s="89">
        <v>1192</v>
      </c>
      <c r="B2522" s="4">
        <v>44918</v>
      </c>
      <c r="C2522" s="26" t="s">
        <v>351</v>
      </c>
      <c r="D2522" s="3">
        <v>10058</v>
      </c>
      <c r="E2522" s="106">
        <v>44922</v>
      </c>
      <c r="F2522" s="92">
        <v>44924</v>
      </c>
      <c r="G2522" s="4"/>
      <c r="H2522" s="27">
        <f t="shared" si="396"/>
        <v>10058</v>
      </c>
      <c r="I2522" s="27"/>
      <c r="J2522" s="27"/>
      <c r="K2522" s="99"/>
      <c r="L2522" s="27">
        <v>7254</v>
      </c>
      <c r="M2522" s="29">
        <f t="shared" si="394"/>
        <v>2804</v>
      </c>
      <c r="N2522" s="29"/>
      <c r="O2522" s="44">
        <f t="shared" si="395"/>
        <v>0.27878305826207994</v>
      </c>
    </row>
    <row r="2523" spans="1:15" ht="20.100000000000001" customHeight="1" x14ac:dyDescent="0.25">
      <c r="A2523" s="89">
        <v>1153</v>
      </c>
      <c r="B2523" s="4">
        <v>44914</v>
      </c>
      <c r="C2523" s="26" t="s">
        <v>533</v>
      </c>
      <c r="D2523" s="3">
        <v>65580</v>
      </c>
      <c r="E2523" s="4">
        <v>44922</v>
      </c>
      <c r="F2523" s="92" t="s">
        <v>28</v>
      </c>
      <c r="G2523" s="32">
        <v>44914</v>
      </c>
      <c r="H2523" s="27">
        <f t="shared" si="396"/>
        <v>65580</v>
      </c>
      <c r="I2523" s="27"/>
      <c r="J2523" s="27"/>
      <c r="K2523" s="99"/>
      <c r="L2523" s="27">
        <v>46359</v>
      </c>
      <c r="M2523" s="29">
        <f t="shared" si="394"/>
        <v>19221</v>
      </c>
      <c r="N2523" s="29"/>
      <c r="O2523" s="44">
        <f t="shared" si="395"/>
        <v>0.29309240622140897</v>
      </c>
    </row>
    <row r="2524" spans="1:15" ht="20.100000000000001" customHeight="1" x14ac:dyDescent="0.25">
      <c r="A2524" s="89">
        <v>979</v>
      </c>
      <c r="B2524" s="4">
        <v>44859</v>
      </c>
      <c r="C2524" s="26" t="s">
        <v>56</v>
      </c>
      <c r="D2524" s="3">
        <v>94561</v>
      </c>
      <c r="E2524" s="4">
        <v>44923</v>
      </c>
      <c r="F2524" s="92" t="s">
        <v>28</v>
      </c>
      <c r="G2524" s="32">
        <v>44879</v>
      </c>
      <c r="H2524" s="27">
        <f t="shared" si="396"/>
        <v>94561</v>
      </c>
      <c r="I2524" s="27"/>
      <c r="J2524" s="27"/>
      <c r="K2524" s="99">
        <v>500</v>
      </c>
      <c r="L2524" s="27">
        <v>58371</v>
      </c>
      <c r="M2524" s="29">
        <f t="shared" si="394"/>
        <v>35690</v>
      </c>
      <c r="N2524" s="29"/>
      <c r="O2524" s="44">
        <f t="shared" si="395"/>
        <v>0.37742832668859255</v>
      </c>
    </row>
    <row r="2525" spans="1:15" ht="20.100000000000001" customHeight="1" x14ac:dyDescent="0.25">
      <c r="A2525" s="89">
        <v>978</v>
      </c>
      <c r="B2525" s="4">
        <v>44876</v>
      </c>
      <c r="C2525" s="26" t="s">
        <v>56</v>
      </c>
      <c r="D2525" s="3">
        <v>30600</v>
      </c>
      <c r="E2525" s="4">
        <v>44923</v>
      </c>
      <c r="F2525" s="92" t="s">
        <v>28</v>
      </c>
      <c r="G2525" s="32">
        <v>44879</v>
      </c>
      <c r="H2525" s="27">
        <f t="shared" si="396"/>
        <v>30600</v>
      </c>
      <c r="I2525" s="27"/>
      <c r="J2525" s="27"/>
      <c r="K2525" s="99"/>
      <c r="L2525" s="27">
        <f>11934*2</f>
        <v>23868</v>
      </c>
      <c r="M2525" s="29">
        <f t="shared" si="394"/>
        <v>6732</v>
      </c>
      <c r="N2525" s="29"/>
      <c r="O2525" s="44">
        <f t="shared" si="395"/>
        <v>0.22</v>
      </c>
    </row>
    <row r="2526" spans="1:15" ht="20.100000000000001" customHeight="1" x14ac:dyDescent="0.25">
      <c r="A2526" s="89">
        <v>1201</v>
      </c>
      <c r="B2526" s="4">
        <v>44923</v>
      </c>
      <c r="C2526" s="26" t="s">
        <v>124</v>
      </c>
      <c r="D2526" s="3">
        <v>7500</v>
      </c>
      <c r="E2526" s="4">
        <v>44923</v>
      </c>
      <c r="F2526" s="92" t="s">
        <v>28</v>
      </c>
      <c r="G2526" s="32">
        <v>44924</v>
      </c>
      <c r="H2526" s="27">
        <f t="shared" si="396"/>
        <v>7500</v>
      </c>
      <c r="I2526" s="27"/>
      <c r="J2526" s="27"/>
      <c r="K2526" s="99"/>
      <c r="L2526" s="27">
        <f>780*5</f>
        <v>3900</v>
      </c>
      <c r="M2526" s="29">
        <f t="shared" si="394"/>
        <v>3600</v>
      </c>
      <c r="N2526" s="29"/>
      <c r="O2526" s="44">
        <f t="shared" si="395"/>
        <v>0.48</v>
      </c>
    </row>
    <row r="2527" spans="1:15" ht="20.100000000000001" customHeight="1" x14ac:dyDescent="0.25">
      <c r="A2527" s="89">
        <v>1186</v>
      </c>
      <c r="B2527" s="4">
        <v>44917</v>
      </c>
      <c r="C2527" s="5" t="s">
        <v>534</v>
      </c>
      <c r="D2527" s="3">
        <v>13590</v>
      </c>
      <c r="E2527" s="4">
        <v>44923</v>
      </c>
      <c r="F2527" s="92" t="s">
        <v>28</v>
      </c>
      <c r="G2527" s="32">
        <v>44924</v>
      </c>
      <c r="H2527" s="27">
        <f t="shared" si="396"/>
        <v>13590</v>
      </c>
      <c r="I2527" s="27">
        <f t="shared" ref="I2527" si="397">H2527</f>
        <v>13590</v>
      </c>
      <c r="J2527" s="27"/>
      <c r="K2527" s="99"/>
      <c r="L2527" s="27">
        <v>9988</v>
      </c>
      <c r="M2527" s="29">
        <f t="shared" si="394"/>
        <v>3602</v>
      </c>
      <c r="N2527" s="27">
        <f t="shared" ref="N2527" si="398">M2527</f>
        <v>3602</v>
      </c>
      <c r="O2527" s="44">
        <f t="shared" si="395"/>
        <v>0.26504782928623988</v>
      </c>
    </row>
    <row r="2528" spans="1:15" ht="20.100000000000001" customHeight="1" x14ac:dyDescent="0.25">
      <c r="A2528" s="89">
        <v>1202</v>
      </c>
      <c r="B2528" s="4">
        <v>44923</v>
      </c>
      <c r="C2528" s="26" t="s">
        <v>492</v>
      </c>
      <c r="D2528" s="3">
        <v>3460</v>
      </c>
      <c r="E2528" s="4">
        <v>44924</v>
      </c>
      <c r="F2528" s="92" t="s">
        <v>28</v>
      </c>
      <c r="G2528" s="4"/>
      <c r="H2528" s="27">
        <f t="shared" si="396"/>
        <v>3460</v>
      </c>
      <c r="I2528" s="27"/>
      <c r="J2528" s="27"/>
      <c r="K2528" s="99"/>
      <c r="L2528" s="27">
        <f>889*2+920</f>
        <v>2698</v>
      </c>
      <c r="M2528" s="29">
        <f t="shared" si="394"/>
        <v>762</v>
      </c>
      <c r="N2528" s="29"/>
      <c r="O2528" s="44">
        <f t="shared" si="395"/>
        <v>0.22023121387283237</v>
      </c>
    </row>
    <row r="2529" spans="1:15" ht="19.5" customHeight="1" x14ac:dyDescent="0.25">
      <c r="A2529" s="89"/>
      <c r="B2529" s="4"/>
      <c r="C2529" s="5"/>
      <c r="D2529" s="3"/>
      <c r="E2529" s="97"/>
      <c r="F2529" s="98">
        <f>M2529*0.17+N2529*0.06</f>
        <v>70230.195000000007</v>
      </c>
      <c r="G2529" s="21">
        <f>H2529*0.05+I2529*0.02</f>
        <v>72528.05</v>
      </c>
      <c r="H2529" s="16">
        <f t="shared" ref="H2529:N2529" si="399">SUM(H2506:H2528)</f>
        <v>1445125</v>
      </c>
      <c r="I2529" s="16">
        <f t="shared" si="399"/>
        <v>13590</v>
      </c>
      <c r="J2529" s="16">
        <f t="shared" si="399"/>
        <v>0</v>
      </c>
      <c r="K2529" s="16">
        <f t="shared" si="399"/>
        <v>500</v>
      </c>
      <c r="L2529" s="16">
        <f t="shared" si="399"/>
        <v>1032777.5</v>
      </c>
      <c r="M2529" s="16">
        <f t="shared" si="399"/>
        <v>411847.5</v>
      </c>
      <c r="N2529" s="16">
        <f t="shared" si="399"/>
        <v>3602</v>
      </c>
      <c r="O2529" s="44">
        <f t="shared" si="395"/>
        <v>0.28499091774067986</v>
      </c>
    </row>
    <row r="2530" spans="1:15" ht="23.25" x14ac:dyDescent="0.35">
      <c r="B2530" s="94"/>
      <c r="C2530" s="94" t="s">
        <v>647</v>
      </c>
    </row>
    <row r="2531" spans="1:15" ht="20.100000000000001" customHeight="1" x14ac:dyDescent="0.25">
      <c r="A2531" s="51" t="s">
        <v>1</v>
      </c>
      <c r="B2531" s="51" t="s">
        <v>0</v>
      </c>
      <c r="C2531" s="51" t="s">
        <v>26</v>
      </c>
      <c r="D2531" s="51" t="s">
        <v>2</v>
      </c>
      <c r="E2531" s="51" t="s">
        <v>3</v>
      </c>
      <c r="F2531" s="51" t="s">
        <v>27</v>
      </c>
      <c r="G2531" s="51" t="s">
        <v>4</v>
      </c>
      <c r="H2531" s="52" t="s">
        <v>132</v>
      </c>
      <c r="I2531" s="70" t="s">
        <v>133</v>
      </c>
      <c r="J2531" s="110" t="s">
        <v>187</v>
      </c>
      <c r="K2531" s="110" t="s">
        <v>188</v>
      </c>
      <c r="L2531" s="110" t="s">
        <v>129</v>
      </c>
      <c r="M2531" s="110" t="s">
        <v>130</v>
      </c>
      <c r="N2531" s="70" t="s">
        <v>131</v>
      </c>
      <c r="O2531" s="111" t="s">
        <v>134</v>
      </c>
    </row>
    <row r="2532" spans="1:15" ht="19.5" customHeight="1" x14ac:dyDescent="0.25">
      <c r="A2532" s="134">
        <v>1126</v>
      </c>
      <c r="B2532" s="53">
        <v>44901</v>
      </c>
      <c r="C2532" s="60" t="s">
        <v>99</v>
      </c>
      <c r="D2532" s="55">
        <v>57600</v>
      </c>
      <c r="E2532" s="53"/>
      <c r="F2532" s="112" t="s">
        <v>28</v>
      </c>
      <c r="G2532" s="53">
        <v>44902</v>
      </c>
      <c r="H2532" s="113"/>
      <c r="I2532" s="113"/>
      <c r="J2532" s="113"/>
      <c r="K2532" s="114">
        <v>2000</v>
      </c>
      <c r="L2532" s="113">
        <v>27592</v>
      </c>
      <c r="M2532" s="115"/>
      <c r="N2532" s="115"/>
      <c r="O2532" s="116"/>
    </row>
    <row r="2533" spans="1:15" ht="19.5" customHeight="1" x14ac:dyDescent="0.25">
      <c r="A2533" s="134">
        <v>1176</v>
      </c>
      <c r="B2533" s="53">
        <v>44915</v>
      </c>
      <c r="C2533" s="60" t="s">
        <v>99</v>
      </c>
      <c r="D2533" s="55">
        <v>91000</v>
      </c>
      <c r="E2533" s="53"/>
      <c r="F2533" s="112" t="s">
        <v>28</v>
      </c>
      <c r="G2533" s="53">
        <v>44916</v>
      </c>
      <c r="H2533" s="117"/>
      <c r="I2533" s="117"/>
      <c r="J2533" s="117"/>
      <c r="K2533" s="118"/>
      <c r="L2533" s="117">
        <v>86391</v>
      </c>
      <c r="M2533" s="119"/>
      <c r="N2533" s="119"/>
      <c r="O2533" s="120"/>
    </row>
    <row r="2534" spans="1:15" ht="19.5" customHeight="1" x14ac:dyDescent="0.25">
      <c r="A2534" s="134">
        <v>1205</v>
      </c>
      <c r="B2534" s="53">
        <v>44924</v>
      </c>
      <c r="C2534" s="60" t="s">
        <v>99</v>
      </c>
      <c r="D2534" s="55">
        <v>265000</v>
      </c>
      <c r="E2534" s="53"/>
      <c r="F2534" s="112" t="s">
        <v>28</v>
      </c>
      <c r="G2534" s="53">
        <v>44924</v>
      </c>
      <c r="H2534" s="113"/>
      <c r="I2534" s="113"/>
      <c r="J2534" s="113"/>
      <c r="K2534" s="114">
        <v>5000</v>
      </c>
      <c r="L2534" s="113">
        <v>150319</v>
      </c>
      <c r="M2534" s="115"/>
      <c r="N2534" s="115"/>
      <c r="O2534" s="116"/>
    </row>
    <row r="2535" spans="1:15" ht="20.100000000000001" customHeight="1" x14ac:dyDescent="0.25">
      <c r="A2535" s="134">
        <v>737</v>
      </c>
      <c r="B2535" s="53">
        <v>44778</v>
      </c>
      <c r="C2535" s="60" t="s">
        <v>209</v>
      </c>
      <c r="D2535" s="55">
        <v>3294</v>
      </c>
      <c r="E2535" s="53"/>
      <c r="F2535" s="112" t="s">
        <v>28</v>
      </c>
      <c r="G2535" s="53">
        <v>44789</v>
      </c>
      <c r="H2535" s="117"/>
      <c r="I2535" s="117"/>
      <c r="J2535" s="117"/>
      <c r="K2535" s="118"/>
      <c r="L2535" s="117">
        <v>3054</v>
      </c>
      <c r="M2535" s="119"/>
      <c r="N2535" s="117"/>
      <c r="O2535" s="120"/>
    </row>
    <row r="2536" spans="1:15" ht="20.100000000000001" customHeight="1" x14ac:dyDescent="0.25">
      <c r="A2536" s="134">
        <v>1033</v>
      </c>
      <c r="B2536" s="53">
        <v>44873</v>
      </c>
      <c r="C2536" s="60" t="s">
        <v>209</v>
      </c>
      <c r="D2536" s="55">
        <v>17397</v>
      </c>
      <c r="E2536" s="53"/>
      <c r="F2536" s="112" t="s">
        <v>28</v>
      </c>
      <c r="G2536" s="53">
        <v>44873</v>
      </c>
      <c r="H2536" s="113"/>
      <c r="I2536" s="113"/>
      <c r="J2536" s="113"/>
      <c r="K2536" s="114"/>
      <c r="L2536" s="113">
        <v>15401</v>
      </c>
      <c r="M2536" s="115"/>
      <c r="N2536" s="113"/>
      <c r="O2536" s="116"/>
    </row>
    <row r="2537" spans="1:15" ht="20.100000000000001" customHeight="1" x14ac:dyDescent="0.25">
      <c r="A2537" s="134">
        <v>993</v>
      </c>
      <c r="B2537" s="53">
        <v>44860</v>
      </c>
      <c r="C2537" s="60" t="s">
        <v>209</v>
      </c>
      <c r="D2537" s="55">
        <v>11430</v>
      </c>
      <c r="E2537" s="53"/>
      <c r="F2537" s="112" t="s">
        <v>28</v>
      </c>
      <c r="G2537" s="53">
        <v>44860</v>
      </c>
      <c r="H2537" s="117"/>
      <c r="I2537" s="117"/>
      <c r="J2537" s="117"/>
      <c r="K2537" s="118"/>
      <c r="L2537" s="117">
        <v>9778</v>
      </c>
      <c r="M2537" s="119"/>
      <c r="N2537" s="117"/>
      <c r="O2537" s="120"/>
    </row>
    <row r="2538" spans="1:15" ht="19.5" customHeight="1" x14ac:dyDescent="0.25">
      <c r="A2538" s="134">
        <v>1185</v>
      </c>
      <c r="B2538" s="53">
        <v>44917</v>
      </c>
      <c r="C2538" s="60" t="s">
        <v>56</v>
      </c>
      <c r="D2538" s="55">
        <v>17980</v>
      </c>
      <c r="E2538" s="53"/>
      <c r="F2538" s="112" t="s">
        <v>28</v>
      </c>
      <c r="G2538" s="53">
        <v>44923</v>
      </c>
      <c r="H2538" s="113"/>
      <c r="I2538" s="113"/>
      <c r="J2538" s="113"/>
      <c r="K2538" s="114"/>
      <c r="L2538" s="113">
        <v>14024</v>
      </c>
      <c r="M2538" s="115"/>
      <c r="N2538" s="115"/>
      <c r="O2538" s="116"/>
    </row>
    <row r="2539" spans="1:15" ht="19.5" customHeight="1" x14ac:dyDescent="0.25">
      <c r="A2539" s="134">
        <v>1203</v>
      </c>
      <c r="B2539" s="53">
        <v>44923</v>
      </c>
      <c r="C2539" s="60" t="s">
        <v>65</v>
      </c>
      <c r="D2539" s="55">
        <v>70080</v>
      </c>
      <c r="E2539" s="53"/>
      <c r="F2539" s="112" t="s">
        <v>28</v>
      </c>
      <c r="G2539" s="53">
        <v>44924</v>
      </c>
      <c r="H2539" s="117"/>
      <c r="I2539" s="117"/>
      <c r="J2539" s="117"/>
      <c r="K2539" s="118"/>
      <c r="L2539" s="117">
        <v>56096</v>
      </c>
      <c r="M2539" s="119"/>
      <c r="N2539" s="119"/>
      <c r="O2539" s="120"/>
    </row>
    <row r="2540" spans="1:15" ht="19.5" customHeight="1" x14ac:dyDescent="0.25">
      <c r="A2540" s="134">
        <v>1175</v>
      </c>
      <c r="B2540" s="53">
        <v>44915</v>
      </c>
      <c r="C2540" s="60" t="s">
        <v>13</v>
      </c>
      <c r="D2540" s="55">
        <v>34920</v>
      </c>
      <c r="E2540" s="121"/>
      <c r="F2540" s="112">
        <v>44917</v>
      </c>
      <c r="G2540" s="53"/>
      <c r="H2540" s="113"/>
      <c r="I2540" s="113"/>
      <c r="J2540" s="113"/>
      <c r="K2540" s="114"/>
      <c r="L2540" s="113"/>
      <c r="M2540" s="115"/>
      <c r="N2540" s="115"/>
      <c r="O2540" s="116"/>
    </row>
    <row r="2541" spans="1:15" ht="20.100000000000001" customHeight="1" x14ac:dyDescent="0.25">
      <c r="A2541" s="135">
        <v>955</v>
      </c>
      <c r="B2541" s="61">
        <v>44847</v>
      </c>
      <c r="C2541" s="62" t="s">
        <v>66</v>
      </c>
      <c r="D2541" s="63">
        <v>20460</v>
      </c>
      <c r="E2541" s="122"/>
      <c r="F2541" s="123">
        <v>44848</v>
      </c>
      <c r="G2541" s="61"/>
      <c r="H2541" s="124"/>
      <c r="I2541" s="124"/>
      <c r="J2541" s="124"/>
      <c r="K2541" s="125"/>
      <c r="L2541" s="124"/>
      <c r="M2541" s="126"/>
      <c r="N2541" s="126"/>
      <c r="O2541" s="127"/>
    </row>
  </sheetData>
  <conditionalFormatting sqref="O1:O2355 O2367:O2376 O2390 O2395:O2407 O2409 O2417:O2423 O2425:O2454 O2456:O2470 O2472:O2487 O2489:O2503 O2505:O2528 O2530:O1048576">
    <cfRule type="cellIs" dxfId="66" priority="58" operator="between">
      <formula>0.001</formula>
      <formula>0.2</formula>
    </cfRule>
    <cfRule type="cellIs" dxfId="65" priority="59" operator="greaterThan">
      <formula>0.4</formula>
    </cfRule>
    <cfRule type="containsText" priority="60" operator="containsText" text="%">
      <formula>NOT(ISERROR(SEARCH("%",O1)))</formula>
    </cfRule>
  </conditionalFormatting>
  <conditionalFormatting sqref="O2356">
    <cfRule type="cellIs" dxfId="64" priority="55" operator="between">
      <formula>0.001</formula>
      <formula>0.2</formula>
    </cfRule>
    <cfRule type="cellIs" dxfId="63" priority="56" operator="greaterThan">
      <formula>0.4</formula>
    </cfRule>
    <cfRule type="containsText" priority="57" operator="containsText" text="%">
      <formula>NOT(ISERROR(SEARCH("%",O2356)))</formula>
    </cfRule>
  </conditionalFormatting>
  <conditionalFormatting sqref="O2357">
    <cfRule type="cellIs" dxfId="62" priority="52" operator="between">
      <formula>0.001</formula>
      <formula>0.2</formula>
    </cfRule>
    <cfRule type="cellIs" dxfId="61" priority="53" operator="greaterThan">
      <formula>0.4</formula>
    </cfRule>
    <cfRule type="containsText" priority="54" operator="containsText" text="%">
      <formula>NOT(ISERROR(SEARCH("%",O2357)))</formula>
    </cfRule>
  </conditionalFormatting>
  <conditionalFormatting sqref="O2358:O2364">
    <cfRule type="cellIs" dxfId="60" priority="49" operator="between">
      <formula>0.001</formula>
      <formula>0.2</formula>
    </cfRule>
    <cfRule type="cellIs" dxfId="59" priority="50" operator="greaterThan">
      <formula>0.4</formula>
    </cfRule>
    <cfRule type="containsText" priority="51" operator="containsText" text="%">
      <formula>NOT(ISERROR(SEARCH("%",O2358)))</formula>
    </cfRule>
  </conditionalFormatting>
  <conditionalFormatting sqref="O2365:O2366">
    <cfRule type="cellIs" dxfId="58" priority="46" operator="between">
      <formula>0.001</formula>
      <formula>0.2</formula>
    </cfRule>
    <cfRule type="cellIs" dxfId="57" priority="47" operator="greaterThan">
      <formula>0.4</formula>
    </cfRule>
    <cfRule type="containsText" priority="48" operator="containsText" text="%">
      <formula>NOT(ISERROR(SEARCH("%",O2365)))</formula>
    </cfRule>
  </conditionalFormatting>
  <conditionalFormatting sqref="O2379:O2386">
    <cfRule type="cellIs" dxfId="56" priority="43" operator="between">
      <formula>0.001</formula>
      <formula>0.2</formula>
    </cfRule>
    <cfRule type="cellIs" dxfId="55" priority="44" operator="greaterThan">
      <formula>0.4</formula>
    </cfRule>
    <cfRule type="containsText" priority="45" operator="containsText" text="%">
      <formula>NOT(ISERROR(SEARCH("%",O2379)))</formula>
    </cfRule>
  </conditionalFormatting>
  <conditionalFormatting sqref="O2377:O2378">
    <cfRule type="cellIs" dxfId="54" priority="40" operator="between">
      <formula>0.001</formula>
      <formula>0.2</formula>
    </cfRule>
    <cfRule type="cellIs" dxfId="53" priority="41" operator="greaterThan">
      <formula>0.4</formula>
    </cfRule>
    <cfRule type="containsText" priority="42" operator="containsText" text="%">
      <formula>NOT(ISERROR(SEARCH("%",O2377)))</formula>
    </cfRule>
  </conditionalFormatting>
  <conditionalFormatting sqref="O2389">
    <cfRule type="cellIs" dxfId="52" priority="37" operator="between">
      <formula>0.001</formula>
      <formula>0.2</formula>
    </cfRule>
    <cfRule type="cellIs" dxfId="51" priority="38" operator="greaterThan">
      <formula>0.4</formula>
    </cfRule>
    <cfRule type="containsText" priority="39" operator="containsText" text="%">
      <formula>NOT(ISERROR(SEARCH("%",O2389)))</formula>
    </cfRule>
  </conditionalFormatting>
  <conditionalFormatting sqref="O2387:O2388">
    <cfRule type="cellIs" dxfId="50" priority="34" operator="between">
      <formula>0.001</formula>
      <formula>0.2</formula>
    </cfRule>
    <cfRule type="cellIs" dxfId="49" priority="35" operator="greaterThan">
      <formula>0.4</formula>
    </cfRule>
    <cfRule type="containsText" priority="36" operator="containsText" text="%">
      <formula>NOT(ISERROR(SEARCH("%",O2387)))</formula>
    </cfRule>
  </conditionalFormatting>
  <conditionalFormatting sqref="O2391:O2395">
    <cfRule type="cellIs" dxfId="48" priority="31" operator="between">
      <formula>0.001</formula>
      <formula>0.2</formula>
    </cfRule>
    <cfRule type="cellIs" dxfId="47" priority="32" operator="greaterThan">
      <formula>0.4</formula>
    </cfRule>
    <cfRule type="containsText" priority="33" operator="containsText" text="%">
      <formula>NOT(ISERROR(SEARCH("%",O2391)))</formula>
    </cfRule>
  </conditionalFormatting>
  <conditionalFormatting sqref="O2408">
    <cfRule type="cellIs" dxfId="46" priority="28" operator="between">
      <formula>0.001</formula>
      <formula>0.2</formula>
    </cfRule>
    <cfRule type="cellIs" dxfId="45" priority="29" operator="greaterThan">
      <formula>0.4</formula>
    </cfRule>
    <cfRule type="containsText" priority="30" operator="containsText" text="%">
      <formula>NOT(ISERROR(SEARCH("%",O2408)))</formula>
    </cfRule>
  </conditionalFormatting>
  <conditionalFormatting sqref="O2424">
    <cfRule type="cellIs" dxfId="44" priority="25" operator="between">
      <formula>0.001</formula>
      <formula>0.2</formula>
    </cfRule>
    <cfRule type="cellIs" dxfId="43" priority="26" operator="greaterThan">
      <formula>0.4</formula>
    </cfRule>
    <cfRule type="containsText" priority="27" operator="containsText" text="%">
      <formula>NOT(ISERROR(SEARCH("%",O2424)))</formula>
    </cfRule>
  </conditionalFormatting>
  <conditionalFormatting sqref="O2411">
    <cfRule type="cellIs" dxfId="42" priority="22" operator="between">
      <formula>0.001</formula>
      <formula>0.2</formula>
    </cfRule>
    <cfRule type="cellIs" dxfId="41" priority="23" operator="greaterThan">
      <formula>0.4</formula>
    </cfRule>
    <cfRule type="containsText" priority="24" operator="containsText" text="%">
      <formula>NOT(ISERROR(SEARCH("%",O2411)))</formula>
    </cfRule>
  </conditionalFormatting>
  <conditionalFormatting sqref="O2410">
    <cfRule type="cellIs" dxfId="40" priority="19" operator="between">
      <formula>0.001</formula>
      <formula>0.2</formula>
    </cfRule>
    <cfRule type="cellIs" dxfId="39" priority="20" operator="greaterThan">
      <formula>0.4</formula>
    </cfRule>
    <cfRule type="containsText" priority="21" operator="containsText" text="%">
      <formula>NOT(ISERROR(SEARCH("%",O2410)))</formula>
    </cfRule>
  </conditionalFormatting>
  <conditionalFormatting sqref="O2412:O2416">
    <cfRule type="cellIs" dxfId="38" priority="16" operator="between">
      <formula>0.001</formula>
      <formula>0.2</formula>
    </cfRule>
    <cfRule type="cellIs" dxfId="37" priority="17" operator="greaterThan">
      <formula>0.4</formula>
    </cfRule>
    <cfRule type="containsText" priority="18" operator="containsText" text="%">
      <formula>NOT(ISERROR(SEARCH("%",O2412)))</formula>
    </cfRule>
  </conditionalFormatting>
  <conditionalFormatting sqref="O2455">
    <cfRule type="cellIs" dxfId="36" priority="13" operator="between">
      <formula>0.001</formula>
      <formula>0.2</formula>
    </cfRule>
    <cfRule type="cellIs" dxfId="35" priority="14" operator="greaterThan">
      <formula>0.4</formula>
    </cfRule>
    <cfRule type="containsText" priority="15" operator="containsText" text="%">
      <formula>NOT(ISERROR(SEARCH("%",O2455)))</formula>
    </cfRule>
  </conditionalFormatting>
  <conditionalFormatting sqref="O2471">
    <cfRule type="cellIs" dxfId="34" priority="10" operator="between">
      <formula>0.001</formula>
      <formula>0.2</formula>
    </cfRule>
    <cfRule type="cellIs" dxfId="33" priority="11" operator="greaterThan">
      <formula>0.4</formula>
    </cfRule>
    <cfRule type="containsText" priority="12" operator="containsText" text="%">
      <formula>NOT(ISERROR(SEARCH("%",O2471)))</formula>
    </cfRule>
  </conditionalFormatting>
  <conditionalFormatting sqref="O2488">
    <cfRule type="cellIs" dxfId="32" priority="7" operator="between">
      <formula>0.001</formula>
      <formula>0.2</formula>
    </cfRule>
    <cfRule type="cellIs" dxfId="31" priority="8" operator="greaterThan">
      <formula>0.4</formula>
    </cfRule>
    <cfRule type="containsText" priority="9" operator="containsText" text="%">
      <formula>NOT(ISERROR(SEARCH("%",O2488)))</formula>
    </cfRule>
  </conditionalFormatting>
  <conditionalFormatting sqref="O2504">
    <cfRule type="cellIs" dxfId="30" priority="4" operator="between">
      <formula>0.001</formula>
      <formula>0.2</formula>
    </cfRule>
    <cfRule type="cellIs" dxfId="29" priority="5" operator="greaterThan">
      <formula>0.4</formula>
    </cfRule>
    <cfRule type="containsText" priority="6" operator="containsText" text="%">
      <formula>NOT(ISERROR(SEARCH("%",O2504)))</formula>
    </cfRule>
  </conditionalFormatting>
  <conditionalFormatting sqref="O2529">
    <cfRule type="cellIs" dxfId="28" priority="1" operator="between">
      <formula>0.001</formula>
      <formula>0.2</formula>
    </cfRule>
    <cfRule type="cellIs" dxfId="27" priority="2" operator="greaterThan">
      <formula>0.4</formula>
    </cfRule>
    <cfRule type="containsText" priority="3" operator="containsText" text="%">
      <formula>NOT(ISERROR(SEARCH("%",O2529)))</formula>
    </cfRule>
  </conditionalFormatting>
  <dataValidations count="3">
    <dataValidation operator="greaterThanOrEqual" allowBlank="1" showInputMessage="1" showErrorMessage="1" sqref="E1:E2486 E2488:E2491 B2528 E2504:E1048576" xr:uid="{0DBC2EC6-EE43-4502-8449-4A20C136D85E}"/>
    <dataValidation type="date" operator="greaterThanOrEqual" allowBlank="1" showInputMessage="1" showErrorMessage="1" sqref="G1:G2442 E2487 E2490:E2503 G2444:G2489 E2532:E2541 E2506:E2528 B1:B1048576 G2492:G1048576" xr:uid="{5274BE76-C089-47B1-B49C-1CA35E965CDD}">
      <formula1>41974</formula1>
    </dataValidation>
    <dataValidation type="decimal" operator="greaterThanOrEqual" allowBlank="1" showInputMessage="1" showErrorMessage="1" sqref="M2455:N2455 N2462 I2471:N2471 N2469:N2470 H1:L2470 J2475:L2482 H2488:N2488 L2472:L2484 N2481:N2482 I2472:K2487 I2486:L2486 H2471:H2487 L2489:L2494 M2504:N2504 N2503 H2489:K2503 H2504:L2510 H2529:N2529 L2514 L2517 H2532:K1048576 L2540:L1048576 H2530:L2531 L2532:L2533 H2511:K2527 D1:D1048576 H2535:L2537 J2524:L2527 H2528:L2528 N2535:N2537 N2527" xr:uid="{360C3CDA-FB14-4F43-A227-ACE19B7E7B2D}">
      <formula1>0</formula1>
    </dataValidation>
  </dataValidations>
  <pageMargins left="0" right="0" top="0" bottom="0" header="0" footer="0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K257"/>
  <sheetViews>
    <sheetView workbookViewId="0">
      <pane ySplit="1" topLeftCell="A2" activePane="bottomLeft" state="frozen"/>
      <selection pane="bottomLeft" activeCell="K16" sqref="K16"/>
    </sheetView>
  </sheetViews>
  <sheetFormatPr defaultRowHeight="15" x14ac:dyDescent="0.25"/>
  <cols>
    <col min="1" max="1" width="7.28515625" bestFit="1" customWidth="1"/>
    <col min="2" max="2" width="10.140625" bestFit="1" customWidth="1"/>
    <col min="3" max="3" width="40.7109375" customWidth="1"/>
    <col min="4" max="4" width="12.7109375" bestFit="1" customWidth="1"/>
    <col min="5" max="5" width="11.85546875" bestFit="1" customWidth="1"/>
    <col min="6" max="6" width="13.42578125" customWidth="1"/>
    <col min="7" max="7" width="13.7109375" bestFit="1" customWidth="1"/>
    <col min="8" max="8" width="13.140625" bestFit="1" customWidth="1"/>
    <col min="9" max="9" width="13.28515625" customWidth="1"/>
    <col min="10" max="10" width="13.140625" bestFit="1" customWidth="1"/>
    <col min="11" max="11" width="11.28515625" bestFit="1" customWidth="1"/>
    <col min="12" max="12" width="9.140625" customWidth="1"/>
    <col min="13" max="13" width="4.28515625" customWidth="1"/>
  </cols>
  <sheetData>
    <row r="1" spans="1:10" s="7" customFormat="1" ht="20.100000000000001" customHeight="1" x14ac:dyDescent="0.25">
      <c r="A1" s="34" t="s">
        <v>1</v>
      </c>
      <c r="B1" s="6" t="s">
        <v>0</v>
      </c>
      <c r="C1" s="6" t="s">
        <v>26</v>
      </c>
      <c r="D1" s="6" t="s">
        <v>2</v>
      </c>
      <c r="E1" s="6" t="s">
        <v>3</v>
      </c>
      <c r="F1" s="6" t="s">
        <v>27</v>
      </c>
      <c r="G1" s="6" t="s">
        <v>4</v>
      </c>
      <c r="H1" s="7" t="s">
        <v>132</v>
      </c>
      <c r="I1" s="7" t="s">
        <v>133</v>
      </c>
      <c r="J1" s="8"/>
    </row>
    <row r="2" spans="1:10" s="7" customFormat="1" ht="20.100000000000001" customHeight="1" x14ac:dyDescent="0.25">
      <c r="A2" s="33">
        <v>2</v>
      </c>
      <c r="B2" s="9">
        <v>41988</v>
      </c>
      <c r="C2" s="10" t="s">
        <v>5</v>
      </c>
      <c r="D2" s="11">
        <v>1598.66</v>
      </c>
      <c r="E2" s="9">
        <v>41991</v>
      </c>
      <c r="F2" s="9"/>
      <c r="G2" s="12">
        <v>41999</v>
      </c>
      <c r="H2" s="13">
        <f t="shared" ref="H2:H17" si="0">D2</f>
        <v>1598.66</v>
      </c>
      <c r="I2" s="13">
        <f t="shared" ref="I2:I17" si="1">H2</f>
        <v>1598.66</v>
      </c>
    </row>
    <row r="3" spans="1:10" s="7" customFormat="1" ht="20.100000000000001" customHeight="1" x14ac:dyDescent="0.25">
      <c r="A3" s="33">
        <v>3</v>
      </c>
      <c r="B3" s="9">
        <v>41991</v>
      </c>
      <c r="C3" s="10" t="s">
        <v>6</v>
      </c>
      <c r="D3" s="11">
        <v>1880.8</v>
      </c>
      <c r="E3" s="9">
        <v>41992</v>
      </c>
      <c r="F3" s="9"/>
      <c r="G3" s="12">
        <v>42048</v>
      </c>
      <c r="H3" s="13">
        <f t="shared" si="0"/>
        <v>1880.8</v>
      </c>
      <c r="I3" s="13">
        <f t="shared" si="1"/>
        <v>1880.8</v>
      </c>
    </row>
    <row r="4" spans="1:10" s="7" customFormat="1" ht="20.100000000000001" customHeight="1" x14ac:dyDescent="0.25">
      <c r="A4" s="33">
        <v>1</v>
      </c>
      <c r="B4" s="9">
        <v>42016</v>
      </c>
      <c r="C4" s="10" t="s">
        <v>7</v>
      </c>
      <c r="D4" s="14">
        <v>989.55</v>
      </c>
      <c r="E4" s="9">
        <v>42023</v>
      </c>
      <c r="F4" s="9"/>
      <c r="G4" s="12">
        <v>42032</v>
      </c>
      <c r="H4" s="13">
        <f t="shared" si="0"/>
        <v>989.55</v>
      </c>
      <c r="I4" s="13">
        <f t="shared" si="1"/>
        <v>989.55</v>
      </c>
    </row>
    <row r="5" spans="1:10" s="7" customFormat="1" ht="20.100000000000001" customHeight="1" x14ac:dyDescent="0.25">
      <c r="A5" s="33">
        <v>2</v>
      </c>
      <c r="B5" s="9">
        <v>42025</v>
      </c>
      <c r="C5" s="10" t="s">
        <v>8</v>
      </c>
      <c r="D5" s="11">
        <v>8031.19</v>
      </c>
      <c r="E5" s="9">
        <v>42026</v>
      </c>
      <c r="F5" s="9"/>
      <c r="G5" s="12">
        <v>42061</v>
      </c>
      <c r="H5" s="13">
        <f t="shared" si="0"/>
        <v>8031.19</v>
      </c>
      <c r="I5" s="13">
        <f t="shared" si="1"/>
        <v>8031.19</v>
      </c>
    </row>
    <row r="6" spans="1:10" s="7" customFormat="1" ht="20.100000000000001" customHeight="1" x14ac:dyDescent="0.25">
      <c r="A6" s="33">
        <v>3</v>
      </c>
      <c r="B6" s="9">
        <v>42034</v>
      </c>
      <c r="C6" s="10" t="s">
        <v>9</v>
      </c>
      <c r="D6" s="11">
        <v>10279.549999999999</v>
      </c>
      <c r="E6" s="9">
        <v>42039</v>
      </c>
      <c r="F6" s="9"/>
      <c r="G6" s="12">
        <v>42039</v>
      </c>
      <c r="H6" s="13">
        <f t="shared" si="0"/>
        <v>10279.549999999999</v>
      </c>
      <c r="I6" s="13">
        <f t="shared" si="1"/>
        <v>10279.549999999999</v>
      </c>
    </row>
    <row r="7" spans="1:10" s="7" customFormat="1" ht="20.100000000000001" customHeight="1" x14ac:dyDescent="0.25">
      <c r="A7" s="33">
        <v>21</v>
      </c>
      <c r="B7" s="9">
        <v>42060</v>
      </c>
      <c r="C7" s="10" t="s">
        <v>19</v>
      </c>
      <c r="D7" s="11">
        <v>5435.67</v>
      </c>
      <c r="E7" s="9">
        <v>42062</v>
      </c>
      <c r="F7" s="15" t="s">
        <v>28</v>
      </c>
      <c r="G7" s="12">
        <v>42136</v>
      </c>
      <c r="H7" s="13">
        <f t="shared" si="0"/>
        <v>5435.67</v>
      </c>
      <c r="I7" s="13">
        <f t="shared" si="1"/>
        <v>5435.67</v>
      </c>
    </row>
    <row r="8" spans="1:10" s="7" customFormat="1" ht="20.100000000000001" customHeight="1" x14ac:dyDescent="0.25">
      <c r="A8" s="33">
        <v>4</v>
      </c>
      <c r="B8" s="9">
        <v>42037</v>
      </c>
      <c r="C8" s="10" t="s">
        <v>10</v>
      </c>
      <c r="D8" s="11">
        <v>4753.34</v>
      </c>
      <c r="E8" s="9">
        <v>42038</v>
      </c>
      <c r="F8" s="9"/>
      <c r="G8" s="12">
        <v>42039</v>
      </c>
      <c r="H8" s="13">
        <f t="shared" si="0"/>
        <v>4753.34</v>
      </c>
      <c r="I8" s="13">
        <f t="shared" si="1"/>
        <v>4753.34</v>
      </c>
    </row>
    <row r="9" spans="1:10" s="7" customFormat="1" ht="20.100000000000001" customHeight="1" x14ac:dyDescent="0.25">
      <c r="A9" s="33">
        <v>7</v>
      </c>
      <c r="B9" s="9">
        <v>42039</v>
      </c>
      <c r="C9" s="10" t="s">
        <v>12</v>
      </c>
      <c r="D9" s="11">
        <v>3972.77</v>
      </c>
      <c r="E9" s="9">
        <v>42040</v>
      </c>
      <c r="F9" s="9"/>
      <c r="G9" s="12">
        <v>42041</v>
      </c>
      <c r="H9" s="13">
        <f t="shared" si="0"/>
        <v>3972.77</v>
      </c>
      <c r="I9" s="13">
        <f t="shared" si="1"/>
        <v>3972.77</v>
      </c>
    </row>
    <row r="10" spans="1:10" s="7" customFormat="1" ht="20.100000000000001" customHeight="1" x14ac:dyDescent="0.25">
      <c r="A10" s="33">
        <v>12</v>
      </c>
      <c r="B10" s="9">
        <v>42044</v>
      </c>
      <c r="C10" s="10" t="s">
        <v>15</v>
      </c>
      <c r="D10" s="11">
        <v>6741.05</v>
      </c>
      <c r="E10" s="9">
        <v>42047</v>
      </c>
      <c r="F10" s="9"/>
      <c r="G10" s="12">
        <v>42069</v>
      </c>
      <c r="H10" s="13">
        <f t="shared" si="0"/>
        <v>6741.05</v>
      </c>
      <c r="I10" s="13">
        <f t="shared" si="1"/>
        <v>6741.05</v>
      </c>
    </row>
    <row r="11" spans="1:10" s="7" customFormat="1" ht="20.100000000000001" customHeight="1" x14ac:dyDescent="0.25">
      <c r="A11" s="33">
        <v>15</v>
      </c>
      <c r="B11" s="9">
        <v>42047</v>
      </c>
      <c r="C11" s="10" t="s">
        <v>16</v>
      </c>
      <c r="D11" s="11">
        <v>25164.12</v>
      </c>
      <c r="E11" s="9">
        <v>42047</v>
      </c>
      <c r="F11" s="9"/>
      <c r="G11" s="12">
        <v>42069</v>
      </c>
      <c r="H11" s="13">
        <f t="shared" si="0"/>
        <v>25164.12</v>
      </c>
      <c r="I11" s="13">
        <f t="shared" si="1"/>
        <v>25164.12</v>
      </c>
    </row>
    <row r="12" spans="1:10" s="7" customFormat="1" ht="20.100000000000001" customHeight="1" x14ac:dyDescent="0.25">
      <c r="A12" s="33">
        <v>14</v>
      </c>
      <c r="B12" s="9">
        <v>42047</v>
      </c>
      <c r="C12" s="10" t="s">
        <v>16</v>
      </c>
      <c r="D12" s="11">
        <v>12965.26</v>
      </c>
      <c r="E12" s="9">
        <v>42047</v>
      </c>
      <c r="F12" s="9"/>
      <c r="G12" s="12">
        <v>42069</v>
      </c>
      <c r="H12" s="13">
        <f t="shared" si="0"/>
        <v>12965.26</v>
      </c>
      <c r="I12" s="13">
        <f t="shared" si="1"/>
        <v>12965.26</v>
      </c>
    </row>
    <row r="13" spans="1:10" s="7" customFormat="1" ht="20.100000000000001" customHeight="1" x14ac:dyDescent="0.25">
      <c r="A13" s="33">
        <v>10</v>
      </c>
      <c r="B13" s="9">
        <v>42041</v>
      </c>
      <c r="C13" s="10" t="s">
        <v>13</v>
      </c>
      <c r="D13" s="11">
        <v>7463.21</v>
      </c>
      <c r="E13" s="9">
        <v>42048</v>
      </c>
      <c r="F13" s="9"/>
      <c r="G13" s="12">
        <v>42052</v>
      </c>
      <c r="H13" s="13">
        <f t="shared" si="0"/>
        <v>7463.21</v>
      </c>
      <c r="I13" s="13">
        <f t="shared" si="1"/>
        <v>7463.21</v>
      </c>
    </row>
    <row r="14" spans="1:10" s="7" customFormat="1" ht="19.5" customHeight="1" x14ac:dyDescent="0.25">
      <c r="A14" s="33">
        <v>11</v>
      </c>
      <c r="B14" s="9">
        <v>42041</v>
      </c>
      <c r="C14" s="10" t="s">
        <v>14</v>
      </c>
      <c r="D14" s="11">
        <v>24877.35</v>
      </c>
      <c r="E14" s="9">
        <v>42041</v>
      </c>
      <c r="F14" s="9"/>
      <c r="G14" s="12">
        <v>42051</v>
      </c>
      <c r="H14" s="13">
        <f t="shared" si="0"/>
        <v>24877.35</v>
      </c>
      <c r="I14" s="13">
        <f t="shared" si="1"/>
        <v>24877.35</v>
      </c>
    </row>
    <row r="15" spans="1:10" s="7" customFormat="1" ht="20.100000000000001" customHeight="1" x14ac:dyDescent="0.25">
      <c r="A15" s="33">
        <v>16</v>
      </c>
      <c r="B15" s="9">
        <v>42051</v>
      </c>
      <c r="C15" s="10" t="s">
        <v>17</v>
      </c>
      <c r="D15" s="11">
        <v>29190</v>
      </c>
      <c r="E15" s="9">
        <v>42052</v>
      </c>
      <c r="F15" s="9"/>
      <c r="G15" s="12">
        <v>42052</v>
      </c>
      <c r="H15" s="13">
        <f t="shared" si="0"/>
        <v>29190</v>
      </c>
      <c r="I15" s="13">
        <f t="shared" si="1"/>
        <v>29190</v>
      </c>
    </row>
    <row r="16" spans="1:10" s="7" customFormat="1" ht="20.100000000000001" customHeight="1" x14ac:dyDescent="0.25">
      <c r="A16" s="33">
        <v>5</v>
      </c>
      <c r="B16" s="9">
        <v>42037</v>
      </c>
      <c r="C16" s="10" t="s">
        <v>11</v>
      </c>
      <c r="D16" s="11">
        <v>7203.9</v>
      </c>
      <c r="E16" s="9">
        <v>42065</v>
      </c>
      <c r="F16" s="15" t="s">
        <v>28</v>
      </c>
      <c r="G16" s="12">
        <v>42124</v>
      </c>
      <c r="H16" s="13">
        <f t="shared" si="0"/>
        <v>7203.9</v>
      </c>
      <c r="I16" s="13">
        <f t="shared" si="1"/>
        <v>7203.9</v>
      </c>
    </row>
    <row r="17" spans="1:10" s="7" customFormat="1" ht="20.100000000000001" customHeight="1" x14ac:dyDescent="0.25">
      <c r="A17" s="33">
        <v>17</v>
      </c>
      <c r="B17" s="9">
        <v>42054</v>
      </c>
      <c r="C17" s="10" t="s">
        <v>16</v>
      </c>
      <c r="D17" s="11">
        <v>23836</v>
      </c>
      <c r="E17" s="9">
        <v>42059</v>
      </c>
      <c r="F17" s="9"/>
      <c r="G17" s="12">
        <v>42061</v>
      </c>
      <c r="H17" s="13">
        <f t="shared" si="0"/>
        <v>23836</v>
      </c>
      <c r="I17" s="13">
        <f t="shared" si="1"/>
        <v>23836</v>
      </c>
    </row>
    <row r="18" spans="1:10" s="7" customFormat="1" ht="20.100000000000001" customHeight="1" x14ac:dyDescent="0.25">
      <c r="A18" s="35" t="s">
        <v>535</v>
      </c>
      <c r="B18" s="36"/>
      <c r="C18" s="36"/>
      <c r="D18" s="37"/>
      <c r="E18" s="81">
        <f>Февраль2015[[#Totals],[Отгрузка]]</f>
        <v>6975.2967999999992</v>
      </c>
      <c r="F18" s="36"/>
      <c r="G18" s="16">
        <f>H18*0.02+I18*0.02</f>
        <v>6975.2967999999992</v>
      </c>
      <c r="H18" s="38">
        <f>SUBTOTAL(109,Февраль2015[Продажа])</f>
        <v>174382.41999999998</v>
      </c>
      <c r="I18" s="38">
        <f>SUBTOTAL(109,Февраль2015[Продажа НК])</f>
        <v>174382.41999999998</v>
      </c>
    </row>
    <row r="19" spans="1:10" s="7" customFormat="1" ht="20.100000000000001" customHeight="1" x14ac:dyDescent="0.25">
      <c r="A19" s="67" t="s">
        <v>1</v>
      </c>
      <c r="B19" s="51" t="s">
        <v>0</v>
      </c>
      <c r="C19" s="51" t="s">
        <v>26</v>
      </c>
      <c r="D19" s="51" t="s">
        <v>2</v>
      </c>
      <c r="E19" s="51" t="s">
        <v>3</v>
      </c>
      <c r="F19" s="51" t="s">
        <v>27</v>
      </c>
      <c r="G19" s="51" t="s">
        <v>4</v>
      </c>
      <c r="H19" s="52" t="s">
        <v>132</v>
      </c>
      <c r="I19" s="70" t="s">
        <v>133</v>
      </c>
      <c r="J19" s="8"/>
    </row>
    <row r="20" spans="1:10" s="7" customFormat="1" ht="20.100000000000001" customHeight="1" x14ac:dyDescent="0.25">
      <c r="A20" s="68">
        <v>20</v>
      </c>
      <c r="B20" s="53">
        <v>42060</v>
      </c>
      <c r="C20" s="54" t="s">
        <v>18</v>
      </c>
      <c r="D20" s="55">
        <v>24695.48</v>
      </c>
      <c r="E20" s="53">
        <v>42066</v>
      </c>
      <c r="F20" s="56" t="s">
        <v>28</v>
      </c>
      <c r="G20" s="57">
        <v>42101</v>
      </c>
      <c r="H20" s="58">
        <v>21390</v>
      </c>
      <c r="I20" s="71">
        <f>H20</f>
        <v>21390</v>
      </c>
    </row>
    <row r="21" spans="1:10" s="7" customFormat="1" ht="20.100000000000001" customHeight="1" x14ac:dyDescent="0.25">
      <c r="A21" s="68">
        <v>22</v>
      </c>
      <c r="B21" s="53">
        <v>42066</v>
      </c>
      <c r="C21" s="54" t="s">
        <v>20</v>
      </c>
      <c r="D21" s="55">
        <v>15990</v>
      </c>
      <c r="E21" s="53">
        <v>42073</v>
      </c>
      <c r="F21" s="56" t="s">
        <v>28</v>
      </c>
      <c r="G21" s="57">
        <v>42068</v>
      </c>
      <c r="H21" s="59">
        <f t="shared" ref="H21:H28" si="2">D21</f>
        <v>15990</v>
      </c>
      <c r="I21" s="72">
        <f>H21</f>
        <v>15990</v>
      </c>
    </row>
    <row r="22" spans="1:10" s="7" customFormat="1" ht="20.100000000000001" customHeight="1" x14ac:dyDescent="0.25">
      <c r="A22" s="68">
        <v>23</v>
      </c>
      <c r="B22" s="53">
        <v>42066</v>
      </c>
      <c r="C22" s="54" t="s">
        <v>21</v>
      </c>
      <c r="D22" s="55">
        <v>4927.09</v>
      </c>
      <c r="E22" s="53">
        <v>42076</v>
      </c>
      <c r="F22" s="56" t="s">
        <v>28</v>
      </c>
      <c r="G22" s="57">
        <v>42088</v>
      </c>
      <c r="H22" s="58">
        <f t="shared" si="2"/>
        <v>4927.09</v>
      </c>
      <c r="I22" s="71">
        <f>H22</f>
        <v>4927.09</v>
      </c>
    </row>
    <row r="23" spans="1:10" s="7" customFormat="1" ht="20.100000000000001" customHeight="1" x14ac:dyDescent="0.25">
      <c r="A23" s="68">
        <v>25</v>
      </c>
      <c r="B23" s="53">
        <v>42067</v>
      </c>
      <c r="C23" s="54" t="s">
        <v>22</v>
      </c>
      <c r="D23" s="55">
        <v>9423</v>
      </c>
      <c r="E23" s="53">
        <v>42075</v>
      </c>
      <c r="F23" s="56" t="s">
        <v>28</v>
      </c>
      <c r="G23" s="57">
        <v>42087</v>
      </c>
      <c r="H23" s="59">
        <f t="shared" si="2"/>
        <v>9423</v>
      </c>
      <c r="I23" s="72">
        <f>H23</f>
        <v>9423</v>
      </c>
    </row>
    <row r="24" spans="1:10" s="7" customFormat="1" ht="20.100000000000001" customHeight="1" x14ac:dyDescent="0.25">
      <c r="A24" s="68">
        <v>31</v>
      </c>
      <c r="B24" s="53">
        <v>42069</v>
      </c>
      <c r="C24" s="54" t="s">
        <v>25</v>
      </c>
      <c r="D24" s="55">
        <v>7564.5</v>
      </c>
      <c r="E24" s="53">
        <v>42073</v>
      </c>
      <c r="F24" s="56" t="s">
        <v>28</v>
      </c>
      <c r="G24" s="57">
        <v>42111</v>
      </c>
      <c r="H24" s="58">
        <f t="shared" si="2"/>
        <v>7564.5</v>
      </c>
      <c r="I24" s="71">
        <f>H24</f>
        <v>7564.5</v>
      </c>
    </row>
    <row r="25" spans="1:10" s="7" customFormat="1" ht="20.100000000000001" customHeight="1" x14ac:dyDescent="0.25">
      <c r="A25" s="68">
        <v>34</v>
      </c>
      <c r="B25" s="53">
        <v>42075</v>
      </c>
      <c r="C25" s="60" t="s">
        <v>13</v>
      </c>
      <c r="D25" s="55">
        <v>6965.66</v>
      </c>
      <c r="E25" s="53">
        <v>42081</v>
      </c>
      <c r="F25" s="56" t="s">
        <v>28</v>
      </c>
      <c r="G25" s="57">
        <v>42086</v>
      </c>
      <c r="H25" s="59">
        <f t="shared" si="2"/>
        <v>6965.66</v>
      </c>
      <c r="I25" s="72"/>
    </row>
    <row r="26" spans="1:10" s="7" customFormat="1" ht="20.100000000000001" customHeight="1" x14ac:dyDescent="0.25">
      <c r="A26" s="68">
        <v>36</v>
      </c>
      <c r="B26" s="53">
        <v>42079</v>
      </c>
      <c r="C26" s="54" t="s">
        <v>29</v>
      </c>
      <c r="D26" s="55">
        <v>48280</v>
      </c>
      <c r="E26" s="53">
        <v>42079</v>
      </c>
      <c r="F26" s="56" t="s">
        <v>28</v>
      </c>
      <c r="G26" s="57">
        <v>42083</v>
      </c>
      <c r="H26" s="58">
        <f t="shared" si="2"/>
        <v>48280</v>
      </c>
      <c r="I26" s="71">
        <f>H26</f>
        <v>48280</v>
      </c>
    </row>
    <row r="27" spans="1:10" s="7" customFormat="1" ht="20.100000000000001" customHeight="1" x14ac:dyDescent="0.25">
      <c r="A27" s="68">
        <v>44</v>
      </c>
      <c r="B27" s="53">
        <v>42083</v>
      </c>
      <c r="C27" s="54" t="s">
        <v>33</v>
      </c>
      <c r="D27" s="55">
        <v>3634.81</v>
      </c>
      <c r="E27" s="53">
        <v>42093</v>
      </c>
      <c r="F27" s="56" t="s">
        <v>28</v>
      </c>
      <c r="G27" s="57">
        <v>42130</v>
      </c>
      <c r="H27" s="59">
        <f t="shared" si="2"/>
        <v>3634.81</v>
      </c>
      <c r="I27" s="72">
        <f>H27</f>
        <v>3634.81</v>
      </c>
    </row>
    <row r="28" spans="1:10" s="7" customFormat="1" ht="20.100000000000001" customHeight="1" x14ac:dyDescent="0.25">
      <c r="A28" s="68">
        <v>37</v>
      </c>
      <c r="B28" s="53">
        <v>42080</v>
      </c>
      <c r="C28" s="54" t="s">
        <v>30</v>
      </c>
      <c r="D28" s="55">
        <v>1780.98</v>
      </c>
      <c r="E28" s="53">
        <v>42093</v>
      </c>
      <c r="F28" s="56" t="s">
        <v>28</v>
      </c>
      <c r="G28" s="57">
        <v>42095</v>
      </c>
      <c r="H28" s="58">
        <f t="shared" si="2"/>
        <v>1780.98</v>
      </c>
      <c r="I28" s="71">
        <f>H28</f>
        <v>1780.98</v>
      </c>
    </row>
    <row r="29" spans="1:10" s="7" customFormat="1" ht="20.100000000000001" customHeight="1" x14ac:dyDescent="0.25">
      <c r="A29" s="68">
        <v>20</v>
      </c>
      <c r="B29" s="53">
        <v>42060</v>
      </c>
      <c r="C29" s="54" t="s">
        <v>18</v>
      </c>
      <c r="D29" s="55">
        <v>24695.48</v>
      </c>
      <c r="E29" s="53">
        <v>42066</v>
      </c>
      <c r="F29" s="56" t="s">
        <v>28</v>
      </c>
      <c r="G29" s="57">
        <v>42101</v>
      </c>
      <c r="H29" s="59">
        <v>3305.48</v>
      </c>
      <c r="I29" s="72">
        <f>H29</f>
        <v>3305.48</v>
      </c>
    </row>
    <row r="30" spans="1:10" s="7" customFormat="1" ht="20.100000000000001" customHeight="1" x14ac:dyDescent="0.25">
      <c r="A30" s="68">
        <v>33</v>
      </c>
      <c r="B30" s="53">
        <v>42074</v>
      </c>
      <c r="C30" s="60" t="s">
        <v>16</v>
      </c>
      <c r="D30" s="55">
        <v>7343.14</v>
      </c>
      <c r="E30" s="53">
        <v>42075</v>
      </c>
      <c r="F30" s="56" t="s">
        <v>28</v>
      </c>
      <c r="G30" s="57">
        <v>42101</v>
      </c>
      <c r="H30" s="58">
        <f>D30</f>
        <v>7343.14</v>
      </c>
      <c r="I30" s="71"/>
    </row>
    <row r="31" spans="1:10" s="7" customFormat="1" ht="20.100000000000001" customHeight="1" x14ac:dyDescent="0.25">
      <c r="A31" s="68">
        <v>26</v>
      </c>
      <c r="B31" s="53">
        <v>42067</v>
      </c>
      <c r="C31" s="54" t="s">
        <v>23</v>
      </c>
      <c r="D31" s="55">
        <v>39964.239999999998</v>
      </c>
      <c r="E31" s="53">
        <v>42083</v>
      </c>
      <c r="F31" s="56" t="s">
        <v>28</v>
      </c>
      <c r="G31" s="57">
        <v>42110</v>
      </c>
      <c r="H31" s="59">
        <f>D31</f>
        <v>39964.239999999998</v>
      </c>
      <c r="I31" s="72">
        <f>H31</f>
        <v>39964.239999999998</v>
      </c>
    </row>
    <row r="32" spans="1:10" s="7" customFormat="1" ht="20.100000000000001" customHeight="1" x14ac:dyDescent="0.25">
      <c r="A32" s="68">
        <v>46</v>
      </c>
      <c r="B32" s="53">
        <v>42086</v>
      </c>
      <c r="C32" s="54" t="s">
        <v>34</v>
      </c>
      <c r="D32" s="55">
        <v>756.26</v>
      </c>
      <c r="E32" s="53">
        <v>42094</v>
      </c>
      <c r="F32" s="56" t="s">
        <v>28</v>
      </c>
      <c r="G32" s="57">
        <v>42116</v>
      </c>
      <c r="H32" s="58">
        <f>D32</f>
        <v>756.26</v>
      </c>
      <c r="I32" s="71">
        <f>H32</f>
        <v>756.26</v>
      </c>
    </row>
    <row r="33" spans="1:9" s="7" customFormat="1" ht="20.100000000000001" customHeight="1" x14ac:dyDescent="0.25">
      <c r="A33" s="68">
        <v>45</v>
      </c>
      <c r="B33" s="53">
        <v>42086</v>
      </c>
      <c r="C33" s="54" t="s">
        <v>32</v>
      </c>
      <c r="D33" s="55">
        <v>4121</v>
      </c>
      <c r="E33" s="53">
        <v>42088</v>
      </c>
      <c r="F33" s="56" t="s">
        <v>28</v>
      </c>
      <c r="G33" s="57">
        <v>42089</v>
      </c>
      <c r="H33" s="59">
        <v>4121</v>
      </c>
      <c r="I33" s="72">
        <f>H33</f>
        <v>4121</v>
      </c>
    </row>
    <row r="34" spans="1:9" s="7" customFormat="1" ht="20.100000000000001" customHeight="1" x14ac:dyDescent="0.25">
      <c r="A34" s="68">
        <v>26</v>
      </c>
      <c r="B34" s="53">
        <v>42067</v>
      </c>
      <c r="C34" s="54" t="s">
        <v>24</v>
      </c>
      <c r="D34" s="55">
        <v>5018.7700000000004</v>
      </c>
      <c r="E34" s="53">
        <v>42068</v>
      </c>
      <c r="F34" s="56" t="s">
        <v>28</v>
      </c>
      <c r="G34" s="57">
        <v>42153</v>
      </c>
      <c r="H34" s="58">
        <v>4122</v>
      </c>
      <c r="I34" s="71">
        <f>H34</f>
        <v>4122</v>
      </c>
    </row>
    <row r="35" spans="1:9" s="7" customFormat="1" ht="20.100000000000001" customHeight="1" x14ac:dyDescent="0.25">
      <c r="A35" s="69">
        <v>48</v>
      </c>
      <c r="B35" s="61">
        <v>42089</v>
      </c>
      <c r="C35" s="62" t="s">
        <v>9</v>
      </c>
      <c r="D35" s="63">
        <v>2621.6</v>
      </c>
      <c r="E35" s="61">
        <v>42093</v>
      </c>
      <c r="F35" s="64" t="s">
        <v>28</v>
      </c>
      <c r="G35" s="65">
        <v>42094</v>
      </c>
      <c r="H35" s="66">
        <f>D35</f>
        <v>2621.6</v>
      </c>
      <c r="I35" s="73"/>
    </row>
    <row r="36" spans="1:9" s="7" customFormat="1" ht="20.100000000000001" customHeight="1" x14ac:dyDescent="0.25">
      <c r="A36" s="74" t="s">
        <v>535</v>
      </c>
      <c r="B36" s="75"/>
      <c r="C36" s="75"/>
      <c r="D36" s="76"/>
      <c r="E36" s="82">
        <f>Март2015[[#Totals],[Отгрузка]]</f>
        <v>6948.9824000000008</v>
      </c>
      <c r="F36" s="77"/>
      <c r="G36" s="16">
        <f>H36*0.02+I36*0.02</f>
        <v>6948.9824000000008</v>
      </c>
      <c r="H36" s="78">
        <f>SUBTOTAL(109,Март2015[Продажа])</f>
        <v>182189.76</v>
      </c>
      <c r="I36" s="38">
        <f>SUBTOTAL(109,Март2015[Продажа НК])</f>
        <v>165259.35999999999</v>
      </c>
    </row>
    <row r="37" spans="1:9" s="7" customFormat="1" ht="20.100000000000001" customHeight="1" x14ac:dyDescent="0.25">
      <c r="A37" s="41" t="s">
        <v>1</v>
      </c>
      <c r="B37" s="1" t="s">
        <v>0</v>
      </c>
      <c r="C37" s="1" t="s">
        <v>26</v>
      </c>
      <c r="D37" s="1" t="s">
        <v>2</v>
      </c>
      <c r="E37" s="1" t="s">
        <v>3</v>
      </c>
      <c r="F37" s="1" t="s">
        <v>27</v>
      </c>
      <c r="G37" s="1" t="s">
        <v>4</v>
      </c>
      <c r="H37" s="2" t="s">
        <v>132</v>
      </c>
      <c r="I37" s="2" t="s">
        <v>133</v>
      </c>
    </row>
    <row r="38" spans="1:9" s="7" customFormat="1" ht="20.100000000000001" customHeight="1" x14ac:dyDescent="0.25">
      <c r="A38" s="33">
        <v>42</v>
      </c>
      <c r="B38" s="9">
        <v>42081</v>
      </c>
      <c r="C38" s="10" t="s">
        <v>31</v>
      </c>
      <c r="D38" s="11">
        <v>14590</v>
      </c>
      <c r="E38" s="9">
        <v>42096</v>
      </c>
      <c r="F38" s="15" t="s">
        <v>28</v>
      </c>
      <c r="G38" s="12">
        <v>42097</v>
      </c>
      <c r="H38" s="17">
        <f t="shared" ref="H38:H52" si="3">D38</f>
        <v>14590</v>
      </c>
      <c r="I38" s="17">
        <f>H38</f>
        <v>14590</v>
      </c>
    </row>
    <row r="39" spans="1:9" s="7" customFormat="1" ht="20.100000000000001" customHeight="1" x14ac:dyDescent="0.25">
      <c r="A39" s="33">
        <v>59</v>
      </c>
      <c r="B39" s="9">
        <v>42095</v>
      </c>
      <c r="C39" s="10" t="s">
        <v>35</v>
      </c>
      <c r="D39" s="11">
        <v>4516.8599999999997</v>
      </c>
      <c r="E39" s="9">
        <v>42096</v>
      </c>
      <c r="F39" s="15" t="s">
        <v>28</v>
      </c>
      <c r="G39" s="12">
        <v>42101</v>
      </c>
      <c r="H39" s="13">
        <f t="shared" si="3"/>
        <v>4516.8599999999997</v>
      </c>
      <c r="I39" s="17">
        <f>H39</f>
        <v>4516.8599999999997</v>
      </c>
    </row>
    <row r="40" spans="1:9" s="7" customFormat="1" ht="20.100000000000001" customHeight="1" x14ac:dyDescent="0.25">
      <c r="A40" s="33">
        <v>62</v>
      </c>
      <c r="B40" s="9">
        <v>42096</v>
      </c>
      <c r="C40" s="10" t="s">
        <v>36</v>
      </c>
      <c r="D40" s="11">
        <v>24390</v>
      </c>
      <c r="E40" s="9">
        <v>42096</v>
      </c>
      <c r="F40" s="15" t="s">
        <v>28</v>
      </c>
      <c r="G40" s="12">
        <v>42097</v>
      </c>
      <c r="H40" s="13">
        <f t="shared" si="3"/>
        <v>24390</v>
      </c>
      <c r="I40" s="17">
        <f>H40</f>
        <v>24390</v>
      </c>
    </row>
    <row r="41" spans="1:9" s="7" customFormat="1" ht="20.100000000000001" customHeight="1" x14ac:dyDescent="0.25">
      <c r="A41" s="33">
        <v>64</v>
      </c>
      <c r="B41" s="9">
        <v>42097</v>
      </c>
      <c r="C41" s="18" t="s">
        <v>16</v>
      </c>
      <c r="D41" s="11">
        <v>4509.96</v>
      </c>
      <c r="E41" s="9">
        <v>42100</v>
      </c>
      <c r="F41" s="15" t="s">
        <v>28</v>
      </c>
      <c r="G41" s="12">
        <v>42122</v>
      </c>
      <c r="H41" s="13">
        <f t="shared" si="3"/>
        <v>4509.96</v>
      </c>
    </row>
    <row r="42" spans="1:9" s="7" customFormat="1" ht="20.100000000000001" customHeight="1" x14ac:dyDescent="0.25">
      <c r="A42" s="33">
        <v>65</v>
      </c>
      <c r="B42" s="9">
        <v>42100</v>
      </c>
      <c r="C42" s="10" t="s">
        <v>37</v>
      </c>
      <c r="D42" s="11">
        <v>2671.47</v>
      </c>
      <c r="E42" s="9">
        <v>42101</v>
      </c>
      <c r="F42" s="15" t="s">
        <v>28</v>
      </c>
      <c r="G42" s="12">
        <v>42111</v>
      </c>
      <c r="H42" s="13">
        <f t="shared" si="3"/>
        <v>2671.47</v>
      </c>
      <c r="I42" s="17">
        <f>H42</f>
        <v>2671.47</v>
      </c>
    </row>
    <row r="43" spans="1:9" s="7" customFormat="1" ht="20.100000000000001" customHeight="1" x14ac:dyDescent="0.25">
      <c r="A43" s="33">
        <v>66</v>
      </c>
      <c r="B43" s="9">
        <v>42100</v>
      </c>
      <c r="C43" s="18" t="s">
        <v>5</v>
      </c>
      <c r="D43" s="11">
        <v>1780.98</v>
      </c>
      <c r="E43" s="9">
        <v>42100</v>
      </c>
      <c r="F43" s="15" t="s">
        <v>28</v>
      </c>
      <c r="G43" s="12">
        <v>42115</v>
      </c>
      <c r="H43" s="17">
        <f t="shared" si="3"/>
        <v>1780.98</v>
      </c>
      <c r="I43" s="17"/>
    </row>
    <row r="44" spans="1:9" s="7" customFormat="1" ht="20.100000000000001" customHeight="1" x14ac:dyDescent="0.25">
      <c r="A44" s="33">
        <v>861</v>
      </c>
      <c r="B44" s="9">
        <v>42090</v>
      </c>
      <c r="C44" s="18" t="s">
        <v>38</v>
      </c>
      <c r="D44" s="11">
        <v>789638.42</v>
      </c>
      <c r="E44" s="9">
        <v>42110</v>
      </c>
      <c r="F44" s="15" t="s">
        <v>28</v>
      </c>
      <c r="G44" s="12">
        <v>42104</v>
      </c>
      <c r="H44" s="13">
        <f t="shared" si="3"/>
        <v>789638.42</v>
      </c>
    </row>
    <row r="45" spans="1:9" s="7" customFormat="1" ht="20.100000000000001" customHeight="1" x14ac:dyDescent="0.25">
      <c r="A45" s="33">
        <v>81</v>
      </c>
      <c r="B45" s="9">
        <v>42114</v>
      </c>
      <c r="C45" s="18" t="s">
        <v>14</v>
      </c>
      <c r="D45" s="11">
        <v>1889</v>
      </c>
      <c r="E45" s="9">
        <v>42114</v>
      </c>
      <c r="F45" s="15" t="s">
        <v>28</v>
      </c>
      <c r="G45" s="12">
        <v>42115</v>
      </c>
      <c r="H45" s="17">
        <f t="shared" si="3"/>
        <v>1889</v>
      </c>
    </row>
    <row r="46" spans="1:9" s="7" customFormat="1" ht="20.100000000000001" customHeight="1" x14ac:dyDescent="0.25">
      <c r="A46" s="33">
        <v>75</v>
      </c>
      <c r="B46" s="9">
        <v>42114</v>
      </c>
      <c r="C46" s="10" t="s">
        <v>39</v>
      </c>
      <c r="D46" s="11">
        <v>6627.12</v>
      </c>
      <c r="E46" s="9">
        <v>42115</v>
      </c>
      <c r="F46" s="15" t="s">
        <v>28</v>
      </c>
      <c r="G46" s="12">
        <v>42149</v>
      </c>
      <c r="H46" s="17">
        <f t="shared" si="3"/>
        <v>6627.12</v>
      </c>
      <c r="I46" s="17">
        <f>H46</f>
        <v>6627.12</v>
      </c>
    </row>
    <row r="47" spans="1:9" s="7" customFormat="1" ht="20.100000000000001" customHeight="1" x14ac:dyDescent="0.25">
      <c r="A47" s="33">
        <v>77</v>
      </c>
      <c r="B47" s="9">
        <v>42111</v>
      </c>
      <c r="C47" s="18" t="s">
        <v>21</v>
      </c>
      <c r="D47" s="11">
        <v>8657.7000000000007</v>
      </c>
      <c r="E47" s="9">
        <v>42115</v>
      </c>
      <c r="F47" s="15" t="s">
        <v>28</v>
      </c>
      <c r="G47" s="12">
        <v>42116</v>
      </c>
      <c r="H47" s="17">
        <f t="shared" si="3"/>
        <v>8657.7000000000007</v>
      </c>
    </row>
    <row r="48" spans="1:9" s="7" customFormat="1" ht="20.100000000000001" customHeight="1" x14ac:dyDescent="0.25">
      <c r="A48" s="33">
        <v>74</v>
      </c>
      <c r="B48" s="9">
        <v>42107</v>
      </c>
      <c r="C48" s="10" t="s">
        <v>40</v>
      </c>
      <c r="D48" s="11">
        <v>18241.900000000001</v>
      </c>
      <c r="E48" s="9">
        <v>42117</v>
      </c>
      <c r="F48" s="15" t="s">
        <v>28</v>
      </c>
      <c r="G48" s="12">
        <v>42145</v>
      </c>
      <c r="H48" s="17">
        <f t="shared" si="3"/>
        <v>18241.900000000001</v>
      </c>
      <c r="I48" s="17">
        <f>H48</f>
        <v>18241.900000000001</v>
      </c>
    </row>
    <row r="49" spans="1:10" s="7" customFormat="1" ht="20.100000000000001" customHeight="1" x14ac:dyDescent="0.25">
      <c r="A49" s="33">
        <v>76</v>
      </c>
      <c r="B49" s="9">
        <v>42109</v>
      </c>
      <c r="C49" s="10" t="s">
        <v>41</v>
      </c>
      <c r="D49" s="11">
        <v>18241.900000000001</v>
      </c>
      <c r="E49" s="9">
        <v>42117</v>
      </c>
      <c r="F49" s="15" t="s">
        <v>28</v>
      </c>
      <c r="G49" s="12">
        <v>42159</v>
      </c>
      <c r="H49" s="17">
        <f t="shared" si="3"/>
        <v>18241.900000000001</v>
      </c>
      <c r="I49" s="17">
        <f>H49</f>
        <v>18241.900000000001</v>
      </c>
    </row>
    <row r="50" spans="1:10" s="7" customFormat="1" ht="20.100000000000001" customHeight="1" x14ac:dyDescent="0.25">
      <c r="A50" s="33">
        <v>90</v>
      </c>
      <c r="B50" s="9">
        <v>42121</v>
      </c>
      <c r="C50" s="10" t="s">
        <v>42</v>
      </c>
      <c r="D50" s="11">
        <v>4605</v>
      </c>
      <c r="E50" s="9">
        <v>42121</v>
      </c>
      <c r="F50" s="15" t="s">
        <v>28</v>
      </c>
      <c r="G50" s="12">
        <v>42145</v>
      </c>
      <c r="H50" s="17">
        <f t="shared" si="3"/>
        <v>4605</v>
      </c>
      <c r="I50" s="17">
        <f>H50</f>
        <v>4605</v>
      </c>
    </row>
    <row r="51" spans="1:10" s="7" customFormat="1" ht="20.100000000000001" customHeight="1" x14ac:dyDescent="0.25">
      <c r="A51" s="33">
        <v>86</v>
      </c>
      <c r="B51" s="9">
        <v>42117</v>
      </c>
      <c r="C51" s="18" t="s">
        <v>13</v>
      </c>
      <c r="D51" s="11">
        <v>6119.85</v>
      </c>
      <c r="E51" s="9">
        <v>42121</v>
      </c>
      <c r="F51" s="15" t="s">
        <v>28</v>
      </c>
      <c r="G51" s="12">
        <v>42132</v>
      </c>
      <c r="H51" s="17">
        <f t="shared" si="3"/>
        <v>6119.85</v>
      </c>
      <c r="I51" s="17"/>
    </row>
    <row r="52" spans="1:10" s="7" customFormat="1" ht="20.100000000000001" customHeight="1" x14ac:dyDescent="0.25">
      <c r="A52" s="33">
        <v>72</v>
      </c>
      <c r="B52" s="9">
        <v>42107</v>
      </c>
      <c r="C52" s="18" t="s">
        <v>13</v>
      </c>
      <c r="D52" s="11">
        <v>2039.95</v>
      </c>
      <c r="E52" s="9">
        <v>42124</v>
      </c>
      <c r="F52" s="15" t="s">
        <v>28</v>
      </c>
      <c r="G52" s="12">
        <v>42132</v>
      </c>
      <c r="H52" s="17">
        <f t="shared" si="3"/>
        <v>2039.95</v>
      </c>
      <c r="I52" s="17"/>
    </row>
    <row r="53" spans="1:10" s="2" customFormat="1" ht="20.100000000000001" customHeight="1" x14ac:dyDescent="0.25">
      <c r="A53" s="35" t="s">
        <v>535</v>
      </c>
      <c r="B53" s="36"/>
      <c r="C53" s="36"/>
      <c r="D53" s="37"/>
      <c r="E53" s="81">
        <f>Апрель2015[[#Totals],[Отгрузка]]</f>
        <v>47303.690499999997</v>
      </c>
      <c r="F53" s="43"/>
      <c r="G53" s="16">
        <f>H53*0.05+I53*0.02</f>
        <v>47303.690499999997</v>
      </c>
      <c r="H53" s="45">
        <f>SUBTOTAL(109,Апрель2015[Продажа])</f>
        <v>908520.11</v>
      </c>
      <c r="I53" s="45">
        <f>SUBTOTAL(109,Апрель2015[Продажа НК])</f>
        <v>93884.25</v>
      </c>
      <c r="J53" s="40"/>
    </row>
    <row r="54" spans="1:10" s="7" customFormat="1" ht="20.100000000000001" customHeight="1" x14ac:dyDescent="0.25">
      <c r="A54" s="41" t="s">
        <v>1</v>
      </c>
      <c r="B54" s="1" t="s">
        <v>0</v>
      </c>
      <c r="C54" s="1" t="s">
        <v>26</v>
      </c>
      <c r="D54" s="1" t="s">
        <v>2</v>
      </c>
      <c r="E54" s="1" t="s">
        <v>3</v>
      </c>
      <c r="F54" s="1" t="s">
        <v>27</v>
      </c>
      <c r="G54" s="1" t="s">
        <v>4</v>
      </c>
      <c r="H54" s="2" t="s">
        <v>132</v>
      </c>
      <c r="I54" s="2" t="s">
        <v>133</v>
      </c>
    </row>
    <row r="55" spans="1:10" s="7" customFormat="1" ht="20.100000000000001" customHeight="1" x14ac:dyDescent="0.25">
      <c r="A55" s="33">
        <v>92</v>
      </c>
      <c r="B55" s="9">
        <v>42122</v>
      </c>
      <c r="C55" s="10" t="s">
        <v>43</v>
      </c>
      <c r="D55" s="11">
        <v>12480</v>
      </c>
      <c r="E55" s="9">
        <v>42129</v>
      </c>
      <c r="F55" s="15" t="s">
        <v>28</v>
      </c>
      <c r="G55" s="12">
        <v>42132</v>
      </c>
      <c r="H55" s="17">
        <f t="shared" ref="H55:H75" si="4">D55</f>
        <v>12480</v>
      </c>
      <c r="I55" s="17">
        <f t="shared" ref="I55:I61" si="5">H55</f>
        <v>12480</v>
      </c>
    </row>
    <row r="56" spans="1:10" s="7" customFormat="1" ht="20.100000000000001" customHeight="1" x14ac:dyDescent="0.25">
      <c r="A56" s="33">
        <v>93</v>
      </c>
      <c r="B56" s="9">
        <v>42122</v>
      </c>
      <c r="C56" s="10" t="s">
        <v>44</v>
      </c>
      <c r="D56" s="11">
        <v>4192.37</v>
      </c>
      <c r="E56" s="9">
        <v>42129</v>
      </c>
      <c r="F56" s="15" t="s">
        <v>28</v>
      </c>
      <c r="G56" s="12">
        <v>42136</v>
      </c>
      <c r="H56" s="17">
        <f t="shared" si="4"/>
        <v>4192.37</v>
      </c>
      <c r="I56" s="17">
        <f t="shared" si="5"/>
        <v>4192.37</v>
      </c>
    </row>
    <row r="57" spans="1:10" s="7" customFormat="1" ht="20.100000000000001" customHeight="1" x14ac:dyDescent="0.25">
      <c r="A57" s="33">
        <v>97</v>
      </c>
      <c r="B57" s="9">
        <v>42130</v>
      </c>
      <c r="C57" s="10" t="s">
        <v>43</v>
      </c>
      <c r="D57" s="11">
        <v>7799</v>
      </c>
      <c r="E57" s="9">
        <v>42131</v>
      </c>
      <c r="F57" s="15" t="s">
        <v>28</v>
      </c>
      <c r="G57" s="12">
        <v>42132</v>
      </c>
      <c r="H57" s="17">
        <f t="shared" si="4"/>
        <v>7799</v>
      </c>
      <c r="I57" s="17">
        <f t="shared" si="5"/>
        <v>7799</v>
      </c>
    </row>
    <row r="58" spans="1:10" s="7" customFormat="1" ht="20.100000000000001" customHeight="1" x14ac:dyDescent="0.25">
      <c r="A58" s="33">
        <v>94</v>
      </c>
      <c r="B58" s="9">
        <v>42123</v>
      </c>
      <c r="C58" s="10" t="s">
        <v>45</v>
      </c>
      <c r="D58" s="11">
        <v>27641.439999999999</v>
      </c>
      <c r="E58" s="9">
        <v>42131</v>
      </c>
      <c r="F58" s="15" t="s">
        <v>28</v>
      </c>
      <c r="G58" s="12">
        <v>42160</v>
      </c>
      <c r="H58" s="17">
        <f t="shared" si="4"/>
        <v>27641.439999999999</v>
      </c>
      <c r="I58" s="17">
        <f t="shared" si="5"/>
        <v>27641.439999999999</v>
      </c>
    </row>
    <row r="59" spans="1:10" s="7" customFormat="1" ht="20.100000000000001" customHeight="1" x14ac:dyDescent="0.25">
      <c r="A59" s="33">
        <v>101</v>
      </c>
      <c r="B59" s="9">
        <v>42136</v>
      </c>
      <c r="C59" s="10" t="s">
        <v>43</v>
      </c>
      <c r="D59" s="11">
        <v>14089</v>
      </c>
      <c r="E59" s="9">
        <v>42136</v>
      </c>
      <c r="F59" s="15" t="s">
        <v>28</v>
      </c>
      <c r="G59" s="12">
        <v>42137</v>
      </c>
      <c r="H59" s="17">
        <f t="shared" si="4"/>
        <v>14089</v>
      </c>
      <c r="I59" s="17">
        <f t="shared" si="5"/>
        <v>14089</v>
      </c>
    </row>
    <row r="60" spans="1:10" s="7" customFormat="1" ht="20.100000000000001" customHeight="1" x14ac:dyDescent="0.25">
      <c r="A60" s="33">
        <v>100</v>
      </c>
      <c r="B60" s="9">
        <v>42136</v>
      </c>
      <c r="C60" s="10" t="s">
        <v>46</v>
      </c>
      <c r="D60" s="11">
        <v>7799</v>
      </c>
      <c r="E60" s="9">
        <v>42137</v>
      </c>
      <c r="F60" s="15" t="s">
        <v>28</v>
      </c>
      <c r="G60" s="12">
        <v>42144</v>
      </c>
      <c r="H60" s="17">
        <f t="shared" si="4"/>
        <v>7799</v>
      </c>
      <c r="I60" s="17">
        <f t="shared" si="5"/>
        <v>7799</v>
      </c>
    </row>
    <row r="61" spans="1:10" s="7" customFormat="1" ht="20.100000000000001" customHeight="1" x14ac:dyDescent="0.25">
      <c r="A61" s="33">
        <v>103</v>
      </c>
      <c r="B61" s="9">
        <v>42137</v>
      </c>
      <c r="C61" s="10" t="s">
        <v>47</v>
      </c>
      <c r="D61" s="11">
        <v>5790</v>
      </c>
      <c r="E61" s="9">
        <v>42138</v>
      </c>
      <c r="F61" s="15" t="s">
        <v>28</v>
      </c>
      <c r="G61" s="12">
        <v>42128</v>
      </c>
      <c r="H61" s="17">
        <f t="shared" si="4"/>
        <v>5790</v>
      </c>
      <c r="I61" s="17">
        <f t="shared" si="5"/>
        <v>5790</v>
      </c>
    </row>
    <row r="62" spans="1:10" s="7" customFormat="1" ht="20.100000000000001" customHeight="1" x14ac:dyDescent="0.25">
      <c r="A62" s="33">
        <v>106</v>
      </c>
      <c r="B62" s="9">
        <v>42138</v>
      </c>
      <c r="C62" s="18" t="s">
        <v>40</v>
      </c>
      <c r="D62" s="11">
        <v>3676</v>
      </c>
      <c r="E62" s="9">
        <v>42139</v>
      </c>
      <c r="F62" s="15" t="s">
        <v>28</v>
      </c>
      <c r="G62" s="12">
        <v>42145</v>
      </c>
      <c r="H62" s="17">
        <f t="shared" si="4"/>
        <v>3676</v>
      </c>
    </row>
    <row r="63" spans="1:10" s="7" customFormat="1" ht="20.100000000000001" customHeight="1" x14ac:dyDescent="0.25">
      <c r="A63" s="33">
        <v>109</v>
      </c>
      <c r="B63" s="9">
        <v>42142</v>
      </c>
      <c r="C63" s="10" t="s">
        <v>49</v>
      </c>
      <c r="D63" s="11">
        <v>4600</v>
      </c>
      <c r="E63" s="9">
        <v>42144</v>
      </c>
      <c r="F63" s="15" t="s">
        <v>28</v>
      </c>
      <c r="G63" s="12">
        <v>42144</v>
      </c>
      <c r="H63" s="17">
        <f t="shared" si="4"/>
        <v>4600</v>
      </c>
      <c r="I63" s="17">
        <f>H63</f>
        <v>4600</v>
      </c>
    </row>
    <row r="64" spans="1:10" s="7" customFormat="1" ht="20.100000000000001" customHeight="1" x14ac:dyDescent="0.25">
      <c r="A64" s="33">
        <v>111</v>
      </c>
      <c r="B64" s="9">
        <v>42142</v>
      </c>
      <c r="C64" s="18" t="s">
        <v>13</v>
      </c>
      <c r="D64" s="11">
        <v>3847.7</v>
      </c>
      <c r="E64" s="9">
        <v>42144</v>
      </c>
      <c r="F64" s="15" t="s">
        <v>28</v>
      </c>
      <c r="G64" s="12">
        <v>42151</v>
      </c>
      <c r="H64" s="17">
        <f t="shared" si="4"/>
        <v>3847.7</v>
      </c>
    </row>
    <row r="65" spans="1:10" s="7" customFormat="1" ht="20.100000000000001" customHeight="1" x14ac:dyDescent="0.25">
      <c r="A65" s="33">
        <v>1025</v>
      </c>
      <c r="B65" s="9">
        <v>42138</v>
      </c>
      <c r="C65" s="18" t="s">
        <v>38</v>
      </c>
      <c r="D65" s="11">
        <v>667229.13</v>
      </c>
      <c r="E65" s="9"/>
      <c r="F65" s="9"/>
      <c r="G65" s="12">
        <v>42144</v>
      </c>
      <c r="H65" s="17">
        <f t="shared" si="4"/>
        <v>667229.13</v>
      </c>
    </row>
    <row r="66" spans="1:10" s="7" customFormat="1" ht="20.100000000000001" customHeight="1" x14ac:dyDescent="0.25">
      <c r="A66" s="33">
        <v>868</v>
      </c>
      <c r="B66" s="9">
        <v>42090</v>
      </c>
      <c r="C66" s="18" t="s">
        <v>38</v>
      </c>
      <c r="D66" s="11">
        <v>177381.48</v>
      </c>
      <c r="E66" s="9"/>
      <c r="F66" s="9"/>
      <c r="G66" s="12">
        <v>42144</v>
      </c>
      <c r="H66" s="17">
        <f t="shared" si="4"/>
        <v>177381.48</v>
      </c>
    </row>
    <row r="67" spans="1:10" s="7" customFormat="1" ht="20.100000000000001" customHeight="1" x14ac:dyDescent="0.25">
      <c r="A67" s="33">
        <v>1023</v>
      </c>
      <c r="B67" s="9">
        <v>42090</v>
      </c>
      <c r="C67" s="18" t="s">
        <v>38</v>
      </c>
      <c r="D67" s="11">
        <v>465029.13</v>
      </c>
      <c r="E67" s="9"/>
      <c r="F67" s="9"/>
      <c r="G67" s="12">
        <v>42144</v>
      </c>
      <c r="H67" s="17">
        <f t="shared" si="4"/>
        <v>465029.13</v>
      </c>
    </row>
    <row r="68" spans="1:10" s="7" customFormat="1" ht="20.100000000000001" customHeight="1" x14ac:dyDescent="0.25">
      <c r="A68" s="33">
        <v>114</v>
      </c>
      <c r="B68" s="9">
        <v>42143</v>
      </c>
      <c r="C68" s="10" t="s">
        <v>50</v>
      </c>
      <c r="D68" s="11">
        <v>3243.37</v>
      </c>
      <c r="E68" s="9">
        <v>42145</v>
      </c>
      <c r="F68" s="15" t="s">
        <v>28</v>
      </c>
      <c r="G68" s="12">
        <v>42180</v>
      </c>
      <c r="H68" s="17">
        <f t="shared" si="4"/>
        <v>3243.37</v>
      </c>
      <c r="I68" s="17">
        <f>H68</f>
        <v>3243.37</v>
      </c>
    </row>
    <row r="69" spans="1:10" s="7" customFormat="1" ht="20.100000000000001" customHeight="1" x14ac:dyDescent="0.25">
      <c r="A69" s="33">
        <v>115</v>
      </c>
      <c r="B69" s="9">
        <v>42143</v>
      </c>
      <c r="C69" s="18" t="s">
        <v>43</v>
      </c>
      <c r="D69" s="11">
        <v>7799</v>
      </c>
      <c r="E69" s="9">
        <v>42143</v>
      </c>
      <c r="F69" s="15" t="s">
        <v>28</v>
      </c>
      <c r="G69" s="12">
        <v>42146</v>
      </c>
      <c r="H69" s="17">
        <f t="shared" si="4"/>
        <v>7799</v>
      </c>
    </row>
    <row r="70" spans="1:10" s="7" customFormat="1" ht="20.100000000000001" customHeight="1" x14ac:dyDescent="0.25">
      <c r="A70" s="33">
        <v>104</v>
      </c>
      <c r="B70" s="9">
        <v>42137</v>
      </c>
      <c r="C70" s="10" t="s">
        <v>48</v>
      </c>
      <c r="D70" s="11">
        <v>12468.4</v>
      </c>
      <c r="E70" s="9">
        <v>42138</v>
      </c>
      <c r="F70" s="15" t="s">
        <v>28</v>
      </c>
      <c r="G70" s="12">
        <v>42172</v>
      </c>
      <c r="H70" s="17">
        <f t="shared" si="4"/>
        <v>12468.4</v>
      </c>
      <c r="I70" s="17">
        <f>H70</f>
        <v>12468.4</v>
      </c>
    </row>
    <row r="71" spans="1:10" s="7" customFormat="1" ht="20.100000000000001" customHeight="1" x14ac:dyDescent="0.25">
      <c r="A71" s="33">
        <v>113</v>
      </c>
      <c r="B71" s="9">
        <v>42143</v>
      </c>
      <c r="C71" s="18" t="s">
        <v>5</v>
      </c>
      <c r="D71" s="11">
        <v>16548.97</v>
      </c>
      <c r="E71" s="9">
        <v>42144</v>
      </c>
      <c r="F71" s="15" t="s">
        <v>28</v>
      </c>
      <c r="G71" s="12">
        <v>42173</v>
      </c>
      <c r="H71" s="17">
        <f t="shared" si="4"/>
        <v>16548.97</v>
      </c>
    </row>
    <row r="72" spans="1:10" s="7" customFormat="1" ht="20.100000000000001" customHeight="1" x14ac:dyDescent="0.25">
      <c r="A72" s="33">
        <v>116</v>
      </c>
      <c r="B72" s="9">
        <v>42146</v>
      </c>
      <c r="C72" s="10" t="s">
        <v>51</v>
      </c>
      <c r="D72" s="11">
        <v>40024.49</v>
      </c>
      <c r="E72" s="9">
        <v>42150</v>
      </c>
      <c r="F72" s="15" t="s">
        <v>28</v>
      </c>
      <c r="G72" s="12">
        <v>42178</v>
      </c>
      <c r="H72" s="17">
        <f t="shared" si="4"/>
        <v>40024.49</v>
      </c>
      <c r="I72" s="17">
        <f>H72</f>
        <v>40024.49</v>
      </c>
    </row>
    <row r="73" spans="1:10" s="7" customFormat="1" ht="20.100000000000001" customHeight="1" x14ac:dyDescent="0.25">
      <c r="A73" s="33">
        <v>123</v>
      </c>
      <c r="B73" s="9">
        <v>42152</v>
      </c>
      <c r="C73" s="10" t="s">
        <v>52</v>
      </c>
      <c r="D73" s="11">
        <v>2966</v>
      </c>
      <c r="E73" s="9">
        <v>42152</v>
      </c>
      <c r="F73" s="15" t="s">
        <v>28</v>
      </c>
      <c r="G73" s="12">
        <v>42173</v>
      </c>
      <c r="H73" s="17">
        <f t="shared" si="4"/>
        <v>2966</v>
      </c>
      <c r="I73" s="17">
        <f>H73</f>
        <v>2966</v>
      </c>
    </row>
    <row r="74" spans="1:10" s="7" customFormat="1" ht="20.100000000000001" customHeight="1" x14ac:dyDescent="0.25">
      <c r="A74" s="33">
        <v>121</v>
      </c>
      <c r="B74" s="9">
        <v>42151</v>
      </c>
      <c r="C74" s="18" t="s">
        <v>21</v>
      </c>
      <c r="D74" s="11">
        <v>8164.9</v>
      </c>
      <c r="E74" s="19">
        <v>42152</v>
      </c>
      <c r="F74" s="15" t="s">
        <v>28</v>
      </c>
      <c r="G74" s="12">
        <v>42187</v>
      </c>
      <c r="H74" s="17">
        <f t="shared" si="4"/>
        <v>8164.9</v>
      </c>
      <c r="I74" s="17"/>
    </row>
    <row r="75" spans="1:10" s="2" customFormat="1" ht="20.100000000000001" customHeight="1" x14ac:dyDescent="0.25">
      <c r="A75" s="33">
        <v>125</v>
      </c>
      <c r="B75" s="9">
        <v>42153</v>
      </c>
      <c r="C75" s="10" t="s">
        <v>53</v>
      </c>
      <c r="D75" s="11">
        <v>10590</v>
      </c>
      <c r="E75" s="9">
        <v>42153</v>
      </c>
      <c r="F75" s="15" t="s">
        <v>28</v>
      </c>
      <c r="G75" s="12">
        <v>42156</v>
      </c>
      <c r="H75" s="17">
        <f t="shared" si="4"/>
        <v>10590</v>
      </c>
      <c r="I75" s="17">
        <f>H75</f>
        <v>10590</v>
      </c>
      <c r="J75" s="40"/>
    </row>
    <row r="76" spans="1:10" s="7" customFormat="1" ht="20.100000000000001" customHeight="1" x14ac:dyDescent="0.25">
      <c r="A76" s="35" t="s">
        <v>535</v>
      </c>
      <c r="B76" s="36"/>
      <c r="C76" s="36"/>
      <c r="D76" s="37"/>
      <c r="E76" s="81">
        <f>Май2015[[#Totals],[Отгрузка]]</f>
        <v>78241.630399999995</v>
      </c>
      <c r="F76" s="43"/>
      <c r="G76" s="16">
        <f>H76*0.05+I76*0.02</f>
        <v>78241.630399999995</v>
      </c>
      <c r="H76" s="45">
        <f>SUBTOTAL(109,Май2015[Продажа])</f>
        <v>1503359.38</v>
      </c>
      <c r="I76" s="45">
        <f>SUBTOTAL(109,Май2015[Продажа НК])</f>
        <v>153683.06999999998</v>
      </c>
    </row>
    <row r="77" spans="1:10" s="7" customFormat="1" ht="20.100000000000001" customHeight="1" x14ac:dyDescent="0.25">
      <c r="A77" s="41" t="s">
        <v>1</v>
      </c>
      <c r="B77" s="1" t="s">
        <v>0</v>
      </c>
      <c r="C77" s="1" t="s">
        <v>26</v>
      </c>
      <c r="D77" s="1" t="s">
        <v>2</v>
      </c>
      <c r="E77" s="1" t="s">
        <v>3</v>
      </c>
      <c r="F77" s="1" t="s">
        <v>27</v>
      </c>
      <c r="G77" s="1" t="s">
        <v>4</v>
      </c>
      <c r="H77" s="2" t="s">
        <v>132</v>
      </c>
      <c r="I77" s="2" t="s">
        <v>133</v>
      </c>
    </row>
    <row r="78" spans="1:10" s="7" customFormat="1" ht="20.100000000000001" customHeight="1" x14ac:dyDescent="0.25">
      <c r="A78" s="33">
        <v>134</v>
      </c>
      <c r="B78" s="9">
        <v>42158</v>
      </c>
      <c r="C78" s="18" t="s">
        <v>34</v>
      </c>
      <c r="D78" s="11">
        <v>1303.0999999999999</v>
      </c>
      <c r="E78" s="9">
        <v>42158</v>
      </c>
      <c r="F78" s="15" t="s">
        <v>28</v>
      </c>
      <c r="G78" s="12">
        <v>42181</v>
      </c>
      <c r="H78" s="17">
        <f>D78</f>
        <v>1303.0999999999999</v>
      </c>
    </row>
    <row r="79" spans="1:10" s="7" customFormat="1" ht="20.100000000000001" customHeight="1" x14ac:dyDescent="0.25">
      <c r="A79" s="33">
        <v>137</v>
      </c>
      <c r="B79" s="9">
        <v>42159</v>
      </c>
      <c r="C79" s="10" t="s">
        <v>54</v>
      </c>
      <c r="D79" s="11">
        <v>2584.37</v>
      </c>
      <c r="E79" s="9">
        <v>42159</v>
      </c>
      <c r="F79" s="15" t="s">
        <v>28</v>
      </c>
      <c r="G79" s="12">
        <v>42180</v>
      </c>
      <c r="H79" s="17">
        <f>D79</f>
        <v>2584.37</v>
      </c>
      <c r="I79" s="17">
        <f>H79</f>
        <v>2584.37</v>
      </c>
    </row>
    <row r="80" spans="1:10" s="7" customFormat="1" ht="20.100000000000001" customHeight="1" x14ac:dyDescent="0.25">
      <c r="A80" s="33">
        <v>131</v>
      </c>
      <c r="B80" s="9">
        <v>42157</v>
      </c>
      <c r="C80" s="10" t="s">
        <v>55</v>
      </c>
      <c r="D80" s="11">
        <v>35290</v>
      </c>
      <c r="E80" s="9">
        <v>42159</v>
      </c>
      <c r="F80" s="15" t="s">
        <v>28</v>
      </c>
      <c r="G80" s="12">
        <v>42160</v>
      </c>
      <c r="H80" s="17">
        <f>D80</f>
        <v>35290</v>
      </c>
      <c r="I80" s="17">
        <f>H80</f>
        <v>35290</v>
      </c>
    </row>
    <row r="81" spans="1:9" s="7" customFormat="1" ht="20.100000000000001" customHeight="1" x14ac:dyDescent="0.25">
      <c r="A81" s="33">
        <v>89</v>
      </c>
      <c r="B81" s="9">
        <v>42158</v>
      </c>
      <c r="C81" s="10" t="s">
        <v>56</v>
      </c>
      <c r="D81" s="11">
        <v>82371.37</v>
      </c>
      <c r="E81" s="19">
        <v>42185</v>
      </c>
      <c r="F81" s="9">
        <v>42139</v>
      </c>
      <c r="G81" s="12">
        <v>42185</v>
      </c>
      <c r="H81" s="17">
        <v>82371.37</v>
      </c>
      <c r="I81" s="17">
        <v>82371.37</v>
      </c>
    </row>
    <row r="82" spans="1:9" s="7" customFormat="1" ht="20.100000000000001" customHeight="1" x14ac:dyDescent="0.25">
      <c r="A82" s="33">
        <v>140</v>
      </c>
      <c r="B82" s="9">
        <v>42160</v>
      </c>
      <c r="C82" s="18" t="s">
        <v>14</v>
      </c>
      <c r="D82" s="11">
        <v>18575.099999999999</v>
      </c>
      <c r="E82" s="9">
        <v>42160</v>
      </c>
      <c r="F82" s="15" t="s">
        <v>28</v>
      </c>
      <c r="G82" s="12">
        <v>42163</v>
      </c>
      <c r="H82" s="17">
        <f t="shared" ref="H82:H98" si="6">D82</f>
        <v>18575.099999999999</v>
      </c>
    </row>
    <row r="83" spans="1:9" s="7" customFormat="1" ht="20.100000000000001" customHeight="1" x14ac:dyDescent="0.25">
      <c r="A83" s="33">
        <v>1024</v>
      </c>
      <c r="B83" s="9">
        <v>42138</v>
      </c>
      <c r="C83" s="18" t="s">
        <v>38</v>
      </c>
      <c r="D83" s="11">
        <v>768329.13</v>
      </c>
      <c r="E83" s="9">
        <v>42170</v>
      </c>
      <c r="F83" s="9"/>
      <c r="G83" s="12">
        <v>42165</v>
      </c>
      <c r="H83" s="17">
        <f t="shared" si="6"/>
        <v>768329.13</v>
      </c>
    </row>
    <row r="84" spans="1:9" s="7" customFormat="1" ht="20.100000000000001" customHeight="1" x14ac:dyDescent="0.25">
      <c r="A84" s="33">
        <v>873</v>
      </c>
      <c r="B84" s="9">
        <v>42090</v>
      </c>
      <c r="C84" s="18" t="s">
        <v>38</v>
      </c>
      <c r="D84" s="11">
        <v>789638.42</v>
      </c>
      <c r="E84" s="9">
        <v>42170</v>
      </c>
      <c r="F84" s="9"/>
      <c r="G84" s="12">
        <v>42165</v>
      </c>
      <c r="H84" s="17">
        <f t="shared" si="6"/>
        <v>789638.42</v>
      </c>
    </row>
    <row r="85" spans="1:9" s="7" customFormat="1" ht="20.100000000000001" customHeight="1" x14ac:dyDescent="0.25">
      <c r="A85" s="33">
        <v>144</v>
      </c>
      <c r="B85" s="9">
        <v>42164</v>
      </c>
      <c r="C85" s="18" t="s">
        <v>5</v>
      </c>
      <c r="D85" s="11">
        <v>1917.97</v>
      </c>
      <c r="E85" s="9">
        <v>42165</v>
      </c>
      <c r="F85" s="15" t="s">
        <v>28</v>
      </c>
      <c r="G85" s="12">
        <v>42173</v>
      </c>
      <c r="H85" s="17">
        <f t="shared" si="6"/>
        <v>1917.97</v>
      </c>
    </row>
    <row r="86" spans="1:9" s="7" customFormat="1" ht="20.100000000000001" customHeight="1" x14ac:dyDescent="0.25">
      <c r="A86" s="33">
        <v>141</v>
      </c>
      <c r="B86" s="9">
        <v>42160</v>
      </c>
      <c r="C86" s="18" t="s">
        <v>13</v>
      </c>
      <c r="D86" s="11">
        <v>9287.5499999999993</v>
      </c>
      <c r="E86" s="9">
        <v>42170</v>
      </c>
      <c r="F86" s="15" t="s">
        <v>28</v>
      </c>
      <c r="G86" s="12">
        <v>42205</v>
      </c>
      <c r="H86" s="17">
        <f t="shared" si="6"/>
        <v>9287.5499999999993</v>
      </c>
    </row>
    <row r="87" spans="1:9" s="7" customFormat="1" ht="20.100000000000001" customHeight="1" x14ac:dyDescent="0.25">
      <c r="A87" s="33">
        <v>124</v>
      </c>
      <c r="B87" s="9">
        <v>42171</v>
      </c>
      <c r="C87" s="18" t="s">
        <v>48</v>
      </c>
      <c r="D87" s="11">
        <v>24490</v>
      </c>
      <c r="E87" s="19">
        <v>42171</v>
      </c>
      <c r="F87" s="15" t="s">
        <v>28</v>
      </c>
      <c r="G87" s="12">
        <v>42187</v>
      </c>
      <c r="H87" s="17">
        <f t="shared" si="6"/>
        <v>24490</v>
      </c>
    </row>
    <row r="88" spans="1:9" s="7" customFormat="1" ht="20.100000000000001" customHeight="1" x14ac:dyDescent="0.25">
      <c r="A88" s="33">
        <v>149</v>
      </c>
      <c r="B88" s="9">
        <v>42171</v>
      </c>
      <c r="C88" s="10" t="s">
        <v>57</v>
      </c>
      <c r="D88" s="11">
        <v>5648.11</v>
      </c>
      <c r="E88" s="9">
        <v>42171</v>
      </c>
      <c r="F88" s="15" t="s">
        <v>28</v>
      </c>
      <c r="G88" s="12">
        <v>42177</v>
      </c>
      <c r="H88" s="17">
        <f t="shared" si="6"/>
        <v>5648.11</v>
      </c>
      <c r="I88" s="17">
        <f>H88</f>
        <v>5648.11</v>
      </c>
    </row>
    <row r="89" spans="1:9" s="7" customFormat="1" ht="20.100000000000001" customHeight="1" x14ac:dyDescent="0.25">
      <c r="A89" s="33">
        <v>147</v>
      </c>
      <c r="B89" s="9">
        <v>42171</v>
      </c>
      <c r="C89" s="10" t="s">
        <v>58</v>
      </c>
      <c r="D89" s="11">
        <v>9105.16</v>
      </c>
      <c r="E89" s="9">
        <v>42172</v>
      </c>
      <c r="F89" s="15" t="s">
        <v>28</v>
      </c>
      <c r="G89" s="12">
        <v>42174</v>
      </c>
      <c r="H89" s="17">
        <f t="shared" si="6"/>
        <v>9105.16</v>
      </c>
      <c r="I89" s="17">
        <f>H89</f>
        <v>9105.16</v>
      </c>
    </row>
    <row r="90" spans="1:9" s="7" customFormat="1" ht="20.100000000000001" customHeight="1" x14ac:dyDescent="0.25">
      <c r="A90" s="33">
        <v>150</v>
      </c>
      <c r="B90" s="9">
        <v>42171</v>
      </c>
      <c r="C90" s="18" t="s">
        <v>19</v>
      </c>
      <c r="D90" s="11">
        <v>2433.89</v>
      </c>
      <c r="E90" s="9">
        <v>42172</v>
      </c>
      <c r="F90" s="15" t="s">
        <v>28</v>
      </c>
      <c r="G90" s="12">
        <v>42174</v>
      </c>
      <c r="H90" s="17">
        <f t="shared" si="6"/>
        <v>2433.89</v>
      </c>
    </row>
    <row r="91" spans="1:9" s="7" customFormat="1" ht="20.100000000000001" customHeight="1" x14ac:dyDescent="0.25">
      <c r="A91" s="33">
        <v>151</v>
      </c>
      <c r="B91" s="9">
        <v>42171</v>
      </c>
      <c r="C91" s="10" t="s">
        <v>59</v>
      </c>
      <c r="D91" s="11">
        <v>49390</v>
      </c>
      <c r="E91" s="9">
        <v>42172</v>
      </c>
      <c r="F91" s="15" t="s">
        <v>28</v>
      </c>
      <c r="G91" s="12">
        <v>42173</v>
      </c>
      <c r="H91" s="17">
        <f t="shared" si="6"/>
        <v>49390</v>
      </c>
      <c r="I91" s="17">
        <f>H91</f>
        <v>49390</v>
      </c>
    </row>
    <row r="92" spans="1:9" s="7" customFormat="1" ht="20.100000000000001" customHeight="1" x14ac:dyDescent="0.25">
      <c r="A92" s="33">
        <v>126</v>
      </c>
      <c r="B92" s="9">
        <v>42156</v>
      </c>
      <c r="C92" s="10" t="s">
        <v>60</v>
      </c>
      <c r="D92" s="11">
        <v>20671</v>
      </c>
      <c r="E92" s="19">
        <v>42174</v>
      </c>
      <c r="F92" s="9">
        <v>42164</v>
      </c>
      <c r="G92" s="12">
        <v>42185</v>
      </c>
      <c r="H92" s="17">
        <f t="shared" si="6"/>
        <v>20671</v>
      </c>
      <c r="I92" s="17">
        <f>H92</f>
        <v>20671</v>
      </c>
    </row>
    <row r="93" spans="1:9" s="7" customFormat="1" ht="20.100000000000001" customHeight="1" x14ac:dyDescent="0.25">
      <c r="A93" s="33">
        <v>154</v>
      </c>
      <c r="B93" s="9">
        <v>42174</v>
      </c>
      <c r="C93" s="10" t="s">
        <v>61</v>
      </c>
      <c r="D93" s="11">
        <v>20853.09</v>
      </c>
      <c r="E93" s="9">
        <v>42174</v>
      </c>
      <c r="F93" s="15" t="s">
        <v>28</v>
      </c>
      <c r="G93" s="12">
        <v>42177</v>
      </c>
      <c r="H93" s="17">
        <f t="shared" si="6"/>
        <v>20853.09</v>
      </c>
      <c r="I93" s="17">
        <f>H93</f>
        <v>20853.09</v>
      </c>
    </row>
    <row r="94" spans="1:9" s="7" customFormat="1" ht="20.100000000000001" customHeight="1" x14ac:dyDescent="0.25">
      <c r="A94" s="33">
        <v>153</v>
      </c>
      <c r="B94" s="9">
        <v>42174</v>
      </c>
      <c r="C94" s="10" t="s">
        <v>62</v>
      </c>
      <c r="D94" s="11">
        <v>1505.39</v>
      </c>
      <c r="E94" s="9">
        <v>42174</v>
      </c>
      <c r="F94" s="15" t="s">
        <v>28</v>
      </c>
      <c r="G94" s="12">
        <v>42193</v>
      </c>
      <c r="H94" s="17">
        <f t="shared" si="6"/>
        <v>1505.39</v>
      </c>
      <c r="I94" s="17">
        <f>H94</f>
        <v>1505.39</v>
      </c>
    </row>
    <row r="95" spans="1:9" s="7" customFormat="1" ht="20.100000000000001" customHeight="1" x14ac:dyDescent="0.25">
      <c r="A95" s="33">
        <v>160</v>
      </c>
      <c r="B95" s="9">
        <v>42177</v>
      </c>
      <c r="C95" s="20" t="s">
        <v>63</v>
      </c>
      <c r="D95" s="11">
        <v>1497.95</v>
      </c>
      <c r="E95" s="9">
        <v>42184</v>
      </c>
      <c r="F95" s="15" t="s">
        <v>28</v>
      </c>
      <c r="G95" s="12">
        <v>42198</v>
      </c>
      <c r="H95" s="17">
        <f t="shared" si="6"/>
        <v>1497.95</v>
      </c>
      <c r="I95" s="17">
        <f>H95</f>
        <v>1497.95</v>
      </c>
    </row>
    <row r="96" spans="1:9" s="7" customFormat="1" ht="20.100000000000001" customHeight="1" x14ac:dyDescent="0.25">
      <c r="A96" s="33">
        <v>164</v>
      </c>
      <c r="B96" s="9">
        <v>42179</v>
      </c>
      <c r="C96" s="18" t="s">
        <v>34</v>
      </c>
      <c r="D96" s="11">
        <v>7861.45</v>
      </c>
      <c r="E96" s="9">
        <v>42180</v>
      </c>
      <c r="F96" s="15" t="s">
        <v>28</v>
      </c>
      <c r="G96" s="12">
        <v>42213</v>
      </c>
      <c r="H96" s="17">
        <f t="shared" si="6"/>
        <v>7861.45</v>
      </c>
    </row>
    <row r="97" spans="1:10" s="2" customFormat="1" ht="20.100000000000001" customHeight="1" x14ac:dyDescent="0.25">
      <c r="A97" s="33">
        <v>148</v>
      </c>
      <c r="B97" s="9">
        <v>42171</v>
      </c>
      <c r="C97" s="18" t="s">
        <v>34</v>
      </c>
      <c r="D97" s="11">
        <v>10166.73</v>
      </c>
      <c r="E97" s="9">
        <v>42172</v>
      </c>
      <c r="F97" s="15" t="s">
        <v>28</v>
      </c>
      <c r="G97" s="12">
        <v>42227</v>
      </c>
      <c r="H97" s="17">
        <f t="shared" si="6"/>
        <v>10166.73</v>
      </c>
      <c r="I97" s="7"/>
      <c r="J97" s="40"/>
    </row>
    <row r="98" spans="1:10" s="7" customFormat="1" ht="20.100000000000001" customHeight="1" x14ac:dyDescent="0.25">
      <c r="A98" s="33">
        <v>166</v>
      </c>
      <c r="B98" s="9">
        <v>42180</v>
      </c>
      <c r="C98" s="18" t="s">
        <v>21</v>
      </c>
      <c r="D98" s="11">
        <v>8868.7999999999993</v>
      </c>
      <c r="E98" s="19">
        <v>42180</v>
      </c>
      <c r="F98" s="15" t="s">
        <v>28</v>
      </c>
      <c r="G98" s="12">
        <v>42187</v>
      </c>
      <c r="H98" s="17">
        <f t="shared" si="6"/>
        <v>8868.7999999999993</v>
      </c>
    </row>
    <row r="99" spans="1:10" s="7" customFormat="1" ht="20.100000000000001" customHeight="1" x14ac:dyDescent="0.25">
      <c r="A99" s="35" t="s">
        <v>535</v>
      </c>
      <c r="B99" s="36"/>
      <c r="C99" s="42"/>
      <c r="D99" s="37"/>
      <c r="E99" s="81">
        <f>Июнь2015[[#Totals],[Отгрузка]]</f>
        <v>98167.757800000007</v>
      </c>
      <c r="F99" s="43"/>
      <c r="G99" s="16">
        <f>H99*0.05+I99*0.02</f>
        <v>98167.757800000007</v>
      </c>
      <c r="H99" s="45">
        <f>SUBTOTAL(109,Июнь2015[Продажа])</f>
        <v>1871788.58</v>
      </c>
      <c r="I99" s="2">
        <f>SUBTOTAL(109,Июнь2015[Продажа НК])</f>
        <v>228916.44</v>
      </c>
    </row>
    <row r="100" spans="1:10" s="7" customFormat="1" ht="20.100000000000001" customHeight="1" x14ac:dyDescent="0.25">
      <c r="A100" s="41" t="s">
        <v>1</v>
      </c>
      <c r="B100" s="1" t="s">
        <v>0</v>
      </c>
      <c r="C100" s="1" t="s">
        <v>26</v>
      </c>
      <c r="D100" s="1" t="s">
        <v>2</v>
      </c>
      <c r="E100" s="1" t="s">
        <v>3</v>
      </c>
      <c r="F100" s="1" t="s">
        <v>27</v>
      </c>
      <c r="G100" s="1" t="s">
        <v>4</v>
      </c>
      <c r="H100" s="2" t="s">
        <v>132</v>
      </c>
      <c r="I100" s="2" t="s">
        <v>133</v>
      </c>
    </row>
    <row r="101" spans="1:10" s="7" customFormat="1" ht="20.100000000000001" customHeight="1" x14ac:dyDescent="0.25">
      <c r="A101" s="33">
        <v>1878</v>
      </c>
      <c r="B101" s="9">
        <v>42184</v>
      </c>
      <c r="C101" s="18" t="s">
        <v>38</v>
      </c>
      <c r="D101" s="11">
        <v>251346.02</v>
      </c>
      <c r="E101" s="9">
        <v>42205</v>
      </c>
      <c r="F101" s="15" t="s">
        <v>28</v>
      </c>
      <c r="G101" s="12">
        <v>42201</v>
      </c>
      <c r="H101" s="17">
        <f t="shared" ref="H101:H114" si="7">D101</f>
        <v>251346.02</v>
      </c>
    </row>
    <row r="102" spans="1:10" s="7" customFormat="1" ht="20.100000000000001" customHeight="1" x14ac:dyDescent="0.25">
      <c r="A102" s="33">
        <v>156</v>
      </c>
      <c r="B102" s="9">
        <v>42177</v>
      </c>
      <c r="C102" s="20" t="s">
        <v>64</v>
      </c>
      <c r="D102" s="11">
        <v>10237.36</v>
      </c>
      <c r="E102" s="9">
        <v>42188</v>
      </c>
      <c r="F102" s="15" t="s">
        <v>28</v>
      </c>
      <c r="G102" s="12">
        <v>42216</v>
      </c>
      <c r="H102" s="17">
        <f t="shared" si="7"/>
        <v>10237.36</v>
      </c>
      <c r="I102" s="17">
        <f>H102</f>
        <v>10237.36</v>
      </c>
    </row>
    <row r="103" spans="1:10" s="7" customFormat="1" ht="20.100000000000001" customHeight="1" x14ac:dyDescent="0.25">
      <c r="A103" s="33">
        <v>180</v>
      </c>
      <c r="B103" s="9">
        <v>42199</v>
      </c>
      <c r="C103" s="18" t="s">
        <v>60</v>
      </c>
      <c r="D103" s="11">
        <v>6566.84</v>
      </c>
      <c r="E103" s="9">
        <v>42205</v>
      </c>
      <c r="F103" s="15" t="s">
        <v>28</v>
      </c>
      <c r="G103" s="12">
        <v>42200</v>
      </c>
      <c r="H103" s="17">
        <f t="shared" si="7"/>
        <v>6566.84</v>
      </c>
    </row>
    <row r="104" spans="1:10" s="7" customFormat="1" ht="20.100000000000001" customHeight="1" x14ac:dyDescent="0.25">
      <c r="A104" s="33">
        <v>181</v>
      </c>
      <c r="B104" s="9">
        <v>42200</v>
      </c>
      <c r="C104" s="18" t="s">
        <v>60</v>
      </c>
      <c r="D104" s="11">
        <v>6956.05</v>
      </c>
      <c r="E104" s="9">
        <v>42205</v>
      </c>
      <c r="F104" s="15" t="s">
        <v>28</v>
      </c>
      <c r="G104" s="12">
        <v>42201</v>
      </c>
      <c r="H104" s="17">
        <f t="shared" si="7"/>
        <v>6956.05</v>
      </c>
    </row>
    <row r="105" spans="1:10" s="7" customFormat="1" ht="20.100000000000001" customHeight="1" x14ac:dyDescent="0.25">
      <c r="A105" s="33">
        <v>171</v>
      </c>
      <c r="B105" s="9">
        <v>42188</v>
      </c>
      <c r="C105" s="20" t="s">
        <v>65</v>
      </c>
      <c r="D105" s="11">
        <v>36357.58</v>
      </c>
      <c r="E105" s="9">
        <v>42206</v>
      </c>
      <c r="F105" s="15" t="s">
        <v>28</v>
      </c>
      <c r="G105" s="12">
        <v>42206</v>
      </c>
      <c r="H105" s="17">
        <f t="shared" si="7"/>
        <v>36357.58</v>
      </c>
      <c r="I105" s="17">
        <f>H105</f>
        <v>36357.58</v>
      </c>
    </row>
    <row r="106" spans="1:10" s="7" customFormat="1" ht="20.100000000000001" customHeight="1" x14ac:dyDescent="0.25">
      <c r="A106" s="33">
        <v>185</v>
      </c>
      <c r="B106" s="9">
        <v>42202</v>
      </c>
      <c r="C106" s="20" t="s">
        <v>71</v>
      </c>
      <c r="D106" s="11">
        <v>38394.74</v>
      </c>
      <c r="E106" s="9">
        <v>42206</v>
      </c>
      <c r="F106" s="15" t="s">
        <v>28</v>
      </c>
      <c r="G106" s="12">
        <v>42219</v>
      </c>
      <c r="H106" s="17">
        <f t="shared" si="7"/>
        <v>38394.74</v>
      </c>
      <c r="I106" s="17">
        <f>H106</f>
        <v>38394.74</v>
      </c>
    </row>
    <row r="107" spans="1:10" s="7" customFormat="1" ht="20.100000000000001" customHeight="1" x14ac:dyDescent="0.25">
      <c r="A107" s="33">
        <v>193</v>
      </c>
      <c r="B107" s="9">
        <v>42206</v>
      </c>
      <c r="C107" s="18" t="s">
        <v>19</v>
      </c>
      <c r="D107" s="11">
        <v>4046.48</v>
      </c>
      <c r="E107" s="9">
        <v>42206</v>
      </c>
      <c r="F107" s="15" t="s">
        <v>28</v>
      </c>
      <c r="G107" s="12">
        <v>42208</v>
      </c>
      <c r="H107" s="17">
        <f t="shared" si="7"/>
        <v>4046.48</v>
      </c>
    </row>
    <row r="108" spans="1:10" s="7" customFormat="1" ht="20.100000000000001" customHeight="1" x14ac:dyDescent="0.25">
      <c r="A108" s="33">
        <v>176</v>
      </c>
      <c r="B108" s="9">
        <v>42195</v>
      </c>
      <c r="C108" s="20" t="s">
        <v>66</v>
      </c>
      <c r="D108" s="11">
        <v>10293.61</v>
      </c>
      <c r="E108" s="9">
        <v>42215</v>
      </c>
      <c r="F108" s="15" t="s">
        <v>28</v>
      </c>
      <c r="G108" s="12">
        <v>42262</v>
      </c>
      <c r="H108" s="17">
        <f t="shared" si="7"/>
        <v>10293.61</v>
      </c>
      <c r="I108" s="17">
        <f>H108</f>
        <v>10293.61</v>
      </c>
    </row>
    <row r="109" spans="1:10" s="7" customFormat="1" ht="20.100000000000001" customHeight="1" x14ac:dyDescent="0.25">
      <c r="A109" s="33">
        <v>162</v>
      </c>
      <c r="B109" s="9">
        <v>42178</v>
      </c>
      <c r="C109" s="20" t="s">
        <v>67</v>
      </c>
      <c r="D109" s="11">
        <v>3992.8</v>
      </c>
      <c r="E109" s="9">
        <v>42209</v>
      </c>
      <c r="F109" s="15" t="s">
        <v>28</v>
      </c>
      <c r="G109" s="12">
        <v>42207</v>
      </c>
      <c r="H109" s="17">
        <f t="shared" si="7"/>
        <v>3992.8</v>
      </c>
      <c r="I109" s="17">
        <f>H109</f>
        <v>3992.8</v>
      </c>
    </row>
    <row r="110" spans="1:10" s="7" customFormat="1" ht="20.100000000000001" customHeight="1" x14ac:dyDescent="0.25">
      <c r="A110" s="33">
        <v>195</v>
      </c>
      <c r="B110" s="9">
        <v>42208</v>
      </c>
      <c r="C110" s="20" t="s">
        <v>68</v>
      </c>
      <c r="D110" s="11">
        <v>18623.830000000002</v>
      </c>
      <c r="E110" s="9">
        <v>42208</v>
      </c>
      <c r="F110" s="15" t="s">
        <v>28</v>
      </c>
      <c r="G110" s="12">
        <v>42208</v>
      </c>
      <c r="H110" s="17">
        <f t="shared" si="7"/>
        <v>18623.830000000002</v>
      </c>
      <c r="I110" s="17">
        <f>H110</f>
        <v>18623.830000000002</v>
      </c>
    </row>
    <row r="111" spans="1:10" s="7" customFormat="1" ht="20.100000000000001" customHeight="1" x14ac:dyDescent="0.25">
      <c r="A111" s="33">
        <v>184</v>
      </c>
      <c r="B111" s="9">
        <v>42202</v>
      </c>
      <c r="C111" s="18" t="s">
        <v>13</v>
      </c>
      <c r="D111" s="11">
        <v>10282.65</v>
      </c>
      <c r="E111" s="9">
        <v>42214</v>
      </c>
      <c r="F111" s="15" t="s">
        <v>28</v>
      </c>
      <c r="G111" s="12">
        <v>42220</v>
      </c>
      <c r="H111" s="17">
        <f t="shared" si="7"/>
        <v>10282.65</v>
      </c>
    </row>
    <row r="112" spans="1:10" s="2" customFormat="1" ht="20.100000000000001" customHeight="1" x14ac:dyDescent="0.25">
      <c r="A112" s="33">
        <v>197</v>
      </c>
      <c r="B112" s="9">
        <v>42212</v>
      </c>
      <c r="C112" s="18" t="s">
        <v>16</v>
      </c>
      <c r="D112" s="11">
        <v>2261.38</v>
      </c>
      <c r="E112" s="9">
        <v>42214</v>
      </c>
      <c r="F112" s="15" t="s">
        <v>28</v>
      </c>
      <c r="G112" s="12">
        <v>42226</v>
      </c>
      <c r="H112" s="17">
        <f t="shared" si="7"/>
        <v>2261.38</v>
      </c>
      <c r="I112" s="7"/>
      <c r="J112" s="40"/>
    </row>
    <row r="113" spans="1:9" s="7" customFormat="1" ht="20.100000000000001" customHeight="1" x14ac:dyDescent="0.25">
      <c r="A113" s="33">
        <v>202</v>
      </c>
      <c r="B113" s="9">
        <v>42214</v>
      </c>
      <c r="C113" s="18" t="s">
        <v>6</v>
      </c>
      <c r="D113" s="11">
        <v>17790.939999999999</v>
      </c>
      <c r="E113" s="9">
        <v>42215</v>
      </c>
      <c r="F113" s="15" t="s">
        <v>28</v>
      </c>
      <c r="G113" s="12">
        <v>42233</v>
      </c>
      <c r="H113" s="17">
        <f t="shared" si="7"/>
        <v>17790.939999999999</v>
      </c>
    </row>
    <row r="114" spans="1:9" s="7" customFormat="1" ht="20.100000000000001" customHeight="1" x14ac:dyDescent="0.25">
      <c r="A114" s="33">
        <v>200</v>
      </c>
      <c r="B114" s="9">
        <v>42214</v>
      </c>
      <c r="C114" s="20" t="s">
        <v>72</v>
      </c>
      <c r="D114" s="11">
        <v>38190</v>
      </c>
      <c r="E114" s="9">
        <v>42216</v>
      </c>
      <c r="F114" s="15" t="s">
        <v>28</v>
      </c>
      <c r="G114" s="12">
        <v>42219</v>
      </c>
      <c r="H114" s="17">
        <f t="shared" si="7"/>
        <v>38190</v>
      </c>
      <c r="I114" s="17">
        <f>H114</f>
        <v>38190</v>
      </c>
    </row>
    <row r="115" spans="1:9" s="7" customFormat="1" ht="20.100000000000001" customHeight="1" x14ac:dyDescent="0.25">
      <c r="A115" s="35" t="s">
        <v>535</v>
      </c>
      <c r="B115" s="36"/>
      <c r="C115" s="42"/>
      <c r="D115" s="37"/>
      <c r="E115" s="81">
        <f>Июль2015[[#Totals],[Отгрузка]]</f>
        <v>12228.604000000001</v>
      </c>
      <c r="F115" s="43"/>
      <c r="G115" s="16">
        <f>H115*0.02+I115*0.02</f>
        <v>12228.604000000001</v>
      </c>
      <c r="H115" s="45">
        <f>SUBTOTAL(109,Июль2015[Продажа])</f>
        <v>455340.28</v>
      </c>
      <c r="I115" s="2">
        <f>SUBTOTAL(109,Июль2015[Продажа НК])</f>
        <v>156089.91999999998</v>
      </c>
    </row>
    <row r="116" spans="1:9" s="7" customFormat="1" ht="20.100000000000001" customHeight="1" x14ac:dyDescent="0.25">
      <c r="A116" s="41" t="s">
        <v>1</v>
      </c>
      <c r="B116" s="1" t="s">
        <v>0</v>
      </c>
      <c r="C116" s="1" t="s">
        <v>26</v>
      </c>
      <c r="D116" s="1" t="s">
        <v>2</v>
      </c>
      <c r="E116" s="1" t="s">
        <v>3</v>
      </c>
      <c r="F116" s="1" t="s">
        <v>27</v>
      </c>
      <c r="G116" s="1" t="s">
        <v>4</v>
      </c>
      <c r="H116" s="2" t="s">
        <v>132</v>
      </c>
      <c r="I116" s="2" t="s">
        <v>133</v>
      </c>
    </row>
    <row r="117" spans="1:9" s="7" customFormat="1" ht="20.100000000000001" customHeight="1" x14ac:dyDescent="0.25">
      <c r="A117" s="33">
        <v>174</v>
      </c>
      <c r="B117" s="9">
        <v>42192</v>
      </c>
      <c r="C117" s="18" t="s">
        <v>56</v>
      </c>
      <c r="D117" s="11">
        <v>84847.24</v>
      </c>
      <c r="E117" s="9">
        <v>42226</v>
      </c>
      <c r="F117" s="15" t="s">
        <v>28</v>
      </c>
      <c r="G117" s="12">
        <v>42215</v>
      </c>
      <c r="H117" s="17">
        <f t="shared" ref="H117:H132" si="8">D117</f>
        <v>84847.24</v>
      </c>
    </row>
    <row r="118" spans="1:9" s="7" customFormat="1" ht="20.100000000000001" customHeight="1" x14ac:dyDescent="0.25">
      <c r="A118" s="33">
        <v>199</v>
      </c>
      <c r="B118" s="9">
        <v>42213</v>
      </c>
      <c r="C118" s="20" t="s">
        <v>69</v>
      </c>
      <c r="D118" s="11">
        <v>10770.61</v>
      </c>
      <c r="E118" s="9">
        <v>42222</v>
      </c>
      <c r="F118" s="15" t="s">
        <v>28</v>
      </c>
      <c r="G118" s="12">
        <v>42228</v>
      </c>
      <c r="H118" s="17">
        <f t="shared" si="8"/>
        <v>10770.61</v>
      </c>
      <c r="I118" s="17">
        <f>H118</f>
        <v>10770.61</v>
      </c>
    </row>
    <row r="119" spans="1:9" s="7" customFormat="1" ht="20.100000000000001" customHeight="1" x14ac:dyDescent="0.25">
      <c r="A119" s="33">
        <v>201</v>
      </c>
      <c r="B119" s="9">
        <v>42214</v>
      </c>
      <c r="C119" s="20" t="s">
        <v>70</v>
      </c>
      <c r="D119" s="11">
        <v>848.65</v>
      </c>
      <c r="E119" s="9">
        <v>42219</v>
      </c>
      <c r="F119" s="15" t="s">
        <v>28</v>
      </c>
      <c r="G119" s="12">
        <v>42228</v>
      </c>
      <c r="H119" s="17">
        <f t="shared" si="8"/>
        <v>848.65</v>
      </c>
      <c r="I119" s="17">
        <f>H119</f>
        <v>848.65</v>
      </c>
    </row>
    <row r="120" spans="1:9" s="7" customFormat="1" ht="20.100000000000001" customHeight="1" x14ac:dyDescent="0.25">
      <c r="A120" s="33">
        <v>204</v>
      </c>
      <c r="B120" s="9">
        <v>42219</v>
      </c>
      <c r="C120" s="18" t="s">
        <v>60</v>
      </c>
      <c r="D120" s="11">
        <v>17114.07</v>
      </c>
      <c r="E120" s="9">
        <v>42223</v>
      </c>
      <c r="F120" s="15" t="s">
        <v>28</v>
      </c>
      <c r="G120" s="12">
        <v>42241</v>
      </c>
      <c r="H120" s="17">
        <f t="shared" si="8"/>
        <v>17114.07</v>
      </c>
    </row>
    <row r="121" spans="1:9" s="7" customFormat="1" ht="20.100000000000001" customHeight="1" x14ac:dyDescent="0.25">
      <c r="A121" s="33">
        <v>207</v>
      </c>
      <c r="B121" s="9">
        <v>42220</v>
      </c>
      <c r="C121" s="20" t="s">
        <v>73</v>
      </c>
      <c r="D121" s="11">
        <v>3299.63</v>
      </c>
      <c r="E121" s="9">
        <v>42226</v>
      </c>
      <c r="F121" s="15" t="s">
        <v>28</v>
      </c>
      <c r="G121" s="12">
        <v>42227</v>
      </c>
      <c r="H121" s="17">
        <f t="shared" si="8"/>
        <v>3299.63</v>
      </c>
      <c r="I121" s="17">
        <f>H121</f>
        <v>3299.63</v>
      </c>
    </row>
    <row r="122" spans="1:9" s="7" customFormat="1" ht="20.100000000000001" customHeight="1" x14ac:dyDescent="0.25">
      <c r="A122" s="33">
        <v>212</v>
      </c>
      <c r="B122" s="9">
        <v>42223</v>
      </c>
      <c r="C122" s="18" t="s">
        <v>45</v>
      </c>
      <c r="D122" s="11">
        <v>27212</v>
      </c>
      <c r="E122" s="9">
        <v>42226</v>
      </c>
      <c r="F122" s="15" t="s">
        <v>28</v>
      </c>
      <c r="G122" s="12">
        <v>42226</v>
      </c>
      <c r="H122" s="17">
        <f t="shared" si="8"/>
        <v>27212</v>
      </c>
    </row>
    <row r="123" spans="1:9" s="7" customFormat="1" ht="20.100000000000001" customHeight="1" x14ac:dyDescent="0.25">
      <c r="A123" s="33">
        <v>206</v>
      </c>
      <c r="B123" s="9">
        <v>42220</v>
      </c>
      <c r="C123" s="18" t="s">
        <v>13</v>
      </c>
      <c r="D123" s="11">
        <v>10780.2</v>
      </c>
      <c r="E123" s="9">
        <v>42226</v>
      </c>
      <c r="F123" s="15" t="s">
        <v>28</v>
      </c>
      <c r="G123" s="12">
        <v>42236</v>
      </c>
      <c r="H123" s="17">
        <f t="shared" si="8"/>
        <v>10780.2</v>
      </c>
    </row>
    <row r="124" spans="1:9" s="7" customFormat="1" ht="20.100000000000001" customHeight="1" x14ac:dyDescent="0.25">
      <c r="A124" s="33">
        <v>214</v>
      </c>
      <c r="B124" s="9">
        <v>42227</v>
      </c>
      <c r="C124" s="18" t="s">
        <v>12</v>
      </c>
      <c r="D124" s="11">
        <v>4500</v>
      </c>
      <c r="E124" s="9">
        <v>42227</v>
      </c>
      <c r="F124" s="15"/>
      <c r="G124" s="12">
        <v>42227</v>
      </c>
      <c r="H124" s="17">
        <f t="shared" si="8"/>
        <v>4500</v>
      </c>
    </row>
    <row r="125" spans="1:9" s="7" customFormat="1" ht="20.100000000000001" customHeight="1" x14ac:dyDescent="0.25">
      <c r="A125" s="33">
        <v>217</v>
      </c>
      <c r="B125" s="9">
        <v>42228</v>
      </c>
      <c r="C125" s="20" t="s">
        <v>74</v>
      </c>
      <c r="D125" s="11">
        <v>21407.62</v>
      </c>
      <c r="E125" s="9">
        <v>42228</v>
      </c>
      <c r="F125" s="15" t="s">
        <v>28</v>
      </c>
      <c r="G125" s="12">
        <v>42229</v>
      </c>
      <c r="H125" s="17">
        <f t="shared" si="8"/>
        <v>21407.62</v>
      </c>
      <c r="I125" s="17">
        <f>H125</f>
        <v>21407.62</v>
      </c>
    </row>
    <row r="126" spans="1:9" s="7" customFormat="1" ht="20.100000000000001" customHeight="1" x14ac:dyDescent="0.25">
      <c r="A126" s="33">
        <v>218</v>
      </c>
      <c r="B126" s="9">
        <v>42228</v>
      </c>
      <c r="C126" s="20" t="s">
        <v>74</v>
      </c>
      <c r="D126" s="11">
        <v>1001.7</v>
      </c>
      <c r="E126" s="9">
        <v>42228</v>
      </c>
      <c r="F126" s="15" t="s">
        <v>28</v>
      </c>
      <c r="G126" s="12">
        <v>42229</v>
      </c>
      <c r="H126" s="17">
        <f t="shared" si="8"/>
        <v>1001.7</v>
      </c>
      <c r="I126" s="17">
        <f>H126</f>
        <v>1001.7</v>
      </c>
    </row>
    <row r="127" spans="1:9" s="7" customFormat="1" ht="20.100000000000001" customHeight="1" x14ac:dyDescent="0.25">
      <c r="A127" s="33">
        <v>213</v>
      </c>
      <c r="B127" s="9">
        <v>42227</v>
      </c>
      <c r="C127" s="18" t="s">
        <v>45</v>
      </c>
      <c r="D127" s="11">
        <v>34990</v>
      </c>
      <c r="E127" s="9">
        <v>42230</v>
      </c>
      <c r="F127" s="15" t="s">
        <v>28</v>
      </c>
      <c r="G127" s="12">
        <v>42237</v>
      </c>
      <c r="H127" s="17">
        <f t="shared" si="8"/>
        <v>34990</v>
      </c>
    </row>
    <row r="128" spans="1:9" s="7" customFormat="1" ht="20.100000000000001" customHeight="1" x14ac:dyDescent="0.25">
      <c r="A128" s="33">
        <v>219</v>
      </c>
      <c r="B128" s="9">
        <v>42229</v>
      </c>
      <c r="C128" s="20" t="s">
        <v>75</v>
      </c>
      <c r="D128" s="11">
        <v>18490</v>
      </c>
      <c r="E128" s="9">
        <v>42233</v>
      </c>
      <c r="F128" s="15" t="s">
        <v>28</v>
      </c>
      <c r="G128" s="12">
        <v>42234</v>
      </c>
      <c r="H128" s="17">
        <f t="shared" si="8"/>
        <v>18490</v>
      </c>
      <c r="I128" s="17">
        <f>H128</f>
        <v>18490</v>
      </c>
    </row>
    <row r="129" spans="1:10" s="2" customFormat="1" ht="20.100000000000001" customHeight="1" x14ac:dyDescent="0.25">
      <c r="A129" s="33">
        <v>208</v>
      </c>
      <c r="B129" s="9">
        <v>42220</v>
      </c>
      <c r="C129" s="20" t="s">
        <v>76</v>
      </c>
      <c r="D129" s="11">
        <v>14399</v>
      </c>
      <c r="E129" s="9">
        <v>42233</v>
      </c>
      <c r="F129" s="15" t="s">
        <v>28</v>
      </c>
      <c r="G129" s="12">
        <v>42235</v>
      </c>
      <c r="H129" s="17">
        <f t="shared" si="8"/>
        <v>14399</v>
      </c>
      <c r="I129" s="17">
        <f>H129</f>
        <v>14399</v>
      </c>
      <c r="J129" s="40"/>
    </row>
    <row r="130" spans="1:10" s="7" customFormat="1" ht="20.100000000000001" customHeight="1" x14ac:dyDescent="0.25">
      <c r="A130" s="33">
        <v>224</v>
      </c>
      <c r="B130" s="9">
        <v>42234</v>
      </c>
      <c r="C130" s="20" t="s">
        <v>77</v>
      </c>
      <c r="D130" s="11">
        <v>25920</v>
      </c>
      <c r="E130" s="9">
        <v>42234</v>
      </c>
      <c r="F130" s="15" t="s">
        <v>28</v>
      </c>
      <c r="G130" s="12">
        <v>42235</v>
      </c>
      <c r="H130" s="17">
        <f t="shared" si="8"/>
        <v>25920</v>
      </c>
      <c r="I130" s="17">
        <f>H130</f>
        <v>25920</v>
      </c>
    </row>
    <row r="131" spans="1:10" s="7" customFormat="1" ht="20.100000000000001" customHeight="1" x14ac:dyDescent="0.25">
      <c r="A131" s="33">
        <v>194</v>
      </c>
      <c r="B131" s="9">
        <v>42242</v>
      </c>
      <c r="C131" s="20" t="s">
        <v>78</v>
      </c>
      <c r="D131" s="11">
        <v>9168.61</v>
      </c>
      <c r="E131" s="9">
        <v>42242</v>
      </c>
      <c r="F131" s="15" t="s">
        <v>28</v>
      </c>
      <c r="G131" s="12">
        <v>42243</v>
      </c>
      <c r="H131" s="17">
        <f t="shared" si="8"/>
        <v>9168.61</v>
      </c>
      <c r="I131" s="17">
        <f>H131</f>
        <v>9168.61</v>
      </c>
    </row>
    <row r="132" spans="1:10" s="7" customFormat="1" ht="20.100000000000001" customHeight="1" x14ac:dyDescent="0.25">
      <c r="A132" s="33">
        <v>233</v>
      </c>
      <c r="B132" s="9">
        <v>42240</v>
      </c>
      <c r="C132" s="20" t="s">
        <v>79</v>
      </c>
      <c r="D132" s="11">
        <v>15490</v>
      </c>
      <c r="E132" s="9">
        <v>42244</v>
      </c>
      <c r="F132" s="15"/>
      <c r="G132" s="12">
        <v>42244</v>
      </c>
      <c r="H132" s="17">
        <f t="shared" si="8"/>
        <v>15490</v>
      </c>
      <c r="I132" s="17">
        <f>H132</f>
        <v>15490</v>
      </c>
    </row>
    <row r="133" spans="1:10" s="7" customFormat="1" ht="20.100000000000001" customHeight="1" x14ac:dyDescent="0.25">
      <c r="A133" s="35" t="s">
        <v>535</v>
      </c>
      <c r="B133" s="36"/>
      <c r="C133" s="48"/>
      <c r="D133" s="37"/>
      <c r="E133" s="81">
        <f>Август2015[[#Totals],[Отгрузка]]</f>
        <v>8420.7030000000013</v>
      </c>
      <c r="F133" s="43"/>
      <c r="G133" s="16">
        <f>H133*0.02+I133*0.02</f>
        <v>8420.7030000000013</v>
      </c>
      <c r="H133" s="45">
        <f>SUBTOTAL(109,Август2015[Продажа])</f>
        <v>300239.33</v>
      </c>
      <c r="I133" s="45">
        <f>SUBTOTAL(109,Август2015[Продажа НК])</f>
        <v>120795.81999999999</v>
      </c>
    </row>
    <row r="134" spans="1:10" s="7" customFormat="1" ht="20.100000000000001" customHeight="1" x14ac:dyDescent="0.25">
      <c r="A134" s="41" t="s">
        <v>1</v>
      </c>
      <c r="B134" s="1" t="s">
        <v>0</v>
      </c>
      <c r="C134" s="1" t="s">
        <v>26</v>
      </c>
      <c r="D134" s="1" t="s">
        <v>2</v>
      </c>
      <c r="E134" s="1" t="s">
        <v>3</v>
      </c>
      <c r="F134" s="1" t="s">
        <v>27</v>
      </c>
      <c r="G134" s="1" t="s">
        <v>4</v>
      </c>
      <c r="H134" s="2" t="s">
        <v>132</v>
      </c>
      <c r="I134" s="2" t="s">
        <v>133</v>
      </c>
    </row>
    <row r="135" spans="1:10" s="7" customFormat="1" ht="20.100000000000001" customHeight="1" x14ac:dyDescent="0.25">
      <c r="A135" s="33">
        <v>211</v>
      </c>
      <c r="B135" s="9">
        <v>42233</v>
      </c>
      <c r="C135" s="18" t="s">
        <v>56</v>
      </c>
      <c r="D135" s="11">
        <v>73707.88</v>
      </c>
      <c r="E135" s="9">
        <v>42270</v>
      </c>
      <c r="F135" s="15" t="s">
        <v>28</v>
      </c>
      <c r="G135" s="12">
        <v>42264</v>
      </c>
      <c r="H135" s="17">
        <f t="shared" ref="H135:H154" si="9">D135</f>
        <v>73707.88</v>
      </c>
    </row>
    <row r="136" spans="1:10" s="7" customFormat="1" ht="20.100000000000001" customHeight="1" x14ac:dyDescent="0.25">
      <c r="A136" s="33">
        <v>236</v>
      </c>
      <c r="B136" s="9">
        <v>42247</v>
      </c>
      <c r="C136" s="20" t="s">
        <v>80</v>
      </c>
      <c r="D136" s="11">
        <v>19090</v>
      </c>
      <c r="E136" s="15">
        <v>42248</v>
      </c>
      <c r="F136" s="15" t="s">
        <v>28</v>
      </c>
      <c r="G136" s="12">
        <v>42249</v>
      </c>
      <c r="H136" s="17">
        <f t="shared" si="9"/>
        <v>19090</v>
      </c>
      <c r="I136" s="17">
        <f>H136</f>
        <v>19090</v>
      </c>
    </row>
    <row r="137" spans="1:10" s="7" customFormat="1" ht="20.100000000000001" customHeight="1" x14ac:dyDescent="0.25">
      <c r="A137" s="33">
        <v>235</v>
      </c>
      <c r="B137" s="9">
        <v>42247</v>
      </c>
      <c r="C137" s="20" t="s">
        <v>81</v>
      </c>
      <c r="D137" s="11">
        <v>1240.6500000000001</v>
      </c>
      <c r="E137" s="9">
        <v>42249</v>
      </c>
      <c r="F137" s="15" t="s">
        <v>28</v>
      </c>
      <c r="G137" s="12">
        <v>42250</v>
      </c>
      <c r="H137" s="17">
        <f t="shared" si="9"/>
        <v>1240.6500000000001</v>
      </c>
      <c r="I137" s="17">
        <f>H137</f>
        <v>1240.6500000000001</v>
      </c>
    </row>
    <row r="138" spans="1:10" s="7" customFormat="1" ht="20.100000000000001" customHeight="1" x14ac:dyDescent="0.25">
      <c r="A138" s="33">
        <v>241</v>
      </c>
      <c r="B138" s="9">
        <v>42250</v>
      </c>
      <c r="C138" s="20" t="s">
        <v>82</v>
      </c>
      <c r="D138" s="11">
        <v>8089.32</v>
      </c>
      <c r="E138" s="9">
        <v>42250</v>
      </c>
      <c r="F138" s="15" t="s">
        <v>28</v>
      </c>
      <c r="G138" s="12">
        <v>42360</v>
      </c>
      <c r="H138" s="17">
        <f t="shared" si="9"/>
        <v>8089.32</v>
      </c>
      <c r="I138" s="17">
        <f>H138</f>
        <v>8089.32</v>
      </c>
    </row>
    <row r="139" spans="1:10" s="7" customFormat="1" ht="20.100000000000001" customHeight="1" x14ac:dyDescent="0.25">
      <c r="A139" s="33">
        <v>227</v>
      </c>
      <c r="B139" s="9">
        <v>42243</v>
      </c>
      <c r="C139" s="18" t="s">
        <v>50</v>
      </c>
      <c r="D139" s="11">
        <v>15403.24</v>
      </c>
      <c r="E139" s="9">
        <v>42251</v>
      </c>
      <c r="F139" s="15" t="s">
        <v>28</v>
      </c>
      <c r="G139" s="12">
        <v>42278</v>
      </c>
      <c r="H139" s="17">
        <f t="shared" si="9"/>
        <v>15403.24</v>
      </c>
    </row>
    <row r="140" spans="1:10" s="7" customFormat="1" ht="20.100000000000001" customHeight="1" x14ac:dyDescent="0.25">
      <c r="A140" s="33">
        <v>246</v>
      </c>
      <c r="B140" s="9">
        <v>42254</v>
      </c>
      <c r="C140" s="20" t="s">
        <v>83</v>
      </c>
      <c r="D140" s="11">
        <v>2815.2</v>
      </c>
      <c r="E140" s="9">
        <v>42254</v>
      </c>
      <c r="F140" s="15" t="s">
        <v>28</v>
      </c>
      <c r="G140" s="12">
        <v>42257</v>
      </c>
      <c r="H140" s="17">
        <f t="shared" si="9"/>
        <v>2815.2</v>
      </c>
      <c r="I140" s="17">
        <f>H140</f>
        <v>2815.2</v>
      </c>
    </row>
    <row r="141" spans="1:10" s="7" customFormat="1" ht="20.100000000000001" customHeight="1" x14ac:dyDescent="0.25">
      <c r="A141" s="33">
        <v>245</v>
      </c>
      <c r="B141" s="9">
        <v>42254</v>
      </c>
      <c r="C141" s="18" t="s">
        <v>42</v>
      </c>
      <c r="D141" s="11">
        <v>12250</v>
      </c>
      <c r="E141" s="9">
        <v>42255</v>
      </c>
      <c r="F141" s="15" t="s">
        <v>28</v>
      </c>
      <c r="G141" s="12">
        <v>42262</v>
      </c>
      <c r="H141" s="17">
        <f t="shared" si="9"/>
        <v>12250</v>
      </c>
    </row>
    <row r="142" spans="1:10" s="7" customFormat="1" ht="20.100000000000001" customHeight="1" x14ac:dyDescent="0.25">
      <c r="A142" s="33">
        <v>247</v>
      </c>
      <c r="B142" s="9">
        <v>42254</v>
      </c>
      <c r="C142" s="20" t="s">
        <v>84</v>
      </c>
      <c r="D142" s="11">
        <v>99981.4</v>
      </c>
      <c r="E142" s="9">
        <v>42255</v>
      </c>
      <c r="F142" s="15" t="s">
        <v>28</v>
      </c>
      <c r="G142" s="12">
        <v>42256</v>
      </c>
      <c r="H142" s="17">
        <f t="shared" si="9"/>
        <v>99981.4</v>
      </c>
      <c r="I142" s="17">
        <f>H142</f>
        <v>99981.4</v>
      </c>
    </row>
    <row r="143" spans="1:10" s="7" customFormat="1" ht="20.100000000000001" customHeight="1" x14ac:dyDescent="0.25">
      <c r="A143" s="33">
        <v>248</v>
      </c>
      <c r="B143" s="9">
        <v>42255</v>
      </c>
      <c r="C143" s="18" t="s">
        <v>9</v>
      </c>
      <c r="D143" s="11">
        <v>2252.86</v>
      </c>
      <c r="E143" s="9">
        <v>42262</v>
      </c>
      <c r="F143" s="15" t="s">
        <v>28</v>
      </c>
      <c r="G143" s="12">
        <v>42269</v>
      </c>
      <c r="H143" s="17">
        <f t="shared" si="9"/>
        <v>2252.86</v>
      </c>
    </row>
    <row r="144" spans="1:10" s="7" customFormat="1" ht="20.100000000000001" customHeight="1" x14ac:dyDescent="0.25">
      <c r="A144" s="33">
        <v>252</v>
      </c>
      <c r="B144" s="9">
        <v>42262</v>
      </c>
      <c r="C144" s="20" t="s">
        <v>85</v>
      </c>
      <c r="D144" s="11">
        <v>27832.23</v>
      </c>
      <c r="E144" s="9">
        <v>42262</v>
      </c>
      <c r="F144" s="15" t="s">
        <v>28</v>
      </c>
      <c r="G144" s="12">
        <v>42307</v>
      </c>
      <c r="H144" s="17">
        <f t="shared" si="9"/>
        <v>27832.23</v>
      </c>
      <c r="I144" s="17">
        <f>H144</f>
        <v>27832.23</v>
      </c>
    </row>
    <row r="145" spans="1:10" s="7" customFormat="1" ht="20.100000000000001" customHeight="1" x14ac:dyDescent="0.25">
      <c r="A145" s="33">
        <v>253</v>
      </c>
      <c r="B145" s="9">
        <v>42262</v>
      </c>
      <c r="C145" s="18" t="s">
        <v>45</v>
      </c>
      <c r="D145" s="11">
        <v>6470.14</v>
      </c>
      <c r="E145" s="9">
        <v>42264</v>
      </c>
      <c r="F145" s="15" t="s">
        <v>28</v>
      </c>
      <c r="G145" s="12">
        <v>42300</v>
      </c>
      <c r="H145" s="17">
        <f t="shared" si="9"/>
        <v>6470.14</v>
      </c>
    </row>
    <row r="146" spans="1:10" s="7" customFormat="1" ht="20.100000000000001" customHeight="1" x14ac:dyDescent="0.25">
      <c r="A146" s="33">
        <v>232</v>
      </c>
      <c r="B146" s="9">
        <v>42242</v>
      </c>
      <c r="C146" s="18" t="s">
        <v>66</v>
      </c>
      <c r="D146" s="11">
        <v>15784.8</v>
      </c>
      <c r="E146" s="9">
        <v>42263</v>
      </c>
      <c r="F146" s="15" t="s">
        <v>28</v>
      </c>
      <c r="G146" s="12">
        <v>42305</v>
      </c>
      <c r="H146" s="17">
        <f t="shared" si="9"/>
        <v>15784.8</v>
      </c>
    </row>
    <row r="147" spans="1:10" s="7" customFormat="1" ht="20.100000000000001" customHeight="1" x14ac:dyDescent="0.25">
      <c r="A147" s="33">
        <v>255</v>
      </c>
      <c r="B147" s="9">
        <v>42263</v>
      </c>
      <c r="C147" s="20" t="s">
        <v>86</v>
      </c>
      <c r="D147" s="11">
        <v>4500</v>
      </c>
      <c r="E147" s="9">
        <v>42264</v>
      </c>
      <c r="F147" s="15" t="s">
        <v>28</v>
      </c>
      <c r="G147" s="12">
        <v>42270</v>
      </c>
      <c r="H147" s="17">
        <f t="shared" si="9"/>
        <v>4500</v>
      </c>
      <c r="I147" s="17">
        <f>H147</f>
        <v>4500</v>
      </c>
    </row>
    <row r="148" spans="1:10" s="7" customFormat="1" ht="20.100000000000001" customHeight="1" x14ac:dyDescent="0.25">
      <c r="A148" s="33">
        <v>210</v>
      </c>
      <c r="B148" s="9">
        <v>42249</v>
      </c>
      <c r="C148" s="20" t="s">
        <v>87</v>
      </c>
      <c r="D148" s="11">
        <v>46590</v>
      </c>
      <c r="E148" s="9">
        <v>42264</v>
      </c>
      <c r="F148" s="15" t="s">
        <v>28</v>
      </c>
      <c r="G148" s="12">
        <v>42265</v>
      </c>
      <c r="H148" s="17">
        <f t="shared" si="9"/>
        <v>46590</v>
      </c>
      <c r="I148" s="17">
        <f>H148</f>
        <v>46590</v>
      </c>
    </row>
    <row r="149" spans="1:10" s="7" customFormat="1" ht="20.100000000000001" customHeight="1" x14ac:dyDescent="0.25">
      <c r="A149" s="33">
        <v>258</v>
      </c>
      <c r="B149" s="9">
        <v>42264</v>
      </c>
      <c r="C149" s="20" t="s">
        <v>88</v>
      </c>
      <c r="D149" s="11">
        <v>9593.26</v>
      </c>
      <c r="E149" s="9">
        <v>42265</v>
      </c>
      <c r="F149" s="15" t="s">
        <v>28</v>
      </c>
      <c r="G149" s="12">
        <v>42265</v>
      </c>
      <c r="H149" s="17">
        <f t="shared" si="9"/>
        <v>9593.26</v>
      </c>
      <c r="I149" s="17">
        <f>H149</f>
        <v>9593.26</v>
      </c>
    </row>
    <row r="150" spans="1:10" s="2" customFormat="1" ht="20.100000000000001" customHeight="1" x14ac:dyDescent="0.25">
      <c r="A150" s="33">
        <v>257</v>
      </c>
      <c r="B150" s="9">
        <v>42263</v>
      </c>
      <c r="C150" s="20" t="s">
        <v>89</v>
      </c>
      <c r="D150" s="11">
        <v>20875.09</v>
      </c>
      <c r="E150" s="9">
        <v>42269</v>
      </c>
      <c r="F150" s="15" t="s">
        <v>28</v>
      </c>
      <c r="G150" s="12">
        <v>42271</v>
      </c>
      <c r="H150" s="17">
        <f t="shared" si="9"/>
        <v>20875.09</v>
      </c>
      <c r="I150" s="17">
        <f>H150</f>
        <v>20875.09</v>
      </c>
      <c r="J150" s="40"/>
    </row>
    <row r="151" spans="1:10" s="7" customFormat="1" ht="20.100000000000001" customHeight="1" x14ac:dyDescent="0.25">
      <c r="A151" s="33">
        <v>279</v>
      </c>
      <c r="B151" s="9">
        <v>42271</v>
      </c>
      <c r="C151" s="20" t="s">
        <v>90</v>
      </c>
      <c r="D151" s="11">
        <v>10373.6</v>
      </c>
      <c r="E151" s="9">
        <v>42271</v>
      </c>
      <c r="F151" s="15" t="s">
        <v>28</v>
      </c>
      <c r="G151" s="12">
        <v>42300</v>
      </c>
      <c r="H151" s="17">
        <f t="shared" si="9"/>
        <v>10373.6</v>
      </c>
      <c r="I151" s="17">
        <f>H151</f>
        <v>10373.6</v>
      </c>
    </row>
    <row r="152" spans="1:10" s="7" customFormat="1" ht="20.100000000000001" customHeight="1" x14ac:dyDescent="0.25">
      <c r="A152" s="33">
        <v>265</v>
      </c>
      <c r="B152" s="9">
        <v>42271</v>
      </c>
      <c r="C152" s="18" t="s">
        <v>37</v>
      </c>
      <c r="D152" s="11">
        <v>2027.58</v>
      </c>
      <c r="E152" s="9">
        <v>42271</v>
      </c>
      <c r="F152" s="15" t="s">
        <v>28</v>
      </c>
      <c r="G152" s="12">
        <v>42276</v>
      </c>
      <c r="H152" s="17">
        <f t="shared" si="9"/>
        <v>2027.58</v>
      </c>
    </row>
    <row r="153" spans="1:10" s="7" customFormat="1" ht="20.100000000000001" customHeight="1" x14ac:dyDescent="0.25">
      <c r="A153" s="33">
        <v>249</v>
      </c>
      <c r="B153" s="9">
        <v>42255</v>
      </c>
      <c r="C153" s="18" t="s">
        <v>13</v>
      </c>
      <c r="D153" s="11">
        <v>12272.85</v>
      </c>
      <c r="E153" s="9">
        <v>42275</v>
      </c>
      <c r="F153" s="15" t="s">
        <v>28</v>
      </c>
      <c r="G153" s="12">
        <v>42284</v>
      </c>
      <c r="H153" s="17">
        <f t="shared" si="9"/>
        <v>12272.85</v>
      </c>
    </row>
    <row r="154" spans="1:10" s="7" customFormat="1" ht="20.100000000000001" customHeight="1" x14ac:dyDescent="0.25">
      <c r="A154" s="33">
        <v>266</v>
      </c>
      <c r="B154" s="9">
        <v>42271</v>
      </c>
      <c r="C154" s="20" t="s">
        <v>91</v>
      </c>
      <c r="D154" s="11">
        <v>2450</v>
      </c>
      <c r="E154" s="9">
        <v>42276</v>
      </c>
      <c r="F154" s="15" t="s">
        <v>28</v>
      </c>
      <c r="G154" s="12">
        <v>42279</v>
      </c>
      <c r="H154" s="17">
        <f t="shared" si="9"/>
        <v>2450</v>
      </c>
      <c r="I154" s="17">
        <f>H154</f>
        <v>2450</v>
      </c>
    </row>
    <row r="155" spans="1:10" s="7" customFormat="1" ht="20.100000000000001" customHeight="1" x14ac:dyDescent="0.25">
      <c r="A155" s="35" t="s">
        <v>535</v>
      </c>
      <c r="B155" s="36"/>
      <c r="C155" s="48"/>
      <c r="D155" s="37"/>
      <c r="E155" s="81">
        <f>Сентябрь2015[[#Totals],[Отгрузка]]</f>
        <v>12940.617</v>
      </c>
      <c r="F155" s="43"/>
      <c r="G155" s="16">
        <f>H155*0.02+I155*0.02</f>
        <v>12940.617</v>
      </c>
      <c r="H155" s="45">
        <f>SUBTOTAL(109,Сентябрь2015[Продажа])</f>
        <v>393600.1</v>
      </c>
      <c r="I155" s="45">
        <f>SUBTOTAL(109,Сентябрь2015[Продажа НК])</f>
        <v>253430.75000000003</v>
      </c>
    </row>
    <row r="156" spans="1:10" s="7" customFormat="1" ht="20.100000000000001" customHeight="1" x14ac:dyDescent="0.25">
      <c r="A156" s="41" t="s">
        <v>1</v>
      </c>
      <c r="B156" s="1" t="s">
        <v>0</v>
      </c>
      <c r="C156" s="1" t="s">
        <v>26</v>
      </c>
      <c r="D156" s="1" t="s">
        <v>2</v>
      </c>
      <c r="E156" s="1" t="s">
        <v>3</v>
      </c>
      <c r="F156" s="1" t="s">
        <v>27</v>
      </c>
      <c r="G156" s="1" t="s">
        <v>4</v>
      </c>
      <c r="H156" s="2" t="s">
        <v>132</v>
      </c>
      <c r="I156" s="2" t="s">
        <v>133</v>
      </c>
    </row>
    <row r="157" spans="1:10" s="7" customFormat="1" ht="20.100000000000001" customHeight="1" x14ac:dyDescent="0.25">
      <c r="A157" s="33">
        <v>2518</v>
      </c>
      <c r="B157" s="9">
        <v>42233</v>
      </c>
      <c r="C157" s="18" t="s">
        <v>38</v>
      </c>
      <c r="D157" s="11">
        <v>22914.14</v>
      </c>
      <c r="E157" s="9">
        <v>42283</v>
      </c>
      <c r="F157" s="15" t="s">
        <v>28</v>
      </c>
      <c r="G157" s="12">
        <v>42272</v>
      </c>
      <c r="H157" s="17">
        <f t="shared" ref="H157:H181" si="10">D157</f>
        <v>22914.14</v>
      </c>
    </row>
    <row r="158" spans="1:10" s="7" customFormat="1" ht="20.100000000000001" customHeight="1" x14ac:dyDescent="0.25">
      <c r="A158" s="33">
        <v>2510</v>
      </c>
      <c r="B158" s="9">
        <v>42233</v>
      </c>
      <c r="C158" s="18" t="s">
        <v>38</v>
      </c>
      <c r="D158" s="11">
        <v>5250</v>
      </c>
      <c r="E158" s="9">
        <v>42283</v>
      </c>
      <c r="F158" s="15" t="s">
        <v>28</v>
      </c>
      <c r="G158" s="12">
        <v>42272</v>
      </c>
      <c r="H158" s="17">
        <f t="shared" si="10"/>
        <v>5250</v>
      </c>
    </row>
    <row r="159" spans="1:10" s="7" customFormat="1" ht="20.100000000000001" customHeight="1" x14ac:dyDescent="0.25">
      <c r="A159" s="33">
        <v>2503</v>
      </c>
      <c r="B159" s="9">
        <v>42233</v>
      </c>
      <c r="C159" s="18" t="s">
        <v>38</v>
      </c>
      <c r="D159" s="11">
        <v>31615.16</v>
      </c>
      <c r="E159" s="9">
        <v>42283</v>
      </c>
      <c r="F159" s="15" t="s">
        <v>28</v>
      </c>
      <c r="G159" s="12">
        <v>42272</v>
      </c>
      <c r="H159" s="17">
        <f t="shared" si="10"/>
        <v>31615.16</v>
      </c>
    </row>
    <row r="160" spans="1:10" s="7" customFormat="1" ht="20.100000000000001" customHeight="1" x14ac:dyDescent="0.25">
      <c r="A160" s="33">
        <v>2500</v>
      </c>
      <c r="B160" s="9">
        <v>42233</v>
      </c>
      <c r="C160" s="18" t="s">
        <v>38</v>
      </c>
      <c r="D160" s="11">
        <v>259788.78</v>
      </c>
      <c r="E160" s="9">
        <v>42283</v>
      </c>
      <c r="F160" s="15" t="s">
        <v>28</v>
      </c>
      <c r="G160" s="12">
        <v>42272</v>
      </c>
      <c r="H160" s="17">
        <f t="shared" si="10"/>
        <v>259788.78</v>
      </c>
    </row>
    <row r="161" spans="1:9" s="7" customFormat="1" ht="20.100000000000001" customHeight="1" x14ac:dyDescent="0.25">
      <c r="A161" s="33">
        <v>2499</v>
      </c>
      <c r="B161" s="9">
        <v>42233</v>
      </c>
      <c r="C161" s="18" t="s">
        <v>38</v>
      </c>
      <c r="D161" s="11">
        <v>76459.839999999997</v>
      </c>
      <c r="E161" s="9">
        <v>42283</v>
      </c>
      <c r="F161" s="15" t="s">
        <v>28</v>
      </c>
      <c r="G161" s="12">
        <v>42272</v>
      </c>
      <c r="H161" s="17">
        <f t="shared" si="10"/>
        <v>76459.839999999997</v>
      </c>
    </row>
    <row r="162" spans="1:9" s="7" customFormat="1" ht="20.100000000000001" customHeight="1" x14ac:dyDescent="0.25">
      <c r="A162" s="33">
        <v>2470</v>
      </c>
      <c r="B162" s="9">
        <v>42233</v>
      </c>
      <c r="C162" s="18" t="s">
        <v>38</v>
      </c>
      <c r="D162" s="11">
        <v>56279.3</v>
      </c>
      <c r="E162" s="9">
        <v>42283</v>
      </c>
      <c r="F162" s="15" t="s">
        <v>28</v>
      </c>
      <c r="G162" s="12">
        <v>42272</v>
      </c>
      <c r="H162" s="17">
        <f t="shared" si="10"/>
        <v>56279.3</v>
      </c>
    </row>
    <row r="163" spans="1:9" s="7" customFormat="1" ht="20.100000000000001" customHeight="1" x14ac:dyDescent="0.25">
      <c r="A163" s="33">
        <v>2469</v>
      </c>
      <c r="B163" s="9">
        <v>42233</v>
      </c>
      <c r="C163" s="18" t="s">
        <v>38</v>
      </c>
      <c r="D163" s="11">
        <v>56279.3</v>
      </c>
      <c r="E163" s="9">
        <v>42283</v>
      </c>
      <c r="F163" s="15" t="s">
        <v>28</v>
      </c>
      <c r="G163" s="12">
        <v>42272</v>
      </c>
      <c r="H163" s="17">
        <f t="shared" si="10"/>
        <v>56279.3</v>
      </c>
    </row>
    <row r="164" spans="1:9" s="7" customFormat="1" ht="20.100000000000001" customHeight="1" x14ac:dyDescent="0.25">
      <c r="A164" s="33">
        <v>242</v>
      </c>
      <c r="B164" s="9">
        <v>42251</v>
      </c>
      <c r="C164" s="18" t="s">
        <v>56</v>
      </c>
      <c r="D164" s="11">
        <v>141778.76999999999</v>
      </c>
      <c r="E164" s="9">
        <v>42283</v>
      </c>
      <c r="F164" s="15" t="s">
        <v>28</v>
      </c>
      <c r="G164" s="12">
        <v>42269</v>
      </c>
      <c r="H164" s="17">
        <f t="shared" si="10"/>
        <v>141778.76999999999</v>
      </c>
    </row>
    <row r="165" spans="1:9" s="7" customFormat="1" ht="20.100000000000001" customHeight="1" x14ac:dyDescent="0.25">
      <c r="A165" s="33">
        <v>274</v>
      </c>
      <c r="B165" s="9">
        <v>42277</v>
      </c>
      <c r="C165" s="18" t="s">
        <v>56</v>
      </c>
      <c r="D165" s="11">
        <v>12900</v>
      </c>
      <c r="E165" s="9">
        <v>42283</v>
      </c>
      <c r="F165" s="15" t="s">
        <v>28</v>
      </c>
      <c r="G165" s="12">
        <v>42278</v>
      </c>
      <c r="H165" s="17">
        <f t="shared" si="10"/>
        <v>12900</v>
      </c>
    </row>
    <row r="166" spans="1:9" s="7" customFormat="1" ht="20.100000000000001" customHeight="1" x14ac:dyDescent="0.25">
      <c r="A166" s="33">
        <v>273</v>
      </c>
      <c r="B166" s="9">
        <v>42277</v>
      </c>
      <c r="C166" s="20" t="s">
        <v>92</v>
      </c>
      <c r="D166" s="11">
        <v>3000</v>
      </c>
      <c r="E166" s="9">
        <v>42278</v>
      </c>
      <c r="F166" s="15" t="s">
        <v>28</v>
      </c>
      <c r="G166" s="12">
        <v>42279</v>
      </c>
      <c r="H166" s="17">
        <f t="shared" si="10"/>
        <v>3000</v>
      </c>
      <c r="I166" s="17">
        <f>H166</f>
        <v>3000</v>
      </c>
    </row>
    <row r="167" spans="1:9" s="7" customFormat="1" ht="20.100000000000001" customHeight="1" x14ac:dyDescent="0.25">
      <c r="A167" s="33">
        <v>277</v>
      </c>
      <c r="B167" s="9">
        <v>42278</v>
      </c>
      <c r="C167" s="20" t="s">
        <v>93</v>
      </c>
      <c r="D167" s="11">
        <v>15064</v>
      </c>
      <c r="E167" s="9">
        <v>42282</v>
      </c>
      <c r="F167" s="15" t="s">
        <v>28</v>
      </c>
      <c r="G167" s="12">
        <v>42283</v>
      </c>
      <c r="H167" s="17">
        <f t="shared" si="10"/>
        <v>15064</v>
      </c>
      <c r="I167" s="17">
        <f>H167</f>
        <v>15064</v>
      </c>
    </row>
    <row r="168" spans="1:9" s="7" customFormat="1" ht="20.100000000000001" customHeight="1" x14ac:dyDescent="0.25">
      <c r="A168" s="33">
        <v>279</v>
      </c>
      <c r="B168" s="9">
        <v>42278</v>
      </c>
      <c r="C168" s="18" t="s">
        <v>34</v>
      </c>
      <c r="D168" s="11">
        <v>2027.58</v>
      </c>
      <c r="E168" s="9">
        <v>42279</v>
      </c>
      <c r="F168" s="15" t="s">
        <v>28</v>
      </c>
      <c r="G168" s="12">
        <v>42284</v>
      </c>
      <c r="H168" s="17">
        <f t="shared" si="10"/>
        <v>2027.58</v>
      </c>
    </row>
    <row r="169" spans="1:9" s="7" customFormat="1" ht="20.100000000000001" customHeight="1" x14ac:dyDescent="0.25">
      <c r="A169" s="33">
        <v>276</v>
      </c>
      <c r="B169" s="9">
        <v>42278</v>
      </c>
      <c r="C169" s="20" t="s">
        <v>94</v>
      </c>
      <c r="D169" s="11">
        <v>1901.95</v>
      </c>
      <c r="E169" s="9">
        <v>42283</v>
      </c>
      <c r="F169" s="15" t="s">
        <v>28</v>
      </c>
      <c r="G169" s="12">
        <v>42278</v>
      </c>
      <c r="H169" s="17">
        <f t="shared" si="10"/>
        <v>1901.95</v>
      </c>
      <c r="I169" s="17">
        <f>H169</f>
        <v>1901.95</v>
      </c>
    </row>
    <row r="170" spans="1:9" s="7" customFormat="1" ht="20.100000000000001" customHeight="1" x14ac:dyDescent="0.25">
      <c r="A170" s="33">
        <v>283</v>
      </c>
      <c r="B170" s="9">
        <v>42282</v>
      </c>
      <c r="C170" s="18" t="s">
        <v>95</v>
      </c>
      <c r="D170" s="11">
        <v>5200</v>
      </c>
      <c r="E170" s="9">
        <v>42293</v>
      </c>
      <c r="F170" s="15" t="s">
        <v>28</v>
      </c>
      <c r="G170" s="12">
        <v>42296</v>
      </c>
      <c r="H170" s="17">
        <f t="shared" si="10"/>
        <v>5200</v>
      </c>
    </row>
    <row r="171" spans="1:9" s="7" customFormat="1" ht="20.100000000000001" customHeight="1" x14ac:dyDescent="0.25">
      <c r="A171" s="33">
        <v>285</v>
      </c>
      <c r="B171" s="9">
        <v>42284</v>
      </c>
      <c r="C171" s="18" t="s">
        <v>55</v>
      </c>
      <c r="D171" s="11">
        <v>7280</v>
      </c>
      <c r="E171" s="9">
        <v>42285</v>
      </c>
      <c r="F171" s="15" t="s">
        <v>28</v>
      </c>
      <c r="G171" s="12">
        <v>42318</v>
      </c>
      <c r="H171" s="17">
        <f t="shared" si="10"/>
        <v>7280</v>
      </c>
    </row>
    <row r="172" spans="1:9" s="7" customFormat="1" ht="20.100000000000001" customHeight="1" x14ac:dyDescent="0.25">
      <c r="A172" s="33">
        <v>286</v>
      </c>
      <c r="B172" s="9">
        <v>42284</v>
      </c>
      <c r="C172" s="18" t="s">
        <v>55</v>
      </c>
      <c r="D172" s="11">
        <v>7040</v>
      </c>
      <c r="E172" s="9">
        <v>42285</v>
      </c>
      <c r="F172" s="15" t="s">
        <v>28</v>
      </c>
      <c r="G172" s="12">
        <v>42318</v>
      </c>
      <c r="H172" s="17">
        <f t="shared" si="10"/>
        <v>7040</v>
      </c>
    </row>
    <row r="173" spans="1:9" s="7" customFormat="1" ht="20.100000000000001" customHeight="1" x14ac:dyDescent="0.25">
      <c r="A173" s="33">
        <v>292</v>
      </c>
      <c r="B173" s="9">
        <v>42285</v>
      </c>
      <c r="C173" s="18" t="s">
        <v>75</v>
      </c>
      <c r="D173" s="11">
        <v>9664</v>
      </c>
      <c r="E173" s="9">
        <v>42292</v>
      </c>
      <c r="F173" s="15" t="s">
        <v>28</v>
      </c>
      <c r="G173" s="12">
        <v>42314</v>
      </c>
      <c r="H173" s="17">
        <f t="shared" si="10"/>
        <v>9664</v>
      </c>
    </row>
    <row r="174" spans="1:9" s="7" customFormat="1" ht="20.100000000000001" customHeight="1" x14ac:dyDescent="0.25">
      <c r="A174" s="33">
        <v>280</v>
      </c>
      <c r="B174" s="9">
        <v>42279</v>
      </c>
      <c r="C174" s="18" t="s">
        <v>96</v>
      </c>
      <c r="D174" s="11">
        <v>13390</v>
      </c>
      <c r="E174" s="9">
        <v>42282</v>
      </c>
      <c r="F174" s="15" t="s">
        <v>28</v>
      </c>
      <c r="G174" s="12">
        <v>42285</v>
      </c>
      <c r="H174" s="17">
        <f t="shared" si="10"/>
        <v>13390</v>
      </c>
      <c r="I174" s="17"/>
    </row>
    <row r="175" spans="1:9" s="7" customFormat="1" ht="20.100000000000001" customHeight="1" x14ac:dyDescent="0.25">
      <c r="A175" s="33">
        <v>300</v>
      </c>
      <c r="B175" s="9">
        <v>42290</v>
      </c>
      <c r="C175" s="18" t="s">
        <v>60</v>
      </c>
      <c r="D175" s="11">
        <v>22044</v>
      </c>
      <c r="E175" s="9">
        <v>42291</v>
      </c>
      <c r="F175" s="15" t="s">
        <v>28</v>
      </c>
      <c r="G175" s="12">
        <v>42291</v>
      </c>
      <c r="H175" s="17">
        <f t="shared" si="10"/>
        <v>22044</v>
      </c>
      <c r="I175" s="17"/>
    </row>
    <row r="176" spans="1:9" s="7" customFormat="1" ht="20.100000000000001" customHeight="1" x14ac:dyDescent="0.25">
      <c r="A176" s="33">
        <v>289</v>
      </c>
      <c r="B176" s="9">
        <v>42284</v>
      </c>
      <c r="C176" s="18" t="s">
        <v>46</v>
      </c>
      <c r="D176" s="11">
        <v>3000</v>
      </c>
      <c r="E176" s="9">
        <v>42290</v>
      </c>
      <c r="F176" s="15" t="s">
        <v>28</v>
      </c>
      <c r="G176" s="12">
        <v>42292</v>
      </c>
      <c r="H176" s="17">
        <f t="shared" si="10"/>
        <v>3000</v>
      </c>
      <c r="I176" s="17"/>
    </row>
    <row r="177" spans="1:10" s="2" customFormat="1" ht="20.100000000000001" customHeight="1" x14ac:dyDescent="0.25">
      <c r="A177" s="33">
        <v>287</v>
      </c>
      <c r="B177" s="9">
        <v>42284</v>
      </c>
      <c r="C177" s="18" t="s">
        <v>13</v>
      </c>
      <c r="D177" s="11">
        <v>12272.85</v>
      </c>
      <c r="E177" s="9">
        <v>42293</v>
      </c>
      <c r="F177" s="15" t="s">
        <v>28</v>
      </c>
      <c r="G177" s="12">
        <v>42298</v>
      </c>
      <c r="H177" s="17">
        <f t="shared" si="10"/>
        <v>12272.85</v>
      </c>
      <c r="I177" s="7"/>
      <c r="J177" s="40"/>
    </row>
    <row r="178" spans="1:10" s="7" customFormat="1" ht="20.100000000000001" customHeight="1" x14ac:dyDescent="0.25">
      <c r="A178" s="33">
        <v>306</v>
      </c>
      <c r="B178" s="9">
        <v>42297</v>
      </c>
      <c r="C178" s="20" t="s">
        <v>97</v>
      </c>
      <c r="D178" s="11">
        <v>9000</v>
      </c>
      <c r="E178" s="9">
        <v>42304</v>
      </c>
      <c r="F178" s="15" t="s">
        <v>28</v>
      </c>
      <c r="G178" s="12">
        <v>42307</v>
      </c>
      <c r="H178" s="17">
        <f t="shared" si="10"/>
        <v>9000</v>
      </c>
      <c r="I178" s="17">
        <f>H178</f>
        <v>9000</v>
      </c>
    </row>
    <row r="179" spans="1:10" s="7" customFormat="1" ht="20.100000000000001" customHeight="1" x14ac:dyDescent="0.25">
      <c r="A179" s="33">
        <v>318</v>
      </c>
      <c r="B179" s="9">
        <v>42303</v>
      </c>
      <c r="C179" s="18" t="s">
        <v>65</v>
      </c>
      <c r="D179" s="11">
        <v>15203.55</v>
      </c>
      <c r="E179" s="9">
        <v>42306</v>
      </c>
      <c r="F179" s="15" t="s">
        <v>28</v>
      </c>
      <c r="G179" s="12">
        <v>42306</v>
      </c>
      <c r="H179" s="17">
        <f t="shared" si="10"/>
        <v>15203.55</v>
      </c>
    </row>
    <row r="180" spans="1:10" s="7" customFormat="1" ht="20.100000000000001" customHeight="1" x14ac:dyDescent="0.25">
      <c r="A180" s="33">
        <v>319</v>
      </c>
      <c r="B180" s="9">
        <v>42304</v>
      </c>
      <c r="C180" s="18" t="s">
        <v>15</v>
      </c>
      <c r="D180" s="11">
        <v>5612.43</v>
      </c>
      <c r="E180" s="9">
        <v>42305</v>
      </c>
      <c r="F180" s="15" t="s">
        <v>28</v>
      </c>
      <c r="G180" s="12">
        <v>42363</v>
      </c>
      <c r="H180" s="17">
        <f t="shared" si="10"/>
        <v>5612.43</v>
      </c>
    </row>
    <row r="181" spans="1:10" s="7" customFormat="1" ht="20.100000000000001" customHeight="1" x14ac:dyDescent="0.25">
      <c r="A181" s="33">
        <v>316</v>
      </c>
      <c r="B181" s="9">
        <v>42303</v>
      </c>
      <c r="C181" s="20" t="s">
        <v>98</v>
      </c>
      <c r="D181" s="11">
        <v>5965.97</v>
      </c>
      <c r="E181" s="9">
        <v>42306</v>
      </c>
      <c r="F181" s="15" t="s">
        <v>28</v>
      </c>
      <c r="G181" s="12">
        <v>42307</v>
      </c>
      <c r="H181" s="17">
        <f t="shared" si="10"/>
        <v>5965.97</v>
      </c>
      <c r="I181" s="17">
        <f>H181</f>
        <v>5965.97</v>
      </c>
    </row>
    <row r="182" spans="1:10" s="7" customFormat="1" ht="20.100000000000001" customHeight="1" x14ac:dyDescent="0.25">
      <c r="A182" s="33">
        <v>307</v>
      </c>
      <c r="B182" s="9">
        <v>42297</v>
      </c>
      <c r="C182" s="18" t="s">
        <v>60</v>
      </c>
      <c r="D182" s="11">
        <v>22044</v>
      </c>
      <c r="E182" s="9">
        <v>42304</v>
      </c>
      <c r="F182" s="15" t="s">
        <v>28</v>
      </c>
      <c r="G182" s="12">
        <v>42304</v>
      </c>
      <c r="H182" s="17">
        <v>17114.07</v>
      </c>
    </row>
    <row r="183" spans="1:10" s="7" customFormat="1" ht="20.100000000000001" customHeight="1" x14ac:dyDescent="0.25">
      <c r="A183" s="35" t="s">
        <v>535</v>
      </c>
      <c r="B183" s="36"/>
      <c r="C183" s="42"/>
      <c r="D183" s="37"/>
      <c r="E183" s="81">
        <f>Октябрь2015[[#Totals],[Отгрузка]]</f>
        <v>41600.922900000005</v>
      </c>
      <c r="F183" s="43"/>
      <c r="G183" s="16">
        <f>H183*0.05+I183*0.02</f>
        <v>41600.922900000005</v>
      </c>
      <c r="H183" s="45">
        <f>SUBTOTAL(109,Октябрь2015[Продажа])</f>
        <v>818045.69</v>
      </c>
      <c r="I183" s="2">
        <f>SUBTOTAL(109,Октябрь2015[Продажа НК])</f>
        <v>34931.919999999998</v>
      </c>
    </row>
    <row r="184" spans="1:10" s="7" customFormat="1" ht="20.100000000000001" customHeight="1" x14ac:dyDescent="0.25">
      <c r="A184" s="41" t="s">
        <v>1</v>
      </c>
      <c r="B184" s="1" t="s">
        <v>0</v>
      </c>
      <c r="C184" s="1" t="s">
        <v>26</v>
      </c>
      <c r="D184" s="1" t="s">
        <v>2</v>
      </c>
      <c r="E184" s="1" t="s">
        <v>3</v>
      </c>
      <c r="F184" s="1" t="s">
        <v>27</v>
      </c>
      <c r="G184" s="1" t="s">
        <v>4</v>
      </c>
      <c r="H184" s="2" t="s">
        <v>132</v>
      </c>
      <c r="I184" s="2" t="s">
        <v>133</v>
      </c>
    </row>
    <row r="185" spans="1:10" s="7" customFormat="1" ht="20.100000000000001" customHeight="1" x14ac:dyDescent="0.25">
      <c r="A185" s="33">
        <v>293</v>
      </c>
      <c r="B185" s="9">
        <v>42285</v>
      </c>
      <c r="C185" s="18" t="s">
        <v>56</v>
      </c>
      <c r="D185" s="11">
        <v>14700</v>
      </c>
      <c r="E185" s="9">
        <v>42319</v>
      </c>
      <c r="F185" s="15" t="s">
        <v>28</v>
      </c>
      <c r="G185" s="12">
        <v>42305</v>
      </c>
      <c r="H185" s="17">
        <f>D185</f>
        <v>14700</v>
      </c>
    </row>
    <row r="186" spans="1:10" s="7" customFormat="1" ht="20.100000000000001" customHeight="1" x14ac:dyDescent="0.25">
      <c r="A186" s="33">
        <v>307</v>
      </c>
      <c r="B186" s="9">
        <v>42297</v>
      </c>
      <c r="C186" s="26" t="s">
        <v>60</v>
      </c>
      <c r="D186" s="11">
        <v>22044</v>
      </c>
      <c r="E186" s="9">
        <v>42310</v>
      </c>
      <c r="F186" s="15" t="s">
        <v>28</v>
      </c>
      <c r="G186" s="12">
        <v>42304</v>
      </c>
      <c r="H186" s="17">
        <f>D182-H182</f>
        <v>4929.93</v>
      </c>
    </row>
    <row r="187" spans="1:10" s="7" customFormat="1" ht="20.100000000000001" customHeight="1" x14ac:dyDescent="0.25">
      <c r="A187" s="33">
        <v>325</v>
      </c>
      <c r="B187" s="9">
        <v>42311</v>
      </c>
      <c r="C187" s="18" t="s">
        <v>100</v>
      </c>
      <c r="D187" s="11">
        <v>6255</v>
      </c>
      <c r="E187" s="9">
        <v>42311</v>
      </c>
      <c r="F187" s="15" t="s">
        <v>28</v>
      </c>
      <c r="G187" s="12">
        <v>42311</v>
      </c>
      <c r="H187" s="17">
        <f t="shared" ref="H187:H194" si="11">D187</f>
        <v>6255</v>
      </c>
    </row>
    <row r="188" spans="1:10" s="2" customFormat="1" ht="20.100000000000001" customHeight="1" x14ac:dyDescent="0.25">
      <c r="A188" s="33">
        <v>327</v>
      </c>
      <c r="B188" s="9">
        <v>42314</v>
      </c>
      <c r="C188" s="20" t="s">
        <v>101</v>
      </c>
      <c r="D188" s="11">
        <v>6478.79</v>
      </c>
      <c r="E188" s="9">
        <v>42317</v>
      </c>
      <c r="F188" s="15" t="s">
        <v>28</v>
      </c>
      <c r="G188" s="12">
        <v>42318</v>
      </c>
      <c r="H188" s="17">
        <f t="shared" si="11"/>
        <v>6478.79</v>
      </c>
      <c r="I188" s="17">
        <f>H188</f>
        <v>6478.79</v>
      </c>
      <c r="J188" s="40"/>
    </row>
    <row r="189" spans="1:10" s="7" customFormat="1" ht="20.100000000000001" customHeight="1" x14ac:dyDescent="0.25">
      <c r="A189" s="33">
        <v>328</v>
      </c>
      <c r="B189" s="9">
        <v>42319</v>
      </c>
      <c r="C189" s="18" t="s">
        <v>60</v>
      </c>
      <c r="D189" s="11">
        <v>22044</v>
      </c>
      <c r="E189" s="9">
        <v>42326</v>
      </c>
      <c r="F189" s="15" t="s">
        <v>28</v>
      </c>
      <c r="G189" s="12">
        <v>42320</v>
      </c>
      <c r="H189" s="17">
        <f t="shared" si="11"/>
        <v>22044</v>
      </c>
    </row>
    <row r="190" spans="1:10" s="7" customFormat="1" ht="20.100000000000001" customHeight="1" x14ac:dyDescent="0.25">
      <c r="A190" s="33">
        <v>323</v>
      </c>
      <c r="B190" s="9">
        <v>42310</v>
      </c>
      <c r="C190" s="18" t="s">
        <v>97</v>
      </c>
      <c r="D190" s="11">
        <v>1840.3</v>
      </c>
      <c r="E190" s="9">
        <v>42318</v>
      </c>
      <c r="F190" s="15" t="s">
        <v>28</v>
      </c>
      <c r="G190" s="12">
        <v>42325</v>
      </c>
      <c r="H190" s="17">
        <f t="shared" si="11"/>
        <v>1840.3</v>
      </c>
      <c r="I190" s="17"/>
    </row>
    <row r="191" spans="1:10" s="7" customFormat="1" ht="20.100000000000001" customHeight="1" x14ac:dyDescent="0.25">
      <c r="A191" s="33">
        <v>331</v>
      </c>
      <c r="B191" s="9">
        <v>42324</v>
      </c>
      <c r="C191" s="20" t="s">
        <v>102</v>
      </c>
      <c r="D191" s="11">
        <v>9400.1</v>
      </c>
      <c r="E191" s="9">
        <v>42324</v>
      </c>
      <c r="F191" s="15" t="s">
        <v>28</v>
      </c>
      <c r="G191" s="12">
        <v>42324</v>
      </c>
      <c r="H191" s="17">
        <f t="shared" si="11"/>
        <v>9400.1</v>
      </c>
      <c r="I191" s="17">
        <f>H191</f>
        <v>9400.1</v>
      </c>
    </row>
    <row r="192" spans="1:10" s="7" customFormat="1" ht="20.100000000000001" customHeight="1" x14ac:dyDescent="0.25">
      <c r="A192" s="33">
        <v>250</v>
      </c>
      <c r="B192" s="9">
        <v>42257</v>
      </c>
      <c r="C192" s="20" t="s">
        <v>103</v>
      </c>
      <c r="D192" s="11">
        <v>63671.43</v>
      </c>
      <c r="E192" s="9">
        <v>42325</v>
      </c>
      <c r="F192" s="15" t="s">
        <v>28</v>
      </c>
      <c r="G192" s="12">
        <v>42326</v>
      </c>
      <c r="H192" s="17">
        <f t="shared" si="11"/>
        <v>63671.43</v>
      </c>
      <c r="I192" s="17">
        <f>H192</f>
        <v>63671.43</v>
      </c>
    </row>
    <row r="193" spans="1:11" s="7" customFormat="1" ht="20.100000000000001" customHeight="1" x14ac:dyDescent="0.25">
      <c r="A193" s="33">
        <v>336</v>
      </c>
      <c r="B193" s="9">
        <v>42328</v>
      </c>
      <c r="C193" s="20" t="s">
        <v>104</v>
      </c>
      <c r="D193" s="11">
        <v>2228.2399999999998</v>
      </c>
      <c r="E193" s="9">
        <v>42328</v>
      </c>
      <c r="F193" s="15" t="s">
        <v>28</v>
      </c>
      <c r="G193" s="12">
        <v>42340</v>
      </c>
      <c r="H193" s="17">
        <f t="shared" si="11"/>
        <v>2228.2399999999998</v>
      </c>
      <c r="I193" s="17">
        <f>H193</f>
        <v>2228.2399999999998</v>
      </c>
    </row>
    <row r="194" spans="1:11" s="7" customFormat="1" ht="20.100000000000001" customHeight="1" x14ac:dyDescent="0.25">
      <c r="A194" s="33">
        <v>337</v>
      </c>
      <c r="B194" s="9">
        <v>42328</v>
      </c>
      <c r="C194" s="20" t="s">
        <v>105</v>
      </c>
      <c r="D194" s="11">
        <v>883.26</v>
      </c>
      <c r="E194" s="9">
        <v>42335</v>
      </c>
      <c r="F194" s="15" t="s">
        <v>28</v>
      </c>
      <c r="G194" s="12">
        <v>42339</v>
      </c>
      <c r="H194" s="17">
        <f t="shared" si="11"/>
        <v>883.26</v>
      </c>
      <c r="I194" s="17">
        <f>H194</f>
        <v>883.26</v>
      </c>
    </row>
    <row r="195" spans="1:11" s="7" customFormat="1" ht="20.100000000000001" customHeight="1" x14ac:dyDescent="0.25">
      <c r="A195" s="35" t="s">
        <v>535</v>
      </c>
      <c r="B195" s="36"/>
      <c r="C195" s="48"/>
      <c r="D195" s="37"/>
      <c r="E195" s="81">
        <f>Ноябрь2015[[#Totals],[Отгрузка]]</f>
        <v>4301.8574000000008</v>
      </c>
      <c r="F195" s="43"/>
      <c r="G195" s="16">
        <f>H195*0.02+I195*0.02</f>
        <v>4301.8574000000008</v>
      </c>
      <c r="H195" s="45">
        <f>SUBTOTAL(109,Ноябрь2015[Продажа])</f>
        <v>132431.05000000002</v>
      </c>
      <c r="I195" s="45">
        <f>SUBTOTAL(109,Ноябрь2015[Продажа НК])</f>
        <v>82661.820000000007</v>
      </c>
    </row>
    <row r="196" spans="1:11" s="7" customFormat="1" ht="20.100000000000001" customHeight="1" x14ac:dyDescent="0.25">
      <c r="A196" s="41" t="s">
        <v>1</v>
      </c>
      <c r="B196" s="1" t="s">
        <v>0</v>
      </c>
      <c r="C196" s="1" t="s">
        <v>26</v>
      </c>
      <c r="D196" s="1" t="s">
        <v>2</v>
      </c>
      <c r="E196" s="1" t="s">
        <v>3</v>
      </c>
      <c r="F196" s="1" t="s">
        <v>27</v>
      </c>
      <c r="G196" s="1" t="s">
        <v>4</v>
      </c>
      <c r="H196" s="2" t="s">
        <v>132</v>
      </c>
      <c r="I196" s="2" t="s">
        <v>133</v>
      </c>
    </row>
    <row r="197" spans="1:11" s="7" customFormat="1" ht="20.100000000000001" customHeight="1" x14ac:dyDescent="0.25">
      <c r="A197" s="33">
        <v>3099</v>
      </c>
      <c r="B197" s="9">
        <v>42305</v>
      </c>
      <c r="C197" s="18" t="s">
        <v>38</v>
      </c>
      <c r="D197" s="11">
        <v>92935.96</v>
      </c>
      <c r="E197" s="9">
        <v>42354</v>
      </c>
      <c r="F197" s="9">
        <v>42305</v>
      </c>
      <c r="G197" s="12">
        <v>42339</v>
      </c>
      <c r="H197" s="17">
        <f t="shared" ref="H197:H221" si="12">D197</f>
        <v>92935.96</v>
      </c>
    </row>
    <row r="198" spans="1:11" s="7" customFormat="1" ht="20.100000000000001" customHeight="1" x14ac:dyDescent="0.25">
      <c r="A198" s="33">
        <v>3100</v>
      </c>
      <c r="B198" s="9">
        <v>42305</v>
      </c>
      <c r="C198" s="18" t="s">
        <v>38</v>
      </c>
      <c r="D198" s="11">
        <v>62170.77</v>
      </c>
      <c r="E198" s="9">
        <v>42354</v>
      </c>
      <c r="F198" s="9">
        <v>42305</v>
      </c>
      <c r="G198" s="12">
        <v>42339</v>
      </c>
      <c r="H198" s="17">
        <f t="shared" si="12"/>
        <v>62170.77</v>
      </c>
    </row>
    <row r="199" spans="1:11" s="7" customFormat="1" ht="20.100000000000001" customHeight="1" x14ac:dyDescent="0.25">
      <c r="A199" s="33">
        <v>3101</v>
      </c>
      <c r="B199" s="9">
        <v>42305</v>
      </c>
      <c r="C199" s="18" t="s">
        <v>38</v>
      </c>
      <c r="D199" s="11">
        <v>213579.7</v>
      </c>
      <c r="E199" s="9">
        <v>42354</v>
      </c>
      <c r="F199" s="9">
        <v>42305</v>
      </c>
      <c r="G199" s="12">
        <v>42339</v>
      </c>
      <c r="H199" s="17">
        <f t="shared" si="12"/>
        <v>213579.7</v>
      </c>
    </row>
    <row r="200" spans="1:11" s="7" customFormat="1" ht="20.100000000000001" customHeight="1" x14ac:dyDescent="0.25">
      <c r="A200" s="33">
        <v>3102</v>
      </c>
      <c r="B200" s="9">
        <v>42305</v>
      </c>
      <c r="C200" s="18" t="s">
        <v>38</v>
      </c>
      <c r="D200" s="11">
        <v>428240.67</v>
      </c>
      <c r="E200" s="9">
        <v>42354</v>
      </c>
      <c r="F200" s="9">
        <v>42305</v>
      </c>
      <c r="G200" s="12">
        <v>42339</v>
      </c>
      <c r="H200" s="17">
        <f t="shared" si="12"/>
        <v>428240.67</v>
      </c>
    </row>
    <row r="201" spans="1:11" s="7" customFormat="1" ht="20.100000000000001" customHeight="1" x14ac:dyDescent="0.25">
      <c r="A201" s="33">
        <v>314</v>
      </c>
      <c r="B201" s="9">
        <v>42298</v>
      </c>
      <c r="C201" s="18" t="s">
        <v>99</v>
      </c>
      <c r="D201" s="11">
        <v>104577.54</v>
      </c>
      <c r="E201" s="9">
        <v>42368</v>
      </c>
      <c r="F201" s="15">
        <v>42303</v>
      </c>
      <c r="G201" s="12">
        <v>42355</v>
      </c>
      <c r="H201" s="17">
        <f t="shared" si="12"/>
        <v>104577.54</v>
      </c>
    </row>
    <row r="202" spans="1:11" s="7" customFormat="1" ht="20.100000000000001" customHeight="1" x14ac:dyDescent="0.25">
      <c r="A202" s="33">
        <v>343</v>
      </c>
      <c r="B202" s="9">
        <v>42334</v>
      </c>
      <c r="C202" s="18" t="s">
        <v>56</v>
      </c>
      <c r="D202" s="11">
        <v>7350</v>
      </c>
      <c r="E202" s="9">
        <v>42352</v>
      </c>
      <c r="F202" s="15" t="s">
        <v>28</v>
      </c>
      <c r="G202" s="12">
        <v>42334</v>
      </c>
      <c r="H202" s="17">
        <f t="shared" si="12"/>
        <v>7350</v>
      </c>
    </row>
    <row r="203" spans="1:11" s="7" customFormat="1" ht="20.100000000000001" customHeight="1" x14ac:dyDescent="0.25">
      <c r="A203" s="33">
        <v>351</v>
      </c>
      <c r="B203" s="9">
        <v>42345</v>
      </c>
      <c r="C203" s="20" t="s">
        <v>106</v>
      </c>
      <c r="D203" s="11">
        <v>9969</v>
      </c>
      <c r="E203" s="9">
        <v>42345</v>
      </c>
      <c r="F203" s="15" t="s">
        <v>28</v>
      </c>
      <c r="G203" s="12">
        <v>42345</v>
      </c>
      <c r="H203" s="17">
        <f t="shared" si="12"/>
        <v>9969</v>
      </c>
      <c r="I203" s="17">
        <f>H203</f>
        <v>9969</v>
      </c>
    </row>
    <row r="204" spans="1:11" s="7" customFormat="1" ht="20.100000000000001" customHeight="1" x14ac:dyDescent="0.25">
      <c r="A204" s="33">
        <v>332</v>
      </c>
      <c r="B204" s="9">
        <v>42326</v>
      </c>
      <c r="C204" s="18" t="s">
        <v>34</v>
      </c>
      <c r="D204" s="11">
        <v>1269.52</v>
      </c>
      <c r="E204" s="9">
        <v>42345</v>
      </c>
      <c r="F204" s="15" t="s">
        <v>28</v>
      </c>
      <c r="G204" s="12">
        <v>42361</v>
      </c>
      <c r="H204" s="17">
        <f t="shared" si="12"/>
        <v>1269.52</v>
      </c>
      <c r="K204" s="17"/>
    </row>
    <row r="205" spans="1:11" s="7" customFormat="1" ht="20.100000000000001" customHeight="1" x14ac:dyDescent="0.25">
      <c r="A205" s="33">
        <v>352</v>
      </c>
      <c r="B205" s="9">
        <v>42345</v>
      </c>
      <c r="C205" s="20" t="s">
        <v>107</v>
      </c>
      <c r="D205" s="11">
        <v>51645.96</v>
      </c>
      <c r="E205" s="9">
        <v>42346</v>
      </c>
      <c r="F205" s="15" t="s">
        <v>28</v>
      </c>
      <c r="G205" s="12">
        <v>42347</v>
      </c>
      <c r="H205" s="17">
        <f t="shared" si="12"/>
        <v>51645.96</v>
      </c>
      <c r="I205" s="17">
        <f t="shared" ref="I205:I210" si="13">H205</f>
        <v>51645.96</v>
      </c>
      <c r="K205" s="17"/>
    </row>
    <row r="206" spans="1:11" s="7" customFormat="1" ht="20.100000000000001" customHeight="1" x14ac:dyDescent="0.25">
      <c r="A206" s="33">
        <v>303</v>
      </c>
      <c r="B206" s="9">
        <v>42296</v>
      </c>
      <c r="C206" s="20" t="s">
        <v>108</v>
      </c>
      <c r="D206" s="11">
        <v>105645.06</v>
      </c>
      <c r="E206" s="9">
        <v>42353</v>
      </c>
      <c r="F206" s="15" t="s">
        <v>28</v>
      </c>
      <c r="G206" s="12">
        <v>42363</v>
      </c>
      <c r="H206" s="17">
        <f t="shared" si="12"/>
        <v>105645.06</v>
      </c>
      <c r="I206" s="17">
        <f t="shared" si="13"/>
        <v>105645.06</v>
      </c>
    </row>
    <row r="207" spans="1:11" s="7" customFormat="1" ht="20.100000000000001" customHeight="1" x14ac:dyDescent="0.25">
      <c r="A207" s="33">
        <v>302</v>
      </c>
      <c r="B207" s="9">
        <v>42345</v>
      </c>
      <c r="C207" s="20" t="s">
        <v>109</v>
      </c>
      <c r="D207" s="11">
        <v>39965.39</v>
      </c>
      <c r="E207" s="9">
        <v>42362</v>
      </c>
      <c r="F207" s="15" t="s">
        <v>28</v>
      </c>
      <c r="G207" s="12">
        <v>42347</v>
      </c>
      <c r="H207" s="17">
        <f t="shared" si="12"/>
        <v>39965.39</v>
      </c>
      <c r="I207" s="17">
        <f t="shared" si="13"/>
        <v>39965.39</v>
      </c>
    </row>
    <row r="208" spans="1:11" s="7" customFormat="1" ht="20.100000000000001" customHeight="1" x14ac:dyDescent="0.25">
      <c r="A208" s="33">
        <v>360</v>
      </c>
      <c r="B208" s="9">
        <v>42345</v>
      </c>
      <c r="C208" s="20" t="s">
        <v>109</v>
      </c>
      <c r="D208" s="11">
        <v>3947.96</v>
      </c>
      <c r="E208" s="9">
        <v>42362</v>
      </c>
      <c r="F208" s="15" t="s">
        <v>28</v>
      </c>
      <c r="G208" s="12">
        <v>42352</v>
      </c>
      <c r="H208" s="17">
        <f t="shared" si="12"/>
        <v>3947.96</v>
      </c>
      <c r="I208" s="17">
        <f t="shared" si="13"/>
        <v>3947.96</v>
      </c>
    </row>
    <row r="209" spans="1:10" s="7" customFormat="1" ht="20.100000000000001" customHeight="1" x14ac:dyDescent="0.25">
      <c r="A209" s="33">
        <v>357</v>
      </c>
      <c r="B209" s="9">
        <v>42348</v>
      </c>
      <c r="C209" s="20" t="s">
        <v>110</v>
      </c>
      <c r="D209" s="11">
        <v>6769.16</v>
      </c>
      <c r="E209" s="9">
        <v>42352</v>
      </c>
      <c r="F209" s="15" t="s">
        <v>28</v>
      </c>
      <c r="G209" s="12">
        <v>42383</v>
      </c>
      <c r="H209" s="17">
        <f t="shared" si="12"/>
        <v>6769.16</v>
      </c>
      <c r="I209" s="17">
        <f t="shared" si="13"/>
        <v>6769.16</v>
      </c>
    </row>
    <row r="210" spans="1:10" s="7" customFormat="1" ht="20.100000000000001" customHeight="1" x14ac:dyDescent="0.25">
      <c r="A210" s="33">
        <v>363</v>
      </c>
      <c r="B210" s="9">
        <v>42352</v>
      </c>
      <c r="C210" s="20" t="s">
        <v>111</v>
      </c>
      <c r="D210" s="11">
        <v>35674.480000000003</v>
      </c>
      <c r="E210" s="9">
        <v>42352</v>
      </c>
      <c r="F210" s="15" t="s">
        <v>28</v>
      </c>
      <c r="G210" s="12">
        <v>42352</v>
      </c>
      <c r="H210" s="17">
        <f t="shared" si="12"/>
        <v>35674.480000000003</v>
      </c>
      <c r="I210" s="17">
        <f t="shared" si="13"/>
        <v>35674.480000000003</v>
      </c>
    </row>
    <row r="211" spans="1:10" s="7" customFormat="1" ht="20.100000000000001" customHeight="1" x14ac:dyDescent="0.25">
      <c r="A211" s="33">
        <v>364</v>
      </c>
      <c r="B211" s="9">
        <v>42324</v>
      </c>
      <c r="C211" s="18" t="s">
        <v>102</v>
      </c>
      <c r="D211" s="11">
        <v>4710.12</v>
      </c>
      <c r="E211" s="9">
        <v>42352</v>
      </c>
      <c r="F211" s="15" t="s">
        <v>28</v>
      </c>
      <c r="G211" s="12">
        <v>42352</v>
      </c>
      <c r="H211" s="17">
        <f t="shared" si="12"/>
        <v>4710.12</v>
      </c>
    </row>
    <row r="212" spans="1:10" s="7" customFormat="1" ht="20.100000000000001" customHeight="1" x14ac:dyDescent="0.25">
      <c r="A212" s="33">
        <v>366</v>
      </c>
      <c r="B212" s="9">
        <v>42353</v>
      </c>
      <c r="C212" s="18" t="s">
        <v>101</v>
      </c>
      <c r="D212" s="11">
        <v>2568.2800000000002</v>
      </c>
      <c r="E212" s="9">
        <v>42354</v>
      </c>
      <c r="F212" s="15" t="s">
        <v>28</v>
      </c>
      <c r="G212" s="12">
        <v>42389</v>
      </c>
      <c r="H212" s="17">
        <f t="shared" si="12"/>
        <v>2568.2800000000002</v>
      </c>
    </row>
    <row r="213" spans="1:10" s="7" customFormat="1" ht="20.100000000000001" customHeight="1" x14ac:dyDescent="0.25">
      <c r="A213" s="33">
        <v>369</v>
      </c>
      <c r="B213" s="9">
        <v>42354</v>
      </c>
      <c r="C213" s="20" t="s">
        <v>112</v>
      </c>
      <c r="D213" s="11">
        <v>27290</v>
      </c>
      <c r="E213" s="9">
        <v>42354</v>
      </c>
      <c r="F213" s="15" t="s">
        <v>28</v>
      </c>
      <c r="G213" s="12">
        <v>42356</v>
      </c>
      <c r="H213" s="17">
        <f t="shared" si="12"/>
        <v>27290</v>
      </c>
      <c r="I213" s="17">
        <f>H213</f>
        <v>27290</v>
      </c>
    </row>
    <row r="214" spans="1:10" s="2" customFormat="1" ht="20.100000000000001" customHeight="1" x14ac:dyDescent="0.25">
      <c r="A214" s="33">
        <v>361</v>
      </c>
      <c r="B214" s="9">
        <v>42352</v>
      </c>
      <c r="C214" s="18" t="s">
        <v>91</v>
      </c>
      <c r="D214" s="11">
        <v>47290</v>
      </c>
      <c r="E214" s="9">
        <v>42354</v>
      </c>
      <c r="F214" s="15" t="s">
        <v>28</v>
      </c>
      <c r="G214" s="12">
        <v>42368</v>
      </c>
      <c r="H214" s="17">
        <f t="shared" si="12"/>
        <v>47290</v>
      </c>
      <c r="I214" s="7"/>
      <c r="J214" s="40"/>
    </row>
    <row r="215" spans="1:10" s="7" customFormat="1" ht="20.100000000000001" customHeight="1" x14ac:dyDescent="0.25">
      <c r="A215" s="33">
        <v>373</v>
      </c>
      <c r="B215" s="9">
        <v>42359</v>
      </c>
      <c r="C215" s="18" t="s">
        <v>91</v>
      </c>
      <c r="D215" s="11">
        <v>12043</v>
      </c>
      <c r="E215" s="9">
        <v>42360</v>
      </c>
      <c r="F215" s="15" t="s">
        <v>28</v>
      </c>
      <c r="G215" s="12">
        <v>42361</v>
      </c>
      <c r="H215" s="17">
        <f t="shared" si="12"/>
        <v>12043</v>
      </c>
    </row>
    <row r="216" spans="1:10" s="7" customFormat="1" ht="20.100000000000001" customHeight="1" x14ac:dyDescent="0.25">
      <c r="A216" s="33">
        <v>372</v>
      </c>
      <c r="B216" s="9">
        <v>42356</v>
      </c>
      <c r="C216" s="20" t="s">
        <v>113</v>
      </c>
      <c r="D216" s="11">
        <v>9850</v>
      </c>
      <c r="E216" s="9">
        <v>42360</v>
      </c>
      <c r="F216" s="15" t="s">
        <v>28</v>
      </c>
      <c r="G216" s="12">
        <v>42363</v>
      </c>
      <c r="H216" s="17">
        <f t="shared" si="12"/>
        <v>9850</v>
      </c>
      <c r="I216" s="17">
        <f>H216</f>
        <v>9850</v>
      </c>
    </row>
    <row r="217" spans="1:10" s="7" customFormat="1" ht="20.100000000000001" customHeight="1" x14ac:dyDescent="0.25">
      <c r="A217" s="33">
        <v>368</v>
      </c>
      <c r="B217" s="9">
        <v>42353</v>
      </c>
      <c r="C217" s="20" t="s">
        <v>114</v>
      </c>
      <c r="D217" s="11">
        <v>1952.31</v>
      </c>
      <c r="E217" s="9">
        <v>42361</v>
      </c>
      <c r="F217" s="15" t="s">
        <v>28</v>
      </c>
      <c r="G217" s="12">
        <v>42359</v>
      </c>
      <c r="H217" s="17">
        <f t="shared" si="12"/>
        <v>1952.31</v>
      </c>
      <c r="I217" s="17">
        <f>H217</f>
        <v>1952.31</v>
      </c>
    </row>
    <row r="218" spans="1:10" s="7" customFormat="1" ht="20.100000000000001" customHeight="1" x14ac:dyDescent="0.25">
      <c r="A218" s="33">
        <v>333</v>
      </c>
      <c r="B218" s="9">
        <v>42346</v>
      </c>
      <c r="C218" s="18" t="s">
        <v>56</v>
      </c>
      <c r="D218" s="11">
        <v>97207.75</v>
      </c>
      <c r="E218" s="9">
        <v>42368</v>
      </c>
      <c r="F218" s="15" t="s">
        <v>28</v>
      </c>
      <c r="G218" s="12">
        <v>42366</v>
      </c>
      <c r="H218" s="17">
        <f t="shared" si="12"/>
        <v>97207.75</v>
      </c>
    </row>
    <row r="219" spans="1:10" s="7" customFormat="1" ht="20.100000000000001" customHeight="1" x14ac:dyDescent="0.25">
      <c r="A219" s="33">
        <v>388</v>
      </c>
      <c r="B219" s="9">
        <v>42366</v>
      </c>
      <c r="C219" s="18" t="s">
        <v>30</v>
      </c>
      <c r="D219" s="11">
        <v>2112</v>
      </c>
      <c r="E219" s="9">
        <v>42369</v>
      </c>
      <c r="F219" s="15" t="s">
        <v>28</v>
      </c>
      <c r="G219" s="12">
        <v>42384</v>
      </c>
      <c r="H219" s="17">
        <f t="shared" si="12"/>
        <v>2112</v>
      </c>
    </row>
    <row r="220" spans="1:10" s="7" customFormat="1" ht="20.100000000000001" customHeight="1" x14ac:dyDescent="0.25">
      <c r="A220" s="33">
        <v>377</v>
      </c>
      <c r="B220" s="9">
        <v>42359</v>
      </c>
      <c r="C220" s="20" t="s">
        <v>115</v>
      </c>
      <c r="D220" s="11">
        <v>3799</v>
      </c>
      <c r="E220" s="9">
        <v>42362</v>
      </c>
      <c r="F220" s="15" t="s">
        <v>28</v>
      </c>
      <c r="G220" s="12">
        <v>42362</v>
      </c>
      <c r="H220" s="17">
        <f t="shared" si="12"/>
        <v>3799</v>
      </c>
      <c r="I220" s="17">
        <f>H220</f>
        <v>3799</v>
      </c>
    </row>
    <row r="221" spans="1:10" s="7" customFormat="1" ht="20.100000000000001" customHeight="1" x14ac:dyDescent="0.25">
      <c r="A221" s="33">
        <v>378</v>
      </c>
      <c r="B221" s="9">
        <v>42359</v>
      </c>
      <c r="C221" s="20" t="s">
        <v>115</v>
      </c>
      <c r="D221" s="11">
        <v>16135</v>
      </c>
      <c r="E221" s="9">
        <v>42362</v>
      </c>
      <c r="F221" s="15" t="s">
        <v>28</v>
      </c>
      <c r="G221" s="12">
        <v>42362</v>
      </c>
      <c r="H221" s="17">
        <f t="shared" si="12"/>
        <v>16135</v>
      </c>
      <c r="I221" s="17">
        <f>H221</f>
        <v>16135</v>
      </c>
    </row>
    <row r="222" spans="1:10" s="7" customFormat="1" ht="20.100000000000001" customHeight="1" x14ac:dyDescent="0.25">
      <c r="A222" s="35" t="s">
        <v>535</v>
      </c>
      <c r="B222" s="36"/>
      <c r="C222" s="48"/>
      <c r="D222" s="37"/>
      <c r="E222" s="81">
        <f>Декабрь2015[[#Totals],[Отгрузка]]</f>
        <v>75687.797900000005</v>
      </c>
      <c r="F222" s="43"/>
      <c r="G222" s="16">
        <f>H222*0.05+I222*0.02</f>
        <v>75687.797900000005</v>
      </c>
      <c r="H222" s="45">
        <f>SUBTOTAL(109,Декабрь2015[Продажа])</f>
        <v>1388698.6300000001</v>
      </c>
      <c r="I222" s="45">
        <f>SUBTOTAL(109,Декабрь2015[Продажа НК])</f>
        <v>312643.32</v>
      </c>
    </row>
    <row r="223" spans="1:10" s="7" customFormat="1" ht="20.100000000000001" customHeight="1" x14ac:dyDescent="0.25">
      <c r="A223" s="41" t="s">
        <v>1</v>
      </c>
      <c r="B223" s="1" t="s">
        <v>0</v>
      </c>
      <c r="C223" s="1" t="s">
        <v>26</v>
      </c>
      <c r="D223" s="1" t="s">
        <v>2</v>
      </c>
      <c r="E223" s="1" t="s">
        <v>3</v>
      </c>
      <c r="F223" s="1" t="s">
        <v>27</v>
      </c>
      <c r="G223" s="1" t="s">
        <v>4</v>
      </c>
      <c r="H223" s="2" t="s">
        <v>132</v>
      </c>
      <c r="I223" s="2" t="s">
        <v>133</v>
      </c>
    </row>
    <row r="224" spans="1:10" s="7" customFormat="1" ht="20.100000000000001" customHeight="1" x14ac:dyDescent="0.25">
      <c r="A224" s="33">
        <v>389</v>
      </c>
      <c r="B224" s="9">
        <v>42368</v>
      </c>
      <c r="C224" s="18" t="s">
        <v>91</v>
      </c>
      <c r="D224" s="11">
        <v>2488</v>
      </c>
      <c r="E224" s="9">
        <v>42380</v>
      </c>
      <c r="F224" s="15" t="s">
        <v>28</v>
      </c>
      <c r="G224" s="12">
        <v>42381</v>
      </c>
      <c r="H224" s="17">
        <f t="shared" ref="H224:H237" si="14">D224</f>
        <v>2488</v>
      </c>
    </row>
    <row r="225" spans="1:10" s="7" customFormat="1" ht="20.100000000000001" customHeight="1" x14ac:dyDescent="0.25">
      <c r="A225" s="33">
        <v>5</v>
      </c>
      <c r="B225" s="9">
        <v>42383</v>
      </c>
      <c r="C225" s="18" t="s">
        <v>34</v>
      </c>
      <c r="D225" s="11">
        <v>1898.44</v>
      </c>
      <c r="E225" s="9">
        <v>42384</v>
      </c>
      <c r="F225" s="15" t="s">
        <v>28</v>
      </c>
      <c r="G225" s="12">
        <v>42390</v>
      </c>
      <c r="H225" s="17">
        <f t="shared" si="14"/>
        <v>1898.44</v>
      </c>
    </row>
    <row r="226" spans="1:10" s="7" customFormat="1" ht="20.100000000000001" customHeight="1" x14ac:dyDescent="0.25">
      <c r="A226" s="33">
        <v>6</v>
      </c>
      <c r="B226" s="9">
        <v>42384</v>
      </c>
      <c r="C226" s="18" t="s">
        <v>50</v>
      </c>
      <c r="D226" s="11">
        <v>5379.86</v>
      </c>
      <c r="E226" s="9">
        <v>42387</v>
      </c>
      <c r="F226" s="15" t="s">
        <v>28</v>
      </c>
      <c r="G226" s="12">
        <v>42388</v>
      </c>
      <c r="H226" s="17">
        <f t="shared" si="14"/>
        <v>5379.86</v>
      </c>
    </row>
    <row r="227" spans="1:10" s="7" customFormat="1" ht="20.100000000000001" customHeight="1" x14ac:dyDescent="0.25">
      <c r="A227" s="33">
        <v>7</v>
      </c>
      <c r="B227" s="9">
        <v>42384</v>
      </c>
      <c r="C227" s="18" t="s">
        <v>5</v>
      </c>
      <c r="D227" s="11">
        <v>3892.65</v>
      </c>
      <c r="E227" s="9">
        <v>42387</v>
      </c>
      <c r="F227" s="15" t="s">
        <v>28</v>
      </c>
      <c r="G227" s="12">
        <v>42395</v>
      </c>
      <c r="H227" s="17">
        <f t="shared" si="14"/>
        <v>3892.65</v>
      </c>
    </row>
    <row r="228" spans="1:10" s="7" customFormat="1" ht="20.100000000000001" customHeight="1" x14ac:dyDescent="0.25">
      <c r="A228" s="33">
        <v>11</v>
      </c>
      <c r="B228" s="9">
        <v>42388</v>
      </c>
      <c r="C228" s="20" t="s">
        <v>116</v>
      </c>
      <c r="D228" s="11">
        <v>4590</v>
      </c>
      <c r="E228" s="9">
        <v>42388</v>
      </c>
      <c r="F228" s="15" t="s">
        <v>28</v>
      </c>
      <c r="G228" s="12">
        <v>42389</v>
      </c>
      <c r="H228" s="17">
        <f t="shared" si="14"/>
        <v>4590</v>
      </c>
      <c r="I228" s="17">
        <f>H228</f>
        <v>4590</v>
      </c>
    </row>
    <row r="229" spans="1:10" s="2" customFormat="1" ht="20.100000000000001" customHeight="1" x14ac:dyDescent="0.25">
      <c r="A229" s="33">
        <v>9</v>
      </c>
      <c r="B229" s="9">
        <v>42387</v>
      </c>
      <c r="C229" s="20" t="s">
        <v>117</v>
      </c>
      <c r="D229" s="11">
        <v>5541.45</v>
      </c>
      <c r="E229" s="9">
        <v>42389</v>
      </c>
      <c r="F229" s="15" t="s">
        <v>28</v>
      </c>
      <c r="G229" s="12">
        <v>42391</v>
      </c>
      <c r="H229" s="17">
        <f t="shared" si="14"/>
        <v>5541.45</v>
      </c>
      <c r="I229" s="17">
        <f>H229</f>
        <v>5541.45</v>
      </c>
      <c r="J229" s="40"/>
    </row>
    <row r="230" spans="1:10" s="7" customFormat="1" ht="20.100000000000001" customHeight="1" x14ac:dyDescent="0.25">
      <c r="A230" s="33">
        <v>381</v>
      </c>
      <c r="B230" s="9">
        <v>42361</v>
      </c>
      <c r="C230" s="18" t="s">
        <v>103</v>
      </c>
      <c r="D230" s="11">
        <v>37813.65</v>
      </c>
      <c r="E230" s="9">
        <v>42391</v>
      </c>
      <c r="F230" s="15" t="s">
        <v>28</v>
      </c>
      <c r="G230" s="12">
        <v>42394</v>
      </c>
      <c r="H230" s="17">
        <f t="shared" si="14"/>
        <v>37813.65</v>
      </c>
    </row>
    <row r="231" spans="1:10" s="7" customFormat="1" ht="20.100000000000001" customHeight="1" x14ac:dyDescent="0.25">
      <c r="A231" s="33">
        <v>374</v>
      </c>
      <c r="B231" s="9">
        <v>42359</v>
      </c>
      <c r="C231" s="18" t="s">
        <v>108</v>
      </c>
      <c r="D231" s="11">
        <v>13509.53</v>
      </c>
      <c r="E231" s="9">
        <v>42391</v>
      </c>
      <c r="F231" s="15" t="s">
        <v>28</v>
      </c>
      <c r="G231" s="12">
        <v>42394</v>
      </c>
      <c r="H231" s="17">
        <f t="shared" si="14"/>
        <v>13509.53</v>
      </c>
    </row>
    <row r="232" spans="1:10" s="7" customFormat="1" ht="20.100000000000001" customHeight="1" x14ac:dyDescent="0.25">
      <c r="A232" s="33">
        <v>10</v>
      </c>
      <c r="B232" s="9">
        <v>42387</v>
      </c>
      <c r="C232" s="18" t="s">
        <v>108</v>
      </c>
      <c r="D232" s="11">
        <v>7000</v>
      </c>
      <c r="E232" s="9">
        <v>42391</v>
      </c>
      <c r="F232" s="15" t="s">
        <v>28</v>
      </c>
      <c r="G232" s="12">
        <v>42394</v>
      </c>
      <c r="H232" s="17">
        <f t="shared" si="14"/>
        <v>7000</v>
      </c>
    </row>
    <row r="233" spans="1:10" s="7" customFormat="1" ht="20.100000000000001" customHeight="1" x14ac:dyDescent="0.25">
      <c r="A233" s="33">
        <v>17</v>
      </c>
      <c r="B233" s="9">
        <v>42390</v>
      </c>
      <c r="C233" s="18" t="s">
        <v>16</v>
      </c>
      <c r="D233" s="11">
        <v>9436.42</v>
      </c>
      <c r="E233" s="9">
        <v>42391</v>
      </c>
      <c r="F233" s="15" t="s">
        <v>28</v>
      </c>
      <c r="G233" s="12">
        <v>42394</v>
      </c>
      <c r="H233" s="17">
        <f t="shared" si="14"/>
        <v>9436.42</v>
      </c>
    </row>
    <row r="234" spans="1:10" s="7" customFormat="1" ht="20.100000000000001" customHeight="1" x14ac:dyDescent="0.25">
      <c r="A234" s="33">
        <v>19</v>
      </c>
      <c r="B234" s="9">
        <v>42391</v>
      </c>
      <c r="C234" s="20" t="s">
        <v>118</v>
      </c>
      <c r="D234" s="11">
        <v>11960</v>
      </c>
      <c r="E234" s="9">
        <v>42394</v>
      </c>
      <c r="F234" s="15" t="s">
        <v>28</v>
      </c>
      <c r="G234" s="12">
        <v>42394</v>
      </c>
      <c r="H234" s="17">
        <f t="shared" si="14"/>
        <v>11960</v>
      </c>
      <c r="I234" s="17">
        <f>H234</f>
        <v>11960</v>
      </c>
    </row>
    <row r="235" spans="1:10" s="7" customFormat="1" ht="20.100000000000001" customHeight="1" x14ac:dyDescent="0.25">
      <c r="A235" s="33">
        <v>27</v>
      </c>
      <c r="B235" s="9">
        <v>42395</v>
      </c>
      <c r="C235" s="18" t="s">
        <v>65</v>
      </c>
      <c r="D235" s="11">
        <v>4900</v>
      </c>
      <c r="E235" s="9">
        <v>42396</v>
      </c>
      <c r="F235" s="15" t="s">
        <v>28</v>
      </c>
      <c r="G235" s="12">
        <v>42396</v>
      </c>
      <c r="H235" s="17">
        <f t="shared" si="14"/>
        <v>4900</v>
      </c>
    </row>
    <row r="236" spans="1:10" s="7" customFormat="1" ht="20.100000000000001" customHeight="1" x14ac:dyDescent="0.25">
      <c r="A236" s="33">
        <v>30</v>
      </c>
      <c r="B236" s="9">
        <v>42396</v>
      </c>
      <c r="C236" s="18" t="s">
        <v>91</v>
      </c>
      <c r="D236" s="11">
        <v>5439.84</v>
      </c>
      <c r="E236" s="9">
        <v>42397</v>
      </c>
      <c r="F236" s="15" t="s">
        <v>28</v>
      </c>
      <c r="G236" s="12">
        <v>42405</v>
      </c>
      <c r="H236" s="17">
        <f t="shared" si="14"/>
        <v>5439.84</v>
      </c>
    </row>
    <row r="237" spans="1:10" s="7" customFormat="1" ht="20.100000000000001" customHeight="1" x14ac:dyDescent="0.25">
      <c r="A237" s="33">
        <v>31</v>
      </c>
      <c r="B237" s="9">
        <v>42397</v>
      </c>
      <c r="C237" s="18" t="s">
        <v>42</v>
      </c>
      <c r="D237" s="11">
        <v>12250</v>
      </c>
      <c r="E237" s="9">
        <v>42398</v>
      </c>
      <c r="F237" s="15" t="s">
        <v>28</v>
      </c>
      <c r="G237" s="12">
        <v>42401</v>
      </c>
      <c r="H237" s="17">
        <f t="shared" si="14"/>
        <v>12250</v>
      </c>
    </row>
    <row r="238" spans="1:10" s="7" customFormat="1" ht="20.100000000000001" customHeight="1" x14ac:dyDescent="0.25">
      <c r="A238" s="35" t="s">
        <v>535</v>
      </c>
      <c r="B238" s="36"/>
      <c r="C238" s="42"/>
      <c r="D238" s="37"/>
      <c r="E238" s="81">
        <f>Январь2016[[#Totals],[Отгрузка]]</f>
        <v>2963.8258000000001</v>
      </c>
      <c r="F238" s="43"/>
      <c r="G238" s="16">
        <f>H238*0.02+I238*0.02</f>
        <v>2963.8258000000001</v>
      </c>
      <c r="H238" s="45">
        <f>SUBTOTAL(109,Январь2016[Продажа])</f>
        <v>126099.84</v>
      </c>
      <c r="I238" s="2">
        <f>SUBTOTAL(109,Январь2016[Продажа НК])</f>
        <v>22091.45</v>
      </c>
    </row>
    <row r="239" spans="1:10" s="7" customFormat="1" ht="20.100000000000001" customHeight="1" x14ac:dyDescent="0.25">
      <c r="A239" s="41" t="s">
        <v>1</v>
      </c>
      <c r="B239" s="1" t="s">
        <v>0</v>
      </c>
      <c r="C239" s="1" t="s">
        <v>26</v>
      </c>
      <c r="D239" s="1" t="s">
        <v>2</v>
      </c>
      <c r="E239" s="1" t="s">
        <v>3</v>
      </c>
      <c r="F239" s="1" t="s">
        <v>27</v>
      </c>
      <c r="G239" s="1" t="s">
        <v>4</v>
      </c>
      <c r="H239" s="2" t="s">
        <v>132</v>
      </c>
      <c r="I239" s="2" t="s">
        <v>133</v>
      </c>
    </row>
    <row r="240" spans="1:10" s="7" customFormat="1" ht="20.100000000000001" customHeight="1" x14ac:dyDescent="0.25">
      <c r="A240" s="33">
        <v>1</v>
      </c>
      <c r="B240" s="9">
        <v>42380</v>
      </c>
      <c r="C240" s="18" t="s">
        <v>99</v>
      </c>
      <c r="D240" s="11">
        <v>110643.69</v>
      </c>
      <c r="E240" s="9">
        <v>42405</v>
      </c>
      <c r="F240" s="15" t="s">
        <v>28</v>
      </c>
      <c r="G240" s="12">
        <v>42389</v>
      </c>
      <c r="H240" s="17">
        <f t="shared" ref="H240:H256" si="15">D240</f>
        <v>110643.69</v>
      </c>
    </row>
    <row r="241" spans="1:9" s="7" customFormat="1" ht="20.100000000000001" customHeight="1" x14ac:dyDescent="0.25">
      <c r="A241" s="33">
        <v>36</v>
      </c>
      <c r="B241" s="9">
        <v>42402</v>
      </c>
      <c r="C241" s="18" t="s">
        <v>91</v>
      </c>
      <c r="D241" s="11">
        <v>2602</v>
      </c>
      <c r="E241" s="9">
        <v>42403</v>
      </c>
      <c r="F241" s="15" t="s">
        <v>28</v>
      </c>
      <c r="G241" s="12">
        <v>42404</v>
      </c>
      <c r="H241" s="17">
        <f t="shared" si="15"/>
        <v>2602</v>
      </c>
    </row>
    <row r="242" spans="1:9" s="7" customFormat="1" ht="20.100000000000001" customHeight="1" x14ac:dyDescent="0.25">
      <c r="A242" s="33">
        <v>15</v>
      </c>
      <c r="B242" s="9">
        <v>42389</v>
      </c>
      <c r="C242" s="18" t="s">
        <v>66</v>
      </c>
      <c r="D242" s="11">
        <v>22546.15</v>
      </c>
      <c r="E242" s="9">
        <v>42405</v>
      </c>
      <c r="F242" s="15" t="s">
        <v>28</v>
      </c>
      <c r="G242" s="12">
        <v>42418</v>
      </c>
      <c r="H242" s="17">
        <f t="shared" si="15"/>
        <v>22546.15</v>
      </c>
    </row>
    <row r="243" spans="1:9" s="7" customFormat="1" ht="20.100000000000001" customHeight="1" x14ac:dyDescent="0.25">
      <c r="A243" s="33">
        <v>42</v>
      </c>
      <c r="B243" s="9">
        <v>42405</v>
      </c>
      <c r="C243" s="18" t="s">
        <v>42</v>
      </c>
      <c r="D243" s="11">
        <v>230580</v>
      </c>
      <c r="E243" s="9">
        <v>42409</v>
      </c>
      <c r="F243" s="15" t="s">
        <v>28</v>
      </c>
      <c r="G243" s="12">
        <v>42410</v>
      </c>
      <c r="H243" s="17">
        <f t="shared" si="15"/>
        <v>230580</v>
      </c>
    </row>
    <row r="244" spans="1:9" s="7" customFormat="1" ht="20.100000000000001" customHeight="1" x14ac:dyDescent="0.25">
      <c r="A244" s="33">
        <v>37</v>
      </c>
      <c r="B244" s="9">
        <v>42403</v>
      </c>
      <c r="C244" s="18" t="s">
        <v>65</v>
      </c>
      <c r="D244" s="11">
        <v>47737.52</v>
      </c>
      <c r="E244" s="9">
        <v>42410</v>
      </c>
      <c r="F244" s="15" t="s">
        <v>28</v>
      </c>
      <c r="G244" s="12">
        <v>42410</v>
      </c>
      <c r="H244" s="17">
        <f t="shared" si="15"/>
        <v>47737.52</v>
      </c>
    </row>
    <row r="245" spans="1:9" s="7" customFormat="1" ht="20.100000000000001" customHeight="1" x14ac:dyDescent="0.25">
      <c r="A245" s="33">
        <v>46</v>
      </c>
      <c r="B245" s="9">
        <v>42409</v>
      </c>
      <c r="C245" s="20" t="s">
        <v>119</v>
      </c>
      <c r="D245" s="11">
        <v>91916</v>
      </c>
      <c r="E245" s="9">
        <v>42411</v>
      </c>
      <c r="F245" s="15" t="s">
        <v>28</v>
      </c>
      <c r="G245" s="12">
        <v>42411</v>
      </c>
      <c r="H245" s="17">
        <f t="shared" si="15"/>
        <v>91916</v>
      </c>
      <c r="I245" s="17">
        <f>H245</f>
        <v>91916</v>
      </c>
    </row>
    <row r="246" spans="1:9" s="7" customFormat="1" ht="20.100000000000001" customHeight="1" x14ac:dyDescent="0.25">
      <c r="A246" s="33">
        <v>12</v>
      </c>
      <c r="B246" s="9">
        <v>42388</v>
      </c>
      <c r="C246" s="20" t="s">
        <v>120</v>
      </c>
      <c r="D246" s="11">
        <v>93165.63</v>
      </c>
      <c r="E246" s="9">
        <v>42415</v>
      </c>
      <c r="F246" s="15" t="s">
        <v>28</v>
      </c>
      <c r="G246" s="12">
        <v>42419</v>
      </c>
      <c r="H246" s="17">
        <f t="shared" si="15"/>
        <v>93165.63</v>
      </c>
      <c r="I246" s="17">
        <f>H246</f>
        <v>93165.63</v>
      </c>
    </row>
    <row r="247" spans="1:9" ht="15.75" x14ac:dyDescent="0.25">
      <c r="A247" s="33">
        <v>52</v>
      </c>
      <c r="B247" s="9">
        <v>42412</v>
      </c>
      <c r="C247" s="20" t="s">
        <v>121</v>
      </c>
      <c r="D247" s="11">
        <v>7176.69</v>
      </c>
      <c r="E247" s="9">
        <v>42416</v>
      </c>
      <c r="F247" s="15" t="s">
        <v>28</v>
      </c>
      <c r="G247" s="12">
        <v>42417</v>
      </c>
      <c r="H247" s="17">
        <f t="shared" si="15"/>
        <v>7176.69</v>
      </c>
      <c r="I247" s="17">
        <f>H247</f>
        <v>7176.69</v>
      </c>
    </row>
    <row r="248" spans="1:9" ht="15.75" x14ac:dyDescent="0.25">
      <c r="A248" s="33">
        <v>59</v>
      </c>
      <c r="B248" s="9">
        <v>42416</v>
      </c>
      <c r="C248" s="18" t="s">
        <v>102</v>
      </c>
      <c r="D248" s="11">
        <v>5991.38</v>
      </c>
      <c r="E248" s="9">
        <v>42416</v>
      </c>
      <c r="F248" s="15" t="s">
        <v>28</v>
      </c>
      <c r="G248" s="12">
        <v>42416</v>
      </c>
      <c r="H248" s="17">
        <f t="shared" si="15"/>
        <v>5991.38</v>
      </c>
      <c r="I248" s="7"/>
    </row>
    <row r="249" spans="1:9" ht="15.75" x14ac:dyDescent="0.25">
      <c r="A249" s="33">
        <v>47</v>
      </c>
      <c r="B249" s="9">
        <v>42411</v>
      </c>
      <c r="C249" s="18" t="s">
        <v>122</v>
      </c>
      <c r="D249" s="11">
        <v>9432.16</v>
      </c>
      <c r="E249" s="9">
        <v>42416</v>
      </c>
      <c r="F249" s="15" t="s">
        <v>28</v>
      </c>
      <c r="G249" s="12">
        <v>42418</v>
      </c>
      <c r="H249" s="17">
        <f t="shared" si="15"/>
        <v>9432.16</v>
      </c>
      <c r="I249" s="7"/>
    </row>
    <row r="250" spans="1:9" ht="15.75" x14ac:dyDescent="0.25">
      <c r="A250" s="33">
        <v>55</v>
      </c>
      <c r="B250" s="9">
        <v>42412</v>
      </c>
      <c r="C250" s="18" t="s">
        <v>16</v>
      </c>
      <c r="D250" s="11">
        <v>5379.86</v>
      </c>
      <c r="E250" s="9">
        <v>42417</v>
      </c>
      <c r="F250" s="15" t="s">
        <v>28</v>
      </c>
      <c r="G250" s="12">
        <v>42418</v>
      </c>
      <c r="H250" s="17">
        <f t="shared" si="15"/>
        <v>5379.86</v>
      </c>
      <c r="I250" s="7"/>
    </row>
    <row r="251" spans="1:9" ht="15.75" x14ac:dyDescent="0.25">
      <c r="A251" s="33">
        <v>69</v>
      </c>
      <c r="B251" s="9">
        <v>42419</v>
      </c>
      <c r="C251" s="18" t="s">
        <v>56</v>
      </c>
      <c r="D251" s="11">
        <v>12250</v>
      </c>
      <c r="E251" s="9">
        <v>42426</v>
      </c>
      <c r="F251" s="15" t="s">
        <v>28</v>
      </c>
      <c r="G251" s="12">
        <v>42419</v>
      </c>
      <c r="H251" s="17">
        <f t="shared" si="15"/>
        <v>12250</v>
      </c>
      <c r="I251" s="7"/>
    </row>
    <row r="252" spans="1:9" ht="15.75" x14ac:dyDescent="0.25">
      <c r="A252" s="33">
        <v>68</v>
      </c>
      <c r="B252" s="9">
        <v>42419</v>
      </c>
      <c r="C252" s="20" t="s">
        <v>123</v>
      </c>
      <c r="D252" s="11">
        <v>17890.689999999999</v>
      </c>
      <c r="E252" s="9">
        <v>42419</v>
      </c>
      <c r="F252" s="15" t="s">
        <v>28</v>
      </c>
      <c r="G252" s="12">
        <v>42430</v>
      </c>
      <c r="H252" s="17">
        <f t="shared" si="15"/>
        <v>17890.689999999999</v>
      </c>
      <c r="I252" s="17">
        <f>H252</f>
        <v>17890.689999999999</v>
      </c>
    </row>
    <row r="253" spans="1:9" ht="15.75" x14ac:dyDescent="0.25">
      <c r="A253" s="33">
        <v>65</v>
      </c>
      <c r="B253" s="9">
        <v>42417</v>
      </c>
      <c r="C253" s="18" t="s">
        <v>16</v>
      </c>
      <c r="D253" s="11">
        <v>21519.439999999999</v>
      </c>
      <c r="E253" s="9">
        <v>42419</v>
      </c>
      <c r="F253" s="15" t="s">
        <v>28</v>
      </c>
      <c r="G253" s="12">
        <v>42424</v>
      </c>
      <c r="H253" s="17">
        <f t="shared" si="15"/>
        <v>21519.439999999999</v>
      </c>
      <c r="I253" s="7"/>
    </row>
    <row r="254" spans="1:9" ht="15.75" x14ac:dyDescent="0.25">
      <c r="A254" s="33">
        <v>64</v>
      </c>
      <c r="B254" s="9">
        <v>42417</v>
      </c>
      <c r="C254" s="18" t="s">
        <v>65</v>
      </c>
      <c r="D254" s="11">
        <v>2922.15</v>
      </c>
      <c r="E254" s="9">
        <v>42424</v>
      </c>
      <c r="F254" s="15" t="s">
        <v>28</v>
      </c>
      <c r="G254" s="12">
        <v>42424</v>
      </c>
      <c r="H254" s="17">
        <f t="shared" si="15"/>
        <v>2922.15</v>
      </c>
      <c r="I254" s="7"/>
    </row>
    <row r="255" spans="1:9" ht="15.75" x14ac:dyDescent="0.25">
      <c r="A255" s="33">
        <v>57</v>
      </c>
      <c r="B255" s="9">
        <v>42415</v>
      </c>
      <c r="C255" s="18" t="s">
        <v>65</v>
      </c>
      <c r="D255" s="11">
        <v>49238.18</v>
      </c>
      <c r="E255" s="9">
        <v>42424</v>
      </c>
      <c r="F255" s="15" t="s">
        <v>28</v>
      </c>
      <c r="G255" s="12">
        <v>42424</v>
      </c>
      <c r="H255" s="17">
        <f t="shared" si="15"/>
        <v>49238.18</v>
      </c>
      <c r="I255" s="7"/>
    </row>
    <row r="256" spans="1:9" ht="15.75" x14ac:dyDescent="0.25">
      <c r="A256" s="33">
        <v>74</v>
      </c>
      <c r="B256" s="9">
        <v>42426</v>
      </c>
      <c r="C256" s="20" t="s">
        <v>124</v>
      </c>
      <c r="D256" s="11">
        <v>40937.79</v>
      </c>
      <c r="E256" s="9">
        <v>42426</v>
      </c>
      <c r="F256" s="15" t="s">
        <v>28</v>
      </c>
      <c r="G256" s="12">
        <v>42508</v>
      </c>
      <c r="H256" s="17">
        <f t="shared" si="15"/>
        <v>40937.79</v>
      </c>
      <c r="I256" s="17">
        <f>H256</f>
        <v>40937.79</v>
      </c>
    </row>
    <row r="257" spans="1:9" ht="15.75" x14ac:dyDescent="0.25">
      <c r="A257" s="35" t="s">
        <v>535</v>
      </c>
      <c r="B257" s="36"/>
      <c r="C257" s="42"/>
      <c r="D257" s="37"/>
      <c r="E257" s="81">
        <f>Февраль2016[[#Totals],[Отгрузка]]</f>
        <v>43618.202499999999</v>
      </c>
      <c r="F257" s="43"/>
      <c r="G257" s="16">
        <f>H257*0.05+I257*0.02</f>
        <v>43618.202499999999</v>
      </c>
      <c r="H257" s="45">
        <f>SUBTOTAL(109,Февраль2016[Продажа])</f>
        <v>771929.33</v>
      </c>
      <c r="I257" s="2">
        <f>SUBTOTAL(109,Февраль2016[Продажа НК])</f>
        <v>251086.80000000002</v>
      </c>
    </row>
  </sheetData>
  <dataValidations count="4">
    <dataValidation type="whole" operator="greaterThan" allowBlank="1" showInputMessage="1" showErrorMessage="1" sqref="A20:A35 A38:A52 A55:A75 A78:A98 A101:A114 A117:A132 A135:A154 A157:A182 A185:A194 A197:A221 A224:A237 A240:A256" xr:uid="{3C56723B-B410-4AE6-87A7-E82C96D9F2DA}">
      <formula1>0</formula1>
    </dataValidation>
    <dataValidation operator="greaterThanOrEqual" allowBlank="1" showInputMessage="1" showErrorMessage="1" sqref="E20:E35 E37:E52 E54:E75 E77:E98 E100:E114 E116:E132 E134:E154 E156:E182 E184:E194 E196:E221 E223:E237 E239:E256" xr:uid="{B0EB25E4-E4C8-4A54-8756-75216C3BFB42}"/>
    <dataValidation type="date" operator="greaterThanOrEqual" allowBlank="1" showInputMessage="1" showErrorMessage="1" sqref="B20:B35 B37:B52 B54:B75 B77:B98 B100:B114 B116:B132 B134:B154 B156:B182 B184:B194 B196:B221 B223:B237 G20:G35 B239:B256 G54:G75 G77:G98 G100:G114 G116:G132 G134:G154 G156:G182 G184:G194 G196:G221 G223:G237 G239:G256 G37:G52" xr:uid="{C70B85EE-114A-4509-B141-028514B6B31A}">
      <formula1>41974</formula1>
    </dataValidation>
    <dataValidation type="decimal" operator="greaterThanOrEqual" allowBlank="1" showInputMessage="1" showErrorMessage="1" sqref="D20:D35 H20:I35 D37:D52 D54:D75 D77:D98 D100:D114 D116:D132 D134:D154 D156:D182 H156:I182 H134:I154 H116:I132 H100:I114 H77:I98 H54:I75 H37:I52 H184:I194 D184:D194 H196:I221 D196:D221 H223:I237 D223:D237 H239:I256 D239:D256" xr:uid="{DAC4F2AF-DBBA-480D-9F6C-62F5E52F4496}">
      <formula1>0</formula1>
    </dataValidation>
  </dataValidations>
  <pageMargins left="0.23622047244094491" right="0.23622047244094491" top="0.35433070866141736" bottom="0.35433070866141736" header="0" footer="0"/>
  <pageSetup paperSize="9" orientation="landscape"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83"/>
  <sheetViews>
    <sheetView topLeftCell="A262" workbookViewId="0">
      <selection activeCell="E27" sqref="E27"/>
    </sheetView>
  </sheetViews>
  <sheetFormatPr defaultColWidth="9.140625" defaultRowHeight="20.100000000000001" customHeight="1" x14ac:dyDescent="0.25"/>
  <cols>
    <col min="1" max="1" width="10.5703125" style="7" customWidth="1"/>
    <col min="2" max="2" width="10.140625" style="7" bestFit="1" customWidth="1"/>
    <col min="3" max="3" width="40.5703125" style="7" bestFit="1" customWidth="1"/>
    <col min="4" max="4" width="14.7109375" style="7" bestFit="1" customWidth="1"/>
    <col min="5" max="5" width="11.42578125" style="7" bestFit="1" customWidth="1"/>
    <col min="6" max="6" width="14.7109375" style="7" bestFit="1" customWidth="1"/>
    <col min="7" max="7" width="13.28515625" style="7" customWidth="1"/>
    <col min="8" max="8" width="13.140625" style="7" bestFit="1" customWidth="1"/>
    <col min="9" max="9" width="15.7109375" style="7" customWidth="1"/>
    <col min="10" max="11" width="11.28515625" style="7" bestFit="1" customWidth="1"/>
    <col min="12" max="13" width="13.140625" style="7" bestFit="1" customWidth="1"/>
    <col min="14" max="14" width="13.7109375" style="7" customWidth="1"/>
    <col min="15" max="15" width="12.42578125" style="7" customWidth="1"/>
    <col min="16" max="16384" width="9.140625" style="7"/>
  </cols>
  <sheetData>
    <row r="1" spans="1:15" s="2" customFormat="1" ht="20.100000000000001" customHeight="1" x14ac:dyDescent="0.25">
      <c r="A1" s="41" t="s">
        <v>1</v>
      </c>
      <c r="B1" s="1" t="s">
        <v>0</v>
      </c>
      <c r="C1" s="1" t="s">
        <v>26</v>
      </c>
      <c r="D1" s="1" t="s">
        <v>2</v>
      </c>
      <c r="E1" s="1" t="s">
        <v>3</v>
      </c>
      <c r="F1" s="1" t="s">
        <v>27</v>
      </c>
      <c r="G1" s="1" t="s">
        <v>4</v>
      </c>
      <c r="H1" s="2" t="s">
        <v>132</v>
      </c>
      <c r="I1" s="2" t="s">
        <v>133</v>
      </c>
      <c r="J1" s="40" t="s">
        <v>187</v>
      </c>
      <c r="K1" s="40" t="s">
        <v>188</v>
      </c>
      <c r="L1" s="40" t="s">
        <v>129</v>
      </c>
      <c r="M1" s="40" t="s">
        <v>130</v>
      </c>
      <c r="N1" s="2" t="s">
        <v>131</v>
      </c>
      <c r="O1" s="2" t="s">
        <v>134</v>
      </c>
    </row>
    <row r="2" spans="1:15" ht="20.100000000000001" customHeight="1" x14ac:dyDescent="0.25">
      <c r="A2" s="33">
        <v>43</v>
      </c>
      <c r="B2" s="9">
        <v>42405</v>
      </c>
      <c r="C2" s="18" t="s">
        <v>99</v>
      </c>
      <c r="D2" s="11">
        <v>85747.9</v>
      </c>
      <c r="E2" s="9">
        <v>42452</v>
      </c>
      <c r="F2" s="15" t="s">
        <v>28</v>
      </c>
      <c r="G2" s="12">
        <v>42408</v>
      </c>
      <c r="H2" s="17">
        <f t="shared" ref="H2:H26" si="0">D2</f>
        <v>85747.9</v>
      </c>
      <c r="J2" s="7">
        <v>21000</v>
      </c>
      <c r="K2" s="7">
        <v>2100</v>
      </c>
      <c r="L2" s="17">
        <v>17895.490000000002</v>
      </c>
      <c r="M2" s="22">
        <f t="shared" ref="M2:M26" si="1">H2-L2-J2-K2</f>
        <v>44752.409999999989</v>
      </c>
      <c r="O2" s="30">
        <f t="shared" ref="O2:O27" si="2">M2/H2</f>
        <v>0.52190677555951803</v>
      </c>
    </row>
    <row r="3" spans="1:15" ht="20.100000000000001" customHeight="1" x14ac:dyDescent="0.25">
      <c r="A3" s="33">
        <v>44</v>
      </c>
      <c r="B3" s="9">
        <v>42415</v>
      </c>
      <c r="C3" s="18" t="s">
        <v>99</v>
      </c>
      <c r="D3" s="11">
        <v>177592.3</v>
      </c>
      <c r="E3" s="9">
        <v>42452</v>
      </c>
      <c r="F3" s="15" t="s">
        <v>28</v>
      </c>
      <c r="G3" s="12">
        <v>42432</v>
      </c>
      <c r="H3" s="17">
        <f t="shared" si="0"/>
        <v>177592.3</v>
      </c>
      <c r="J3" s="7">
        <v>9000</v>
      </c>
      <c r="K3" s="7">
        <v>900</v>
      </c>
      <c r="L3" s="17">
        <f>17163.69+86610</f>
        <v>103773.69</v>
      </c>
      <c r="M3" s="22">
        <f t="shared" si="1"/>
        <v>63918.609999999986</v>
      </c>
      <c r="O3" s="30">
        <f t="shared" si="2"/>
        <v>0.35991768787272865</v>
      </c>
    </row>
    <row r="4" spans="1:15" ht="20.100000000000001" customHeight="1" x14ac:dyDescent="0.25">
      <c r="A4" s="33">
        <v>79</v>
      </c>
      <c r="B4" s="9">
        <v>42430</v>
      </c>
      <c r="C4" s="18" t="s">
        <v>16</v>
      </c>
      <c r="D4" s="11">
        <v>3065.36</v>
      </c>
      <c r="E4" s="9">
        <v>42430</v>
      </c>
      <c r="F4" s="15" t="s">
        <v>28</v>
      </c>
      <c r="G4" s="12">
        <v>42431</v>
      </c>
      <c r="H4" s="17">
        <f t="shared" si="0"/>
        <v>3065.36</v>
      </c>
      <c r="L4" s="17">
        <v>1390</v>
      </c>
      <c r="M4" s="22">
        <f t="shared" si="1"/>
        <v>1675.3600000000001</v>
      </c>
      <c r="O4" s="30">
        <f t="shared" si="2"/>
        <v>0.54654591956572807</v>
      </c>
    </row>
    <row r="5" spans="1:15" ht="20.100000000000001" customHeight="1" x14ac:dyDescent="0.25">
      <c r="A5" s="33">
        <v>76</v>
      </c>
      <c r="B5" s="9">
        <v>42429</v>
      </c>
      <c r="C5" s="18" t="s">
        <v>122</v>
      </c>
      <c r="D5" s="11">
        <v>32080</v>
      </c>
      <c r="E5" s="9">
        <v>42431</v>
      </c>
      <c r="F5" s="15" t="s">
        <v>28</v>
      </c>
      <c r="G5" s="12">
        <v>42457</v>
      </c>
      <c r="H5" s="17">
        <f t="shared" si="0"/>
        <v>32080</v>
      </c>
      <c r="L5" s="17">
        <f>21308+1278</f>
        <v>22586</v>
      </c>
      <c r="M5" s="22">
        <f t="shared" si="1"/>
        <v>9494</v>
      </c>
      <c r="O5" s="30">
        <f t="shared" si="2"/>
        <v>0.29594763092269327</v>
      </c>
    </row>
    <row r="6" spans="1:15" ht="20.100000000000001" customHeight="1" x14ac:dyDescent="0.25">
      <c r="A6" s="33">
        <v>50</v>
      </c>
      <c r="B6" s="9">
        <v>42411</v>
      </c>
      <c r="C6" s="18" t="s">
        <v>13</v>
      </c>
      <c r="D6" s="11">
        <v>11831.82</v>
      </c>
      <c r="E6" s="9">
        <v>42450</v>
      </c>
      <c r="F6" s="15" t="s">
        <v>28</v>
      </c>
      <c r="G6" s="12">
        <v>42432</v>
      </c>
      <c r="H6" s="17">
        <f t="shared" si="0"/>
        <v>11831.82</v>
      </c>
      <c r="L6" s="17">
        <v>7100</v>
      </c>
      <c r="M6" s="22">
        <f t="shared" si="1"/>
        <v>4731.82</v>
      </c>
      <c r="O6" s="30">
        <f t="shared" si="2"/>
        <v>0.39992325779127808</v>
      </c>
    </row>
    <row r="7" spans="1:15" ht="20.100000000000001" customHeight="1" x14ac:dyDescent="0.25">
      <c r="A7" s="33">
        <v>94</v>
      </c>
      <c r="B7" s="9">
        <v>42438</v>
      </c>
      <c r="C7" s="18" t="s">
        <v>40</v>
      </c>
      <c r="D7" s="11">
        <v>5198.91</v>
      </c>
      <c r="E7" s="9">
        <v>42444</v>
      </c>
      <c r="F7" s="15" t="s">
        <v>28</v>
      </c>
      <c r="G7" s="12">
        <v>42438</v>
      </c>
      <c r="H7" s="17">
        <f t="shared" si="0"/>
        <v>5198.91</v>
      </c>
      <c r="L7" s="17">
        <v>3330</v>
      </c>
      <c r="M7" s="22">
        <f t="shared" si="1"/>
        <v>1868.9099999999999</v>
      </c>
      <c r="O7" s="30">
        <f t="shared" si="2"/>
        <v>0.35948112200442012</v>
      </c>
    </row>
    <row r="8" spans="1:15" ht="20.100000000000001" customHeight="1" x14ac:dyDescent="0.25">
      <c r="A8" s="33">
        <v>33</v>
      </c>
      <c r="B8" s="9">
        <v>42401</v>
      </c>
      <c r="C8" s="18" t="s">
        <v>72</v>
      </c>
      <c r="D8" s="11">
        <v>5439.84</v>
      </c>
      <c r="E8" s="9">
        <v>42438</v>
      </c>
      <c r="F8" s="15" t="s">
        <v>28</v>
      </c>
      <c r="G8" s="12">
        <v>42443</v>
      </c>
      <c r="H8" s="17">
        <f t="shared" si="0"/>
        <v>5439.84</v>
      </c>
      <c r="L8" s="17">
        <v>3486</v>
      </c>
      <c r="M8" s="22">
        <f t="shared" si="1"/>
        <v>1953.8400000000001</v>
      </c>
      <c r="O8" s="30">
        <f t="shared" si="2"/>
        <v>0.35917232859789994</v>
      </c>
    </row>
    <row r="9" spans="1:15" ht="20.100000000000001" customHeight="1" x14ac:dyDescent="0.25">
      <c r="A9" s="33">
        <v>93</v>
      </c>
      <c r="B9" s="9">
        <v>42438</v>
      </c>
      <c r="C9" s="20" t="s">
        <v>125</v>
      </c>
      <c r="D9" s="11">
        <v>27187.55</v>
      </c>
      <c r="E9" s="9">
        <v>42439</v>
      </c>
      <c r="F9" s="15" t="s">
        <v>28</v>
      </c>
      <c r="G9" s="12">
        <v>42457</v>
      </c>
      <c r="H9" s="17">
        <f t="shared" si="0"/>
        <v>27187.55</v>
      </c>
      <c r="I9" s="17">
        <f>H9</f>
        <v>27187.55</v>
      </c>
      <c r="J9" s="17"/>
      <c r="K9" s="17"/>
      <c r="L9" s="17">
        <v>18569</v>
      </c>
      <c r="M9" s="22">
        <f t="shared" si="1"/>
        <v>8618.5499999999993</v>
      </c>
      <c r="N9" s="13">
        <f>M9</f>
        <v>8618.5499999999993</v>
      </c>
      <c r="O9" s="30">
        <f t="shared" si="2"/>
        <v>0.31700355493599092</v>
      </c>
    </row>
    <row r="10" spans="1:15" ht="20.100000000000001" customHeight="1" x14ac:dyDescent="0.25">
      <c r="A10" s="33">
        <v>95</v>
      </c>
      <c r="B10" s="9">
        <v>42439</v>
      </c>
      <c r="C10" s="18" t="s">
        <v>101</v>
      </c>
      <c r="D10" s="11">
        <v>6482.92</v>
      </c>
      <c r="E10" s="9">
        <v>42440</v>
      </c>
      <c r="F10" s="15" t="s">
        <v>28</v>
      </c>
      <c r="G10" s="12">
        <v>42458</v>
      </c>
      <c r="H10" s="17">
        <f t="shared" si="0"/>
        <v>6482.92</v>
      </c>
      <c r="L10" s="17">
        <v>4792</v>
      </c>
      <c r="M10" s="22">
        <f t="shared" si="1"/>
        <v>1690.92</v>
      </c>
      <c r="O10" s="30">
        <f t="shared" si="2"/>
        <v>0.26082691133007968</v>
      </c>
    </row>
    <row r="11" spans="1:15" ht="20.100000000000001" customHeight="1" x14ac:dyDescent="0.25">
      <c r="A11" s="33">
        <v>87</v>
      </c>
      <c r="B11" s="9">
        <v>42432</v>
      </c>
      <c r="C11" s="18" t="s">
        <v>97</v>
      </c>
      <c r="D11" s="11">
        <v>4404.5200000000004</v>
      </c>
      <c r="E11" s="9">
        <v>42440</v>
      </c>
      <c r="F11" s="15" t="s">
        <v>28</v>
      </c>
      <c r="G11" s="12">
        <v>42444</v>
      </c>
      <c r="H11" s="17">
        <f t="shared" si="0"/>
        <v>4404.5200000000004</v>
      </c>
      <c r="I11" s="17"/>
      <c r="J11" s="17"/>
      <c r="K11" s="17"/>
      <c r="L11" s="17">
        <v>2893</v>
      </c>
      <c r="M11" s="22">
        <f t="shared" si="1"/>
        <v>1511.5200000000004</v>
      </c>
      <c r="O11" s="30">
        <f t="shared" si="2"/>
        <v>0.34317473867754039</v>
      </c>
    </row>
    <row r="12" spans="1:15" ht="20.100000000000001" customHeight="1" x14ac:dyDescent="0.25">
      <c r="A12" s="33">
        <v>89</v>
      </c>
      <c r="B12" s="9">
        <v>42433</v>
      </c>
      <c r="C12" s="18" t="s">
        <v>97</v>
      </c>
      <c r="D12" s="11">
        <v>2719.92</v>
      </c>
      <c r="E12" s="9">
        <v>42440</v>
      </c>
      <c r="F12" s="15" t="s">
        <v>28</v>
      </c>
      <c r="G12" s="12">
        <v>42444</v>
      </c>
      <c r="H12" s="17">
        <f t="shared" si="0"/>
        <v>2719.92</v>
      </c>
      <c r="I12" s="17"/>
      <c r="J12" s="17"/>
      <c r="K12" s="17"/>
      <c r="L12" s="17">
        <v>1743</v>
      </c>
      <c r="M12" s="22">
        <f t="shared" si="1"/>
        <v>976.92000000000007</v>
      </c>
      <c r="O12" s="30">
        <f t="shared" si="2"/>
        <v>0.35917232859789994</v>
      </c>
    </row>
    <row r="13" spans="1:15" ht="20.100000000000001" customHeight="1" x14ac:dyDescent="0.25">
      <c r="A13" s="33">
        <v>97</v>
      </c>
      <c r="B13" s="9">
        <v>42440</v>
      </c>
      <c r="C13" s="20" t="s">
        <v>126</v>
      </c>
      <c r="D13" s="11">
        <v>18399</v>
      </c>
      <c r="E13" s="9">
        <v>42443</v>
      </c>
      <c r="F13" s="15" t="s">
        <v>28</v>
      </c>
      <c r="G13" s="12">
        <v>42444</v>
      </c>
      <c r="H13" s="17">
        <f t="shared" si="0"/>
        <v>18399</v>
      </c>
      <c r="I13" s="17">
        <f>H13</f>
        <v>18399</v>
      </c>
      <c r="J13" s="17"/>
      <c r="K13" s="17"/>
      <c r="L13" s="17">
        <v>14876</v>
      </c>
      <c r="M13" s="22">
        <f t="shared" si="1"/>
        <v>3523</v>
      </c>
      <c r="N13" s="13">
        <f>M13</f>
        <v>3523</v>
      </c>
      <c r="O13" s="30">
        <f t="shared" si="2"/>
        <v>0.19147779770639708</v>
      </c>
    </row>
    <row r="14" spans="1:15" ht="20.100000000000001" customHeight="1" x14ac:dyDescent="0.25">
      <c r="A14" s="33">
        <v>100</v>
      </c>
      <c r="B14" s="9">
        <v>42444</v>
      </c>
      <c r="C14" s="18" t="s">
        <v>19</v>
      </c>
      <c r="D14" s="11">
        <v>17625.8</v>
      </c>
      <c r="E14" s="9">
        <v>42445</v>
      </c>
      <c r="F14" s="15" t="s">
        <v>28</v>
      </c>
      <c r="G14" s="12">
        <v>42446</v>
      </c>
      <c r="H14" s="17">
        <f t="shared" si="0"/>
        <v>17625.8</v>
      </c>
      <c r="L14" s="17">
        <v>11082</v>
      </c>
      <c r="M14" s="22">
        <f t="shared" si="1"/>
        <v>6543.7999999999993</v>
      </c>
      <c r="O14" s="30">
        <f t="shared" si="2"/>
        <v>0.37126258098923165</v>
      </c>
    </row>
    <row r="15" spans="1:15" ht="20.100000000000001" customHeight="1" x14ac:dyDescent="0.25">
      <c r="A15" s="33">
        <v>98</v>
      </c>
      <c r="B15" s="9">
        <v>42443</v>
      </c>
      <c r="C15" s="18" t="s">
        <v>16</v>
      </c>
      <c r="D15" s="11">
        <v>6000</v>
      </c>
      <c r="E15" s="9">
        <v>42445</v>
      </c>
      <c r="F15" s="15" t="s">
        <v>28</v>
      </c>
      <c r="G15" s="12">
        <v>42446</v>
      </c>
      <c r="H15" s="17">
        <f t="shared" si="0"/>
        <v>6000</v>
      </c>
      <c r="K15" s="7">
        <v>300</v>
      </c>
      <c r="L15" s="17">
        <v>2711.56</v>
      </c>
      <c r="M15" s="22">
        <f t="shared" si="1"/>
        <v>2988.44</v>
      </c>
      <c r="O15" s="30">
        <f t="shared" si="2"/>
        <v>0.49807333333333337</v>
      </c>
    </row>
    <row r="16" spans="1:15" ht="20.100000000000001" customHeight="1" x14ac:dyDescent="0.25">
      <c r="A16" s="33">
        <v>102</v>
      </c>
      <c r="B16" s="9">
        <v>42446</v>
      </c>
      <c r="C16" s="20" t="s">
        <v>127</v>
      </c>
      <c r="D16" s="11">
        <v>13108.33</v>
      </c>
      <c r="E16" s="9">
        <v>42446</v>
      </c>
      <c r="F16" s="15" t="s">
        <v>28</v>
      </c>
      <c r="G16" s="12">
        <v>42460</v>
      </c>
      <c r="H16" s="17">
        <f t="shared" si="0"/>
        <v>13108.33</v>
      </c>
      <c r="I16" s="17">
        <f>H16</f>
        <v>13108.33</v>
      </c>
      <c r="J16" s="17"/>
      <c r="K16" s="17"/>
      <c r="L16" s="17">
        <v>5909</v>
      </c>
      <c r="M16" s="22">
        <f t="shared" si="1"/>
        <v>7199.33</v>
      </c>
      <c r="N16" s="13">
        <f>M16</f>
        <v>7199.33</v>
      </c>
      <c r="O16" s="30">
        <f t="shared" si="2"/>
        <v>0.54921794004270563</v>
      </c>
    </row>
    <row r="17" spans="1:15" ht="20.100000000000001" customHeight="1" x14ac:dyDescent="0.25">
      <c r="A17" s="33">
        <v>51</v>
      </c>
      <c r="B17" s="9">
        <v>42419</v>
      </c>
      <c r="C17" s="18" t="s">
        <v>49</v>
      </c>
      <c r="D17" s="11">
        <v>15665.44</v>
      </c>
      <c r="E17" s="9">
        <v>42447</v>
      </c>
      <c r="F17" s="15" t="s">
        <v>28</v>
      </c>
      <c r="G17" s="12">
        <v>42459</v>
      </c>
      <c r="H17" s="17">
        <f t="shared" si="0"/>
        <v>15665.44</v>
      </c>
      <c r="L17" s="17">
        <v>10916</v>
      </c>
      <c r="M17" s="22">
        <f t="shared" si="1"/>
        <v>4749.4400000000005</v>
      </c>
      <c r="O17" s="30">
        <f t="shared" si="2"/>
        <v>0.30317948298930641</v>
      </c>
    </row>
    <row r="18" spans="1:15" ht="20.100000000000001" customHeight="1" x14ac:dyDescent="0.25">
      <c r="A18" s="33">
        <v>106</v>
      </c>
      <c r="B18" s="9">
        <v>42450</v>
      </c>
      <c r="C18" s="20" t="s">
        <v>128</v>
      </c>
      <c r="D18" s="11">
        <v>43290</v>
      </c>
      <c r="E18" s="9">
        <v>42450</v>
      </c>
      <c r="F18" s="15" t="s">
        <v>28</v>
      </c>
      <c r="G18" s="12">
        <v>42454</v>
      </c>
      <c r="H18" s="17">
        <f t="shared" si="0"/>
        <v>43290</v>
      </c>
      <c r="I18" s="17">
        <f>H18</f>
        <v>43290</v>
      </c>
      <c r="J18" s="17"/>
      <c r="K18" s="17"/>
      <c r="L18" s="17">
        <v>28814</v>
      </c>
      <c r="M18" s="22">
        <f t="shared" si="1"/>
        <v>14476</v>
      </c>
      <c r="N18" s="13">
        <f>M18</f>
        <v>14476</v>
      </c>
      <c r="O18" s="30">
        <f t="shared" si="2"/>
        <v>0.3343959343959344</v>
      </c>
    </row>
    <row r="19" spans="1:15" ht="20.100000000000001" customHeight="1" x14ac:dyDescent="0.25">
      <c r="A19" s="33">
        <v>108</v>
      </c>
      <c r="B19" s="9">
        <v>42450</v>
      </c>
      <c r="C19" s="18" t="s">
        <v>19</v>
      </c>
      <c r="D19" s="11">
        <v>5117.42</v>
      </c>
      <c r="E19" s="9">
        <v>42451</v>
      </c>
      <c r="F19" s="15" t="s">
        <v>28</v>
      </c>
      <c r="G19" s="12">
        <v>42452</v>
      </c>
      <c r="H19" s="17">
        <f t="shared" si="0"/>
        <v>5117.42</v>
      </c>
      <c r="L19" s="17">
        <v>3990</v>
      </c>
      <c r="M19" s="22">
        <f t="shared" si="1"/>
        <v>1127.42</v>
      </c>
      <c r="O19" s="30">
        <f t="shared" si="2"/>
        <v>0.22031023445408038</v>
      </c>
    </row>
    <row r="20" spans="1:15" ht="20.100000000000001" customHeight="1" x14ac:dyDescent="0.25">
      <c r="A20" s="33">
        <v>104</v>
      </c>
      <c r="B20" s="9">
        <v>42447</v>
      </c>
      <c r="C20" s="18" t="s">
        <v>65</v>
      </c>
      <c r="D20" s="11">
        <v>8000</v>
      </c>
      <c r="E20" s="9">
        <v>42451</v>
      </c>
      <c r="F20" s="15" t="s">
        <v>28</v>
      </c>
      <c r="G20" s="12">
        <v>42451</v>
      </c>
      <c r="H20" s="17">
        <f t="shared" si="0"/>
        <v>8000</v>
      </c>
      <c r="L20" s="17">
        <v>3778.2</v>
      </c>
      <c r="M20" s="22">
        <f t="shared" si="1"/>
        <v>4221.8</v>
      </c>
      <c r="O20" s="30">
        <f t="shared" si="2"/>
        <v>0.527725</v>
      </c>
    </row>
    <row r="21" spans="1:15" ht="20.100000000000001" customHeight="1" x14ac:dyDescent="0.25">
      <c r="A21" s="33">
        <v>85</v>
      </c>
      <c r="B21" s="9">
        <v>42432</v>
      </c>
      <c r="C21" s="18" t="s">
        <v>108</v>
      </c>
      <c r="D21" s="11">
        <v>110090</v>
      </c>
      <c r="E21" s="9">
        <v>42453</v>
      </c>
      <c r="F21" s="15" t="s">
        <v>28</v>
      </c>
      <c r="G21" s="12">
        <v>42458</v>
      </c>
      <c r="H21" s="17">
        <f t="shared" si="0"/>
        <v>110090</v>
      </c>
      <c r="L21" s="17">
        <v>83228</v>
      </c>
      <c r="M21" s="22">
        <f t="shared" si="1"/>
        <v>26862</v>
      </c>
      <c r="O21" s="30">
        <f t="shared" si="2"/>
        <v>0.2440003633390862</v>
      </c>
    </row>
    <row r="22" spans="1:15" ht="20.100000000000001" customHeight="1" x14ac:dyDescent="0.25">
      <c r="A22" s="33">
        <v>112</v>
      </c>
      <c r="B22" s="9">
        <v>42453</v>
      </c>
      <c r="C22" s="18" t="s">
        <v>43</v>
      </c>
      <c r="D22" s="11">
        <v>1433.98</v>
      </c>
      <c r="E22" s="9">
        <v>42457</v>
      </c>
      <c r="F22" s="15" t="s">
        <v>28</v>
      </c>
      <c r="G22" s="12">
        <v>42457</v>
      </c>
      <c r="H22" s="17">
        <f t="shared" si="0"/>
        <v>1433.98</v>
      </c>
      <c r="L22" s="17">
        <v>1140</v>
      </c>
      <c r="M22" s="22">
        <f t="shared" si="1"/>
        <v>293.98</v>
      </c>
      <c r="O22" s="30">
        <f t="shared" si="2"/>
        <v>0.20500983277312099</v>
      </c>
    </row>
    <row r="23" spans="1:15" ht="20.100000000000001" customHeight="1" x14ac:dyDescent="0.25">
      <c r="A23" s="33">
        <v>88</v>
      </c>
      <c r="B23" s="9">
        <v>42452</v>
      </c>
      <c r="C23" s="18" t="s">
        <v>56</v>
      </c>
      <c r="D23" s="11">
        <v>79323.59</v>
      </c>
      <c r="E23" s="9">
        <v>42460</v>
      </c>
      <c r="F23" s="15" t="s">
        <v>28</v>
      </c>
      <c r="G23" s="12">
        <v>42452</v>
      </c>
      <c r="H23" s="17">
        <f t="shared" si="0"/>
        <v>79323.59</v>
      </c>
      <c r="L23" s="17">
        <v>50516.85</v>
      </c>
      <c r="M23" s="22">
        <f t="shared" si="1"/>
        <v>28806.739999999998</v>
      </c>
      <c r="O23" s="30">
        <f t="shared" si="2"/>
        <v>0.36315476896595322</v>
      </c>
    </row>
    <row r="24" spans="1:15" ht="20.100000000000001" customHeight="1" x14ac:dyDescent="0.25">
      <c r="A24" s="33">
        <v>128</v>
      </c>
      <c r="B24" s="9">
        <v>42460</v>
      </c>
      <c r="C24" s="18" t="s">
        <v>106</v>
      </c>
      <c r="D24" s="11">
        <v>4509.96</v>
      </c>
      <c r="E24" s="9">
        <v>42460</v>
      </c>
      <c r="F24" s="15" t="s">
        <v>28</v>
      </c>
      <c r="G24" s="12">
        <v>42460</v>
      </c>
      <c r="H24" s="17">
        <f t="shared" si="0"/>
        <v>4509.96</v>
      </c>
      <c r="L24" s="17">
        <v>2631.81</v>
      </c>
      <c r="M24" s="22">
        <f t="shared" si="1"/>
        <v>1878.15</v>
      </c>
      <c r="O24" s="30">
        <f t="shared" si="2"/>
        <v>0.41644493521006842</v>
      </c>
    </row>
    <row r="25" spans="1:15" ht="20.100000000000001" customHeight="1" x14ac:dyDescent="0.25">
      <c r="A25" s="33">
        <v>22</v>
      </c>
      <c r="B25" s="9">
        <v>42394</v>
      </c>
      <c r="C25" s="18" t="s">
        <v>38</v>
      </c>
      <c r="D25" s="11">
        <v>121192.7</v>
      </c>
      <c r="E25" s="9">
        <v>42460</v>
      </c>
      <c r="F25" s="15" t="s">
        <v>28</v>
      </c>
      <c r="G25" s="12">
        <v>42429</v>
      </c>
      <c r="H25" s="17">
        <f t="shared" si="0"/>
        <v>121192.7</v>
      </c>
      <c r="J25" s="17">
        <f>D25*0.02</f>
        <v>2423.8539999999998</v>
      </c>
      <c r="L25" s="17">
        <v>78960.92</v>
      </c>
      <c r="M25" s="22">
        <f t="shared" si="1"/>
        <v>39807.925999999999</v>
      </c>
      <c r="O25" s="30">
        <f t="shared" si="2"/>
        <v>0.32846801828823025</v>
      </c>
    </row>
    <row r="26" spans="1:15" ht="20.100000000000001" customHeight="1" x14ac:dyDescent="0.25">
      <c r="A26" s="33">
        <v>23</v>
      </c>
      <c r="B26" s="9">
        <v>42394</v>
      </c>
      <c r="C26" s="18" t="s">
        <v>38</v>
      </c>
      <c r="D26" s="11">
        <v>97890.96</v>
      </c>
      <c r="E26" s="9">
        <v>42460</v>
      </c>
      <c r="F26" s="15" t="s">
        <v>28</v>
      </c>
      <c r="G26" s="12">
        <v>42429</v>
      </c>
      <c r="H26" s="17">
        <f t="shared" si="0"/>
        <v>97890.96</v>
      </c>
      <c r="J26" s="17">
        <f>D26*0.02</f>
        <v>1957.8192000000001</v>
      </c>
      <c r="L26" s="17">
        <v>61344.92</v>
      </c>
      <c r="M26" s="22">
        <f t="shared" si="1"/>
        <v>34588.22080000001</v>
      </c>
      <c r="O26" s="30">
        <f t="shared" si="2"/>
        <v>0.35333416691388059</v>
      </c>
    </row>
    <row r="27" spans="1:15" ht="20.100000000000001" customHeight="1" x14ac:dyDescent="0.25">
      <c r="A27" s="35" t="s">
        <v>535</v>
      </c>
      <c r="B27" s="36"/>
      <c r="C27" s="42"/>
      <c r="D27" s="37"/>
      <c r="E27" s="109" t="s">
        <v>622</v>
      </c>
      <c r="F27" s="47">
        <f>M27*0.17+N27*0.06</f>
        <v>56133.060955999994</v>
      </c>
      <c r="G27" s="21">
        <f>H27*0.05+I27*0.02</f>
        <v>47209.608599999992</v>
      </c>
      <c r="H27" s="45">
        <f>SUBTOTAL(109,Март2016[Продажа])</f>
        <v>903398.21999999974</v>
      </c>
      <c r="I27" s="45">
        <f>SUBTOTAL(109,Март2016[Продажа НК])</f>
        <v>101984.88</v>
      </c>
      <c r="J27" s="45">
        <f>SUBTOTAL(109,Март2016[отк])</f>
        <v>34381.673199999997</v>
      </c>
      <c r="K27" s="45">
        <f>SUBTOTAL(109,Март2016[шланги])</f>
        <v>3300</v>
      </c>
      <c r="L27" s="45">
        <f>SUBTOTAL(109,Март2016[Закупка])</f>
        <v>547457.43999999994</v>
      </c>
      <c r="M27" s="45">
        <f>SUBTOTAL(109,Март2016[Маржа])</f>
        <v>318259.10679999995</v>
      </c>
      <c r="N27" s="45">
        <f>SUBTOTAL(109,Март2016[Маржа НК])</f>
        <v>33816.879999999997</v>
      </c>
      <c r="O27" s="44">
        <f t="shared" si="2"/>
        <v>0.35229104923407978</v>
      </c>
    </row>
    <row r="28" spans="1:15" s="2" customFormat="1" ht="20.100000000000001" customHeight="1" x14ac:dyDescent="0.25">
      <c r="A28" s="41" t="s">
        <v>1</v>
      </c>
      <c r="B28" s="1" t="s">
        <v>0</v>
      </c>
      <c r="C28" s="1" t="s">
        <v>26</v>
      </c>
      <c r="D28" s="1" t="s">
        <v>2</v>
      </c>
      <c r="E28" s="1" t="s">
        <v>3</v>
      </c>
      <c r="F28" s="1" t="s">
        <v>27</v>
      </c>
      <c r="G28" s="1" t="s">
        <v>4</v>
      </c>
      <c r="H28" s="2" t="s">
        <v>132</v>
      </c>
      <c r="I28" s="2" t="s">
        <v>133</v>
      </c>
      <c r="J28" s="40" t="s">
        <v>187</v>
      </c>
      <c r="K28" s="40" t="s">
        <v>188</v>
      </c>
      <c r="L28" s="40" t="s">
        <v>129</v>
      </c>
      <c r="M28" s="40" t="s">
        <v>130</v>
      </c>
      <c r="N28" s="2" t="s">
        <v>131</v>
      </c>
      <c r="O28" s="2" t="s">
        <v>134</v>
      </c>
    </row>
    <row r="29" spans="1:15" ht="20.100000000000001" customHeight="1" x14ac:dyDescent="0.25">
      <c r="A29" s="33">
        <v>107</v>
      </c>
      <c r="B29" s="9">
        <v>42450</v>
      </c>
      <c r="C29" s="18" t="s">
        <v>60</v>
      </c>
      <c r="D29" s="11">
        <v>14835.91</v>
      </c>
      <c r="E29" s="9">
        <v>42475</v>
      </c>
      <c r="F29" s="15" t="s">
        <v>28</v>
      </c>
      <c r="G29" s="12">
        <v>42460</v>
      </c>
      <c r="H29" s="17">
        <f t="shared" ref="H29:H62" si="3">D29</f>
        <v>14835.91</v>
      </c>
      <c r="L29" s="17">
        <v>10365</v>
      </c>
      <c r="M29" s="22">
        <f t="shared" ref="M29:M62" si="4">H29-L29-J29-K29</f>
        <v>4470.91</v>
      </c>
      <c r="O29" s="30">
        <f t="shared" ref="O29:O63" si="5">M29/H29</f>
        <v>0.30135731478554401</v>
      </c>
    </row>
    <row r="30" spans="1:15" ht="20.100000000000001" customHeight="1" x14ac:dyDescent="0.25">
      <c r="A30" s="33">
        <v>127</v>
      </c>
      <c r="B30" s="9">
        <v>42459</v>
      </c>
      <c r="C30" s="18" t="s">
        <v>56</v>
      </c>
      <c r="D30" s="11">
        <v>85251.28</v>
      </c>
      <c r="E30" s="9">
        <v>42480</v>
      </c>
      <c r="F30" s="15" t="s">
        <v>28</v>
      </c>
      <c r="G30" s="12">
        <v>42460</v>
      </c>
      <c r="H30" s="17">
        <f t="shared" si="3"/>
        <v>85251.28</v>
      </c>
      <c r="K30" s="7">
        <v>2400</v>
      </c>
      <c r="L30" s="17">
        <v>43754.37</v>
      </c>
      <c r="M30" s="22">
        <f t="shared" si="4"/>
        <v>39096.909999999996</v>
      </c>
      <c r="O30" s="30">
        <f t="shared" si="5"/>
        <v>0.4586078942157818</v>
      </c>
    </row>
    <row r="31" spans="1:15" ht="20.100000000000001" customHeight="1" x14ac:dyDescent="0.25">
      <c r="A31" s="33">
        <v>24</v>
      </c>
      <c r="B31" s="9">
        <v>42394</v>
      </c>
      <c r="C31" s="18" t="s">
        <v>38</v>
      </c>
      <c r="D31" s="11">
        <v>13724.5</v>
      </c>
      <c r="E31" s="9">
        <v>42486</v>
      </c>
      <c r="F31" s="15" t="s">
        <v>28</v>
      </c>
      <c r="G31" s="12">
        <v>42429</v>
      </c>
      <c r="H31" s="17">
        <f t="shared" si="3"/>
        <v>13724.5</v>
      </c>
      <c r="J31" s="17">
        <f>D31*0.02</f>
        <v>274.49</v>
      </c>
      <c r="L31" s="17">
        <v>9710</v>
      </c>
      <c r="M31" s="22">
        <f t="shared" si="4"/>
        <v>3740.01</v>
      </c>
      <c r="O31" s="30">
        <f t="shared" si="5"/>
        <v>0.27250610222594629</v>
      </c>
    </row>
    <row r="32" spans="1:15" ht="20.100000000000001" customHeight="1" x14ac:dyDescent="0.25">
      <c r="A32" s="33">
        <v>25</v>
      </c>
      <c r="B32" s="9">
        <v>42394</v>
      </c>
      <c r="C32" s="18" t="s">
        <v>38</v>
      </c>
      <c r="D32" s="11">
        <v>142294.54</v>
      </c>
      <c r="E32" s="9">
        <v>42486</v>
      </c>
      <c r="F32" s="15" t="s">
        <v>28</v>
      </c>
      <c r="G32" s="12">
        <v>42429</v>
      </c>
      <c r="H32" s="17">
        <f t="shared" si="3"/>
        <v>142294.54</v>
      </c>
      <c r="J32" s="17">
        <f>D32*0.02</f>
        <v>2845.8908000000001</v>
      </c>
      <c r="K32" s="7">
        <v>1200</v>
      </c>
      <c r="L32" s="17">
        <v>82212.84</v>
      </c>
      <c r="M32" s="22">
        <f t="shared" si="4"/>
        <v>56035.809200000011</v>
      </c>
      <c r="O32" s="30">
        <f t="shared" si="5"/>
        <v>0.39380154150679292</v>
      </c>
    </row>
    <row r="33" spans="1:15" ht="20.100000000000001" customHeight="1" x14ac:dyDescent="0.25">
      <c r="A33" s="33">
        <v>26</v>
      </c>
      <c r="B33" s="9">
        <v>42394</v>
      </c>
      <c r="C33" s="18" t="s">
        <v>38</v>
      </c>
      <c r="D33" s="11">
        <v>142294.54999999999</v>
      </c>
      <c r="E33" s="9">
        <v>42486</v>
      </c>
      <c r="F33" s="15" t="s">
        <v>28</v>
      </c>
      <c r="G33" s="12">
        <v>42429</v>
      </c>
      <c r="H33" s="17">
        <f t="shared" si="3"/>
        <v>142294.54999999999</v>
      </c>
      <c r="J33" s="17">
        <f>D33*0.02</f>
        <v>2845.8909999999996</v>
      </c>
      <c r="K33" s="7">
        <v>1200</v>
      </c>
      <c r="L33" s="17">
        <v>82212.84</v>
      </c>
      <c r="M33" s="22">
        <f t="shared" si="4"/>
        <v>56035.818999999989</v>
      </c>
      <c r="O33" s="30">
        <f t="shared" si="5"/>
        <v>0.39380158270292148</v>
      </c>
    </row>
    <row r="34" spans="1:15" ht="20.100000000000001" customHeight="1" x14ac:dyDescent="0.25">
      <c r="A34" s="33">
        <v>129</v>
      </c>
      <c r="B34" s="9">
        <v>42460</v>
      </c>
      <c r="C34" s="20" t="s">
        <v>135</v>
      </c>
      <c r="D34" s="11">
        <v>47199</v>
      </c>
      <c r="E34" s="9">
        <v>42461</v>
      </c>
      <c r="F34" s="15" t="s">
        <v>28</v>
      </c>
      <c r="G34" s="12">
        <v>42461</v>
      </c>
      <c r="H34" s="17">
        <f t="shared" si="3"/>
        <v>47199</v>
      </c>
      <c r="I34" s="17">
        <f>H34</f>
        <v>47199</v>
      </c>
      <c r="J34" s="17"/>
      <c r="K34" s="17"/>
      <c r="L34" s="17">
        <v>33644</v>
      </c>
      <c r="M34" s="22">
        <f t="shared" si="4"/>
        <v>13555</v>
      </c>
      <c r="N34" s="13">
        <f>M34</f>
        <v>13555</v>
      </c>
      <c r="O34" s="30">
        <f t="shared" si="5"/>
        <v>0.28718828788745526</v>
      </c>
    </row>
    <row r="35" spans="1:15" ht="20.100000000000001" customHeight="1" x14ac:dyDescent="0.25">
      <c r="A35" s="33">
        <v>130</v>
      </c>
      <c r="B35" s="9">
        <v>42460</v>
      </c>
      <c r="C35" s="20" t="s">
        <v>135</v>
      </c>
      <c r="D35" s="11">
        <v>9224.4500000000007</v>
      </c>
      <c r="E35" s="9">
        <v>42461</v>
      </c>
      <c r="F35" s="15" t="s">
        <v>28</v>
      </c>
      <c r="G35" s="12">
        <v>42461</v>
      </c>
      <c r="H35" s="17">
        <f t="shared" si="3"/>
        <v>9224.4500000000007</v>
      </c>
      <c r="I35" s="17">
        <f>H35</f>
        <v>9224.4500000000007</v>
      </c>
      <c r="J35" s="17"/>
      <c r="K35" s="17"/>
      <c r="L35" s="17">
        <v>5270.52</v>
      </c>
      <c r="M35" s="22">
        <f t="shared" si="4"/>
        <v>3953.9300000000003</v>
      </c>
      <c r="N35" s="13">
        <f>M35</f>
        <v>3953.9300000000003</v>
      </c>
      <c r="O35" s="30">
        <f t="shared" si="5"/>
        <v>0.42863585362812961</v>
      </c>
    </row>
    <row r="36" spans="1:15" ht="20.100000000000001" customHeight="1" x14ac:dyDescent="0.25">
      <c r="A36" s="33">
        <v>131</v>
      </c>
      <c r="B36" s="9">
        <v>42464</v>
      </c>
      <c r="C36" s="18" t="s">
        <v>69</v>
      </c>
      <c r="D36" s="11">
        <v>64589</v>
      </c>
      <c r="E36" s="9">
        <v>42495</v>
      </c>
      <c r="F36" s="15" t="s">
        <v>28</v>
      </c>
      <c r="G36" s="12">
        <v>42495</v>
      </c>
      <c r="H36" s="17">
        <f t="shared" si="3"/>
        <v>64589</v>
      </c>
      <c r="L36" s="17">
        <v>34400</v>
      </c>
      <c r="M36" s="22">
        <f t="shared" si="4"/>
        <v>30189</v>
      </c>
      <c r="O36" s="30">
        <f t="shared" si="5"/>
        <v>0.46740156992676773</v>
      </c>
    </row>
    <row r="37" spans="1:15" ht="20.100000000000001" customHeight="1" x14ac:dyDescent="0.25">
      <c r="A37" s="33">
        <v>142</v>
      </c>
      <c r="B37" s="9">
        <v>42468</v>
      </c>
      <c r="C37" s="18" t="s">
        <v>91</v>
      </c>
      <c r="D37" s="11">
        <v>5174.4799999999996</v>
      </c>
      <c r="E37" s="9">
        <v>42468</v>
      </c>
      <c r="F37" s="15" t="s">
        <v>28</v>
      </c>
      <c r="G37" s="12">
        <v>42472</v>
      </c>
      <c r="H37" s="17">
        <f t="shared" si="3"/>
        <v>5174.4799999999996</v>
      </c>
      <c r="L37" s="17">
        <v>3486</v>
      </c>
      <c r="M37" s="22">
        <f t="shared" si="4"/>
        <v>1688.4799999999996</v>
      </c>
      <c r="O37" s="30">
        <f t="shared" si="5"/>
        <v>0.32630911705137516</v>
      </c>
    </row>
    <row r="38" spans="1:15" ht="20.100000000000001" customHeight="1" x14ac:dyDescent="0.25">
      <c r="A38" s="33">
        <v>137</v>
      </c>
      <c r="B38" s="9">
        <v>42466</v>
      </c>
      <c r="C38" s="20" t="s">
        <v>136</v>
      </c>
      <c r="D38" s="11">
        <v>22668</v>
      </c>
      <c r="E38" s="9">
        <v>42468</v>
      </c>
      <c r="F38" s="15" t="s">
        <v>28</v>
      </c>
      <c r="G38" s="12">
        <v>42471</v>
      </c>
      <c r="H38" s="17">
        <f t="shared" si="3"/>
        <v>22668</v>
      </c>
      <c r="I38" s="17">
        <f>H38</f>
        <v>22668</v>
      </c>
      <c r="J38" s="17"/>
      <c r="K38" s="17"/>
      <c r="L38" s="17">
        <v>17875</v>
      </c>
      <c r="M38" s="22">
        <f t="shared" si="4"/>
        <v>4793</v>
      </c>
      <c r="N38" s="13">
        <f>M38</f>
        <v>4793</v>
      </c>
      <c r="O38" s="30">
        <f t="shared" si="5"/>
        <v>0.21144344450326452</v>
      </c>
    </row>
    <row r="39" spans="1:15" ht="20.100000000000001" customHeight="1" x14ac:dyDescent="0.25">
      <c r="A39" s="33">
        <v>117</v>
      </c>
      <c r="B39" s="9">
        <v>42457</v>
      </c>
      <c r="C39" s="18" t="s">
        <v>50</v>
      </c>
      <c r="D39" s="11">
        <v>10741.99</v>
      </c>
      <c r="E39" s="9">
        <v>42466</v>
      </c>
      <c r="F39" s="15" t="s">
        <v>28</v>
      </c>
      <c r="G39" s="12">
        <v>42474</v>
      </c>
      <c r="H39" s="17">
        <f t="shared" si="3"/>
        <v>10741.99</v>
      </c>
      <c r="L39" s="17">
        <v>7876</v>
      </c>
      <c r="M39" s="22">
        <f t="shared" si="4"/>
        <v>2865.99</v>
      </c>
      <c r="O39" s="30">
        <f t="shared" si="5"/>
        <v>0.26680251983105552</v>
      </c>
    </row>
    <row r="40" spans="1:15" ht="20.100000000000001" customHeight="1" x14ac:dyDescent="0.25">
      <c r="A40" s="33">
        <v>138</v>
      </c>
      <c r="B40" s="9">
        <v>42466</v>
      </c>
      <c r="C40" s="20" t="s">
        <v>137</v>
      </c>
      <c r="D40" s="11">
        <v>32890</v>
      </c>
      <c r="E40" s="9">
        <v>42468</v>
      </c>
      <c r="F40" s="15" t="s">
        <v>28</v>
      </c>
      <c r="G40" s="12">
        <v>42471</v>
      </c>
      <c r="H40" s="17">
        <f t="shared" si="3"/>
        <v>32890</v>
      </c>
      <c r="I40" s="17">
        <f>H40</f>
        <v>32890</v>
      </c>
      <c r="J40" s="17"/>
      <c r="K40" s="17"/>
      <c r="L40" s="17">
        <v>25556</v>
      </c>
      <c r="M40" s="22">
        <f t="shared" si="4"/>
        <v>7334</v>
      </c>
      <c r="N40" s="13">
        <f>M40</f>
        <v>7334</v>
      </c>
      <c r="O40" s="30">
        <f t="shared" si="5"/>
        <v>0.22298570994223169</v>
      </c>
    </row>
    <row r="41" spans="1:15" ht="20.100000000000001" customHeight="1" x14ac:dyDescent="0.25">
      <c r="A41" s="33">
        <v>145</v>
      </c>
      <c r="B41" s="9">
        <v>42468</v>
      </c>
      <c r="C41" s="20" t="s">
        <v>138</v>
      </c>
      <c r="D41" s="11">
        <v>30699</v>
      </c>
      <c r="E41" s="9">
        <v>42471</v>
      </c>
      <c r="F41" s="15" t="s">
        <v>28</v>
      </c>
      <c r="G41" s="12">
        <v>42496</v>
      </c>
      <c r="H41" s="17">
        <f t="shared" si="3"/>
        <v>30699</v>
      </c>
      <c r="I41" s="17">
        <f>H41</f>
        <v>30699</v>
      </c>
      <c r="J41" s="17"/>
      <c r="K41" s="17"/>
      <c r="L41" s="17">
        <v>21551</v>
      </c>
      <c r="M41" s="22">
        <f t="shared" si="4"/>
        <v>9148</v>
      </c>
      <c r="N41" s="13">
        <f>M41</f>
        <v>9148</v>
      </c>
      <c r="O41" s="30">
        <f t="shared" si="5"/>
        <v>0.29799016254601129</v>
      </c>
    </row>
    <row r="42" spans="1:15" ht="20.100000000000001" customHeight="1" x14ac:dyDescent="0.25">
      <c r="A42" s="33">
        <v>111</v>
      </c>
      <c r="B42" s="9">
        <v>42465</v>
      </c>
      <c r="C42" s="18" t="s">
        <v>139</v>
      </c>
      <c r="D42" s="11">
        <v>9890</v>
      </c>
      <c r="E42" s="9">
        <v>42471</v>
      </c>
      <c r="F42" s="15" t="s">
        <v>28</v>
      </c>
      <c r="G42" s="12">
        <v>42474</v>
      </c>
      <c r="H42" s="17">
        <f t="shared" si="3"/>
        <v>9890</v>
      </c>
      <c r="L42" s="17">
        <v>7269</v>
      </c>
      <c r="M42" s="22">
        <f t="shared" si="4"/>
        <v>2621</v>
      </c>
      <c r="O42" s="30">
        <f t="shared" si="5"/>
        <v>0.26501516683518705</v>
      </c>
    </row>
    <row r="43" spans="1:15" ht="20.100000000000001" customHeight="1" x14ac:dyDescent="0.25">
      <c r="A43" s="33">
        <v>105</v>
      </c>
      <c r="B43" s="9">
        <v>42461</v>
      </c>
      <c r="C43" s="18" t="s">
        <v>102</v>
      </c>
      <c r="D43" s="11">
        <v>95305.56</v>
      </c>
      <c r="E43" s="9">
        <v>42473</v>
      </c>
      <c r="F43" s="15" t="s">
        <v>28</v>
      </c>
      <c r="G43" s="12">
        <v>42503</v>
      </c>
      <c r="H43" s="17">
        <f t="shared" si="3"/>
        <v>95305.56</v>
      </c>
      <c r="L43" s="17">
        <f>64451+6008</f>
        <v>70459</v>
      </c>
      <c r="M43" s="22">
        <f t="shared" si="4"/>
        <v>24846.559999999998</v>
      </c>
      <c r="O43" s="30">
        <f t="shared" si="5"/>
        <v>0.26070420235713426</v>
      </c>
    </row>
    <row r="44" spans="1:15" ht="20.100000000000001" customHeight="1" x14ac:dyDescent="0.25">
      <c r="A44" s="33">
        <v>153</v>
      </c>
      <c r="B44" s="9">
        <v>42472</v>
      </c>
      <c r="C44" s="20" t="s">
        <v>140</v>
      </c>
      <c r="D44" s="11">
        <v>18078.89</v>
      </c>
      <c r="E44" s="9">
        <v>42474</v>
      </c>
      <c r="F44" s="15" t="s">
        <v>28</v>
      </c>
      <c r="G44" s="12">
        <v>42481</v>
      </c>
      <c r="H44" s="17">
        <f t="shared" si="3"/>
        <v>18078.89</v>
      </c>
      <c r="I44" s="17">
        <f>H44</f>
        <v>18078.89</v>
      </c>
      <c r="J44" s="17"/>
      <c r="K44" s="17"/>
      <c r="L44" s="17">
        <v>16045</v>
      </c>
      <c r="M44" s="22">
        <f t="shared" si="4"/>
        <v>2033.8899999999994</v>
      </c>
      <c r="N44" s="13">
        <f>M44</f>
        <v>2033.8899999999994</v>
      </c>
      <c r="O44" s="30">
        <f t="shared" si="5"/>
        <v>0.11250082278281462</v>
      </c>
    </row>
    <row r="45" spans="1:15" ht="20.100000000000001" customHeight="1" x14ac:dyDescent="0.25">
      <c r="A45" s="33">
        <v>154</v>
      </c>
      <c r="B45" s="9">
        <v>42472</v>
      </c>
      <c r="C45" s="20" t="s">
        <v>140</v>
      </c>
      <c r="D45" s="11">
        <v>8952.5400000000009</v>
      </c>
      <c r="E45" s="9">
        <v>42474</v>
      </c>
      <c r="F45" s="15" t="s">
        <v>28</v>
      </c>
      <c r="G45" s="12">
        <v>42481</v>
      </c>
      <c r="H45" s="17">
        <f t="shared" si="3"/>
        <v>8952.5400000000009</v>
      </c>
      <c r="I45" s="17">
        <f>H45</f>
        <v>8952.5400000000009</v>
      </c>
      <c r="J45" s="17"/>
      <c r="K45" s="17"/>
      <c r="L45" s="17">
        <v>6941</v>
      </c>
      <c r="M45" s="22">
        <f t="shared" si="4"/>
        <v>2011.5400000000009</v>
      </c>
      <c r="N45" s="13">
        <f>M45</f>
        <v>2011.5400000000009</v>
      </c>
      <c r="O45" s="30">
        <f t="shared" si="5"/>
        <v>0.22468930605169044</v>
      </c>
    </row>
    <row r="46" spans="1:15" ht="20.100000000000001" customHeight="1" x14ac:dyDescent="0.25">
      <c r="A46" s="33">
        <v>143</v>
      </c>
      <c r="B46" s="9">
        <v>42468</v>
      </c>
      <c r="C46" s="18" t="s">
        <v>56</v>
      </c>
      <c r="D46" s="11">
        <v>28771.63</v>
      </c>
      <c r="E46" s="9">
        <v>42486</v>
      </c>
      <c r="F46" s="15" t="s">
        <v>28</v>
      </c>
      <c r="G46" s="12">
        <v>42478</v>
      </c>
      <c r="H46" s="17">
        <f t="shared" si="3"/>
        <v>28771.63</v>
      </c>
      <c r="L46" s="17">
        <v>18068.16</v>
      </c>
      <c r="M46" s="22">
        <f t="shared" si="4"/>
        <v>10703.470000000001</v>
      </c>
      <c r="O46" s="30">
        <f t="shared" si="5"/>
        <v>0.37201472422660797</v>
      </c>
    </row>
    <row r="47" spans="1:15" ht="20.100000000000001" customHeight="1" x14ac:dyDescent="0.25">
      <c r="A47" s="33">
        <v>134</v>
      </c>
      <c r="B47" s="9">
        <v>42465</v>
      </c>
      <c r="C47" s="18" t="s">
        <v>53</v>
      </c>
      <c r="D47" s="11">
        <v>64470.33</v>
      </c>
      <c r="E47" s="9">
        <v>42475</v>
      </c>
      <c r="F47" s="15" t="s">
        <v>28</v>
      </c>
      <c r="G47" s="12">
        <v>42516</v>
      </c>
      <c r="H47" s="17">
        <f t="shared" si="3"/>
        <v>64470.33</v>
      </c>
      <c r="L47" s="17">
        <v>47668</v>
      </c>
      <c r="M47" s="22">
        <f t="shared" si="4"/>
        <v>16802.330000000002</v>
      </c>
      <c r="O47" s="30">
        <f t="shared" si="5"/>
        <v>0.26062112602805043</v>
      </c>
    </row>
    <row r="48" spans="1:15" ht="20.100000000000001" customHeight="1" x14ac:dyDescent="0.25">
      <c r="A48" s="33">
        <v>144</v>
      </c>
      <c r="B48" s="9">
        <v>42474</v>
      </c>
      <c r="C48" s="18" t="s">
        <v>60</v>
      </c>
      <c r="D48" s="11">
        <v>2127.96</v>
      </c>
      <c r="E48" s="9">
        <v>42482</v>
      </c>
      <c r="F48" s="15" t="s">
        <v>28</v>
      </c>
      <c r="G48" s="12">
        <v>42479</v>
      </c>
      <c r="H48" s="17">
        <f t="shared" si="3"/>
        <v>2127.96</v>
      </c>
      <c r="L48" s="17">
        <v>1608</v>
      </c>
      <c r="M48" s="22">
        <f t="shared" si="4"/>
        <v>519.96</v>
      </c>
      <c r="O48" s="30">
        <f t="shared" si="5"/>
        <v>0.24434669824620764</v>
      </c>
    </row>
    <row r="49" spans="1:15" ht="20.100000000000001" customHeight="1" x14ac:dyDescent="0.25">
      <c r="A49" s="33">
        <v>158</v>
      </c>
      <c r="B49" s="9">
        <v>42478</v>
      </c>
      <c r="C49" s="20" t="s">
        <v>141</v>
      </c>
      <c r="D49" s="11">
        <v>4130.76</v>
      </c>
      <c r="E49" s="9">
        <v>42478</v>
      </c>
      <c r="F49" s="15" t="s">
        <v>28</v>
      </c>
      <c r="G49" s="12">
        <v>42482</v>
      </c>
      <c r="H49" s="17">
        <f t="shared" si="3"/>
        <v>4130.76</v>
      </c>
      <c r="I49" s="17">
        <f>H49</f>
        <v>4130.76</v>
      </c>
      <c r="J49" s="17"/>
      <c r="K49" s="17"/>
      <c r="L49" s="17">
        <v>3114</v>
      </c>
      <c r="M49" s="22">
        <f t="shared" si="4"/>
        <v>1016.7600000000002</v>
      </c>
      <c r="N49" s="13">
        <f>M49</f>
        <v>1016.7600000000002</v>
      </c>
      <c r="O49" s="30">
        <f t="shared" si="5"/>
        <v>0.24614356680126664</v>
      </c>
    </row>
    <row r="50" spans="1:15" ht="20.100000000000001" customHeight="1" x14ac:dyDescent="0.25">
      <c r="A50" s="33">
        <v>164</v>
      </c>
      <c r="B50" s="9">
        <v>42480</v>
      </c>
      <c r="C50" s="18" t="s">
        <v>40</v>
      </c>
      <c r="D50" s="11">
        <v>31590</v>
      </c>
      <c r="E50" s="9">
        <v>42481</v>
      </c>
      <c r="F50" s="15" t="s">
        <v>28</v>
      </c>
      <c r="G50" s="12">
        <v>42480</v>
      </c>
      <c r="H50" s="17">
        <f t="shared" si="3"/>
        <v>31590</v>
      </c>
      <c r="L50" s="17">
        <v>25556</v>
      </c>
      <c r="M50" s="22">
        <f t="shared" si="4"/>
        <v>6034</v>
      </c>
      <c r="O50" s="30">
        <f t="shared" si="5"/>
        <v>0.19100981323203545</v>
      </c>
    </row>
    <row r="51" spans="1:15" ht="20.100000000000001" customHeight="1" x14ac:dyDescent="0.25">
      <c r="A51" s="33">
        <v>161</v>
      </c>
      <c r="B51" s="9">
        <v>42479</v>
      </c>
      <c r="C51" s="18" t="s">
        <v>34</v>
      </c>
      <c r="D51" s="11">
        <v>1950.13</v>
      </c>
      <c r="E51" s="9">
        <v>42480</v>
      </c>
      <c r="F51" s="15" t="s">
        <v>28</v>
      </c>
      <c r="G51" s="12">
        <v>42485</v>
      </c>
      <c r="H51" s="17">
        <f t="shared" si="3"/>
        <v>1950.13</v>
      </c>
      <c r="L51" s="17">
        <v>1866</v>
      </c>
      <c r="M51" s="22">
        <f t="shared" si="4"/>
        <v>84.130000000000109</v>
      </c>
      <c r="O51" s="30">
        <f t="shared" si="5"/>
        <v>4.3140713696010066E-2</v>
      </c>
    </row>
    <row r="52" spans="1:15" ht="20.100000000000001" customHeight="1" x14ac:dyDescent="0.25">
      <c r="A52" s="33">
        <v>20</v>
      </c>
      <c r="B52" s="9">
        <v>42451</v>
      </c>
      <c r="C52" s="18" t="s">
        <v>13</v>
      </c>
      <c r="D52" s="11">
        <v>5174.4799999999996</v>
      </c>
      <c r="E52" s="9">
        <v>42480</v>
      </c>
      <c r="F52" s="15" t="s">
        <v>28</v>
      </c>
      <c r="G52" s="12">
        <v>42453</v>
      </c>
      <c r="H52" s="17">
        <f t="shared" si="3"/>
        <v>5174.4799999999996</v>
      </c>
      <c r="L52" s="17">
        <v>3486</v>
      </c>
      <c r="M52" s="22">
        <f t="shared" si="4"/>
        <v>1688.4799999999996</v>
      </c>
      <c r="O52" s="30">
        <f t="shared" si="5"/>
        <v>0.32630911705137516</v>
      </c>
    </row>
    <row r="53" spans="1:15" ht="20.100000000000001" customHeight="1" x14ac:dyDescent="0.25">
      <c r="A53" s="33">
        <v>156</v>
      </c>
      <c r="B53" s="9">
        <v>42474</v>
      </c>
      <c r="C53" s="18" t="s">
        <v>89</v>
      </c>
      <c r="D53" s="11">
        <v>9701.02</v>
      </c>
      <c r="E53" s="9">
        <v>42480</v>
      </c>
      <c r="F53" s="15" t="s">
        <v>28</v>
      </c>
      <c r="G53" s="12">
        <v>42481</v>
      </c>
      <c r="H53" s="17">
        <f t="shared" si="3"/>
        <v>9701.02</v>
      </c>
      <c r="L53" s="17">
        <v>7334</v>
      </c>
      <c r="M53" s="22">
        <f t="shared" si="4"/>
        <v>2367.0200000000004</v>
      </c>
      <c r="O53" s="30">
        <f t="shared" si="5"/>
        <v>0.24399702299345846</v>
      </c>
    </row>
    <row r="54" spans="1:15" ht="20.100000000000001" customHeight="1" x14ac:dyDescent="0.25">
      <c r="A54" s="33">
        <v>152</v>
      </c>
      <c r="B54" s="9">
        <v>42471</v>
      </c>
      <c r="C54" s="18" t="s">
        <v>33</v>
      </c>
      <c r="D54" s="11">
        <v>1568.36</v>
      </c>
      <c r="E54" s="9">
        <v>42481</v>
      </c>
      <c r="F54" s="15" t="s">
        <v>28</v>
      </c>
      <c r="G54" s="12">
        <v>42495</v>
      </c>
      <c r="H54" s="17">
        <f t="shared" si="3"/>
        <v>1568.36</v>
      </c>
      <c r="L54" s="17">
        <v>941</v>
      </c>
      <c r="M54" s="22">
        <f t="shared" si="4"/>
        <v>627.3599999999999</v>
      </c>
      <c r="O54" s="30">
        <f t="shared" si="5"/>
        <v>0.40001020173939655</v>
      </c>
    </row>
    <row r="55" spans="1:15" ht="20.100000000000001" customHeight="1" x14ac:dyDescent="0.25">
      <c r="A55" s="33">
        <v>170</v>
      </c>
      <c r="B55" s="9">
        <v>42485</v>
      </c>
      <c r="C55" s="20" t="s">
        <v>143</v>
      </c>
      <c r="D55" s="11">
        <v>9490</v>
      </c>
      <c r="E55" s="9">
        <v>42485</v>
      </c>
      <c r="F55" s="15" t="s">
        <v>28</v>
      </c>
      <c r="G55" s="12">
        <v>42485</v>
      </c>
      <c r="H55" s="17">
        <f t="shared" si="3"/>
        <v>9490</v>
      </c>
      <c r="I55" s="17">
        <f>H55</f>
        <v>9490</v>
      </c>
      <c r="J55" s="17"/>
      <c r="K55" s="17"/>
      <c r="L55" s="17">
        <v>8036</v>
      </c>
      <c r="M55" s="22">
        <f t="shared" si="4"/>
        <v>1454</v>
      </c>
      <c r="N55" s="13">
        <f>M55</f>
        <v>1454</v>
      </c>
      <c r="O55" s="30">
        <f t="shared" si="5"/>
        <v>0.15321390937829293</v>
      </c>
    </row>
    <row r="56" spans="1:15" ht="20.100000000000001" customHeight="1" x14ac:dyDescent="0.25">
      <c r="A56" s="33">
        <v>169</v>
      </c>
      <c r="B56" s="9">
        <v>42482</v>
      </c>
      <c r="C56" s="18" t="s">
        <v>144</v>
      </c>
      <c r="D56" s="11">
        <v>10900.87</v>
      </c>
      <c r="E56" s="9">
        <v>42485</v>
      </c>
      <c r="F56" s="15" t="s">
        <v>28</v>
      </c>
      <c r="G56" s="12">
        <v>42523</v>
      </c>
      <c r="H56" s="17">
        <f t="shared" si="3"/>
        <v>10900.87</v>
      </c>
      <c r="L56" s="17">
        <f>4886+2174</f>
        <v>7060</v>
      </c>
      <c r="M56" s="22">
        <f t="shared" si="4"/>
        <v>3840.8700000000008</v>
      </c>
      <c r="O56" s="30">
        <f t="shared" si="5"/>
        <v>0.35234527152419948</v>
      </c>
    </row>
    <row r="57" spans="1:15" ht="19.5" customHeight="1" x14ac:dyDescent="0.25">
      <c r="A57" s="33">
        <v>175</v>
      </c>
      <c r="B57" s="9">
        <v>42487</v>
      </c>
      <c r="C57" s="18" t="s">
        <v>34</v>
      </c>
      <c r="D57" s="11">
        <v>7290</v>
      </c>
      <c r="E57" s="9">
        <v>42487</v>
      </c>
      <c r="F57" s="15" t="s">
        <v>28</v>
      </c>
      <c r="G57" s="12">
        <v>42489</v>
      </c>
      <c r="H57" s="17">
        <f t="shared" si="3"/>
        <v>7290</v>
      </c>
      <c r="L57" s="17">
        <v>5897</v>
      </c>
      <c r="M57" s="22">
        <f t="shared" si="4"/>
        <v>1393</v>
      </c>
      <c r="O57" s="30">
        <f t="shared" si="5"/>
        <v>0.19108367626886144</v>
      </c>
    </row>
    <row r="58" spans="1:15" ht="20.100000000000001" customHeight="1" x14ac:dyDescent="0.25">
      <c r="A58" s="33">
        <v>159</v>
      </c>
      <c r="B58" s="9">
        <v>42478</v>
      </c>
      <c r="C58" s="20" t="s">
        <v>145</v>
      </c>
      <c r="D58" s="11">
        <v>32890</v>
      </c>
      <c r="E58" s="9">
        <v>42487</v>
      </c>
      <c r="F58" s="15" t="s">
        <v>28</v>
      </c>
      <c r="G58" s="12">
        <v>42488</v>
      </c>
      <c r="H58" s="17">
        <f t="shared" si="3"/>
        <v>32890</v>
      </c>
      <c r="I58" s="17">
        <f>H58</f>
        <v>32890</v>
      </c>
      <c r="J58" s="17"/>
      <c r="K58" s="17"/>
      <c r="L58" s="17">
        <v>25556</v>
      </c>
      <c r="M58" s="22">
        <f t="shared" si="4"/>
        <v>7334</v>
      </c>
      <c r="N58" s="13">
        <f>M58</f>
        <v>7334</v>
      </c>
      <c r="O58" s="30">
        <f t="shared" si="5"/>
        <v>0.22298570994223169</v>
      </c>
    </row>
    <row r="59" spans="1:15" ht="20.100000000000001" customHeight="1" x14ac:dyDescent="0.25">
      <c r="A59" s="33">
        <v>176</v>
      </c>
      <c r="B59" s="9">
        <v>42488</v>
      </c>
      <c r="C59" s="18" t="s">
        <v>42</v>
      </c>
      <c r="D59" s="11">
        <v>28257.17</v>
      </c>
      <c r="E59" s="9">
        <v>42489</v>
      </c>
      <c r="F59" s="15" t="s">
        <v>28</v>
      </c>
      <c r="G59" s="12">
        <v>42510</v>
      </c>
      <c r="H59" s="17">
        <f t="shared" si="3"/>
        <v>28257.17</v>
      </c>
      <c r="L59" s="17">
        <v>22180</v>
      </c>
      <c r="M59" s="22">
        <f t="shared" si="4"/>
        <v>6077.1699999999983</v>
      </c>
      <c r="O59" s="30">
        <f t="shared" si="5"/>
        <v>0.21506647693311109</v>
      </c>
    </row>
    <row r="60" spans="1:15" ht="20.100000000000001" customHeight="1" x14ac:dyDescent="0.25">
      <c r="A60" s="33">
        <v>177</v>
      </c>
      <c r="B60" s="9">
        <v>42488</v>
      </c>
      <c r="C60" s="18" t="s">
        <v>118</v>
      </c>
      <c r="D60" s="11">
        <v>9490</v>
      </c>
      <c r="E60" s="9">
        <v>42488</v>
      </c>
      <c r="F60" s="15" t="s">
        <v>28</v>
      </c>
      <c r="G60" s="12">
        <v>42489</v>
      </c>
      <c r="H60" s="17">
        <f t="shared" si="3"/>
        <v>9490</v>
      </c>
      <c r="L60" s="17">
        <v>8036</v>
      </c>
      <c r="M60" s="22">
        <f t="shared" si="4"/>
        <v>1454</v>
      </c>
      <c r="O60" s="30">
        <f t="shared" si="5"/>
        <v>0.15321390937829293</v>
      </c>
    </row>
    <row r="61" spans="1:15" ht="20.100000000000001" customHeight="1" x14ac:dyDescent="0.25">
      <c r="A61" s="33">
        <v>179</v>
      </c>
      <c r="B61" s="9">
        <v>42489</v>
      </c>
      <c r="C61" s="20" t="s">
        <v>145</v>
      </c>
      <c r="D61" s="11">
        <v>7637.56</v>
      </c>
      <c r="E61" s="9">
        <v>42489</v>
      </c>
      <c r="F61" s="15" t="s">
        <v>28</v>
      </c>
      <c r="G61" s="12">
        <v>42508</v>
      </c>
      <c r="H61" s="17">
        <f t="shared" si="3"/>
        <v>7637.56</v>
      </c>
      <c r="I61" s="17">
        <f>H61</f>
        <v>7637.56</v>
      </c>
      <c r="J61" s="17"/>
      <c r="K61" s="17"/>
      <c r="L61" s="17">
        <v>5775</v>
      </c>
      <c r="M61" s="22">
        <f t="shared" si="4"/>
        <v>1862.5600000000004</v>
      </c>
      <c r="N61" s="13">
        <f>M61</f>
        <v>1862.5600000000004</v>
      </c>
      <c r="O61" s="30">
        <f t="shared" si="5"/>
        <v>0.24386846060783815</v>
      </c>
    </row>
    <row r="62" spans="1:15" ht="20.100000000000001" customHeight="1" x14ac:dyDescent="0.25">
      <c r="A62" s="33">
        <v>173</v>
      </c>
      <c r="B62" s="9">
        <v>42486</v>
      </c>
      <c r="C62" s="20" t="s">
        <v>146</v>
      </c>
      <c r="D62" s="11">
        <v>5040.08</v>
      </c>
      <c r="E62" s="9">
        <v>42489</v>
      </c>
      <c r="F62" s="15" t="s">
        <v>28</v>
      </c>
      <c r="G62" s="12">
        <v>42496</v>
      </c>
      <c r="H62" s="17">
        <f t="shared" si="3"/>
        <v>5040.08</v>
      </c>
      <c r="I62" s="17">
        <f>H62</f>
        <v>5040.08</v>
      </c>
      <c r="J62" s="17"/>
      <c r="K62" s="17"/>
      <c r="L62" s="17">
        <v>3962</v>
      </c>
      <c r="M62" s="22">
        <f t="shared" si="4"/>
        <v>1078.08</v>
      </c>
      <c r="N62" s="13">
        <f>M62</f>
        <v>1078.08</v>
      </c>
      <c r="O62" s="30">
        <f t="shared" si="5"/>
        <v>0.21390136664497389</v>
      </c>
    </row>
    <row r="63" spans="1:15" ht="15.75" x14ac:dyDescent="0.25">
      <c r="A63" s="35" t="s">
        <v>535</v>
      </c>
      <c r="B63" s="36"/>
      <c r="C63" s="48"/>
      <c r="D63" s="37"/>
      <c r="E63" s="83" t="s">
        <v>617</v>
      </c>
      <c r="F63" s="47">
        <f>M63*0.17+N63*0.06</f>
        <v>59223.182094000003</v>
      </c>
      <c r="G63" s="21">
        <f>H63*0.05+I63*0.02</f>
        <v>55292.707600000009</v>
      </c>
      <c r="H63" s="45">
        <f>SUBTOTAL(109,Апрель2016[Продажа])</f>
        <v>1014294.04</v>
      </c>
      <c r="I63" s="45">
        <f>SUBTOTAL(109,Апрель2016[Продажа НК])</f>
        <v>228900.28000000003</v>
      </c>
      <c r="J63" s="45">
        <f>SUBTOTAL(109,Апрель2016[отк])</f>
        <v>5966.2717999999995</v>
      </c>
      <c r="K63" s="45">
        <f>SUBTOTAL(109,Апрель2016[шланги])</f>
        <v>4800</v>
      </c>
      <c r="L63" s="45">
        <f>SUBTOTAL(109,Апрель2016[Закупка])</f>
        <v>674770.73</v>
      </c>
      <c r="M63" s="45">
        <f>SUBTOTAL(109,Апрель2016[Маржа])</f>
        <v>328757.03820000001</v>
      </c>
      <c r="N63" s="45">
        <f>SUBTOTAL(109,Апрель2016[Маржа НК])</f>
        <v>55574.76</v>
      </c>
      <c r="O63" s="44">
        <f t="shared" si="5"/>
        <v>0.32412399682443171</v>
      </c>
    </row>
    <row r="64" spans="1:15" ht="20.100000000000001" customHeight="1" x14ac:dyDescent="0.25">
      <c r="A64" s="41" t="s">
        <v>1</v>
      </c>
      <c r="B64" s="1" t="s">
        <v>0</v>
      </c>
      <c r="C64" s="1" t="s">
        <v>26</v>
      </c>
      <c r="D64" s="1" t="s">
        <v>2</v>
      </c>
      <c r="E64" s="1" t="s">
        <v>3</v>
      </c>
      <c r="F64" s="1" t="s">
        <v>27</v>
      </c>
      <c r="G64" s="1" t="s">
        <v>4</v>
      </c>
      <c r="H64" s="2" t="s">
        <v>132</v>
      </c>
      <c r="I64" s="2" t="s">
        <v>133</v>
      </c>
      <c r="J64" s="40" t="s">
        <v>187</v>
      </c>
      <c r="K64" s="40" t="s">
        <v>188</v>
      </c>
      <c r="L64" s="40" t="s">
        <v>129</v>
      </c>
      <c r="M64" s="40" t="s">
        <v>130</v>
      </c>
      <c r="N64" s="2" t="s">
        <v>131</v>
      </c>
      <c r="O64" s="2" t="s">
        <v>134</v>
      </c>
    </row>
    <row r="65" spans="1:15" ht="20.100000000000001" customHeight="1" x14ac:dyDescent="0.25">
      <c r="A65" s="33">
        <v>110</v>
      </c>
      <c r="B65" s="9">
        <v>42452</v>
      </c>
      <c r="C65" s="18" t="s">
        <v>99</v>
      </c>
      <c r="D65" s="11">
        <v>267240.5</v>
      </c>
      <c r="E65" s="9">
        <v>42507</v>
      </c>
      <c r="F65" s="15" t="s">
        <v>28</v>
      </c>
      <c r="G65" s="12">
        <v>42472</v>
      </c>
      <c r="H65" s="17">
        <f t="shared" ref="H65:H88" si="6">D65</f>
        <v>267240.5</v>
      </c>
      <c r="J65" s="7">
        <v>60000</v>
      </c>
      <c r="K65" s="7">
        <v>6000</v>
      </c>
      <c r="L65" s="17">
        <v>63317.94</v>
      </c>
      <c r="M65" s="22">
        <f t="shared" ref="M65:M88" si="7">H65-L65-J65-K65</f>
        <v>137922.56</v>
      </c>
      <c r="O65" s="30">
        <f t="shared" ref="O65:O89" si="8">M65/H65</f>
        <v>0.51609901942258007</v>
      </c>
    </row>
    <row r="66" spans="1:15" ht="20.100000000000001" customHeight="1" x14ac:dyDescent="0.25">
      <c r="A66" s="33">
        <v>125</v>
      </c>
      <c r="B66" s="9">
        <v>42458</v>
      </c>
      <c r="C66" s="18" t="s">
        <v>99</v>
      </c>
      <c r="D66" s="11">
        <v>153394.79999999999</v>
      </c>
      <c r="E66" s="9">
        <v>42507</v>
      </c>
      <c r="F66" s="15" t="s">
        <v>28</v>
      </c>
      <c r="G66" s="12">
        <v>42496</v>
      </c>
      <c r="H66" s="17">
        <f t="shared" si="6"/>
        <v>153394.79999999999</v>
      </c>
      <c r="L66" s="17">
        <v>112650</v>
      </c>
      <c r="M66" s="22">
        <f t="shared" si="7"/>
        <v>40744.799999999988</v>
      </c>
      <c r="O66" s="30">
        <f t="shared" si="8"/>
        <v>0.26562047735646838</v>
      </c>
    </row>
    <row r="67" spans="1:15" ht="20.100000000000001" customHeight="1" x14ac:dyDescent="0.25">
      <c r="A67" s="33">
        <v>171</v>
      </c>
      <c r="B67" s="9">
        <v>42485</v>
      </c>
      <c r="C67" s="18" t="s">
        <v>56</v>
      </c>
      <c r="D67" s="11">
        <v>44761.39</v>
      </c>
      <c r="E67" s="9">
        <v>42507</v>
      </c>
      <c r="F67" s="15" t="s">
        <v>28</v>
      </c>
      <c r="G67" s="12">
        <v>42495</v>
      </c>
      <c r="H67" s="17">
        <f t="shared" si="6"/>
        <v>44761.39</v>
      </c>
      <c r="L67" s="17">
        <v>32798</v>
      </c>
      <c r="M67" s="22">
        <f t="shared" si="7"/>
        <v>11963.39</v>
      </c>
      <c r="O67" s="30">
        <f t="shared" si="8"/>
        <v>0.26727029701267097</v>
      </c>
    </row>
    <row r="68" spans="1:15" ht="20.100000000000001" customHeight="1" x14ac:dyDescent="0.25">
      <c r="A68" s="33">
        <v>162</v>
      </c>
      <c r="B68" s="9">
        <v>42489</v>
      </c>
      <c r="C68" s="18" t="s">
        <v>114</v>
      </c>
      <c r="D68" s="11">
        <v>4154.7</v>
      </c>
      <c r="E68" s="9">
        <v>42501</v>
      </c>
      <c r="F68" s="15" t="s">
        <v>28</v>
      </c>
      <c r="G68" s="12">
        <v>42495</v>
      </c>
      <c r="H68" s="17">
        <f t="shared" si="6"/>
        <v>4154.7</v>
      </c>
      <c r="L68" s="17">
        <v>3020</v>
      </c>
      <c r="M68" s="22">
        <f t="shared" si="7"/>
        <v>1134.6999999999998</v>
      </c>
      <c r="O68" s="30">
        <f t="shared" si="8"/>
        <v>0.27311237875177508</v>
      </c>
    </row>
    <row r="69" spans="1:15" ht="20.100000000000001" customHeight="1" x14ac:dyDescent="0.25">
      <c r="A69" s="33">
        <v>184</v>
      </c>
      <c r="B69" s="9">
        <v>42494</v>
      </c>
      <c r="C69" s="20" t="s">
        <v>147</v>
      </c>
      <c r="D69" s="11">
        <v>2181.5300000000002</v>
      </c>
      <c r="E69" s="9">
        <v>42495</v>
      </c>
      <c r="F69" s="15" t="s">
        <v>28</v>
      </c>
      <c r="G69" s="12">
        <v>42508</v>
      </c>
      <c r="H69" s="17">
        <f t="shared" si="6"/>
        <v>2181.5300000000002</v>
      </c>
      <c r="I69" s="17">
        <f>H69</f>
        <v>2181.5300000000002</v>
      </c>
      <c r="J69" s="17"/>
      <c r="K69" s="17"/>
      <c r="L69" s="17">
        <v>1803</v>
      </c>
      <c r="M69" s="22">
        <f t="shared" si="7"/>
        <v>378.5300000000002</v>
      </c>
      <c r="N69" s="13">
        <f>M69</f>
        <v>378.5300000000002</v>
      </c>
      <c r="O69" s="30">
        <f t="shared" si="8"/>
        <v>0.17351583521656827</v>
      </c>
    </row>
    <row r="70" spans="1:15" ht="20.100000000000001" customHeight="1" x14ac:dyDescent="0.25">
      <c r="A70" s="33">
        <v>193</v>
      </c>
      <c r="B70" s="9">
        <v>42501</v>
      </c>
      <c r="C70" s="20" t="s">
        <v>147</v>
      </c>
      <c r="D70" s="11">
        <v>5411</v>
      </c>
      <c r="E70" s="9">
        <v>42502</v>
      </c>
      <c r="F70" s="15" t="s">
        <v>28</v>
      </c>
      <c r="G70" s="12">
        <v>42508</v>
      </c>
      <c r="H70" s="17">
        <f t="shared" si="6"/>
        <v>5411</v>
      </c>
      <c r="I70" s="17">
        <f>H70</f>
        <v>5411</v>
      </c>
      <c r="J70" s="17"/>
      <c r="K70" s="17"/>
      <c r="L70" s="17">
        <v>3377</v>
      </c>
      <c r="M70" s="22">
        <f t="shared" si="7"/>
        <v>2034</v>
      </c>
      <c r="N70" s="13">
        <f>M70</f>
        <v>2034</v>
      </c>
      <c r="O70" s="30">
        <f t="shared" si="8"/>
        <v>0.37590094252448714</v>
      </c>
    </row>
    <row r="71" spans="1:15" ht="20.100000000000001" customHeight="1" x14ac:dyDescent="0.25">
      <c r="A71" s="33">
        <v>180</v>
      </c>
      <c r="B71" s="9">
        <v>42489</v>
      </c>
      <c r="C71" s="20" t="s">
        <v>148</v>
      </c>
      <c r="D71" s="11">
        <v>3200.16</v>
      </c>
      <c r="E71" s="9">
        <v>42494</v>
      </c>
      <c r="F71" s="15" t="s">
        <v>28</v>
      </c>
      <c r="G71" s="12">
        <v>42508</v>
      </c>
      <c r="H71" s="17">
        <f t="shared" si="6"/>
        <v>3200.16</v>
      </c>
      <c r="I71" s="17">
        <f>H71</f>
        <v>3200.16</v>
      </c>
      <c r="J71" s="17"/>
      <c r="K71" s="17"/>
      <c r="L71" s="17">
        <v>1920</v>
      </c>
      <c r="M71" s="22">
        <f t="shared" si="7"/>
        <v>1280.1599999999999</v>
      </c>
      <c r="N71" s="13">
        <f>M71</f>
        <v>1280.1599999999999</v>
      </c>
      <c r="O71" s="30">
        <f t="shared" si="8"/>
        <v>0.40002999850007498</v>
      </c>
    </row>
    <row r="72" spans="1:15" ht="20.100000000000001" customHeight="1" x14ac:dyDescent="0.25">
      <c r="A72" s="33">
        <v>166</v>
      </c>
      <c r="B72" s="9">
        <v>42481</v>
      </c>
      <c r="C72" s="18" t="s">
        <v>142</v>
      </c>
      <c r="D72" s="11">
        <v>15540.7</v>
      </c>
      <c r="E72" s="9">
        <v>42507</v>
      </c>
      <c r="F72" s="15" t="s">
        <v>28</v>
      </c>
      <c r="G72" s="12">
        <v>42495</v>
      </c>
      <c r="H72" s="17">
        <f t="shared" si="6"/>
        <v>15540.7</v>
      </c>
      <c r="L72" s="17">
        <f>412*2+154*20+166*10+351*15</f>
        <v>10829</v>
      </c>
      <c r="M72" s="22">
        <f t="shared" si="7"/>
        <v>4711.7000000000007</v>
      </c>
      <c r="O72" s="30">
        <f t="shared" si="8"/>
        <v>0.30318454123688127</v>
      </c>
    </row>
    <row r="73" spans="1:15" ht="20.100000000000001" customHeight="1" x14ac:dyDescent="0.25">
      <c r="A73" s="33">
        <v>188</v>
      </c>
      <c r="B73" s="9">
        <v>42496</v>
      </c>
      <c r="C73" s="20" t="s">
        <v>149</v>
      </c>
      <c r="D73" s="11">
        <v>38590</v>
      </c>
      <c r="E73" s="9">
        <v>42501</v>
      </c>
      <c r="F73" s="15" t="s">
        <v>28</v>
      </c>
      <c r="G73" s="12">
        <v>42508</v>
      </c>
      <c r="H73" s="17">
        <f t="shared" si="6"/>
        <v>38590</v>
      </c>
      <c r="I73" s="17">
        <f>H73</f>
        <v>38590</v>
      </c>
      <c r="J73" s="17"/>
      <c r="K73" s="17"/>
      <c r="L73" s="17">
        <v>31571</v>
      </c>
      <c r="M73" s="22">
        <f t="shared" si="7"/>
        <v>7019</v>
      </c>
      <c r="N73" s="13">
        <f>M73</f>
        <v>7019</v>
      </c>
      <c r="O73" s="30">
        <f t="shared" si="8"/>
        <v>0.18188649909302929</v>
      </c>
    </row>
    <row r="74" spans="1:15" ht="20.100000000000001" customHeight="1" x14ac:dyDescent="0.25">
      <c r="A74" s="33">
        <v>194</v>
      </c>
      <c r="B74" s="9">
        <v>42502</v>
      </c>
      <c r="C74" s="18" t="s">
        <v>86</v>
      </c>
      <c r="D74" s="11">
        <v>10721</v>
      </c>
      <c r="E74" s="9">
        <v>42507</v>
      </c>
      <c r="F74" s="15" t="s">
        <v>28</v>
      </c>
      <c r="G74" s="12">
        <v>42527</v>
      </c>
      <c r="H74" s="17">
        <f t="shared" si="6"/>
        <v>10721</v>
      </c>
      <c r="L74" s="17">
        <v>7593</v>
      </c>
      <c r="M74" s="22">
        <f t="shared" si="7"/>
        <v>3128</v>
      </c>
      <c r="N74" s="13"/>
      <c r="O74" s="30">
        <f t="shared" si="8"/>
        <v>0.29176382800111927</v>
      </c>
    </row>
    <row r="75" spans="1:15" ht="20.100000000000001" customHeight="1" x14ac:dyDescent="0.25">
      <c r="A75" s="33">
        <v>199</v>
      </c>
      <c r="B75" s="9">
        <v>42506</v>
      </c>
      <c r="C75" s="18" t="s">
        <v>77</v>
      </c>
      <c r="D75" s="11">
        <v>1537.25</v>
      </c>
      <c r="E75" s="9">
        <v>42507</v>
      </c>
      <c r="F75" s="15" t="s">
        <v>28</v>
      </c>
      <c r="G75" s="12">
        <v>42510</v>
      </c>
      <c r="H75" s="17">
        <f t="shared" si="6"/>
        <v>1537.25</v>
      </c>
      <c r="L75" s="17">
        <v>1163</v>
      </c>
      <c r="M75" s="22">
        <f t="shared" si="7"/>
        <v>374.25</v>
      </c>
      <c r="O75" s="30">
        <f t="shared" si="8"/>
        <v>0.24345422019840623</v>
      </c>
    </row>
    <row r="76" spans="1:15" ht="20.100000000000001" customHeight="1" x14ac:dyDescent="0.25">
      <c r="A76" s="33">
        <v>206</v>
      </c>
      <c r="B76" s="9">
        <v>42506</v>
      </c>
      <c r="C76" s="18" t="s">
        <v>66</v>
      </c>
      <c r="D76" s="11">
        <v>20587.62</v>
      </c>
      <c r="E76" s="9">
        <v>42514</v>
      </c>
      <c r="F76" s="15" t="s">
        <v>28</v>
      </c>
      <c r="G76" s="12">
        <v>42508</v>
      </c>
      <c r="H76" s="17">
        <f t="shared" si="6"/>
        <v>20587.62</v>
      </c>
      <c r="L76" s="17">
        <v>15222</v>
      </c>
      <c r="M76" s="22">
        <f t="shared" si="7"/>
        <v>5365.619999999999</v>
      </c>
      <c r="O76" s="30">
        <f t="shared" si="8"/>
        <v>0.26062361749439711</v>
      </c>
    </row>
    <row r="77" spans="1:15" ht="20.100000000000001" customHeight="1" x14ac:dyDescent="0.25">
      <c r="A77" s="33">
        <v>140</v>
      </c>
      <c r="B77" s="9">
        <v>42467</v>
      </c>
      <c r="C77" s="18" t="s">
        <v>65</v>
      </c>
      <c r="D77" s="11">
        <v>34980</v>
      </c>
      <c r="E77" s="9">
        <v>42509</v>
      </c>
      <c r="F77" s="15" t="s">
        <v>28</v>
      </c>
      <c r="G77" s="12">
        <v>42514</v>
      </c>
      <c r="H77" s="17">
        <f t="shared" si="6"/>
        <v>34980</v>
      </c>
      <c r="L77" s="17">
        <v>27312</v>
      </c>
      <c r="M77" s="22">
        <f t="shared" si="7"/>
        <v>7668</v>
      </c>
      <c r="O77" s="30">
        <f t="shared" si="8"/>
        <v>0.21921097770154374</v>
      </c>
    </row>
    <row r="78" spans="1:15" ht="20.100000000000001" customHeight="1" x14ac:dyDescent="0.25">
      <c r="A78" s="33">
        <v>207</v>
      </c>
      <c r="B78" s="9">
        <v>42506</v>
      </c>
      <c r="C78" s="18" t="s">
        <v>66</v>
      </c>
      <c r="D78" s="11">
        <v>12656.39</v>
      </c>
      <c r="E78" s="9">
        <v>42510</v>
      </c>
      <c r="F78" s="15" t="s">
        <v>28</v>
      </c>
      <c r="G78" s="12">
        <v>42551</v>
      </c>
      <c r="H78" s="17">
        <f t="shared" si="6"/>
        <v>12656.39</v>
      </c>
      <c r="L78" s="17">
        <v>10397</v>
      </c>
      <c r="M78" s="22">
        <f t="shared" si="7"/>
        <v>2259.3899999999994</v>
      </c>
      <c r="O78" s="30">
        <f t="shared" si="8"/>
        <v>0.17851772898907189</v>
      </c>
    </row>
    <row r="79" spans="1:15" ht="20.100000000000001" customHeight="1" x14ac:dyDescent="0.25">
      <c r="A79" s="33">
        <v>214</v>
      </c>
      <c r="B79" s="9">
        <v>42509</v>
      </c>
      <c r="C79" s="20" t="s">
        <v>150</v>
      </c>
      <c r="D79" s="11">
        <v>3069.18</v>
      </c>
      <c r="E79" s="9">
        <v>42510</v>
      </c>
      <c r="F79" s="15" t="s">
        <v>28</v>
      </c>
      <c r="G79" s="12">
        <v>42513</v>
      </c>
      <c r="H79" s="17">
        <f t="shared" si="6"/>
        <v>3069.18</v>
      </c>
      <c r="I79" s="17">
        <f>H79</f>
        <v>3069.18</v>
      </c>
      <c r="J79" s="17"/>
      <c r="K79" s="17"/>
      <c r="L79" s="17">
        <v>1758</v>
      </c>
      <c r="M79" s="22">
        <f t="shared" si="7"/>
        <v>1311.1799999999998</v>
      </c>
      <c r="N79" s="13">
        <f>M79</f>
        <v>1311.1799999999998</v>
      </c>
      <c r="O79" s="30">
        <f t="shared" si="8"/>
        <v>0.42720857036732934</v>
      </c>
    </row>
    <row r="80" spans="1:15" ht="20.100000000000001" customHeight="1" x14ac:dyDescent="0.25">
      <c r="A80" s="33">
        <v>215</v>
      </c>
      <c r="B80" s="9">
        <v>42509</v>
      </c>
      <c r="C80" s="18" t="s">
        <v>77</v>
      </c>
      <c r="D80" s="11">
        <v>3074.5</v>
      </c>
      <c r="E80" s="9">
        <v>42514</v>
      </c>
      <c r="F80" s="15" t="s">
        <v>28</v>
      </c>
      <c r="G80" s="12">
        <v>42517</v>
      </c>
      <c r="H80" s="17">
        <f t="shared" si="6"/>
        <v>3074.5</v>
      </c>
      <c r="L80" s="17">
        <v>2326</v>
      </c>
      <c r="M80" s="22">
        <f t="shared" si="7"/>
        <v>748.5</v>
      </c>
      <c r="O80" s="30">
        <f t="shared" si="8"/>
        <v>0.24345422019840623</v>
      </c>
    </row>
    <row r="81" spans="1:15" ht="20.100000000000001" customHeight="1" x14ac:dyDescent="0.25">
      <c r="A81" s="33">
        <v>141</v>
      </c>
      <c r="B81" s="9">
        <v>42515</v>
      </c>
      <c r="C81" s="18" t="s">
        <v>65</v>
      </c>
      <c r="D81" s="11">
        <v>74912</v>
      </c>
      <c r="E81" s="9">
        <v>42520</v>
      </c>
      <c r="F81" s="15" t="s">
        <v>28</v>
      </c>
      <c r="G81" s="12">
        <v>42520</v>
      </c>
      <c r="H81" s="17">
        <f t="shared" si="6"/>
        <v>74912</v>
      </c>
      <c r="L81" s="17">
        <v>55273</v>
      </c>
      <c r="M81" s="22">
        <f t="shared" si="7"/>
        <v>19639</v>
      </c>
      <c r="O81" s="30">
        <f t="shared" si="8"/>
        <v>0.26216093549765057</v>
      </c>
    </row>
    <row r="82" spans="1:15" ht="20.100000000000001" customHeight="1" x14ac:dyDescent="0.25">
      <c r="A82" s="33">
        <v>201</v>
      </c>
      <c r="B82" s="9">
        <v>42506</v>
      </c>
      <c r="C82" s="18" t="s">
        <v>137</v>
      </c>
      <c r="D82" s="11">
        <v>689.42</v>
      </c>
      <c r="E82" s="9">
        <v>42515</v>
      </c>
      <c r="F82" s="15" t="s">
        <v>28</v>
      </c>
      <c r="G82" s="12">
        <v>42517</v>
      </c>
      <c r="H82" s="17">
        <f t="shared" si="6"/>
        <v>689.42</v>
      </c>
      <c r="L82" s="17">
        <v>542</v>
      </c>
      <c r="M82" s="22">
        <f t="shared" si="7"/>
        <v>147.41999999999996</v>
      </c>
      <c r="O82" s="30">
        <f t="shared" si="8"/>
        <v>0.21383191668358906</v>
      </c>
    </row>
    <row r="83" spans="1:15" ht="20.100000000000001" customHeight="1" x14ac:dyDescent="0.25">
      <c r="A83" s="33">
        <v>221</v>
      </c>
      <c r="B83" s="9">
        <v>42516</v>
      </c>
      <c r="C83" s="20" t="s">
        <v>151</v>
      </c>
      <c r="D83" s="11">
        <v>3807.27</v>
      </c>
      <c r="E83" s="9">
        <v>42520</v>
      </c>
      <c r="F83" s="15" t="s">
        <v>28</v>
      </c>
      <c r="G83" s="12">
        <v>42520</v>
      </c>
      <c r="H83" s="17">
        <f t="shared" si="6"/>
        <v>3807.27</v>
      </c>
      <c r="I83" s="17">
        <f>H83</f>
        <v>3807.27</v>
      </c>
      <c r="J83" s="17"/>
      <c r="K83" s="17"/>
      <c r="L83" s="17">
        <v>2879</v>
      </c>
      <c r="M83" s="22">
        <f t="shared" si="7"/>
        <v>928.27</v>
      </c>
      <c r="N83" s="13">
        <f>M83</f>
        <v>928.27</v>
      </c>
      <c r="O83" s="30">
        <f t="shared" si="8"/>
        <v>0.24381512212162521</v>
      </c>
    </row>
    <row r="84" spans="1:15" ht="20.100000000000001" customHeight="1" x14ac:dyDescent="0.25">
      <c r="A84" s="33">
        <v>223</v>
      </c>
      <c r="B84" s="9">
        <v>42516</v>
      </c>
      <c r="C84" s="20" t="s">
        <v>153</v>
      </c>
      <c r="D84" s="11">
        <v>41690</v>
      </c>
      <c r="E84" s="9">
        <v>42520</v>
      </c>
      <c r="F84" s="15" t="s">
        <v>28</v>
      </c>
      <c r="G84" s="12">
        <v>42521</v>
      </c>
      <c r="H84" s="17">
        <f t="shared" si="6"/>
        <v>41690</v>
      </c>
      <c r="I84" s="17">
        <f>H84</f>
        <v>41690</v>
      </c>
      <c r="J84" s="17"/>
      <c r="K84" s="17"/>
      <c r="L84" s="17">
        <v>32727</v>
      </c>
      <c r="M84" s="22">
        <f t="shared" si="7"/>
        <v>8963</v>
      </c>
      <c r="N84" s="13">
        <f>M84</f>
        <v>8963</v>
      </c>
      <c r="O84" s="30">
        <f t="shared" si="8"/>
        <v>0.21499160470136724</v>
      </c>
    </row>
    <row r="85" spans="1:15" ht="20.100000000000001" customHeight="1" x14ac:dyDescent="0.25">
      <c r="A85" s="33">
        <v>217</v>
      </c>
      <c r="B85" s="9">
        <v>42510</v>
      </c>
      <c r="C85" s="20" t="s">
        <v>147</v>
      </c>
      <c r="D85" s="11">
        <v>7425.15</v>
      </c>
      <c r="E85" s="9">
        <v>42520</v>
      </c>
      <c r="F85" s="15" t="s">
        <v>28</v>
      </c>
      <c r="G85" s="12">
        <v>42522</v>
      </c>
      <c r="H85" s="17">
        <f t="shared" si="6"/>
        <v>7425.15</v>
      </c>
      <c r="I85" s="17">
        <f>H85</f>
        <v>7425.15</v>
      </c>
      <c r="J85" s="17"/>
      <c r="K85" s="17"/>
      <c r="L85" s="17">
        <v>4960</v>
      </c>
      <c r="M85" s="22">
        <f t="shared" si="7"/>
        <v>2465.1499999999996</v>
      </c>
      <c r="N85" s="13">
        <f>M85</f>
        <v>2465.1499999999996</v>
      </c>
      <c r="O85" s="30">
        <f t="shared" si="8"/>
        <v>0.33200002693548275</v>
      </c>
    </row>
    <row r="86" spans="1:15" ht="20.100000000000001" customHeight="1" x14ac:dyDescent="0.25">
      <c r="A86" s="33">
        <v>234</v>
      </c>
      <c r="B86" s="9">
        <v>42521</v>
      </c>
      <c r="C86" s="20" t="s">
        <v>154</v>
      </c>
      <c r="D86" s="11">
        <v>24877</v>
      </c>
      <c r="E86" s="9">
        <v>42521</v>
      </c>
      <c r="F86" s="15" t="s">
        <v>28</v>
      </c>
      <c r="G86" s="12">
        <v>42521</v>
      </c>
      <c r="H86" s="17">
        <f t="shared" si="6"/>
        <v>24877</v>
      </c>
      <c r="I86" s="17">
        <f>H86</f>
        <v>24877</v>
      </c>
      <c r="J86" s="17"/>
      <c r="K86" s="17"/>
      <c r="L86" s="17">
        <v>18533</v>
      </c>
      <c r="M86" s="22">
        <f t="shared" si="7"/>
        <v>6344</v>
      </c>
      <c r="N86" s="13">
        <f>M86</f>
        <v>6344</v>
      </c>
      <c r="O86" s="30">
        <f t="shared" si="8"/>
        <v>0.25501467218716084</v>
      </c>
    </row>
    <row r="87" spans="1:15" ht="19.5" customHeight="1" x14ac:dyDescent="0.25">
      <c r="A87" s="33">
        <v>232</v>
      </c>
      <c r="B87" s="9">
        <v>42520</v>
      </c>
      <c r="C87" s="18" t="s">
        <v>49</v>
      </c>
      <c r="D87" s="11">
        <v>9021.69</v>
      </c>
      <c r="E87" s="9">
        <v>42521</v>
      </c>
      <c r="F87" s="15" t="s">
        <v>28</v>
      </c>
      <c r="G87" s="12">
        <v>42577</v>
      </c>
      <c r="H87" s="17">
        <f t="shared" si="6"/>
        <v>9021.69</v>
      </c>
      <c r="I87" s="17"/>
      <c r="J87" s="17"/>
      <c r="K87" s="17"/>
      <c r="L87" s="13">
        <v>3522.47</v>
      </c>
      <c r="M87" s="22">
        <f t="shared" si="7"/>
        <v>5499.2200000000012</v>
      </c>
      <c r="N87" s="13"/>
      <c r="O87" s="30">
        <f t="shared" si="8"/>
        <v>0.60955541589214446</v>
      </c>
    </row>
    <row r="88" spans="1:15" ht="15.75" x14ac:dyDescent="0.25">
      <c r="A88" s="33">
        <v>203</v>
      </c>
      <c r="B88" s="9">
        <v>42506</v>
      </c>
      <c r="C88" s="18" t="s">
        <v>140</v>
      </c>
      <c r="D88" s="11">
        <v>1073.51</v>
      </c>
      <c r="E88" s="9">
        <v>42508</v>
      </c>
      <c r="F88" s="15" t="s">
        <v>28</v>
      </c>
      <c r="G88" s="12">
        <v>42555</v>
      </c>
      <c r="H88" s="17">
        <f t="shared" si="6"/>
        <v>1073.51</v>
      </c>
      <c r="L88" s="17">
        <v>768</v>
      </c>
      <c r="M88" s="22">
        <f t="shared" si="7"/>
        <v>305.51</v>
      </c>
      <c r="O88" s="30">
        <f t="shared" si="8"/>
        <v>0.28458980354165309</v>
      </c>
    </row>
    <row r="89" spans="1:15" s="2" customFormat="1" ht="20.100000000000001" customHeight="1" x14ac:dyDescent="0.25">
      <c r="A89" s="35" t="s">
        <v>535</v>
      </c>
      <c r="B89" s="36"/>
      <c r="C89" s="48"/>
      <c r="D89" s="37"/>
      <c r="E89" s="83" t="s">
        <v>618</v>
      </c>
      <c r="F89" s="47">
        <f>M89*0.17+N89*0.06</f>
        <v>48140.406900000002</v>
      </c>
      <c r="G89" s="21">
        <f>H89*0.05+I89*0.02</f>
        <v>41834.863800000014</v>
      </c>
      <c r="H89" s="45">
        <f>SUBTOTAL(109,Май2016[Продажа])</f>
        <v>784596.76000000013</v>
      </c>
      <c r="I89" s="45">
        <f>SUBTOTAL(109,Май2016[Продажа НК])</f>
        <v>130251.29</v>
      </c>
      <c r="J89" s="45">
        <f>SUBTOTAL(109,Май2016[отк])</f>
        <v>60000</v>
      </c>
      <c r="K89" s="45">
        <f>SUBTOTAL(109,Май2016[шланги])</f>
        <v>6000</v>
      </c>
      <c r="L89" s="45">
        <f>SUBTOTAL(109,Май2016[Закупка])</f>
        <v>446261.41</v>
      </c>
      <c r="M89" s="45">
        <f>SUBTOTAL(109,Май2016[Маржа])</f>
        <v>272335.34999999998</v>
      </c>
      <c r="N89" s="45">
        <f>SUBTOTAL(109,Май2016[Маржа НК])</f>
        <v>30723.29</v>
      </c>
      <c r="O89" s="44">
        <f t="shared" si="8"/>
        <v>0.34710231278548731</v>
      </c>
    </row>
    <row r="90" spans="1:15" ht="20.100000000000001" customHeight="1" x14ac:dyDescent="0.25">
      <c r="A90" s="41" t="s">
        <v>1</v>
      </c>
      <c r="B90" s="1" t="s">
        <v>0</v>
      </c>
      <c r="C90" s="1" t="s">
        <v>26</v>
      </c>
      <c r="D90" s="1" t="s">
        <v>2</v>
      </c>
      <c r="E90" s="1" t="s">
        <v>3</v>
      </c>
      <c r="F90" s="1" t="s">
        <v>27</v>
      </c>
      <c r="G90" s="1" t="s">
        <v>4</v>
      </c>
      <c r="H90" s="2" t="s">
        <v>132</v>
      </c>
      <c r="I90" s="2" t="s">
        <v>133</v>
      </c>
      <c r="J90" s="40" t="s">
        <v>187</v>
      </c>
      <c r="K90" s="40" t="s">
        <v>188</v>
      </c>
      <c r="L90" s="40" t="s">
        <v>129</v>
      </c>
      <c r="M90" s="40" t="s">
        <v>130</v>
      </c>
      <c r="N90" s="2" t="s">
        <v>131</v>
      </c>
      <c r="O90" s="2" t="s">
        <v>134</v>
      </c>
    </row>
    <row r="91" spans="1:15" ht="20.100000000000001" customHeight="1" x14ac:dyDescent="0.25">
      <c r="A91" s="33">
        <v>224</v>
      </c>
      <c r="B91" s="9">
        <v>42517</v>
      </c>
      <c r="C91" s="20" t="s">
        <v>152</v>
      </c>
      <c r="D91" s="11">
        <v>4755.1099999999997</v>
      </c>
      <c r="E91" s="9">
        <v>42528</v>
      </c>
      <c r="F91" s="15" t="s">
        <v>28</v>
      </c>
      <c r="G91" s="12">
        <v>42517</v>
      </c>
      <c r="H91" s="17">
        <f t="shared" ref="H91:H121" si="9">D91</f>
        <v>4755.1099999999997</v>
      </c>
      <c r="I91" s="17">
        <f>H91</f>
        <v>4755.1099999999997</v>
      </c>
      <c r="J91" s="17"/>
      <c r="K91" s="17"/>
      <c r="L91" s="17">
        <v>3739</v>
      </c>
      <c r="M91" s="22">
        <f t="shared" ref="M91:M112" si="10">H91-L91-J91-K91</f>
        <v>1016.1099999999997</v>
      </c>
      <c r="N91" s="13">
        <f>M91</f>
        <v>1016.1099999999997</v>
      </c>
      <c r="O91" s="30">
        <f t="shared" ref="O91:O122" si="11">M91/H91</f>
        <v>0.21368801142350013</v>
      </c>
    </row>
    <row r="92" spans="1:15" ht="20.100000000000001" customHeight="1" x14ac:dyDescent="0.25">
      <c r="A92" s="33">
        <v>209</v>
      </c>
      <c r="B92" s="9">
        <v>42507</v>
      </c>
      <c r="C92" s="18" t="s">
        <v>13</v>
      </c>
      <c r="D92" s="11">
        <v>2587.2399999999998</v>
      </c>
      <c r="E92" s="9">
        <v>42522</v>
      </c>
      <c r="F92" s="15" t="s">
        <v>28</v>
      </c>
      <c r="G92" s="12">
        <v>42513</v>
      </c>
      <c r="H92" s="17">
        <f t="shared" si="9"/>
        <v>2587.2399999999998</v>
      </c>
      <c r="L92" s="17">
        <v>1956</v>
      </c>
      <c r="M92" s="22">
        <f t="shared" si="10"/>
        <v>631.23999999999978</v>
      </c>
      <c r="N92" s="13"/>
      <c r="O92" s="30">
        <f t="shared" si="11"/>
        <v>0.24398200398880654</v>
      </c>
    </row>
    <row r="93" spans="1:15" ht="20.100000000000001" customHeight="1" x14ac:dyDescent="0.25">
      <c r="A93" s="33">
        <v>191</v>
      </c>
      <c r="B93" s="9">
        <v>42503</v>
      </c>
      <c r="C93" s="18" t="s">
        <v>56</v>
      </c>
      <c r="D93" s="11">
        <v>34021.25</v>
      </c>
      <c r="E93" s="9">
        <v>42528</v>
      </c>
      <c r="F93" s="15" t="s">
        <v>28</v>
      </c>
      <c r="G93" s="12">
        <v>42520</v>
      </c>
      <c r="H93" s="17">
        <f t="shared" si="9"/>
        <v>34021.25</v>
      </c>
      <c r="L93" s="17">
        <v>25870.14</v>
      </c>
      <c r="M93" s="22">
        <f t="shared" si="10"/>
        <v>8151.1100000000006</v>
      </c>
      <c r="O93" s="30">
        <f t="shared" si="11"/>
        <v>0.23958878642025205</v>
      </c>
    </row>
    <row r="94" spans="1:15" ht="20.100000000000001" customHeight="1" x14ac:dyDescent="0.25">
      <c r="A94" s="33">
        <v>236</v>
      </c>
      <c r="B94" s="9">
        <v>42522</v>
      </c>
      <c r="C94" s="20" t="s">
        <v>155</v>
      </c>
      <c r="D94" s="11">
        <v>4256.8500000000004</v>
      </c>
      <c r="E94" s="9">
        <v>42522</v>
      </c>
      <c r="F94" s="15" t="s">
        <v>28</v>
      </c>
      <c r="G94" s="12">
        <v>42522</v>
      </c>
      <c r="H94" s="17">
        <f t="shared" si="9"/>
        <v>4256.8500000000004</v>
      </c>
      <c r="I94" s="17">
        <f>H94</f>
        <v>4256.8500000000004</v>
      </c>
      <c r="J94" s="17"/>
      <c r="K94" s="17"/>
      <c r="L94" s="17">
        <v>2792</v>
      </c>
      <c r="M94" s="22">
        <f t="shared" si="10"/>
        <v>1464.8500000000004</v>
      </c>
      <c r="N94" s="13">
        <f>M94</f>
        <v>1464.8500000000004</v>
      </c>
      <c r="O94" s="30">
        <f t="shared" si="11"/>
        <v>0.34411595428544589</v>
      </c>
    </row>
    <row r="95" spans="1:15" ht="20.100000000000001" customHeight="1" x14ac:dyDescent="0.25">
      <c r="A95" s="33">
        <v>239</v>
      </c>
      <c r="B95" s="9">
        <v>42524</v>
      </c>
      <c r="C95" s="18" t="s">
        <v>122</v>
      </c>
      <c r="D95" s="11">
        <v>10014</v>
      </c>
      <c r="E95" s="9">
        <v>42524</v>
      </c>
      <c r="F95" s="15" t="s">
        <v>28</v>
      </c>
      <c r="G95" s="12">
        <v>42524</v>
      </c>
      <c r="H95" s="17">
        <f t="shared" si="9"/>
        <v>10014</v>
      </c>
      <c r="L95" s="17">
        <v>7445</v>
      </c>
      <c r="M95" s="22">
        <f t="shared" si="10"/>
        <v>2569</v>
      </c>
      <c r="O95" s="30">
        <f t="shared" si="11"/>
        <v>0.25654084282005191</v>
      </c>
    </row>
    <row r="96" spans="1:15" ht="20.100000000000001" customHeight="1" x14ac:dyDescent="0.25">
      <c r="A96" s="33">
        <v>208</v>
      </c>
      <c r="B96" s="9">
        <v>42507</v>
      </c>
      <c r="C96" s="20" t="s">
        <v>156</v>
      </c>
      <c r="D96" s="11">
        <v>4611.75</v>
      </c>
      <c r="E96" s="9">
        <v>42524</v>
      </c>
      <c r="F96" s="15" t="s">
        <v>28</v>
      </c>
      <c r="G96" s="12">
        <v>42527</v>
      </c>
      <c r="H96" s="17">
        <f t="shared" si="9"/>
        <v>4611.75</v>
      </c>
      <c r="I96" s="17">
        <f>H96</f>
        <v>4611.75</v>
      </c>
      <c r="J96" s="17"/>
      <c r="K96" s="17"/>
      <c r="L96" s="17">
        <v>3489</v>
      </c>
      <c r="M96" s="22">
        <f t="shared" si="10"/>
        <v>1122.75</v>
      </c>
      <c r="N96" s="13">
        <f>M96</f>
        <v>1122.75</v>
      </c>
      <c r="O96" s="30">
        <f t="shared" si="11"/>
        <v>0.24345422019840623</v>
      </c>
    </row>
    <row r="97" spans="1:15" ht="20.100000000000001" customHeight="1" x14ac:dyDescent="0.25">
      <c r="A97" s="33">
        <v>235</v>
      </c>
      <c r="B97" s="9">
        <v>42521</v>
      </c>
      <c r="C97" s="18" t="s">
        <v>157</v>
      </c>
      <c r="D97" s="11">
        <v>1084</v>
      </c>
      <c r="E97" s="9">
        <v>42530</v>
      </c>
      <c r="F97" s="15" t="s">
        <v>28</v>
      </c>
      <c r="G97" s="12">
        <v>42531</v>
      </c>
      <c r="H97" s="17">
        <f t="shared" si="9"/>
        <v>1084</v>
      </c>
      <c r="L97" s="17">
        <v>853</v>
      </c>
      <c r="M97" s="22">
        <f t="shared" si="10"/>
        <v>231</v>
      </c>
      <c r="O97" s="30">
        <f t="shared" si="11"/>
        <v>0.21309963099630996</v>
      </c>
    </row>
    <row r="98" spans="1:15" ht="20.100000000000001" customHeight="1" x14ac:dyDescent="0.25">
      <c r="A98" s="33">
        <v>238</v>
      </c>
      <c r="B98" s="9">
        <v>42523</v>
      </c>
      <c r="C98" s="18" t="s">
        <v>157</v>
      </c>
      <c r="D98" s="11">
        <v>6028</v>
      </c>
      <c r="E98" s="9">
        <v>42528</v>
      </c>
      <c r="F98" s="15" t="s">
        <v>28</v>
      </c>
      <c r="G98" s="12">
        <v>42528</v>
      </c>
      <c r="H98" s="17">
        <f t="shared" si="9"/>
        <v>6028</v>
      </c>
      <c r="L98" s="17">
        <v>4189</v>
      </c>
      <c r="M98" s="22">
        <f t="shared" si="10"/>
        <v>1839</v>
      </c>
      <c r="O98" s="30">
        <f t="shared" si="11"/>
        <v>0.30507631055076312</v>
      </c>
    </row>
    <row r="99" spans="1:15" ht="20.100000000000001" customHeight="1" x14ac:dyDescent="0.25">
      <c r="A99" s="33">
        <v>213</v>
      </c>
      <c r="B99" s="9">
        <v>42515</v>
      </c>
      <c r="C99" s="20" t="s">
        <v>158</v>
      </c>
      <c r="D99" s="11">
        <v>17490</v>
      </c>
      <c r="E99" s="9">
        <v>42528</v>
      </c>
      <c r="F99" s="15" t="s">
        <v>28</v>
      </c>
      <c r="G99" s="12">
        <v>42529</v>
      </c>
      <c r="H99" s="17">
        <f t="shared" si="9"/>
        <v>17490</v>
      </c>
      <c r="I99" s="17">
        <f>H99</f>
        <v>17490</v>
      </c>
      <c r="J99" s="17"/>
      <c r="K99" s="17"/>
      <c r="L99" s="17">
        <v>13656</v>
      </c>
      <c r="M99" s="22">
        <f t="shared" si="10"/>
        <v>3834</v>
      </c>
      <c r="N99" s="13">
        <f>M99</f>
        <v>3834</v>
      </c>
      <c r="O99" s="30">
        <f t="shared" si="11"/>
        <v>0.21921097770154374</v>
      </c>
    </row>
    <row r="100" spans="1:15" ht="20.100000000000001" customHeight="1" x14ac:dyDescent="0.25">
      <c r="A100" s="33">
        <v>251</v>
      </c>
      <c r="B100" s="9">
        <v>42529</v>
      </c>
      <c r="C100" s="20" t="s">
        <v>160</v>
      </c>
      <c r="D100" s="11">
        <v>16890</v>
      </c>
      <c r="E100" s="9">
        <v>42529</v>
      </c>
      <c r="F100" s="15" t="s">
        <v>28</v>
      </c>
      <c r="G100" s="12">
        <v>42529</v>
      </c>
      <c r="H100" s="17">
        <f t="shared" si="9"/>
        <v>16890</v>
      </c>
      <c r="I100" s="17">
        <f>H100</f>
        <v>16890</v>
      </c>
      <c r="J100" s="17"/>
      <c r="K100" s="17"/>
      <c r="L100" s="17">
        <v>13656</v>
      </c>
      <c r="M100" s="22">
        <f t="shared" si="10"/>
        <v>3234</v>
      </c>
      <c r="N100" s="13">
        <f>M100</f>
        <v>3234</v>
      </c>
      <c r="O100" s="30">
        <f t="shared" si="11"/>
        <v>0.19147424511545294</v>
      </c>
    </row>
    <row r="101" spans="1:15" ht="20.100000000000001" customHeight="1" x14ac:dyDescent="0.25">
      <c r="A101" s="33">
        <v>187</v>
      </c>
      <c r="B101" s="9">
        <v>42496</v>
      </c>
      <c r="C101" s="18" t="s">
        <v>140</v>
      </c>
      <c r="D101" s="11">
        <v>1978.86</v>
      </c>
      <c r="E101" s="9">
        <v>42529</v>
      </c>
      <c r="F101" s="15" t="s">
        <v>28</v>
      </c>
      <c r="G101" s="12">
        <v>42555</v>
      </c>
      <c r="H101" s="17">
        <f t="shared" si="9"/>
        <v>1978.86</v>
      </c>
      <c r="L101" s="17">
        <v>1187</v>
      </c>
      <c r="M101" s="22">
        <f t="shared" si="10"/>
        <v>791.8599999999999</v>
      </c>
      <c r="O101" s="30">
        <f t="shared" si="11"/>
        <v>0.40015968790111478</v>
      </c>
    </row>
    <row r="102" spans="1:15" ht="20.100000000000001" customHeight="1" x14ac:dyDescent="0.25">
      <c r="A102" s="33">
        <v>198</v>
      </c>
      <c r="B102" s="9">
        <v>42503</v>
      </c>
      <c r="C102" s="18" t="s">
        <v>83</v>
      </c>
      <c r="D102" s="11">
        <v>4138.28</v>
      </c>
      <c r="E102" s="9">
        <v>42531</v>
      </c>
      <c r="F102" s="15" t="s">
        <v>28</v>
      </c>
      <c r="G102" s="12">
        <v>42535</v>
      </c>
      <c r="H102" s="17">
        <f t="shared" si="9"/>
        <v>4138.28</v>
      </c>
      <c r="L102" s="17">
        <v>3285</v>
      </c>
      <c r="M102" s="22">
        <f t="shared" si="10"/>
        <v>853.27999999999975</v>
      </c>
      <c r="O102" s="30">
        <f t="shared" si="11"/>
        <v>0.20619194447934885</v>
      </c>
    </row>
    <row r="103" spans="1:15" ht="20.100000000000001" customHeight="1" x14ac:dyDescent="0.25">
      <c r="A103" s="33">
        <v>205</v>
      </c>
      <c r="B103" s="9">
        <v>42506</v>
      </c>
      <c r="C103" s="20" t="s">
        <v>161</v>
      </c>
      <c r="D103" s="11">
        <v>21563.51</v>
      </c>
      <c r="E103" s="9">
        <v>42531</v>
      </c>
      <c r="F103" s="15" t="s">
        <v>28</v>
      </c>
      <c r="G103" s="12">
        <v>42535</v>
      </c>
      <c r="H103" s="17">
        <f t="shared" si="9"/>
        <v>21563.51</v>
      </c>
      <c r="I103" s="17">
        <f>H103</f>
        <v>21563.51</v>
      </c>
      <c r="J103" s="17"/>
      <c r="K103" s="17"/>
      <c r="L103" s="17">
        <v>16585</v>
      </c>
      <c r="M103" s="22">
        <f t="shared" si="10"/>
        <v>4978.5099999999984</v>
      </c>
      <c r="N103" s="13">
        <f>M103</f>
        <v>4978.5099999999984</v>
      </c>
      <c r="O103" s="30">
        <f t="shared" si="11"/>
        <v>0.23087660589579334</v>
      </c>
    </row>
    <row r="104" spans="1:15" ht="20.100000000000001" customHeight="1" x14ac:dyDescent="0.25">
      <c r="A104" s="33">
        <v>242</v>
      </c>
      <c r="B104" s="9">
        <v>42527</v>
      </c>
      <c r="C104" s="26" t="s">
        <v>167</v>
      </c>
      <c r="D104" s="11">
        <v>3555</v>
      </c>
      <c r="E104" s="9">
        <v>42530</v>
      </c>
      <c r="F104" s="15" t="s">
        <v>28</v>
      </c>
      <c r="G104" s="12">
        <v>42536</v>
      </c>
      <c r="H104" s="17">
        <f t="shared" si="9"/>
        <v>3555</v>
      </c>
      <c r="L104" s="17">
        <v>1748.08</v>
      </c>
      <c r="M104" s="22">
        <f t="shared" si="10"/>
        <v>1806.92</v>
      </c>
      <c r="O104" s="30">
        <f t="shared" si="11"/>
        <v>0.5082756680731364</v>
      </c>
    </row>
    <row r="105" spans="1:15" ht="20.100000000000001" customHeight="1" x14ac:dyDescent="0.25">
      <c r="A105" s="33">
        <v>246</v>
      </c>
      <c r="B105" s="9">
        <v>42528</v>
      </c>
      <c r="C105" s="18" t="s">
        <v>56</v>
      </c>
      <c r="D105" s="11">
        <v>10041.94</v>
      </c>
      <c r="E105" s="9">
        <v>42548</v>
      </c>
      <c r="F105" s="15" t="s">
        <v>28</v>
      </c>
      <c r="G105" s="12">
        <v>42536</v>
      </c>
      <c r="H105" s="17">
        <f t="shared" si="9"/>
        <v>10041.94</v>
      </c>
      <c r="L105" s="17">
        <v>5053.88</v>
      </c>
      <c r="M105" s="22">
        <f t="shared" si="10"/>
        <v>4988.0600000000004</v>
      </c>
      <c r="O105" s="30">
        <f t="shared" si="11"/>
        <v>0.49672274480827411</v>
      </c>
    </row>
    <row r="106" spans="1:15" ht="20.100000000000001" customHeight="1" x14ac:dyDescent="0.25">
      <c r="A106" s="33">
        <v>243</v>
      </c>
      <c r="B106" s="9">
        <v>42527</v>
      </c>
      <c r="C106" s="18" t="s">
        <v>65</v>
      </c>
      <c r="D106" s="11">
        <v>57078.96</v>
      </c>
      <c r="E106" s="9">
        <v>42535</v>
      </c>
      <c r="F106" s="15" t="s">
        <v>28</v>
      </c>
      <c r="G106" s="12">
        <v>42535</v>
      </c>
      <c r="H106" s="17">
        <f t="shared" si="9"/>
        <v>57078.96</v>
      </c>
      <c r="L106" s="17">
        <v>43152</v>
      </c>
      <c r="M106" s="22">
        <f t="shared" si="10"/>
        <v>13926.96</v>
      </c>
      <c r="O106" s="30">
        <f t="shared" si="11"/>
        <v>0.24399463480063405</v>
      </c>
    </row>
    <row r="107" spans="1:15" ht="20.100000000000001" customHeight="1" x14ac:dyDescent="0.25">
      <c r="A107" s="33">
        <v>247</v>
      </c>
      <c r="B107" s="9">
        <v>42528</v>
      </c>
      <c r="C107" s="20" t="s">
        <v>162</v>
      </c>
      <c r="D107" s="11">
        <v>5200</v>
      </c>
      <c r="E107" s="9">
        <v>42504</v>
      </c>
      <c r="F107" s="15" t="s">
        <v>28</v>
      </c>
      <c r="G107" s="12">
        <v>42505</v>
      </c>
      <c r="H107" s="17">
        <f t="shared" si="9"/>
        <v>5200</v>
      </c>
      <c r="I107" s="17">
        <f>H107</f>
        <v>5200</v>
      </c>
      <c r="J107" s="17"/>
      <c r="K107" s="17"/>
      <c r="L107" s="17">
        <v>2147.88</v>
      </c>
      <c r="M107" s="22">
        <f t="shared" si="10"/>
        <v>3052.12</v>
      </c>
      <c r="N107" s="13">
        <f>M107</f>
        <v>3052.12</v>
      </c>
      <c r="O107" s="30">
        <f t="shared" si="11"/>
        <v>0.58694615384615378</v>
      </c>
    </row>
    <row r="108" spans="1:15" ht="20.100000000000001" customHeight="1" x14ac:dyDescent="0.25">
      <c r="A108" s="33">
        <v>259</v>
      </c>
      <c r="B108" s="9">
        <v>42505</v>
      </c>
      <c r="C108" s="20" t="s">
        <v>162</v>
      </c>
      <c r="D108" s="11">
        <v>2450</v>
      </c>
      <c r="E108" s="9">
        <v>42505</v>
      </c>
      <c r="F108" s="15" t="s">
        <v>28</v>
      </c>
      <c r="G108" s="12">
        <v>42505</v>
      </c>
      <c r="H108" s="17">
        <f t="shared" si="9"/>
        <v>2450</v>
      </c>
      <c r="I108" s="17">
        <f>H108</f>
        <v>2450</v>
      </c>
      <c r="J108" s="17"/>
      <c r="K108" s="17"/>
      <c r="L108" s="17">
        <v>2174</v>
      </c>
      <c r="M108" s="22">
        <f t="shared" si="10"/>
        <v>276</v>
      </c>
      <c r="N108" s="13">
        <f>M108</f>
        <v>276</v>
      </c>
      <c r="O108" s="30">
        <f t="shared" si="11"/>
        <v>0.1126530612244898</v>
      </c>
    </row>
    <row r="109" spans="1:15" ht="20.100000000000001" customHeight="1" x14ac:dyDescent="0.25">
      <c r="A109" s="33">
        <v>185</v>
      </c>
      <c r="B109" s="9">
        <v>42530</v>
      </c>
      <c r="C109" s="18" t="s">
        <v>45</v>
      </c>
      <c r="D109" s="11">
        <v>4848.03</v>
      </c>
      <c r="E109" s="9">
        <v>42505</v>
      </c>
      <c r="F109" s="15" t="s">
        <v>28</v>
      </c>
      <c r="G109" s="12">
        <v>42537</v>
      </c>
      <c r="H109" s="17">
        <f t="shared" si="9"/>
        <v>4848.03</v>
      </c>
      <c r="L109" s="17">
        <v>3533</v>
      </c>
      <c r="M109" s="22">
        <f t="shared" si="10"/>
        <v>1315.0299999999997</v>
      </c>
      <c r="N109" s="13"/>
      <c r="O109" s="30">
        <f t="shared" si="11"/>
        <v>0.27125038417666553</v>
      </c>
    </row>
    <row r="110" spans="1:15" ht="20.100000000000001" customHeight="1" x14ac:dyDescent="0.25">
      <c r="A110" s="33">
        <v>258</v>
      </c>
      <c r="B110" s="9">
        <v>42535</v>
      </c>
      <c r="C110" s="20" t="s">
        <v>163</v>
      </c>
      <c r="D110" s="11">
        <v>14580</v>
      </c>
      <c r="E110" s="9">
        <v>42537</v>
      </c>
      <c r="F110" s="15" t="s">
        <v>28</v>
      </c>
      <c r="G110" s="12">
        <v>42542</v>
      </c>
      <c r="H110" s="17">
        <f t="shared" si="9"/>
        <v>14580</v>
      </c>
      <c r="I110" s="17">
        <f>H110</f>
        <v>14580</v>
      </c>
      <c r="J110" s="17"/>
      <c r="K110" s="17"/>
      <c r="L110" s="17">
        <v>11328</v>
      </c>
      <c r="M110" s="22">
        <f t="shared" si="10"/>
        <v>3252</v>
      </c>
      <c r="N110" s="13">
        <f>M110</f>
        <v>3252</v>
      </c>
      <c r="O110" s="30">
        <f t="shared" si="11"/>
        <v>0.22304526748971193</v>
      </c>
    </row>
    <row r="111" spans="1:15" ht="20.100000000000001" customHeight="1" x14ac:dyDescent="0.25">
      <c r="A111" s="33">
        <v>204</v>
      </c>
      <c r="B111" s="9">
        <v>42506</v>
      </c>
      <c r="C111" s="18" t="s">
        <v>102</v>
      </c>
      <c r="D111" s="11">
        <v>40639.22</v>
      </c>
      <c r="E111" s="9">
        <v>42538</v>
      </c>
      <c r="F111" s="15" t="s">
        <v>28</v>
      </c>
      <c r="G111" s="12">
        <v>42542</v>
      </c>
      <c r="H111" s="17">
        <f t="shared" si="9"/>
        <v>40639.22</v>
      </c>
      <c r="L111" s="17">
        <f>5664+21453+5409</f>
        <v>32526</v>
      </c>
      <c r="M111" s="22">
        <f t="shared" si="10"/>
        <v>8113.2200000000012</v>
      </c>
      <c r="O111" s="30">
        <f t="shared" si="11"/>
        <v>0.19964015057375611</v>
      </c>
    </row>
    <row r="112" spans="1:15" ht="20.100000000000001" customHeight="1" x14ac:dyDescent="0.25">
      <c r="A112" s="33">
        <v>200</v>
      </c>
      <c r="B112" s="9">
        <v>42506</v>
      </c>
      <c r="C112" s="18" t="s">
        <v>99</v>
      </c>
      <c r="D112" s="11">
        <v>583257.27</v>
      </c>
      <c r="E112" s="9">
        <v>42542</v>
      </c>
      <c r="F112" s="15" t="s">
        <v>28</v>
      </c>
      <c r="G112" s="12">
        <v>42517</v>
      </c>
      <c r="H112" s="17">
        <f t="shared" si="9"/>
        <v>583257.27</v>
      </c>
      <c r="J112" s="7">
        <v>108000</v>
      </c>
      <c r="K112" s="17">
        <v>10800</v>
      </c>
      <c r="L112" s="17">
        <v>187299.46</v>
      </c>
      <c r="M112" s="22">
        <f t="shared" si="10"/>
        <v>277157.81000000006</v>
      </c>
      <c r="O112" s="30">
        <f t="shared" si="11"/>
        <v>0.47518963629891842</v>
      </c>
    </row>
    <row r="113" spans="1:15" ht="20.100000000000001" customHeight="1" x14ac:dyDescent="0.25">
      <c r="A113" s="33">
        <v>265</v>
      </c>
      <c r="B113" s="9">
        <v>42541</v>
      </c>
      <c r="C113" s="20" t="s">
        <v>164</v>
      </c>
      <c r="D113" s="11">
        <v>52890</v>
      </c>
      <c r="E113" s="9">
        <v>42543</v>
      </c>
      <c r="F113" s="15" t="s">
        <v>28</v>
      </c>
      <c r="G113" s="12">
        <v>42545</v>
      </c>
      <c r="H113" s="17">
        <f t="shared" si="9"/>
        <v>52890</v>
      </c>
      <c r="I113" s="17">
        <f>H113</f>
        <v>52890</v>
      </c>
      <c r="K113" s="17"/>
      <c r="L113" s="17">
        <v>36103.31</v>
      </c>
      <c r="M113" s="22">
        <f>H113-L113-K112-K113</f>
        <v>5986.6900000000023</v>
      </c>
      <c r="N113" s="13">
        <f>M113</f>
        <v>5986.6900000000023</v>
      </c>
      <c r="O113" s="30">
        <f t="shared" si="11"/>
        <v>0.11319134051805639</v>
      </c>
    </row>
    <row r="114" spans="1:15" ht="20.100000000000001" customHeight="1" x14ac:dyDescent="0.25">
      <c r="A114" s="33">
        <v>249</v>
      </c>
      <c r="B114" s="9">
        <v>42528</v>
      </c>
      <c r="C114" s="20" t="s">
        <v>159</v>
      </c>
      <c r="D114" s="11">
        <v>3807.27</v>
      </c>
      <c r="E114" s="9">
        <v>42544</v>
      </c>
      <c r="F114" s="15" t="s">
        <v>28</v>
      </c>
      <c r="G114" s="12">
        <v>42544</v>
      </c>
      <c r="H114" s="17">
        <f t="shared" si="9"/>
        <v>3807.27</v>
      </c>
      <c r="I114" s="17">
        <f>H114</f>
        <v>3807.27</v>
      </c>
      <c r="J114" s="17"/>
      <c r="K114" s="17"/>
      <c r="L114" s="17">
        <v>2380</v>
      </c>
      <c r="M114" s="22">
        <f t="shared" ref="M114:M121" si="12">H114-L114-J114-K114</f>
        <v>1427.27</v>
      </c>
      <c r="N114" s="13">
        <f>M114</f>
        <v>1427.27</v>
      </c>
      <c r="O114" s="30">
        <f t="shared" si="11"/>
        <v>0.37488016347671693</v>
      </c>
    </row>
    <row r="115" spans="1:15" ht="20.100000000000001" customHeight="1" x14ac:dyDescent="0.25">
      <c r="A115" s="33">
        <v>253</v>
      </c>
      <c r="B115" s="9">
        <v>42530</v>
      </c>
      <c r="C115" s="18" t="s">
        <v>13</v>
      </c>
      <c r="D115" s="11">
        <v>7761.72</v>
      </c>
      <c r="E115" s="9">
        <v>42544</v>
      </c>
      <c r="F115" s="15" t="s">
        <v>28</v>
      </c>
      <c r="G115" s="12">
        <v>42531</v>
      </c>
      <c r="H115" s="17">
        <f t="shared" si="9"/>
        <v>7761.72</v>
      </c>
      <c r="L115" s="17">
        <v>5868</v>
      </c>
      <c r="M115" s="22">
        <f t="shared" si="12"/>
        <v>1893.7200000000003</v>
      </c>
      <c r="O115" s="30">
        <f t="shared" si="11"/>
        <v>0.24398200398880662</v>
      </c>
    </row>
    <row r="116" spans="1:15" ht="20.100000000000001" customHeight="1" x14ac:dyDescent="0.25">
      <c r="A116" s="33">
        <v>266</v>
      </c>
      <c r="B116" s="9">
        <v>42542</v>
      </c>
      <c r="C116" s="18" t="s">
        <v>42</v>
      </c>
      <c r="D116" s="11">
        <v>12250</v>
      </c>
      <c r="E116" s="9">
        <v>42543</v>
      </c>
      <c r="F116" s="15" t="s">
        <v>28</v>
      </c>
      <c r="G116" s="12">
        <v>42563</v>
      </c>
      <c r="H116" s="17">
        <f t="shared" si="9"/>
        <v>12250</v>
      </c>
      <c r="L116" s="17">
        <v>10870</v>
      </c>
      <c r="M116" s="22">
        <f t="shared" si="12"/>
        <v>1380</v>
      </c>
      <c r="O116" s="30">
        <f t="shared" si="11"/>
        <v>0.1126530612244898</v>
      </c>
    </row>
    <row r="117" spans="1:15" ht="20.100000000000001" customHeight="1" x14ac:dyDescent="0.25">
      <c r="A117" s="33">
        <v>272</v>
      </c>
      <c r="B117" s="9">
        <v>42545</v>
      </c>
      <c r="C117" s="20" t="s">
        <v>165</v>
      </c>
      <c r="D117" s="11">
        <v>10058.42</v>
      </c>
      <c r="E117" s="9">
        <v>42548</v>
      </c>
      <c r="F117" s="15" t="s">
        <v>28</v>
      </c>
      <c r="G117" s="12">
        <v>42563</v>
      </c>
      <c r="H117" s="17">
        <f t="shared" si="9"/>
        <v>10058.42</v>
      </c>
      <c r="I117" s="17">
        <f>H117</f>
        <v>10058.42</v>
      </c>
      <c r="J117" s="17"/>
      <c r="K117" s="17"/>
      <c r="L117" s="17">
        <v>7914</v>
      </c>
      <c r="M117" s="22">
        <f t="shared" si="12"/>
        <v>2144.42</v>
      </c>
      <c r="N117" s="13">
        <f>M117</f>
        <v>2144.42</v>
      </c>
      <c r="O117" s="30">
        <f t="shared" si="11"/>
        <v>0.21319650601187862</v>
      </c>
    </row>
    <row r="118" spans="1:15" ht="20.100000000000001" customHeight="1" x14ac:dyDescent="0.25">
      <c r="A118" s="33">
        <v>264</v>
      </c>
      <c r="B118" s="9">
        <v>42538</v>
      </c>
      <c r="C118" s="18" t="s">
        <v>97</v>
      </c>
      <c r="D118" s="11">
        <v>34090</v>
      </c>
      <c r="E118" s="9">
        <v>42548</v>
      </c>
      <c r="F118" s="15" t="s">
        <v>28</v>
      </c>
      <c r="G118" s="12">
        <v>42556</v>
      </c>
      <c r="H118" s="17">
        <f t="shared" si="9"/>
        <v>34090</v>
      </c>
      <c r="I118" s="17"/>
      <c r="J118" s="17"/>
      <c r="K118" s="17"/>
      <c r="L118" s="17">
        <v>26000</v>
      </c>
      <c r="M118" s="22">
        <f t="shared" si="12"/>
        <v>8090</v>
      </c>
      <c r="O118" s="30">
        <f t="shared" si="11"/>
        <v>0.23731299501320036</v>
      </c>
    </row>
    <row r="119" spans="1:15" ht="19.5" customHeight="1" x14ac:dyDescent="0.25">
      <c r="A119" s="33">
        <v>216</v>
      </c>
      <c r="B119" s="9">
        <v>42509</v>
      </c>
      <c r="C119" s="20" t="s">
        <v>166</v>
      </c>
      <c r="D119" s="11">
        <v>62462.54</v>
      </c>
      <c r="E119" s="9">
        <v>42548</v>
      </c>
      <c r="F119" s="15" t="s">
        <v>28</v>
      </c>
      <c r="G119" s="12">
        <v>42562</v>
      </c>
      <c r="H119" s="17">
        <f t="shared" si="9"/>
        <v>62462.54</v>
      </c>
      <c r="I119" s="17">
        <f>H119</f>
        <v>62462.54</v>
      </c>
      <c r="J119" s="17"/>
      <c r="K119" s="17"/>
      <c r="L119" s="17">
        <v>45445</v>
      </c>
      <c r="M119" s="22">
        <f t="shared" si="12"/>
        <v>17017.54</v>
      </c>
      <c r="N119" s="13">
        <f>M119</f>
        <v>17017.54</v>
      </c>
      <c r="O119" s="30">
        <f t="shared" si="11"/>
        <v>0.2724439319950806</v>
      </c>
    </row>
    <row r="120" spans="1:15" ht="15.75" x14ac:dyDescent="0.25">
      <c r="A120" s="33">
        <v>271</v>
      </c>
      <c r="B120" s="9">
        <v>42513</v>
      </c>
      <c r="C120" s="18" t="s">
        <v>167</v>
      </c>
      <c r="D120" s="11">
        <v>4000</v>
      </c>
      <c r="E120" s="9">
        <v>42548</v>
      </c>
      <c r="F120" s="15" t="s">
        <v>28</v>
      </c>
      <c r="G120" s="12">
        <v>42556</v>
      </c>
      <c r="H120" s="17">
        <f t="shared" si="9"/>
        <v>4000</v>
      </c>
      <c r="K120" s="7">
        <v>300</v>
      </c>
      <c r="L120" s="17">
        <v>1758.8</v>
      </c>
      <c r="M120" s="22">
        <f t="shared" si="12"/>
        <v>1941.1999999999998</v>
      </c>
      <c r="O120" s="30">
        <f t="shared" si="11"/>
        <v>0.48529999999999995</v>
      </c>
    </row>
    <row r="121" spans="1:15" s="2" customFormat="1" ht="20.100000000000001" customHeight="1" x14ac:dyDescent="0.25">
      <c r="A121" s="33">
        <v>269</v>
      </c>
      <c r="B121" s="9">
        <v>42543</v>
      </c>
      <c r="C121" s="18" t="s">
        <v>33</v>
      </c>
      <c r="D121" s="11">
        <v>3834</v>
      </c>
      <c r="E121" s="9">
        <v>42550</v>
      </c>
      <c r="F121" s="15" t="s">
        <v>28</v>
      </c>
      <c r="G121" s="12">
        <v>42565</v>
      </c>
      <c r="H121" s="17">
        <f t="shared" si="9"/>
        <v>3834</v>
      </c>
      <c r="I121" s="7"/>
      <c r="J121" s="7"/>
      <c r="K121" s="7"/>
      <c r="L121" s="17">
        <v>2300</v>
      </c>
      <c r="M121" s="22">
        <f t="shared" si="12"/>
        <v>1534</v>
      </c>
      <c r="N121" s="7"/>
      <c r="O121" s="30">
        <f t="shared" si="11"/>
        <v>0.40010432968179449</v>
      </c>
    </row>
    <row r="122" spans="1:15" ht="20.100000000000001" customHeight="1" x14ac:dyDescent="0.25">
      <c r="A122" s="35" t="s">
        <v>535</v>
      </c>
      <c r="B122" s="36"/>
      <c r="C122" s="42"/>
      <c r="D122" s="37"/>
      <c r="E122" s="83" t="s">
        <v>619</v>
      </c>
      <c r="F122" s="47">
        <f>M122*0.17+N122*0.06</f>
        <v>68551.719500000007</v>
      </c>
      <c r="G122" s="21">
        <f>H122*0.05+I122*0.02</f>
        <v>56531.470000000008</v>
      </c>
      <c r="H122" s="45">
        <f>SUBTOTAL(109,Июнь2016[Продажа])</f>
        <v>1042223.2200000001</v>
      </c>
      <c r="I122" s="45">
        <f>SUBTOTAL(109,Июнь2016[Продажа НК])</f>
        <v>221015.45</v>
      </c>
      <c r="J122" s="45">
        <f>SUBTOTAL(109,Июнь2016[отк])</f>
        <v>108000</v>
      </c>
      <c r="K122" s="45">
        <f>SUBTOTAL(109,Июнь2016[шланги])</f>
        <v>11100</v>
      </c>
      <c r="L122" s="45">
        <f>SUBTOTAL(109,Июнь2016[Закупка])</f>
        <v>526303.55000000005</v>
      </c>
      <c r="M122" s="45">
        <f>SUBTOTAL(109,Июнь2016[Маржа])</f>
        <v>386019.67000000004</v>
      </c>
      <c r="N122" s="45">
        <f>SUBTOTAL(109,Июнь2016[Маржа НК])</f>
        <v>48806.26</v>
      </c>
      <c r="O122" s="44">
        <f t="shared" si="11"/>
        <v>0.37038099189538304</v>
      </c>
    </row>
    <row r="123" spans="1:15" ht="20.100000000000001" customHeight="1" x14ac:dyDescent="0.25">
      <c r="A123" s="41" t="s">
        <v>1</v>
      </c>
      <c r="B123" s="1" t="s">
        <v>0</v>
      </c>
      <c r="C123" s="1" t="s">
        <v>26</v>
      </c>
      <c r="D123" s="1" t="s">
        <v>2</v>
      </c>
      <c r="E123" s="1" t="s">
        <v>3</v>
      </c>
      <c r="F123" s="1" t="s">
        <v>27</v>
      </c>
      <c r="G123" s="1" t="s">
        <v>4</v>
      </c>
      <c r="H123" s="2" t="s">
        <v>132</v>
      </c>
      <c r="I123" s="2" t="s">
        <v>133</v>
      </c>
      <c r="J123" s="40" t="s">
        <v>187</v>
      </c>
      <c r="K123" s="40" t="s">
        <v>188</v>
      </c>
      <c r="L123" s="40" t="s">
        <v>129</v>
      </c>
      <c r="M123" s="40" t="s">
        <v>130</v>
      </c>
      <c r="N123" s="2" t="s">
        <v>131</v>
      </c>
      <c r="O123" s="2" t="s">
        <v>134</v>
      </c>
    </row>
    <row r="124" spans="1:15" ht="20.100000000000001" customHeight="1" x14ac:dyDescent="0.25">
      <c r="A124" s="33">
        <v>280</v>
      </c>
      <c r="B124" s="9">
        <v>42551</v>
      </c>
      <c r="C124" s="18" t="s">
        <v>147</v>
      </c>
      <c r="D124" s="11">
        <v>6618</v>
      </c>
      <c r="E124" s="9">
        <v>42559</v>
      </c>
      <c r="F124" s="15" t="s">
        <v>28</v>
      </c>
      <c r="G124" s="12">
        <v>42565</v>
      </c>
      <c r="H124" s="17">
        <f t="shared" ref="H124:H139" si="13">D124</f>
        <v>6618</v>
      </c>
      <c r="L124" s="17">
        <v>5698</v>
      </c>
      <c r="M124" s="22">
        <f t="shared" ref="M124:M139" si="14">H124-L124-J124-K124</f>
        <v>920</v>
      </c>
      <c r="O124" s="30">
        <f t="shared" ref="O124:O140" si="15">M124/H124</f>
        <v>0.13901480809912362</v>
      </c>
    </row>
    <row r="125" spans="1:15" ht="20.100000000000001" customHeight="1" x14ac:dyDescent="0.25">
      <c r="A125" s="33">
        <v>299</v>
      </c>
      <c r="B125" s="9">
        <v>42562</v>
      </c>
      <c r="C125" s="20" t="s">
        <v>168</v>
      </c>
      <c r="D125" s="11">
        <v>39990</v>
      </c>
      <c r="E125" s="9">
        <v>42562</v>
      </c>
      <c r="F125" s="15" t="s">
        <v>28</v>
      </c>
      <c r="G125" s="12">
        <v>42563</v>
      </c>
      <c r="H125" s="17">
        <f t="shared" si="13"/>
        <v>39990</v>
      </c>
      <c r="I125" s="17">
        <f>H125</f>
        <v>39990</v>
      </c>
      <c r="J125" s="17"/>
      <c r="K125" s="17"/>
      <c r="L125" s="17">
        <v>30232</v>
      </c>
      <c r="M125" s="22">
        <f t="shared" si="14"/>
        <v>9758</v>
      </c>
      <c r="N125" s="13">
        <f>M125</f>
        <v>9758</v>
      </c>
      <c r="O125" s="30">
        <f t="shared" si="15"/>
        <v>0.24401100275068768</v>
      </c>
    </row>
    <row r="126" spans="1:15" ht="20.100000000000001" customHeight="1" x14ac:dyDescent="0.25">
      <c r="A126" s="33">
        <v>302</v>
      </c>
      <c r="B126" s="9">
        <v>42563</v>
      </c>
      <c r="C126" s="18" t="s">
        <v>140</v>
      </c>
      <c r="D126" s="11">
        <v>346</v>
      </c>
      <c r="E126" s="9">
        <v>42563</v>
      </c>
      <c r="F126" s="15" t="s">
        <v>28</v>
      </c>
      <c r="G126" s="12">
        <v>42566</v>
      </c>
      <c r="H126" s="17">
        <f t="shared" si="13"/>
        <v>346</v>
      </c>
      <c r="L126" s="17">
        <v>260</v>
      </c>
      <c r="M126" s="22">
        <f t="shared" si="14"/>
        <v>86</v>
      </c>
      <c r="O126" s="30">
        <f t="shared" si="15"/>
        <v>0.24855491329479767</v>
      </c>
    </row>
    <row r="127" spans="1:15" ht="20.100000000000001" customHeight="1" x14ac:dyDescent="0.25">
      <c r="A127" s="33">
        <v>311</v>
      </c>
      <c r="B127" s="9">
        <v>42564</v>
      </c>
      <c r="C127" s="18" t="s">
        <v>123</v>
      </c>
      <c r="D127" s="11">
        <v>44290</v>
      </c>
      <c r="E127" s="9">
        <v>42565</v>
      </c>
      <c r="F127" s="15" t="s">
        <v>28</v>
      </c>
      <c r="G127" s="12">
        <v>42583</v>
      </c>
      <c r="H127" s="17">
        <f t="shared" si="13"/>
        <v>44290</v>
      </c>
      <c r="L127" s="17">
        <v>33483</v>
      </c>
      <c r="M127" s="22">
        <f t="shared" si="14"/>
        <v>10807</v>
      </c>
      <c r="O127" s="30">
        <f t="shared" si="15"/>
        <v>0.24400541883043578</v>
      </c>
    </row>
    <row r="128" spans="1:15" ht="20.100000000000001" customHeight="1" x14ac:dyDescent="0.25">
      <c r="A128" s="33">
        <v>312</v>
      </c>
      <c r="B128" s="9">
        <v>42564</v>
      </c>
      <c r="C128" s="18" t="s">
        <v>43</v>
      </c>
      <c r="D128" s="11">
        <v>14190</v>
      </c>
      <c r="E128" s="9">
        <v>42564</v>
      </c>
      <c r="F128" s="15" t="s">
        <v>28</v>
      </c>
      <c r="G128" s="12">
        <v>42583</v>
      </c>
      <c r="H128" s="17">
        <f t="shared" si="13"/>
        <v>14190</v>
      </c>
      <c r="L128" s="17">
        <v>11324</v>
      </c>
      <c r="M128" s="22">
        <f t="shared" si="14"/>
        <v>2866</v>
      </c>
      <c r="O128" s="30">
        <f t="shared" si="15"/>
        <v>0.20197322057787173</v>
      </c>
    </row>
    <row r="129" spans="1:15" ht="20.100000000000001" customHeight="1" x14ac:dyDescent="0.25">
      <c r="A129" s="33">
        <v>303</v>
      </c>
      <c r="B129" s="9">
        <v>42563</v>
      </c>
      <c r="C129" s="20" t="s">
        <v>169</v>
      </c>
      <c r="D129" s="11">
        <v>18871.810000000001</v>
      </c>
      <c r="E129" s="9">
        <v>42565</v>
      </c>
      <c r="F129" s="15" t="s">
        <v>28</v>
      </c>
      <c r="G129" s="12">
        <v>42566</v>
      </c>
      <c r="H129" s="17">
        <f t="shared" si="13"/>
        <v>18871.810000000001</v>
      </c>
      <c r="I129" s="17">
        <f>H129</f>
        <v>18871.810000000001</v>
      </c>
      <c r="J129" s="17"/>
      <c r="K129" s="17">
        <v>300</v>
      </c>
      <c r="L129" s="17">
        <v>12523.68</v>
      </c>
      <c r="M129" s="22">
        <f t="shared" si="14"/>
        <v>6048.130000000001</v>
      </c>
      <c r="N129" s="13">
        <f>M129</f>
        <v>6048.130000000001</v>
      </c>
      <c r="O129" s="30">
        <f t="shared" si="15"/>
        <v>0.32048489254607804</v>
      </c>
    </row>
    <row r="130" spans="1:15" ht="20.100000000000001" customHeight="1" x14ac:dyDescent="0.25">
      <c r="A130" s="33">
        <v>218</v>
      </c>
      <c r="B130" s="9">
        <v>42513</v>
      </c>
      <c r="C130" s="18" t="s">
        <v>38</v>
      </c>
      <c r="D130" s="11">
        <v>47648.27</v>
      </c>
      <c r="E130" s="9">
        <v>42565</v>
      </c>
      <c r="F130" s="15" t="s">
        <v>28</v>
      </c>
      <c r="G130" s="12">
        <v>42545</v>
      </c>
      <c r="H130" s="17">
        <f t="shared" si="13"/>
        <v>47648.27</v>
      </c>
      <c r="J130" s="17">
        <f>D130*0.02</f>
        <v>952.96539999999993</v>
      </c>
      <c r="K130" s="7">
        <v>900</v>
      </c>
      <c r="L130" s="17">
        <v>16804.400000000001</v>
      </c>
      <c r="M130" s="22">
        <f t="shared" si="14"/>
        <v>28990.904599999994</v>
      </c>
      <c r="O130" s="30">
        <f t="shared" si="15"/>
        <v>0.60843561791435441</v>
      </c>
    </row>
    <row r="131" spans="1:15" ht="20.100000000000001" customHeight="1" x14ac:dyDescent="0.25">
      <c r="A131" s="33">
        <v>125</v>
      </c>
      <c r="B131" s="9">
        <v>42458</v>
      </c>
      <c r="C131" s="18" t="s">
        <v>99</v>
      </c>
      <c r="D131" s="11">
        <v>187184.77</v>
      </c>
      <c r="E131" s="9">
        <v>42566</v>
      </c>
      <c r="F131" s="15" t="s">
        <v>28</v>
      </c>
      <c r="G131" s="12">
        <v>42496</v>
      </c>
      <c r="H131" s="17">
        <f t="shared" si="13"/>
        <v>187184.77</v>
      </c>
      <c r="J131" s="7">
        <v>45000</v>
      </c>
      <c r="K131" s="7">
        <v>4500</v>
      </c>
      <c r="L131" s="17">
        <v>39397.78</v>
      </c>
      <c r="M131" s="22">
        <f t="shared" si="14"/>
        <v>98286.989999999991</v>
      </c>
      <c r="O131" s="30">
        <f t="shared" si="15"/>
        <v>0.52508005859664753</v>
      </c>
    </row>
    <row r="132" spans="1:15" ht="20.100000000000001" customHeight="1" x14ac:dyDescent="0.25">
      <c r="A132" s="33">
        <v>314</v>
      </c>
      <c r="B132" s="9">
        <v>42565</v>
      </c>
      <c r="C132" s="18" t="s">
        <v>34</v>
      </c>
      <c r="D132" s="11">
        <v>1304.99</v>
      </c>
      <c r="E132" s="9">
        <v>42570</v>
      </c>
      <c r="F132" s="15" t="s">
        <v>28</v>
      </c>
      <c r="G132" s="12">
        <v>42591</v>
      </c>
      <c r="H132" s="17">
        <f t="shared" si="13"/>
        <v>1304.99</v>
      </c>
      <c r="L132" s="17">
        <v>783</v>
      </c>
      <c r="M132" s="22">
        <f t="shared" si="14"/>
        <v>521.99</v>
      </c>
      <c r="O132" s="30">
        <f t="shared" si="15"/>
        <v>0.3999954022636189</v>
      </c>
    </row>
    <row r="133" spans="1:15" ht="20.100000000000001" customHeight="1" x14ac:dyDescent="0.25">
      <c r="A133" s="33">
        <v>316</v>
      </c>
      <c r="B133" s="9">
        <v>42566</v>
      </c>
      <c r="C133" s="18" t="s">
        <v>150</v>
      </c>
      <c r="D133" s="11">
        <v>1650</v>
      </c>
      <c r="E133" s="9">
        <v>42571</v>
      </c>
      <c r="F133" s="15" t="s">
        <v>28</v>
      </c>
      <c r="G133" s="12">
        <v>42572</v>
      </c>
      <c r="H133" s="17">
        <f t="shared" si="13"/>
        <v>1650</v>
      </c>
      <c r="L133" s="17">
        <v>864</v>
      </c>
      <c r="M133" s="22">
        <f t="shared" si="14"/>
        <v>786</v>
      </c>
      <c r="O133" s="30">
        <f t="shared" si="15"/>
        <v>0.47636363636363638</v>
      </c>
    </row>
    <row r="134" spans="1:15" ht="20.100000000000001" customHeight="1" x14ac:dyDescent="0.25">
      <c r="A134" s="33">
        <v>321</v>
      </c>
      <c r="B134" s="9">
        <v>42571</v>
      </c>
      <c r="C134" s="18" t="s">
        <v>54</v>
      </c>
      <c r="D134" s="11">
        <v>5392</v>
      </c>
      <c r="E134" s="9">
        <v>42571</v>
      </c>
      <c r="F134" s="15" t="s">
        <v>28</v>
      </c>
      <c r="G134" s="12">
        <v>42572</v>
      </c>
      <c r="H134" s="17">
        <f t="shared" si="13"/>
        <v>5392</v>
      </c>
      <c r="L134" s="17">
        <v>4076</v>
      </c>
      <c r="M134" s="22">
        <f t="shared" si="14"/>
        <v>1316</v>
      </c>
      <c r="O134" s="30">
        <f t="shared" si="15"/>
        <v>0.24406528189910978</v>
      </c>
    </row>
    <row r="135" spans="1:15" ht="20.100000000000001" customHeight="1" x14ac:dyDescent="0.25">
      <c r="A135" s="33">
        <v>323</v>
      </c>
      <c r="B135" s="9">
        <v>42572</v>
      </c>
      <c r="C135" s="20" t="s">
        <v>170</v>
      </c>
      <c r="D135" s="11">
        <v>33004.15</v>
      </c>
      <c r="E135" s="9">
        <v>42573</v>
      </c>
      <c r="F135" s="15" t="s">
        <v>28</v>
      </c>
      <c r="G135" s="12">
        <v>42587</v>
      </c>
      <c r="H135" s="17">
        <f t="shared" si="13"/>
        <v>33004.15</v>
      </c>
      <c r="I135" s="17">
        <f>H135</f>
        <v>33004.15</v>
      </c>
      <c r="J135" s="17"/>
      <c r="K135" s="17"/>
      <c r="L135" s="17">
        <v>24705</v>
      </c>
      <c r="M135" s="22">
        <f t="shared" si="14"/>
        <v>8299.1500000000015</v>
      </c>
      <c r="N135" s="13">
        <f>M135</f>
        <v>8299.1500000000015</v>
      </c>
      <c r="O135" s="30">
        <f t="shared" si="15"/>
        <v>0.25145777121967999</v>
      </c>
    </row>
    <row r="136" spans="1:15" ht="19.5" customHeight="1" x14ac:dyDescent="0.25">
      <c r="A136" s="33">
        <v>326</v>
      </c>
      <c r="B136" s="9">
        <v>42576</v>
      </c>
      <c r="C136" s="20" t="s">
        <v>171</v>
      </c>
      <c r="D136" s="11">
        <v>30390</v>
      </c>
      <c r="E136" s="9">
        <v>42576</v>
      </c>
      <c r="F136" s="15" t="s">
        <v>28</v>
      </c>
      <c r="G136" s="12">
        <v>42577</v>
      </c>
      <c r="H136" s="17">
        <f t="shared" si="13"/>
        <v>30390</v>
      </c>
      <c r="I136" s="17">
        <f>H136</f>
        <v>30390</v>
      </c>
      <c r="J136" s="17"/>
      <c r="K136" s="17"/>
      <c r="L136" s="17">
        <v>23613</v>
      </c>
      <c r="M136" s="22">
        <f t="shared" si="14"/>
        <v>6777</v>
      </c>
      <c r="N136" s="13">
        <f>M136</f>
        <v>6777</v>
      </c>
      <c r="O136" s="30">
        <f t="shared" si="15"/>
        <v>0.2230009871668312</v>
      </c>
    </row>
    <row r="137" spans="1:15" ht="15.75" x14ac:dyDescent="0.25">
      <c r="A137" s="33">
        <v>263</v>
      </c>
      <c r="B137" s="9">
        <v>42538</v>
      </c>
      <c r="C137" s="18" t="s">
        <v>102</v>
      </c>
      <c r="D137" s="11">
        <v>16890</v>
      </c>
      <c r="E137" s="9">
        <v>42577</v>
      </c>
      <c r="F137" s="15" t="s">
        <v>28</v>
      </c>
      <c r="G137" s="12">
        <v>42618</v>
      </c>
      <c r="H137" s="17">
        <f t="shared" si="13"/>
        <v>16890</v>
      </c>
      <c r="L137" s="17">
        <v>12928</v>
      </c>
      <c r="M137" s="22">
        <f t="shared" si="14"/>
        <v>3962</v>
      </c>
      <c r="N137" s="13"/>
      <c r="O137" s="30">
        <f t="shared" si="15"/>
        <v>0.23457667258732978</v>
      </c>
    </row>
    <row r="138" spans="1:15" s="2" customFormat="1" ht="20.100000000000001" customHeight="1" x14ac:dyDescent="0.25">
      <c r="A138" s="33">
        <v>333</v>
      </c>
      <c r="B138" s="9">
        <v>42577</v>
      </c>
      <c r="C138" s="20" t="s">
        <v>172</v>
      </c>
      <c r="D138" s="11">
        <v>51272</v>
      </c>
      <c r="E138" s="9">
        <v>42579</v>
      </c>
      <c r="F138" s="15" t="s">
        <v>28</v>
      </c>
      <c r="G138" s="12">
        <v>42590</v>
      </c>
      <c r="H138" s="17">
        <f t="shared" si="13"/>
        <v>51272</v>
      </c>
      <c r="I138" s="17">
        <f>H138</f>
        <v>51272</v>
      </c>
      <c r="J138" s="17"/>
      <c r="K138" s="17"/>
      <c r="L138" s="17">
        <v>39369</v>
      </c>
      <c r="M138" s="22">
        <f t="shared" si="14"/>
        <v>11903</v>
      </c>
      <c r="N138" s="13">
        <f>M138</f>
        <v>11903</v>
      </c>
      <c r="O138" s="30">
        <f t="shared" si="15"/>
        <v>0.23215400218442814</v>
      </c>
    </row>
    <row r="139" spans="1:15" ht="20.100000000000001" customHeight="1" x14ac:dyDescent="0.25">
      <c r="A139" s="33">
        <v>349</v>
      </c>
      <c r="B139" s="9">
        <v>42580</v>
      </c>
      <c r="C139" s="18" t="s">
        <v>145</v>
      </c>
      <c r="D139" s="11">
        <v>5234.9399999999996</v>
      </c>
      <c r="E139" s="9">
        <v>42580</v>
      </c>
      <c r="F139" s="15" t="s">
        <v>28</v>
      </c>
      <c r="G139" s="12">
        <v>42583</v>
      </c>
      <c r="H139" s="17">
        <f t="shared" si="13"/>
        <v>5234.9399999999996</v>
      </c>
      <c r="I139" s="17"/>
      <c r="J139" s="17"/>
      <c r="K139" s="17"/>
      <c r="L139" s="17">
        <v>3991</v>
      </c>
      <c r="M139" s="22">
        <f t="shared" si="14"/>
        <v>1243.9399999999996</v>
      </c>
      <c r="N139" s="13"/>
      <c r="O139" s="30">
        <f t="shared" si="15"/>
        <v>0.23762258975270006</v>
      </c>
    </row>
    <row r="140" spans="1:15" ht="20.100000000000001" customHeight="1" x14ac:dyDescent="0.25">
      <c r="A140" s="35" t="s">
        <v>535</v>
      </c>
      <c r="B140" s="36"/>
      <c r="C140" s="48"/>
      <c r="D140" s="37"/>
      <c r="E140" s="83" t="s">
        <v>620</v>
      </c>
      <c r="F140" s="47">
        <f>M140*0.17+N140*0.06</f>
        <v>35304.374582000004</v>
      </c>
      <c r="G140" s="21">
        <f>H140*0.05+I140*0.02</f>
        <v>28684.405699999999</v>
      </c>
      <c r="H140" s="45">
        <f>SUBTOTAL(109,Июль2016[Продажа])</f>
        <v>504276.93</v>
      </c>
      <c r="I140" s="45">
        <f>SUBTOTAL(109,Июль2016[Продажа НК])</f>
        <v>173527.96</v>
      </c>
      <c r="J140" s="45">
        <f>SUBTOTAL(109,Июль2016[отк])</f>
        <v>45952.965400000001</v>
      </c>
      <c r="K140" s="45">
        <f>SUBTOTAL(109,Июль2016[шланги])</f>
        <v>5700</v>
      </c>
      <c r="L140" s="45">
        <f>SUBTOTAL(109,Июль2016[Закупка])</f>
        <v>260051.86</v>
      </c>
      <c r="M140" s="45">
        <f>SUBTOTAL(109,Июль2016[Маржа])</f>
        <v>192572.10459999999</v>
      </c>
      <c r="N140" s="45">
        <f>SUBTOTAL(109,Июль2016[Маржа НК])</f>
        <v>42785.279999999999</v>
      </c>
      <c r="O140" s="44">
        <f t="shared" si="15"/>
        <v>0.38187768097977431</v>
      </c>
    </row>
    <row r="141" spans="1:15" ht="20.100000000000001" customHeight="1" x14ac:dyDescent="0.25">
      <c r="A141" s="41" t="s">
        <v>1</v>
      </c>
      <c r="B141" s="1" t="s">
        <v>0</v>
      </c>
      <c r="C141" s="1" t="s">
        <v>26</v>
      </c>
      <c r="D141" s="1" t="s">
        <v>2</v>
      </c>
      <c r="E141" s="1" t="s">
        <v>3</v>
      </c>
      <c r="F141" s="1" t="s">
        <v>27</v>
      </c>
      <c r="G141" s="1" t="s">
        <v>4</v>
      </c>
      <c r="H141" s="2" t="s">
        <v>132</v>
      </c>
      <c r="I141" s="2" t="s">
        <v>133</v>
      </c>
      <c r="J141" s="40" t="s">
        <v>187</v>
      </c>
      <c r="K141" s="40" t="s">
        <v>188</v>
      </c>
      <c r="L141" s="40" t="s">
        <v>129</v>
      </c>
      <c r="M141" s="40" t="s">
        <v>130</v>
      </c>
      <c r="N141" s="2" t="s">
        <v>131</v>
      </c>
      <c r="O141" s="2" t="s">
        <v>134</v>
      </c>
    </row>
    <row r="142" spans="1:15" ht="20.100000000000001" customHeight="1" x14ac:dyDescent="0.25">
      <c r="A142" s="33">
        <v>355</v>
      </c>
      <c r="B142" s="9">
        <v>42583</v>
      </c>
      <c r="C142" s="20" t="s">
        <v>173</v>
      </c>
      <c r="D142" s="11">
        <v>4865.66</v>
      </c>
      <c r="E142" s="9">
        <v>42584</v>
      </c>
      <c r="F142" s="15" t="s">
        <v>28</v>
      </c>
      <c r="G142" s="12">
        <v>42604</v>
      </c>
      <c r="H142" s="23">
        <f t="shared" ref="H142:H184" si="16">D142</f>
        <v>4865.66</v>
      </c>
      <c r="I142" s="23">
        <f>H142</f>
        <v>4865.66</v>
      </c>
      <c r="J142" s="23"/>
      <c r="K142" s="23"/>
      <c r="L142" s="23">
        <v>4189</v>
      </c>
      <c r="M142" s="22">
        <f t="shared" ref="M142:M184" si="17">H142-L142-J142-K142</f>
        <v>676.65999999999985</v>
      </c>
      <c r="N142" s="22">
        <f>M142</f>
        <v>676.65999999999985</v>
      </c>
      <c r="O142" s="30">
        <f t="shared" ref="O142:O185" si="18">M142/H142</f>
        <v>0.1390684922497667</v>
      </c>
    </row>
    <row r="143" spans="1:15" ht="20.100000000000001" customHeight="1" x14ac:dyDescent="0.25">
      <c r="A143" s="33">
        <v>353</v>
      </c>
      <c r="B143" s="9">
        <v>42583</v>
      </c>
      <c r="C143" s="20" t="s">
        <v>174</v>
      </c>
      <c r="D143" s="11">
        <v>8177.48</v>
      </c>
      <c r="E143" s="9">
        <v>42584</v>
      </c>
      <c r="F143" s="15" t="s">
        <v>28</v>
      </c>
      <c r="G143" s="12">
        <v>42586</v>
      </c>
      <c r="H143" s="23">
        <f t="shared" si="16"/>
        <v>8177.48</v>
      </c>
      <c r="I143" s="23">
        <f>H143</f>
        <v>8177.48</v>
      </c>
      <c r="J143" s="23"/>
      <c r="K143" s="23">
        <v>600</v>
      </c>
      <c r="L143" s="23">
        <v>5249.8</v>
      </c>
      <c r="M143" s="22">
        <f t="shared" si="17"/>
        <v>2327.6799999999994</v>
      </c>
      <c r="N143" s="22">
        <f>M143</f>
        <v>2327.6799999999994</v>
      </c>
      <c r="O143" s="30">
        <f t="shared" si="18"/>
        <v>0.28464514740482394</v>
      </c>
    </row>
    <row r="144" spans="1:15" ht="20.100000000000001" customHeight="1" x14ac:dyDescent="0.25">
      <c r="A144" s="33">
        <v>351</v>
      </c>
      <c r="B144" s="9">
        <v>42580</v>
      </c>
      <c r="C144" s="20" t="s">
        <v>175</v>
      </c>
      <c r="D144" s="11">
        <v>29524</v>
      </c>
      <c r="E144" s="9">
        <v>42584</v>
      </c>
      <c r="F144" s="15" t="s">
        <v>28</v>
      </c>
      <c r="G144" s="12">
        <v>42598</v>
      </c>
      <c r="H144" s="23">
        <f t="shared" si="16"/>
        <v>29524</v>
      </c>
      <c r="I144" s="23">
        <f>H144</f>
        <v>29524</v>
      </c>
      <c r="J144" s="23"/>
      <c r="K144" s="23"/>
      <c r="L144" s="23">
        <v>21996</v>
      </c>
      <c r="M144" s="22">
        <f t="shared" si="17"/>
        <v>7528</v>
      </c>
      <c r="N144" s="22">
        <f>M144</f>
        <v>7528</v>
      </c>
      <c r="O144" s="30">
        <f t="shared" si="18"/>
        <v>0.25497900013548297</v>
      </c>
    </row>
    <row r="145" spans="1:15" ht="20.100000000000001" customHeight="1" x14ac:dyDescent="0.25">
      <c r="A145" s="33">
        <v>350</v>
      </c>
      <c r="B145" s="9">
        <v>42583</v>
      </c>
      <c r="C145" s="18" t="s">
        <v>15</v>
      </c>
      <c r="D145" s="11">
        <v>5194.45</v>
      </c>
      <c r="E145" s="9">
        <v>42584</v>
      </c>
      <c r="F145" s="15" t="s">
        <v>28</v>
      </c>
      <c r="G145" s="12">
        <v>42587</v>
      </c>
      <c r="H145" s="23">
        <f t="shared" si="16"/>
        <v>5194.45</v>
      </c>
      <c r="I145" s="24"/>
      <c r="J145" s="24"/>
      <c r="K145" s="24"/>
      <c r="L145" s="23">
        <v>3247</v>
      </c>
      <c r="M145" s="22">
        <f t="shared" si="17"/>
        <v>1947.4499999999998</v>
      </c>
      <c r="N145" s="22"/>
      <c r="O145" s="30">
        <f t="shared" si="18"/>
        <v>0.3749097594548027</v>
      </c>
    </row>
    <row r="146" spans="1:15" ht="20.100000000000001" customHeight="1" x14ac:dyDescent="0.25">
      <c r="A146" s="33">
        <v>340</v>
      </c>
      <c r="B146" s="9">
        <v>42578</v>
      </c>
      <c r="C146" s="18" t="s">
        <v>60</v>
      </c>
      <c r="D146" s="11">
        <v>22631.64</v>
      </c>
      <c r="E146" s="9">
        <v>42586</v>
      </c>
      <c r="F146" s="15" t="s">
        <v>28</v>
      </c>
      <c r="G146" s="12">
        <v>42580</v>
      </c>
      <c r="H146" s="23">
        <f t="shared" si="16"/>
        <v>22631.64</v>
      </c>
      <c r="I146" s="24"/>
      <c r="J146" s="24"/>
      <c r="K146" s="24"/>
      <c r="L146" s="23">
        <v>17604</v>
      </c>
      <c r="M146" s="22">
        <f t="shared" si="17"/>
        <v>5027.6399999999994</v>
      </c>
      <c r="N146" s="22"/>
      <c r="O146" s="30">
        <f t="shared" si="18"/>
        <v>0.22215093559282489</v>
      </c>
    </row>
    <row r="147" spans="1:15" ht="20.100000000000001" customHeight="1" x14ac:dyDescent="0.25">
      <c r="A147" s="33">
        <v>341</v>
      </c>
      <c r="B147" s="9">
        <v>42578</v>
      </c>
      <c r="C147" s="18" t="s">
        <v>50</v>
      </c>
      <c r="D147" s="11">
        <v>4723.78</v>
      </c>
      <c r="E147" s="9">
        <v>42586</v>
      </c>
      <c r="F147" s="15" t="s">
        <v>28</v>
      </c>
      <c r="G147" s="12">
        <v>42592</v>
      </c>
      <c r="H147" s="23">
        <f t="shared" si="16"/>
        <v>4723.78</v>
      </c>
      <c r="I147" s="24"/>
      <c r="J147" s="24"/>
      <c r="K147" s="24"/>
      <c r="L147" s="23">
        <v>3637</v>
      </c>
      <c r="M147" s="22">
        <f t="shared" si="17"/>
        <v>1086.7799999999997</v>
      </c>
      <c r="N147" s="22"/>
      <c r="O147" s="30">
        <f t="shared" si="18"/>
        <v>0.23006575242708166</v>
      </c>
    </row>
    <row r="148" spans="1:15" ht="20.100000000000001" customHeight="1" x14ac:dyDescent="0.25">
      <c r="A148" s="33">
        <v>344</v>
      </c>
      <c r="B148" s="9">
        <v>42579</v>
      </c>
      <c r="C148" s="18" t="s">
        <v>72</v>
      </c>
      <c r="D148" s="11">
        <v>1935</v>
      </c>
      <c r="E148" s="9">
        <v>42586</v>
      </c>
      <c r="F148" s="15" t="s">
        <v>28</v>
      </c>
      <c r="G148" s="12">
        <v>42580</v>
      </c>
      <c r="H148" s="23">
        <f t="shared" si="16"/>
        <v>1935</v>
      </c>
      <c r="I148" s="24"/>
      <c r="J148" s="24"/>
      <c r="K148" s="24"/>
      <c r="L148" s="23">
        <v>1583</v>
      </c>
      <c r="M148" s="22">
        <f t="shared" si="17"/>
        <v>352</v>
      </c>
      <c r="N148" s="22"/>
      <c r="O148" s="30">
        <f t="shared" si="18"/>
        <v>0.18191214470284237</v>
      </c>
    </row>
    <row r="149" spans="1:15" ht="20.100000000000001" customHeight="1" x14ac:dyDescent="0.25">
      <c r="A149" s="33">
        <v>291</v>
      </c>
      <c r="B149" s="9">
        <v>42557</v>
      </c>
      <c r="C149" s="18" t="s">
        <v>56</v>
      </c>
      <c r="D149" s="11">
        <v>84104</v>
      </c>
      <c r="E149" s="9">
        <v>42590</v>
      </c>
      <c r="F149" s="15" t="s">
        <v>28</v>
      </c>
      <c r="G149" s="12">
        <v>42576</v>
      </c>
      <c r="H149" s="23">
        <f t="shared" si="16"/>
        <v>84104</v>
      </c>
      <c r="I149" s="24"/>
      <c r="J149" s="24"/>
      <c r="K149" s="24"/>
      <c r="L149" s="23">
        <v>59790.879999999997</v>
      </c>
      <c r="M149" s="22">
        <f t="shared" si="17"/>
        <v>24313.120000000003</v>
      </c>
      <c r="N149" s="22"/>
      <c r="O149" s="30">
        <f t="shared" si="18"/>
        <v>0.28908399124892992</v>
      </c>
    </row>
    <row r="150" spans="1:15" ht="20.100000000000001" customHeight="1" x14ac:dyDescent="0.25">
      <c r="A150" s="33">
        <v>334</v>
      </c>
      <c r="B150" s="9">
        <v>42577</v>
      </c>
      <c r="C150" s="18" t="s">
        <v>56</v>
      </c>
      <c r="D150" s="11">
        <v>4900</v>
      </c>
      <c r="E150" s="9">
        <v>42590</v>
      </c>
      <c r="F150" s="15" t="s">
        <v>28</v>
      </c>
      <c r="G150" s="12">
        <v>42578</v>
      </c>
      <c r="H150" s="23">
        <f t="shared" si="16"/>
        <v>4900</v>
      </c>
      <c r="I150" s="24"/>
      <c r="J150" s="24"/>
      <c r="K150" s="24"/>
      <c r="L150" s="23">
        <v>4348</v>
      </c>
      <c r="M150" s="22">
        <f t="shared" si="17"/>
        <v>552</v>
      </c>
      <c r="N150" s="22"/>
      <c r="O150" s="30">
        <f t="shared" si="18"/>
        <v>0.1126530612244898</v>
      </c>
    </row>
    <row r="151" spans="1:15" ht="20.100000000000001" customHeight="1" x14ac:dyDescent="0.25">
      <c r="A151" s="33">
        <v>293</v>
      </c>
      <c r="B151" s="9">
        <v>42562</v>
      </c>
      <c r="C151" s="18" t="s">
        <v>38</v>
      </c>
      <c r="D151" s="11">
        <v>23868.76</v>
      </c>
      <c r="E151" s="9">
        <v>42590</v>
      </c>
      <c r="F151" s="15" t="s">
        <v>28</v>
      </c>
      <c r="G151" s="12">
        <v>42579</v>
      </c>
      <c r="H151" s="23">
        <f t="shared" si="16"/>
        <v>23868.76</v>
      </c>
      <c r="I151" s="24"/>
      <c r="J151" s="23">
        <f>0.02*H151</f>
        <v>477.37519999999995</v>
      </c>
      <c r="K151" s="24"/>
      <c r="L151" s="23">
        <v>16339</v>
      </c>
      <c r="M151" s="22">
        <f t="shared" si="17"/>
        <v>7052.384799999998</v>
      </c>
      <c r="N151" s="24"/>
      <c r="O151" s="30">
        <f t="shared" si="18"/>
        <v>0.295465068147654</v>
      </c>
    </row>
    <row r="152" spans="1:15" ht="20.100000000000001" customHeight="1" x14ac:dyDescent="0.25">
      <c r="A152" s="33">
        <v>288</v>
      </c>
      <c r="B152" s="9">
        <v>42562</v>
      </c>
      <c r="C152" s="18" t="s">
        <v>38</v>
      </c>
      <c r="D152" s="11">
        <v>68104.240000000005</v>
      </c>
      <c r="E152" s="9">
        <v>42590</v>
      </c>
      <c r="F152" s="15" t="s">
        <v>28</v>
      </c>
      <c r="G152" s="12">
        <v>42579</v>
      </c>
      <c r="H152" s="23">
        <f t="shared" si="16"/>
        <v>68104.240000000005</v>
      </c>
      <c r="I152" s="24"/>
      <c r="J152" s="23">
        <f>0.02*H152</f>
        <v>1362.0848000000001</v>
      </c>
      <c r="K152" s="24">
        <v>1200</v>
      </c>
      <c r="L152" s="23">
        <v>36079.599999999999</v>
      </c>
      <c r="M152" s="22">
        <f t="shared" si="17"/>
        <v>29462.555200000006</v>
      </c>
      <c r="N152" s="24"/>
      <c r="O152" s="30">
        <f t="shared" si="18"/>
        <v>0.43260970535755194</v>
      </c>
    </row>
    <row r="153" spans="1:15" ht="20.100000000000001" customHeight="1" x14ac:dyDescent="0.25">
      <c r="A153" s="33">
        <v>287</v>
      </c>
      <c r="B153" s="9">
        <v>42562</v>
      </c>
      <c r="C153" s="18" t="s">
        <v>38</v>
      </c>
      <c r="D153" s="11">
        <v>62500</v>
      </c>
      <c r="E153" s="9">
        <v>42590</v>
      </c>
      <c r="F153" s="15" t="s">
        <v>28</v>
      </c>
      <c r="G153" s="12">
        <v>42579</v>
      </c>
      <c r="H153" s="23">
        <f t="shared" si="16"/>
        <v>62500</v>
      </c>
      <c r="I153" s="24"/>
      <c r="J153" s="23">
        <f>0.02*H153</f>
        <v>1250</v>
      </c>
      <c r="K153" s="24">
        <v>3000</v>
      </c>
      <c r="L153" s="23">
        <v>18455.14</v>
      </c>
      <c r="M153" s="22">
        <f t="shared" si="17"/>
        <v>39794.86</v>
      </c>
      <c r="N153" s="24"/>
      <c r="O153" s="30">
        <f t="shared" si="18"/>
        <v>0.63671776000000002</v>
      </c>
    </row>
    <row r="154" spans="1:15" ht="20.100000000000001" customHeight="1" x14ac:dyDescent="0.25">
      <c r="A154" s="33">
        <v>286</v>
      </c>
      <c r="B154" s="9">
        <v>42562</v>
      </c>
      <c r="C154" s="18" t="s">
        <v>38</v>
      </c>
      <c r="D154" s="11">
        <v>125230.53</v>
      </c>
      <c r="E154" s="9">
        <v>42590</v>
      </c>
      <c r="F154" s="15" t="s">
        <v>28</v>
      </c>
      <c r="G154" s="12">
        <v>42579</v>
      </c>
      <c r="H154" s="23">
        <f t="shared" si="16"/>
        <v>125230.53</v>
      </c>
      <c r="I154" s="24"/>
      <c r="J154" s="23">
        <f>0.02*H154</f>
        <v>2504.6106</v>
      </c>
      <c r="K154" s="24">
        <v>3000</v>
      </c>
      <c r="L154" s="23">
        <v>60514</v>
      </c>
      <c r="M154" s="22">
        <f t="shared" si="17"/>
        <v>59211.919399999999</v>
      </c>
      <c r="N154" s="24"/>
      <c r="O154" s="30">
        <f t="shared" si="18"/>
        <v>0.47282335545493581</v>
      </c>
    </row>
    <row r="155" spans="1:15" ht="20.100000000000001" customHeight="1" x14ac:dyDescent="0.25">
      <c r="A155" s="33">
        <v>352</v>
      </c>
      <c r="B155" s="9">
        <v>42583</v>
      </c>
      <c r="C155" s="20" t="s">
        <v>175</v>
      </c>
      <c r="D155" s="11">
        <v>44990</v>
      </c>
      <c r="E155" s="9">
        <v>42591</v>
      </c>
      <c r="F155" s="15" t="s">
        <v>28</v>
      </c>
      <c r="G155" s="12">
        <v>42591</v>
      </c>
      <c r="H155" s="23">
        <f t="shared" si="16"/>
        <v>44990</v>
      </c>
      <c r="I155" s="23">
        <f>H155</f>
        <v>44990</v>
      </c>
      <c r="J155" s="23"/>
      <c r="K155" s="23"/>
      <c r="L155" s="23">
        <v>36703</v>
      </c>
      <c r="M155" s="22">
        <f t="shared" si="17"/>
        <v>8287</v>
      </c>
      <c r="N155" s="22">
        <f>M155</f>
        <v>8287</v>
      </c>
      <c r="O155" s="30">
        <f t="shared" si="18"/>
        <v>0.18419648810846856</v>
      </c>
    </row>
    <row r="156" spans="1:15" ht="20.100000000000001" customHeight="1" x14ac:dyDescent="0.25">
      <c r="A156" s="33">
        <v>372</v>
      </c>
      <c r="B156" s="9">
        <v>42590</v>
      </c>
      <c r="C156" s="18" t="s">
        <v>15</v>
      </c>
      <c r="D156" s="11">
        <v>2742</v>
      </c>
      <c r="E156" s="9">
        <v>42592</v>
      </c>
      <c r="F156" s="15" t="s">
        <v>28</v>
      </c>
      <c r="G156" s="12">
        <v>42594</v>
      </c>
      <c r="H156" s="23">
        <f t="shared" si="16"/>
        <v>2742</v>
      </c>
      <c r="I156" s="23"/>
      <c r="J156" s="23"/>
      <c r="K156" s="23"/>
      <c r="L156" s="23">
        <v>2244</v>
      </c>
      <c r="M156" s="22">
        <f t="shared" si="17"/>
        <v>498</v>
      </c>
      <c r="N156" s="22"/>
      <c r="O156" s="30">
        <f t="shared" si="18"/>
        <v>0.18161925601750548</v>
      </c>
    </row>
    <row r="157" spans="1:15" ht="20.100000000000001" customHeight="1" x14ac:dyDescent="0.25">
      <c r="A157" s="33">
        <v>378</v>
      </c>
      <c r="B157" s="9">
        <v>42591</v>
      </c>
      <c r="C157" s="20" t="s">
        <v>177</v>
      </c>
      <c r="D157" s="11">
        <v>29590</v>
      </c>
      <c r="E157" s="9">
        <v>42592</v>
      </c>
      <c r="F157" s="15" t="s">
        <v>28</v>
      </c>
      <c r="G157" s="12">
        <v>42592</v>
      </c>
      <c r="H157" s="23">
        <f t="shared" si="16"/>
        <v>29590</v>
      </c>
      <c r="I157" s="23">
        <f>H157</f>
        <v>29590</v>
      </c>
      <c r="J157" s="23"/>
      <c r="K157" s="23"/>
      <c r="L157" s="23">
        <v>28387</v>
      </c>
      <c r="M157" s="22">
        <f t="shared" si="17"/>
        <v>1203</v>
      </c>
      <c r="N157" s="22">
        <f>M157</f>
        <v>1203</v>
      </c>
      <c r="O157" s="30">
        <f t="shared" si="18"/>
        <v>4.0655626900980062E-2</v>
      </c>
    </row>
    <row r="158" spans="1:15" ht="20.100000000000001" customHeight="1" x14ac:dyDescent="0.25">
      <c r="A158" s="33">
        <v>381</v>
      </c>
      <c r="B158" s="9">
        <v>42592</v>
      </c>
      <c r="C158" s="20" t="s">
        <v>178</v>
      </c>
      <c r="D158" s="11">
        <v>30390</v>
      </c>
      <c r="E158" s="9">
        <v>42592</v>
      </c>
      <c r="F158" s="15" t="s">
        <v>28</v>
      </c>
      <c r="G158" s="12">
        <v>42593</v>
      </c>
      <c r="H158" s="23">
        <f t="shared" si="16"/>
        <v>30390</v>
      </c>
      <c r="I158" s="23">
        <f>H158</f>
        <v>30390</v>
      </c>
      <c r="J158" s="23"/>
      <c r="K158" s="23"/>
      <c r="L158" s="23">
        <v>23613</v>
      </c>
      <c r="M158" s="22">
        <f t="shared" si="17"/>
        <v>6777</v>
      </c>
      <c r="N158" s="22">
        <f>M158</f>
        <v>6777</v>
      </c>
      <c r="O158" s="30">
        <f t="shared" si="18"/>
        <v>0.2230009871668312</v>
      </c>
    </row>
    <row r="159" spans="1:15" ht="20.100000000000001" customHeight="1" x14ac:dyDescent="0.25">
      <c r="A159" s="33">
        <v>386</v>
      </c>
      <c r="B159" s="9">
        <v>42593</v>
      </c>
      <c r="C159" s="20" t="s">
        <v>178</v>
      </c>
      <c r="D159" s="11">
        <v>1252.9000000000001</v>
      </c>
      <c r="E159" s="9">
        <v>42593</v>
      </c>
      <c r="F159" s="15" t="s">
        <v>28</v>
      </c>
      <c r="G159" s="12">
        <v>42593</v>
      </c>
      <c r="H159" s="23">
        <f t="shared" si="16"/>
        <v>1252.9000000000001</v>
      </c>
      <c r="I159" s="23">
        <f>H159</f>
        <v>1252.9000000000001</v>
      </c>
      <c r="J159" s="23"/>
      <c r="K159" s="23"/>
      <c r="L159" s="23">
        <v>917</v>
      </c>
      <c r="M159" s="22">
        <f t="shared" si="17"/>
        <v>335.90000000000009</v>
      </c>
      <c r="N159" s="22">
        <f>M159</f>
        <v>335.90000000000009</v>
      </c>
      <c r="O159" s="30">
        <f t="shared" si="18"/>
        <v>0.26809801261074312</v>
      </c>
    </row>
    <row r="160" spans="1:15" ht="20.100000000000001" customHeight="1" x14ac:dyDescent="0.25">
      <c r="A160" s="33">
        <v>382</v>
      </c>
      <c r="B160" s="9">
        <v>42592</v>
      </c>
      <c r="C160" s="20" t="s">
        <v>179</v>
      </c>
      <c r="D160" s="11">
        <v>43590</v>
      </c>
      <c r="E160" s="9">
        <v>42593</v>
      </c>
      <c r="F160" s="15" t="s">
        <v>28</v>
      </c>
      <c r="G160" s="12">
        <v>42594</v>
      </c>
      <c r="H160" s="23">
        <f t="shared" si="16"/>
        <v>43590</v>
      </c>
      <c r="I160" s="23">
        <f>H160</f>
        <v>43590</v>
      </c>
      <c r="J160" s="23"/>
      <c r="K160" s="23"/>
      <c r="L160" s="23">
        <v>32954</v>
      </c>
      <c r="M160" s="22">
        <f t="shared" si="17"/>
        <v>10636</v>
      </c>
      <c r="N160" s="22">
        <f>M160</f>
        <v>10636</v>
      </c>
      <c r="O160" s="30">
        <f t="shared" si="18"/>
        <v>0.24400091764166093</v>
      </c>
    </row>
    <row r="161" spans="1:15" ht="20.100000000000001" customHeight="1" x14ac:dyDescent="0.25">
      <c r="A161" s="33">
        <v>339</v>
      </c>
      <c r="B161" s="9">
        <v>42578</v>
      </c>
      <c r="C161" s="18" t="s">
        <v>97</v>
      </c>
      <c r="D161" s="11">
        <v>8714</v>
      </c>
      <c r="E161" s="9">
        <v>42593</v>
      </c>
      <c r="F161" s="15" t="s">
        <v>28</v>
      </c>
      <c r="G161" s="12">
        <v>42594</v>
      </c>
      <c r="H161" s="23">
        <f t="shared" si="16"/>
        <v>8714</v>
      </c>
      <c r="I161" s="23"/>
      <c r="J161" s="23"/>
      <c r="K161" s="23"/>
      <c r="L161" s="23">
        <v>6586</v>
      </c>
      <c r="M161" s="22">
        <f t="shared" si="17"/>
        <v>2128</v>
      </c>
      <c r="N161" s="22"/>
      <c r="O161" s="30">
        <f t="shared" si="18"/>
        <v>0.24420472802386964</v>
      </c>
    </row>
    <row r="162" spans="1:15" ht="20.100000000000001" customHeight="1" x14ac:dyDescent="0.25">
      <c r="A162" s="33">
        <v>324</v>
      </c>
      <c r="B162" s="9">
        <v>42572</v>
      </c>
      <c r="C162" s="20" t="s">
        <v>180</v>
      </c>
      <c r="D162" s="11">
        <v>451098</v>
      </c>
      <c r="E162" s="9">
        <v>42593</v>
      </c>
      <c r="F162" s="15" t="s">
        <v>28</v>
      </c>
      <c r="G162" s="12">
        <v>42606</v>
      </c>
      <c r="H162" s="23">
        <f t="shared" si="16"/>
        <v>451098</v>
      </c>
      <c r="I162" s="23">
        <f>H162</f>
        <v>451098</v>
      </c>
      <c r="J162" s="23"/>
      <c r="K162" s="23">
        <v>6600</v>
      </c>
      <c r="L162" s="23">
        <v>331100</v>
      </c>
      <c r="M162" s="22">
        <f t="shared" si="17"/>
        <v>113398</v>
      </c>
      <c r="N162" s="22">
        <f>M162</f>
        <v>113398</v>
      </c>
      <c r="O162" s="30">
        <f t="shared" si="18"/>
        <v>0.25138218302896487</v>
      </c>
    </row>
    <row r="163" spans="1:15" ht="20.100000000000001" customHeight="1" x14ac:dyDescent="0.25">
      <c r="A163" s="33">
        <v>389</v>
      </c>
      <c r="B163" s="9">
        <v>42594</v>
      </c>
      <c r="C163" s="18" t="s">
        <v>162</v>
      </c>
      <c r="D163" s="11">
        <v>5300</v>
      </c>
      <c r="E163" s="9">
        <v>42594</v>
      </c>
      <c r="F163" s="15"/>
      <c r="G163" s="12">
        <v>42597</v>
      </c>
      <c r="H163" s="23">
        <f t="shared" si="16"/>
        <v>5300</v>
      </c>
      <c r="I163" s="23"/>
      <c r="J163" s="23"/>
      <c r="K163" s="23"/>
      <c r="L163" s="23">
        <v>2126</v>
      </c>
      <c r="M163" s="22">
        <f t="shared" si="17"/>
        <v>3174</v>
      </c>
      <c r="N163" s="22"/>
      <c r="O163" s="30">
        <f t="shared" si="18"/>
        <v>0.59886792452830184</v>
      </c>
    </row>
    <row r="164" spans="1:15" ht="20.100000000000001" customHeight="1" x14ac:dyDescent="0.25">
      <c r="A164" s="33">
        <v>369</v>
      </c>
      <c r="B164" s="9">
        <v>42586</v>
      </c>
      <c r="C164" s="18" t="s">
        <v>75</v>
      </c>
      <c r="D164" s="11">
        <v>14688.08</v>
      </c>
      <c r="E164" s="9">
        <v>42597</v>
      </c>
      <c r="F164" s="15" t="s">
        <v>28</v>
      </c>
      <c r="G164" s="12">
        <v>42605</v>
      </c>
      <c r="H164" s="23">
        <f t="shared" si="16"/>
        <v>14688.08</v>
      </c>
      <c r="I164" s="23"/>
      <c r="J164" s="23"/>
      <c r="K164" s="23"/>
      <c r="L164" s="23">
        <v>12444.5</v>
      </c>
      <c r="M164" s="22">
        <f t="shared" si="17"/>
        <v>2243.58</v>
      </c>
      <c r="N164" s="22"/>
      <c r="O164" s="30">
        <f t="shared" si="18"/>
        <v>0.15274835104383963</v>
      </c>
    </row>
    <row r="165" spans="1:15" ht="20.100000000000001" customHeight="1" x14ac:dyDescent="0.25">
      <c r="A165" s="33">
        <v>318</v>
      </c>
      <c r="B165" s="9">
        <v>42570</v>
      </c>
      <c r="C165" s="18" t="s">
        <v>82</v>
      </c>
      <c r="D165" s="11">
        <v>5764.9</v>
      </c>
      <c r="E165" s="9">
        <v>42597</v>
      </c>
      <c r="F165" s="15" t="s">
        <v>28</v>
      </c>
      <c r="G165" s="12">
        <v>42570</v>
      </c>
      <c r="H165" s="23">
        <f t="shared" si="16"/>
        <v>5764.9</v>
      </c>
      <c r="I165" s="24"/>
      <c r="J165" s="24"/>
      <c r="K165" s="24"/>
      <c r="L165" s="23">
        <v>4101</v>
      </c>
      <c r="M165" s="22">
        <f t="shared" si="17"/>
        <v>1663.8999999999996</v>
      </c>
      <c r="N165" s="24"/>
      <c r="O165" s="30">
        <f t="shared" si="18"/>
        <v>0.28862599524709875</v>
      </c>
    </row>
    <row r="166" spans="1:15" ht="20.100000000000001" customHeight="1" x14ac:dyDescent="0.25">
      <c r="A166" s="33">
        <v>370</v>
      </c>
      <c r="B166" s="9">
        <v>42586</v>
      </c>
      <c r="C166" s="18" t="s">
        <v>56</v>
      </c>
      <c r="D166" s="11">
        <v>22810</v>
      </c>
      <c r="E166" s="9">
        <v>42598</v>
      </c>
      <c r="F166" s="15" t="s">
        <v>28</v>
      </c>
      <c r="G166" s="12">
        <v>42593</v>
      </c>
      <c r="H166" s="23">
        <f t="shared" si="16"/>
        <v>22810</v>
      </c>
      <c r="I166" s="24"/>
      <c r="J166" s="24"/>
      <c r="K166" s="24"/>
      <c r="L166" s="23">
        <v>18452</v>
      </c>
      <c r="M166" s="22">
        <f t="shared" si="17"/>
        <v>4358</v>
      </c>
      <c r="N166" s="24"/>
      <c r="O166" s="30">
        <f t="shared" si="18"/>
        <v>0.19105655414291978</v>
      </c>
    </row>
    <row r="167" spans="1:15" ht="20.100000000000001" customHeight="1" x14ac:dyDescent="0.25">
      <c r="A167" s="33">
        <v>392</v>
      </c>
      <c r="B167" s="9">
        <v>42597</v>
      </c>
      <c r="C167" s="20" t="s">
        <v>181</v>
      </c>
      <c r="D167" s="11">
        <v>658.44</v>
      </c>
      <c r="E167" s="9">
        <v>42598</v>
      </c>
      <c r="F167" s="15" t="s">
        <v>28</v>
      </c>
      <c r="G167" s="12">
        <v>42612</v>
      </c>
      <c r="H167" s="23">
        <f t="shared" si="16"/>
        <v>658.44</v>
      </c>
      <c r="I167" s="23">
        <f>H167</f>
        <v>658.44</v>
      </c>
      <c r="J167" s="23"/>
      <c r="K167" s="23"/>
      <c r="L167" s="23">
        <v>498</v>
      </c>
      <c r="M167" s="22">
        <f t="shared" si="17"/>
        <v>160.44000000000005</v>
      </c>
      <c r="N167" s="22">
        <f>M167</f>
        <v>160.44000000000005</v>
      </c>
      <c r="O167" s="30">
        <f t="shared" si="18"/>
        <v>0.24366684891561879</v>
      </c>
    </row>
    <row r="168" spans="1:15" ht="20.100000000000001" customHeight="1" x14ac:dyDescent="0.25">
      <c r="A168" s="33">
        <v>359</v>
      </c>
      <c r="B168" s="9">
        <v>42584</v>
      </c>
      <c r="C168" s="20" t="s">
        <v>182</v>
      </c>
      <c r="D168" s="11">
        <v>8672.7199999999993</v>
      </c>
      <c r="E168" s="9">
        <v>42598</v>
      </c>
      <c r="F168" s="15" t="s">
        <v>28</v>
      </c>
      <c r="G168" s="12">
        <v>42601</v>
      </c>
      <c r="H168" s="23">
        <f t="shared" si="16"/>
        <v>8672.7199999999993</v>
      </c>
      <c r="I168" s="23">
        <f>H168</f>
        <v>8672.7199999999993</v>
      </c>
      <c r="J168" s="23"/>
      <c r="K168" s="23"/>
      <c r="L168" s="23">
        <v>5364</v>
      </c>
      <c r="M168" s="22">
        <f t="shared" si="17"/>
        <v>3308.7199999999993</v>
      </c>
      <c r="N168" s="22">
        <f>M168</f>
        <v>3308.7199999999993</v>
      </c>
      <c r="O168" s="30">
        <f t="shared" si="18"/>
        <v>0.38150891531145931</v>
      </c>
    </row>
    <row r="169" spans="1:15" ht="20.100000000000001" customHeight="1" x14ac:dyDescent="0.25">
      <c r="A169" s="33">
        <v>380</v>
      </c>
      <c r="B169" s="9">
        <v>42592</v>
      </c>
      <c r="C169" s="20" t="s">
        <v>175</v>
      </c>
      <c r="D169" s="11">
        <v>19105.84</v>
      </c>
      <c r="E169" s="9">
        <v>42599</v>
      </c>
      <c r="F169" s="15" t="s">
        <v>28</v>
      </c>
      <c r="G169" s="12">
        <v>42600</v>
      </c>
      <c r="H169" s="23">
        <f t="shared" si="16"/>
        <v>19105.84</v>
      </c>
      <c r="I169" s="23">
        <f>H169</f>
        <v>19105.84</v>
      </c>
      <c r="J169" s="23"/>
      <c r="K169" s="23"/>
      <c r="L169" s="23">
        <v>15648</v>
      </c>
      <c r="M169" s="22">
        <f t="shared" si="17"/>
        <v>3457.84</v>
      </c>
      <c r="N169" s="22">
        <f>M169</f>
        <v>3457.84</v>
      </c>
      <c r="O169" s="30">
        <f t="shared" si="18"/>
        <v>0.18098340612085101</v>
      </c>
    </row>
    <row r="170" spans="1:15" ht="20.100000000000001" customHeight="1" x14ac:dyDescent="0.25">
      <c r="A170" s="33">
        <v>397</v>
      </c>
      <c r="B170" s="9">
        <v>42597</v>
      </c>
      <c r="C170" s="18" t="s">
        <v>183</v>
      </c>
      <c r="D170" s="11">
        <v>4296.43</v>
      </c>
      <c r="E170" s="9">
        <v>42599</v>
      </c>
      <c r="F170" s="15" t="s">
        <v>28</v>
      </c>
      <c r="G170" s="12">
        <v>42604</v>
      </c>
      <c r="H170" s="23">
        <f t="shared" si="16"/>
        <v>4296.43</v>
      </c>
      <c r="I170" s="24"/>
      <c r="J170" s="24"/>
      <c r="K170" s="24"/>
      <c r="L170" s="23">
        <v>3248</v>
      </c>
      <c r="M170" s="22">
        <f t="shared" si="17"/>
        <v>1048.4300000000003</v>
      </c>
      <c r="N170" s="24"/>
      <c r="O170" s="30">
        <f t="shared" si="18"/>
        <v>0.24402352650921816</v>
      </c>
    </row>
    <row r="171" spans="1:15" ht="20.100000000000001" customHeight="1" x14ac:dyDescent="0.25">
      <c r="A171" s="33">
        <v>401</v>
      </c>
      <c r="B171" s="9">
        <v>42600</v>
      </c>
      <c r="C171" s="18" t="s">
        <v>86</v>
      </c>
      <c r="D171" s="11">
        <v>90590</v>
      </c>
      <c r="E171" s="9">
        <v>42601</v>
      </c>
      <c r="F171" s="15" t="s">
        <v>28</v>
      </c>
      <c r="G171" s="12">
        <v>42604</v>
      </c>
      <c r="H171" s="23">
        <f t="shared" si="16"/>
        <v>90590</v>
      </c>
      <c r="I171" s="24"/>
      <c r="J171" s="24"/>
      <c r="K171" s="24"/>
      <c r="L171" s="23">
        <v>79453</v>
      </c>
      <c r="M171" s="22">
        <f t="shared" si="17"/>
        <v>11137</v>
      </c>
      <c r="N171" s="24"/>
      <c r="O171" s="30">
        <f t="shared" si="18"/>
        <v>0.12293851418478861</v>
      </c>
    </row>
    <row r="172" spans="1:15" ht="20.100000000000001" customHeight="1" x14ac:dyDescent="0.25">
      <c r="A172" s="33">
        <v>402</v>
      </c>
      <c r="B172" s="9">
        <v>42601</v>
      </c>
      <c r="C172" s="18" t="s">
        <v>91</v>
      </c>
      <c r="D172" s="11">
        <v>4776.46</v>
      </c>
      <c r="E172" s="9">
        <v>42604</v>
      </c>
      <c r="F172" s="15" t="s">
        <v>28</v>
      </c>
      <c r="G172" s="12">
        <v>42604</v>
      </c>
      <c r="H172" s="23">
        <f t="shared" si="16"/>
        <v>4776.46</v>
      </c>
      <c r="I172" s="24"/>
      <c r="J172" s="24"/>
      <c r="K172" s="24"/>
      <c r="L172" s="23">
        <v>3912</v>
      </c>
      <c r="M172" s="22">
        <f t="shared" si="17"/>
        <v>864.46</v>
      </c>
      <c r="N172" s="24"/>
      <c r="O172" s="30">
        <f t="shared" si="18"/>
        <v>0.18098340612085101</v>
      </c>
    </row>
    <row r="173" spans="1:15" ht="20.100000000000001" customHeight="1" x14ac:dyDescent="0.25">
      <c r="A173" s="33">
        <v>391</v>
      </c>
      <c r="B173" s="9">
        <v>42594</v>
      </c>
      <c r="C173" s="18" t="s">
        <v>34</v>
      </c>
      <c r="D173" s="11">
        <v>4472.28</v>
      </c>
      <c r="E173" s="9">
        <v>42604</v>
      </c>
      <c r="F173" s="15" t="s">
        <v>28</v>
      </c>
      <c r="G173" s="12">
        <v>42613</v>
      </c>
      <c r="H173" s="23">
        <f t="shared" si="16"/>
        <v>4472.28</v>
      </c>
      <c r="I173" s="24"/>
      <c r="J173" s="24"/>
      <c r="K173" s="24"/>
      <c r="L173" s="23">
        <v>2926</v>
      </c>
      <c r="M173" s="22">
        <f t="shared" si="17"/>
        <v>1546.2799999999997</v>
      </c>
      <c r="N173" s="24"/>
      <c r="O173" s="30">
        <f t="shared" si="18"/>
        <v>0.3457475828883701</v>
      </c>
    </row>
    <row r="174" spans="1:15" ht="20.100000000000001" customHeight="1" x14ac:dyDescent="0.25">
      <c r="A174" s="33">
        <v>390</v>
      </c>
      <c r="B174" s="9">
        <v>42594</v>
      </c>
      <c r="C174" s="18" t="s">
        <v>147</v>
      </c>
      <c r="D174" s="11">
        <v>9552.92</v>
      </c>
      <c r="E174" s="9">
        <v>42604</v>
      </c>
      <c r="F174" s="15" t="s">
        <v>28</v>
      </c>
      <c r="G174" s="12">
        <v>42583</v>
      </c>
      <c r="H174" s="23">
        <f t="shared" si="16"/>
        <v>9552.92</v>
      </c>
      <c r="I174" s="24"/>
      <c r="J174" s="24"/>
      <c r="K174" s="24"/>
      <c r="L174" s="23">
        <v>7824</v>
      </c>
      <c r="M174" s="22">
        <f t="shared" si="17"/>
        <v>1728.92</v>
      </c>
      <c r="N174" s="24"/>
      <c r="O174" s="30">
        <f t="shared" si="18"/>
        <v>0.18098340612085101</v>
      </c>
    </row>
    <row r="175" spans="1:15" ht="20.100000000000001" customHeight="1" x14ac:dyDescent="0.25">
      <c r="A175" s="33">
        <v>398</v>
      </c>
      <c r="B175" s="9">
        <v>42598</v>
      </c>
      <c r="C175" s="18" t="s">
        <v>66</v>
      </c>
      <c r="D175" s="11">
        <v>15106.39</v>
      </c>
      <c r="E175" s="9">
        <v>42605</v>
      </c>
      <c r="F175" s="15" t="s">
        <v>28</v>
      </c>
      <c r="G175" s="12">
        <v>42639</v>
      </c>
      <c r="H175" s="23">
        <f t="shared" si="16"/>
        <v>15106.39</v>
      </c>
      <c r="I175" s="24"/>
      <c r="J175" s="24"/>
      <c r="K175" s="24"/>
      <c r="L175" s="23">
        <v>11683</v>
      </c>
      <c r="M175" s="22">
        <f t="shared" si="17"/>
        <v>3423.3899999999994</v>
      </c>
      <c r="N175" s="24"/>
      <c r="O175" s="30">
        <f t="shared" si="18"/>
        <v>0.22661866931808325</v>
      </c>
    </row>
    <row r="176" spans="1:15" ht="20.100000000000001" customHeight="1" x14ac:dyDescent="0.25">
      <c r="A176" s="33">
        <v>327</v>
      </c>
      <c r="B176" s="9">
        <v>42576</v>
      </c>
      <c r="C176" s="18" t="s">
        <v>176</v>
      </c>
      <c r="D176" s="11">
        <v>53080</v>
      </c>
      <c r="E176" s="9">
        <v>42607</v>
      </c>
      <c r="F176" s="15" t="s">
        <v>28</v>
      </c>
      <c r="G176" s="12">
        <v>42590</v>
      </c>
      <c r="H176" s="23">
        <f t="shared" si="16"/>
        <v>53080</v>
      </c>
      <c r="I176" s="24"/>
      <c r="J176" s="24"/>
      <c r="K176" s="24"/>
      <c r="L176" s="23">
        <v>40767</v>
      </c>
      <c r="M176" s="22">
        <f t="shared" si="17"/>
        <v>12313</v>
      </c>
      <c r="N176" s="24"/>
      <c r="O176" s="30">
        <f t="shared" si="18"/>
        <v>0.23197061039939715</v>
      </c>
    </row>
    <row r="177" spans="1:15" ht="20.100000000000001" customHeight="1" x14ac:dyDescent="0.25">
      <c r="A177" s="33">
        <v>405</v>
      </c>
      <c r="B177" s="9">
        <v>42606</v>
      </c>
      <c r="C177" s="20" t="s">
        <v>42</v>
      </c>
      <c r="D177" s="11">
        <v>46173</v>
      </c>
      <c r="E177" s="9">
        <v>42607</v>
      </c>
      <c r="F177" s="15" t="s">
        <v>28</v>
      </c>
      <c r="G177" s="12">
        <v>42628</v>
      </c>
      <c r="H177" s="23">
        <f t="shared" si="16"/>
        <v>46173</v>
      </c>
      <c r="I177" s="23">
        <f>H177</f>
        <v>46173</v>
      </c>
      <c r="J177" s="23"/>
      <c r="K177" s="23"/>
      <c r="L177" s="23">
        <v>34934</v>
      </c>
      <c r="M177" s="22">
        <f t="shared" si="17"/>
        <v>11239</v>
      </c>
      <c r="N177" s="22">
        <f>M177</f>
        <v>11239</v>
      </c>
      <c r="O177" s="30">
        <f t="shared" si="18"/>
        <v>0.24341065124639941</v>
      </c>
    </row>
    <row r="178" spans="1:15" ht="20.100000000000001" customHeight="1" x14ac:dyDescent="0.25">
      <c r="A178" s="33">
        <v>332</v>
      </c>
      <c r="B178" s="9">
        <v>42577</v>
      </c>
      <c r="C178" s="18" t="s">
        <v>38</v>
      </c>
      <c r="D178" s="11">
        <v>26134.53</v>
      </c>
      <c r="E178" s="9">
        <v>42612</v>
      </c>
      <c r="F178" s="15" t="s">
        <v>28</v>
      </c>
      <c r="G178" s="12">
        <v>42597</v>
      </c>
      <c r="H178" s="23">
        <f t="shared" si="16"/>
        <v>26134.53</v>
      </c>
      <c r="I178" s="24"/>
      <c r="J178" s="23">
        <f>0.02*H178</f>
        <v>522.69060000000002</v>
      </c>
      <c r="K178" s="24"/>
      <c r="L178" s="23">
        <v>16798</v>
      </c>
      <c r="M178" s="22">
        <f t="shared" si="17"/>
        <v>8813.8393999999989</v>
      </c>
      <c r="N178" s="24"/>
      <c r="O178" s="30">
        <f t="shared" si="18"/>
        <v>0.33724881985633565</v>
      </c>
    </row>
    <row r="179" spans="1:15" ht="20.100000000000001" customHeight="1" x14ac:dyDescent="0.25">
      <c r="A179" s="33">
        <v>335</v>
      </c>
      <c r="B179" s="9">
        <v>42577</v>
      </c>
      <c r="C179" s="18" t="s">
        <v>38</v>
      </c>
      <c r="D179" s="11">
        <v>135590</v>
      </c>
      <c r="E179" s="9">
        <v>42612</v>
      </c>
      <c r="F179" s="15" t="s">
        <v>28</v>
      </c>
      <c r="G179" s="12">
        <v>42597</v>
      </c>
      <c r="H179" s="23">
        <f t="shared" si="16"/>
        <v>135590</v>
      </c>
      <c r="I179" s="24"/>
      <c r="J179" s="23">
        <f>0.02*H179</f>
        <v>2711.8</v>
      </c>
      <c r="K179" s="24"/>
      <c r="L179" s="23">
        <v>102506</v>
      </c>
      <c r="M179" s="22">
        <f t="shared" si="17"/>
        <v>30372.2</v>
      </c>
      <c r="N179" s="24"/>
      <c r="O179" s="30">
        <f t="shared" si="18"/>
        <v>0.22400029500700641</v>
      </c>
    </row>
    <row r="180" spans="1:15" ht="19.5" customHeight="1" x14ac:dyDescent="0.25">
      <c r="A180" s="33">
        <v>336</v>
      </c>
      <c r="B180" s="9">
        <v>42577</v>
      </c>
      <c r="C180" s="18" t="s">
        <v>38</v>
      </c>
      <c r="D180" s="11">
        <v>51250</v>
      </c>
      <c r="E180" s="9">
        <v>42612</v>
      </c>
      <c r="F180" s="15" t="s">
        <v>28</v>
      </c>
      <c r="G180" s="12">
        <v>42597</v>
      </c>
      <c r="H180" s="23">
        <f t="shared" si="16"/>
        <v>51250</v>
      </c>
      <c r="I180" s="24"/>
      <c r="J180" s="23">
        <f>0.02*H180</f>
        <v>1025</v>
      </c>
      <c r="K180" s="24">
        <v>3000</v>
      </c>
      <c r="L180" s="23">
        <v>16645.3</v>
      </c>
      <c r="M180" s="22">
        <f t="shared" si="17"/>
        <v>30579.699999999997</v>
      </c>
      <c r="N180" s="24"/>
      <c r="O180" s="30">
        <f t="shared" si="18"/>
        <v>0.5966770731707316</v>
      </c>
    </row>
    <row r="181" spans="1:15" ht="15.75" x14ac:dyDescent="0.25">
      <c r="A181" s="33">
        <v>325</v>
      </c>
      <c r="B181" s="9">
        <v>42573</v>
      </c>
      <c r="C181" s="18" t="s">
        <v>13</v>
      </c>
      <c r="D181" s="11">
        <v>20504.27</v>
      </c>
      <c r="E181" s="9">
        <v>42611</v>
      </c>
      <c r="F181" s="15" t="s">
        <v>28</v>
      </c>
      <c r="G181" s="12">
        <v>42604</v>
      </c>
      <c r="H181" s="23">
        <f t="shared" si="16"/>
        <v>20504.27</v>
      </c>
      <c r="I181" s="24"/>
      <c r="J181" s="24"/>
      <c r="K181" s="24"/>
      <c r="L181" s="23">
        <v>15823</v>
      </c>
      <c r="M181" s="22">
        <f t="shared" si="17"/>
        <v>4681.2700000000004</v>
      </c>
      <c r="N181" s="24"/>
      <c r="O181" s="30">
        <f t="shared" si="18"/>
        <v>0.22830707945223119</v>
      </c>
    </row>
    <row r="182" spans="1:15" s="2" customFormat="1" ht="20.100000000000001" customHeight="1" x14ac:dyDescent="0.25">
      <c r="A182" s="33">
        <v>404</v>
      </c>
      <c r="B182" s="9">
        <v>42605</v>
      </c>
      <c r="C182" s="20" t="s">
        <v>184</v>
      </c>
      <c r="D182" s="11">
        <v>22690</v>
      </c>
      <c r="E182" s="9">
        <v>42611</v>
      </c>
      <c r="F182" s="15" t="s">
        <v>28</v>
      </c>
      <c r="G182" s="12">
        <v>42612</v>
      </c>
      <c r="H182" s="23">
        <f t="shared" si="16"/>
        <v>22690</v>
      </c>
      <c r="I182" s="23">
        <f>H182</f>
        <v>22690</v>
      </c>
      <c r="J182" s="23"/>
      <c r="K182" s="23"/>
      <c r="L182" s="23">
        <v>17154</v>
      </c>
      <c r="M182" s="22">
        <f t="shared" si="17"/>
        <v>5536</v>
      </c>
      <c r="N182" s="22">
        <f>M182</f>
        <v>5536</v>
      </c>
      <c r="O182" s="30">
        <f t="shared" si="18"/>
        <v>0.24398413397972676</v>
      </c>
    </row>
    <row r="183" spans="1:15" ht="20.100000000000001" customHeight="1" x14ac:dyDescent="0.25">
      <c r="A183" s="33">
        <v>417</v>
      </c>
      <c r="B183" s="9">
        <v>42613</v>
      </c>
      <c r="C183" s="18" t="s">
        <v>176</v>
      </c>
      <c r="D183" s="11">
        <v>328</v>
      </c>
      <c r="E183" s="9">
        <v>42613</v>
      </c>
      <c r="F183" s="15" t="s">
        <v>28</v>
      </c>
      <c r="G183" s="12">
        <v>42613</v>
      </c>
      <c r="H183" s="23">
        <f t="shared" si="16"/>
        <v>328</v>
      </c>
      <c r="I183" s="23"/>
      <c r="J183" s="23"/>
      <c r="K183" s="23"/>
      <c r="L183" s="23">
        <v>241</v>
      </c>
      <c r="M183" s="22">
        <f t="shared" si="17"/>
        <v>87</v>
      </c>
      <c r="N183" s="22"/>
      <c r="O183" s="30">
        <f t="shared" si="18"/>
        <v>0.2652439024390244</v>
      </c>
    </row>
    <row r="184" spans="1:15" ht="20.100000000000001" customHeight="1" x14ac:dyDescent="0.25">
      <c r="A184" s="33">
        <v>395</v>
      </c>
      <c r="B184" s="9">
        <v>42597</v>
      </c>
      <c r="C184" s="18" t="s">
        <v>56</v>
      </c>
      <c r="D184" s="11">
        <v>7150</v>
      </c>
      <c r="E184" s="9">
        <v>42612</v>
      </c>
      <c r="F184" s="15" t="s">
        <v>28</v>
      </c>
      <c r="G184" s="12">
        <v>42605</v>
      </c>
      <c r="H184" s="23">
        <f t="shared" si="16"/>
        <v>7150</v>
      </c>
      <c r="I184" s="24"/>
      <c r="J184" s="24"/>
      <c r="K184" s="24"/>
      <c r="L184" s="23">
        <v>4524</v>
      </c>
      <c r="M184" s="22">
        <f t="shared" si="17"/>
        <v>2626</v>
      </c>
      <c r="N184" s="24"/>
      <c r="O184" s="30">
        <f t="shared" si="18"/>
        <v>0.36727272727272725</v>
      </c>
    </row>
    <row r="185" spans="1:15" ht="20.100000000000001" customHeight="1" x14ac:dyDescent="0.25">
      <c r="A185" s="35" t="s">
        <v>535</v>
      </c>
      <c r="B185" s="36"/>
      <c r="C185" s="42"/>
      <c r="D185" s="37"/>
      <c r="E185" s="83" t="s">
        <v>621</v>
      </c>
      <c r="F185" s="47">
        <f>M185*0.17+N185*0.06</f>
        <v>89875.290596000021</v>
      </c>
      <c r="G185" s="21">
        <f>H185*0.05+I185*0.02</f>
        <v>96156.595799999981</v>
      </c>
      <c r="H185" s="49">
        <f>SUBTOTAL(109,Август2016[Продажа])</f>
        <v>1626820.6999999997</v>
      </c>
      <c r="I185" s="49">
        <f>SUBTOTAL(109,Август2016[Продажа НК])</f>
        <v>740778.03999999992</v>
      </c>
      <c r="J185" s="49">
        <f>SUBTOTAL(109,Август2016[отк])</f>
        <v>9853.5612000000001</v>
      </c>
      <c r="K185" s="49">
        <f>SUBTOTAL(109,Август2016[шланги])</f>
        <v>17400</v>
      </c>
      <c r="L185" s="49">
        <f>SUBTOTAL(109,Август2016[Закупка])</f>
        <v>1132608.22</v>
      </c>
      <c r="M185" s="49">
        <f>SUBTOTAL(109,Август2016[Маржа])</f>
        <v>466958.91880000016</v>
      </c>
      <c r="N185" s="49">
        <f>SUBTOTAL(109,Август2016[Маржа НК])</f>
        <v>174871.24</v>
      </c>
      <c r="O185" s="44">
        <f t="shared" si="18"/>
        <v>0.28703772874294031</v>
      </c>
    </row>
    <row r="186" spans="1:15" ht="20.100000000000001" customHeight="1" x14ac:dyDescent="0.25">
      <c r="A186" s="41" t="s">
        <v>1</v>
      </c>
      <c r="B186" s="1" t="s">
        <v>0</v>
      </c>
      <c r="C186" s="1" t="s">
        <v>26</v>
      </c>
      <c r="D186" s="1" t="s">
        <v>2</v>
      </c>
      <c r="E186" s="1" t="s">
        <v>3</v>
      </c>
      <c r="F186" s="1" t="s">
        <v>27</v>
      </c>
      <c r="G186" s="1" t="s">
        <v>4</v>
      </c>
      <c r="H186" s="2" t="s">
        <v>132</v>
      </c>
      <c r="I186" s="2" t="s">
        <v>133</v>
      </c>
      <c r="J186" s="40" t="s">
        <v>187</v>
      </c>
      <c r="K186" s="40" t="s">
        <v>188</v>
      </c>
      <c r="L186" s="40" t="s">
        <v>129</v>
      </c>
      <c r="M186" s="40" t="s">
        <v>130</v>
      </c>
      <c r="N186" s="2" t="s">
        <v>131</v>
      </c>
      <c r="O186" s="2" t="s">
        <v>134</v>
      </c>
    </row>
    <row r="187" spans="1:15" ht="20.100000000000001" customHeight="1" x14ac:dyDescent="0.25">
      <c r="A187" s="33">
        <v>322</v>
      </c>
      <c r="B187" s="9">
        <v>42611</v>
      </c>
      <c r="C187" s="18" t="s">
        <v>186</v>
      </c>
      <c r="D187" s="11">
        <v>29590</v>
      </c>
      <c r="E187" s="9">
        <v>42614</v>
      </c>
      <c r="F187" s="15" t="s">
        <v>28</v>
      </c>
      <c r="G187" s="12">
        <v>42620</v>
      </c>
      <c r="H187" s="23">
        <f t="shared" ref="H187:H212" si="19">D187</f>
        <v>29590</v>
      </c>
      <c r="I187" s="23"/>
      <c r="J187" s="24"/>
      <c r="K187" s="24"/>
      <c r="L187" s="23">
        <v>23329</v>
      </c>
      <c r="M187" s="22">
        <f t="shared" ref="M187:M212" si="20">H187-L187-J187-K187</f>
        <v>6261</v>
      </c>
      <c r="N187" s="22"/>
      <c r="O187" s="30">
        <f t="shared" ref="O187:O213" si="21">M187/H187</f>
        <v>0.21159175397093613</v>
      </c>
    </row>
    <row r="188" spans="1:15" ht="20.100000000000001" customHeight="1" x14ac:dyDescent="0.25">
      <c r="A188" s="33">
        <v>399</v>
      </c>
      <c r="B188" s="9">
        <v>42598</v>
      </c>
      <c r="C188" s="18" t="s">
        <v>11</v>
      </c>
      <c r="D188" s="11">
        <v>7254.62</v>
      </c>
      <c r="E188" s="9">
        <v>42614</v>
      </c>
      <c r="F188" s="15" t="s">
        <v>28</v>
      </c>
      <c r="G188" s="12">
        <v>42619</v>
      </c>
      <c r="H188" s="23">
        <f t="shared" si="19"/>
        <v>7254.62</v>
      </c>
      <c r="I188" s="23"/>
      <c r="J188" s="24"/>
      <c r="K188" s="24"/>
      <c r="L188" s="23">
        <v>4920</v>
      </c>
      <c r="M188" s="22">
        <f t="shared" si="20"/>
        <v>2334.62</v>
      </c>
      <c r="N188" s="22"/>
      <c r="O188" s="30">
        <f t="shared" si="21"/>
        <v>0.32181148013266025</v>
      </c>
    </row>
    <row r="189" spans="1:15" ht="20.100000000000001" customHeight="1" x14ac:dyDescent="0.25">
      <c r="A189" s="33">
        <v>418</v>
      </c>
      <c r="B189" s="9">
        <v>42614</v>
      </c>
      <c r="C189" s="20" t="s">
        <v>185</v>
      </c>
      <c r="D189" s="11">
        <v>2285</v>
      </c>
      <c r="E189" s="9">
        <v>42615</v>
      </c>
      <c r="F189" s="15" t="s">
        <v>28</v>
      </c>
      <c r="G189" s="12">
        <v>42618</v>
      </c>
      <c r="H189" s="23">
        <f t="shared" si="19"/>
        <v>2285</v>
      </c>
      <c r="I189" s="23">
        <f>H189</f>
        <v>2285</v>
      </c>
      <c r="J189" s="24"/>
      <c r="K189" s="24"/>
      <c r="L189" s="23">
        <v>1727</v>
      </c>
      <c r="M189" s="22">
        <f t="shared" si="20"/>
        <v>558</v>
      </c>
      <c r="N189" s="22">
        <f>M189</f>
        <v>558</v>
      </c>
      <c r="O189" s="30">
        <f t="shared" si="21"/>
        <v>0.24420131291028446</v>
      </c>
    </row>
    <row r="190" spans="1:15" ht="20.100000000000001" customHeight="1" x14ac:dyDescent="0.25">
      <c r="A190" s="33">
        <v>408</v>
      </c>
      <c r="B190" s="9">
        <v>42611</v>
      </c>
      <c r="C190" s="18" t="s">
        <v>45</v>
      </c>
      <c r="D190" s="11">
        <v>3890</v>
      </c>
      <c r="E190" s="9">
        <v>42615</v>
      </c>
      <c r="F190" s="15" t="s">
        <v>28</v>
      </c>
      <c r="G190" s="12">
        <v>42626</v>
      </c>
      <c r="H190" s="23">
        <f t="shared" si="19"/>
        <v>3890</v>
      </c>
      <c r="I190" s="23"/>
      <c r="J190" s="24"/>
      <c r="K190" s="24"/>
      <c r="L190" s="23">
        <v>3472</v>
      </c>
      <c r="M190" s="22">
        <f t="shared" si="20"/>
        <v>418</v>
      </c>
      <c r="N190" s="22"/>
      <c r="O190" s="30">
        <f t="shared" si="21"/>
        <v>0.10745501285347044</v>
      </c>
    </row>
    <row r="191" spans="1:15" ht="20.100000000000001" customHeight="1" x14ac:dyDescent="0.25">
      <c r="A191" s="33">
        <v>409</v>
      </c>
      <c r="B191" s="9">
        <v>42611</v>
      </c>
      <c r="C191" s="18" t="s">
        <v>45</v>
      </c>
      <c r="D191" s="11">
        <v>16380</v>
      </c>
      <c r="E191" s="9">
        <v>42615</v>
      </c>
      <c r="F191" s="15" t="s">
        <v>28</v>
      </c>
      <c r="G191" s="12">
        <v>42626</v>
      </c>
      <c r="H191" s="23">
        <f t="shared" si="19"/>
        <v>16380</v>
      </c>
      <c r="I191" s="23"/>
      <c r="J191" s="24"/>
      <c r="K191" s="24"/>
      <c r="L191" s="23">
        <v>12728</v>
      </c>
      <c r="M191" s="22">
        <f t="shared" si="20"/>
        <v>3652</v>
      </c>
      <c r="N191" s="22"/>
      <c r="O191" s="30">
        <f t="shared" si="21"/>
        <v>0.22295482295482297</v>
      </c>
    </row>
    <row r="192" spans="1:15" ht="20.100000000000001" customHeight="1" x14ac:dyDescent="0.25">
      <c r="A192" s="33">
        <v>420</v>
      </c>
      <c r="B192" s="9">
        <v>42618</v>
      </c>
      <c r="C192" s="18" t="s">
        <v>34</v>
      </c>
      <c r="D192" s="11">
        <v>758.15</v>
      </c>
      <c r="E192" s="9">
        <v>42619</v>
      </c>
      <c r="F192" s="15" t="s">
        <v>28</v>
      </c>
      <c r="G192" s="12">
        <v>42657</v>
      </c>
      <c r="H192" s="23">
        <f t="shared" si="19"/>
        <v>758.15</v>
      </c>
      <c r="I192" s="23"/>
      <c r="J192" s="24"/>
      <c r="K192" s="24"/>
      <c r="L192" s="23">
        <v>557</v>
      </c>
      <c r="M192" s="22">
        <f t="shared" si="20"/>
        <v>201.14999999999998</v>
      </c>
      <c r="N192" s="22"/>
      <c r="O192" s="30">
        <f t="shared" si="21"/>
        <v>0.26531688979753343</v>
      </c>
    </row>
    <row r="193" spans="1:15" ht="20.100000000000001" customHeight="1" x14ac:dyDescent="0.25">
      <c r="A193" s="33">
        <v>419</v>
      </c>
      <c r="B193" s="9">
        <v>42615</v>
      </c>
      <c r="C193" s="20" t="s">
        <v>185</v>
      </c>
      <c r="D193" s="11">
        <v>1584</v>
      </c>
      <c r="E193" s="9">
        <v>42619</v>
      </c>
      <c r="F193" s="15" t="s">
        <v>28</v>
      </c>
      <c r="G193" s="12">
        <v>42622</v>
      </c>
      <c r="H193" s="23">
        <f t="shared" si="19"/>
        <v>1584</v>
      </c>
      <c r="I193" s="23">
        <f>H193</f>
        <v>1584</v>
      </c>
      <c r="J193" s="24"/>
      <c r="K193" s="24"/>
      <c r="L193" s="23">
        <v>1552</v>
      </c>
      <c r="M193" s="22">
        <f t="shared" si="20"/>
        <v>32</v>
      </c>
      <c r="N193" s="22">
        <f>M193</f>
        <v>32</v>
      </c>
      <c r="O193" s="30">
        <f t="shared" si="21"/>
        <v>2.0202020202020204E-2</v>
      </c>
    </row>
    <row r="194" spans="1:15" ht="20.100000000000001" customHeight="1" x14ac:dyDescent="0.25">
      <c r="A194" s="33">
        <v>346</v>
      </c>
      <c r="B194" s="9">
        <v>42583</v>
      </c>
      <c r="C194" s="18" t="s">
        <v>60</v>
      </c>
      <c r="D194" s="11">
        <v>7806.96</v>
      </c>
      <c r="E194" s="9">
        <v>42620</v>
      </c>
      <c r="F194" s="15" t="s">
        <v>28</v>
      </c>
      <c r="G194" s="12">
        <v>42615</v>
      </c>
      <c r="H194" s="23">
        <f t="shared" si="19"/>
        <v>7806.96</v>
      </c>
      <c r="I194" s="23"/>
      <c r="J194" s="24"/>
      <c r="K194" s="24"/>
      <c r="L194" s="23">
        <v>6078</v>
      </c>
      <c r="M194" s="22">
        <f t="shared" si="20"/>
        <v>1728.96</v>
      </c>
      <c r="N194" s="22"/>
      <c r="O194" s="30">
        <f t="shared" si="21"/>
        <v>0.22146392449814012</v>
      </c>
    </row>
    <row r="195" spans="1:15" ht="20.100000000000001" customHeight="1" x14ac:dyDescent="0.25">
      <c r="A195" s="33">
        <v>430</v>
      </c>
      <c r="B195" s="9">
        <v>42621</v>
      </c>
      <c r="C195" s="18" t="s">
        <v>177</v>
      </c>
      <c r="D195" s="11">
        <v>20164.97</v>
      </c>
      <c r="E195" s="9">
        <v>42621</v>
      </c>
      <c r="F195" s="15" t="s">
        <v>28</v>
      </c>
      <c r="G195" s="12">
        <v>42622</v>
      </c>
      <c r="H195" s="23">
        <f t="shared" si="19"/>
        <v>20164.97</v>
      </c>
      <c r="I195" s="23"/>
      <c r="J195" s="24"/>
      <c r="K195" s="24"/>
      <c r="L195" s="23">
        <v>17775</v>
      </c>
      <c r="M195" s="22">
        <f t="shared" si="20"/>
        <v>2389.9700000000012</v>
      </c>
      <c r="N195" s="22"/>
      <c r="O195" s="30">
        <f t="shared" si="21"/>
        <v>0.11852088051705512</v>
      </c>
    </row>
    <row r="196" spans="1:15" ht="20.100000000000001" customHeight="1" x14ac:dyDescent="0.25">
      <c r="A196" s="33">
        <v>427</v>
      </c>
      <c r="B196" s="9">
        <v>42620</v>
      </c>
      <c r="C196" s="18" t="s">
        <v>189</v>
      </c>
      <c r="D196" s="11">
        <v>2951.52</v>
      </c>
      <c r="E196" s="9">
        <v>42621</v>
      </c>
      <c r="F196" s="15" t="s">
        <v>28</v>
      </c>
      <c r="G196" s="12">
        <v>42647</v>
      </c>
      <c r="H196" s="23">
        <f t="shared" si="19"/>
        <v>2951.52</v>
      </c>
      <c r="I196" s="23"/>
      <c r="J196" s="24"/>
      <c r="K196" s="24"/>
      <c r="L196" s="23">
        <v>2326</v>
      </c>
      <c r="M196" s="22">
        <f t="shared" si="20"/>
        <v>625.52</v>
      </c>
      <c r="N196" s="22"/>
      <c r="O196" s="30">
        <f t="shared" si="21"/>
        <v>0.21193147937333984</v>
      </c>
    </row>
    <row r="197" spans="1:15" ht="20.100000000000001" customHeight="1" x14ac:dyDescent="0.25">
      <c r="A197" s="33">
        <v>428</v>
      </c>
      <c r="B197" s="9">
        <v>42620</v>
      </c>
      <c r="C197" s="18" t="s">
        <v>97</v>
      </c>
      <c r="D197" s="11">
        <v>9362.6</v>
      </c>
      <c r="E197" s="9">
        <v>42625</v>
      </c>
      <c r="F197" s="15" t="s">
        <v>28</v>
      </c>
      <c r="G197" s="12">
        <v>42628</v>
      </c>
      <c r="H197" s="23">
        <f t="shared" si="19"/>
        <v>9362.6</v>
      </c>
      <c r="I197" s="24"/>
      <c r="J197" s="24"/>
      <c r="K197" s="24"/>
      <c r="L197" s="23">
        <v>7186</v>
      </c>
      <c r="M197" s="22">
        <f t="shared" si="20"/>
        <v>2176.6000000000004</v>
      </c>
      <c r="N197" s="22"/>
      <c r="O197" s="30">
        <f t="shared" si="21"/>
        <v>0.23247815777668598</v>
      </c>
    </row>
    <row r="198" spans="1:15" ht="20.100000000000001" customHeight="1" x14ac:dyDescent="0.25">
      <c r="A198" s="33">
        <v>429</v>
      </c>
      <c r="B198" s="9">
        <v>42620</v>
      </c>
      <c r="C198" s="18" t="s">
        <v>97</v>
      </c>
      <c r="D198" s="11">
        <v>9362.6</v>
      </c>
      <c r="E198" s="9">
        <v>42625</v>
      </c>
      <c r="F198" s="15" t="s">
        <v>28</v>
      </c>
      <c r="G198" s="12">
        <v>42667</v>
      </c>
      <c r="H198" s="23">
        <f t="shared" si="19"/>
        <v>9362.6</v>
      </c>
      <c r="I198" s="24"/>
      <c r="J198" s="24"/>
      <c r="K198" s="24"/>
      <c r="L198" s="23">
        <v>7186</v>
      </c>
      <c r="M198" s="22">
        <f t="shared" si="20"/>
        <v>2176.6000000000004</v>
      </c>
      <c r="N198" s="22"/>
      <c r="O198" s="30">
        <f t="shared" si="21"/>
        <v>0.23247815777668598</v>
      </c>
    </row>
    <row r="199" spans="1:15" ht="20.100000000000001" customHeight="1" x14ac:dyDescent="0.25">
      <c r="A199" s="33">
        <v>435</v>
      </c>
      <c r="B199" s="9">
        <v>42626</v>
      </c>
      <c r="C199" s="20" t="s">
        <v>190</v>
      </c>
      <c r="D199" s="11">
        <v>34119.74</v>
      </c>
      <c r="E199" s="9">
        <v>42626</v>
      </c>
      <c r="F199" s="15" t="s">
        <v>28</v>
      </c>
      <c r="G199" s="12">
        <v>42657</v>
      </c>
      <c r="H199" s="23">
        <f t="shared" si="19"/>
        <v>34119.74</v>
      </c>
      <c r="I199" s="23">
        <f>H199</f>
        <v>34119.74</v>
      </c>
      <c r="J199" s="24"/>
      <c r="K199" s="24"/>
      <c r="L199" s="23">
        <v>26550</v>
      </c>
      <c r="M199" s="22">
        <f t="shared" si="20"/>
        <v>7569.739999999998</v>
      </c>
      <c r="N199" s="22">
        <f>M199</f>
        <v>7569.739999999998</v>
      </c>
      <c r="O199" s="30">
        <f t="shared" si="21"/>
        <v>0.22185807980951786</v>
      </c>
    </row>
    <row r="200" spans="1:15" ht="20.100000000000001" customHeight="1" x14ac:dyDescent="0.25">
      <c r="A200" s="33">
        <v>441</v>
      </c>
      <c r="B200" s="9">
        <v>42627</v>
      </c>
      <c r="C200" s="20" t="s">
        <v>191</v>
      </c>
      <c r="D200" s="11">
        <v>31775</v>
      </c>
      <c r="E200" s="9">
        <v>42627</v>
      </c>
      <c r="F200" s="15" t="s">
        <v>28</v>
      </c>
      <c r="G200" s="12">
        <v>42628</v>
      </c>
      <c r="H200" s="23">
        <f t="shared" si="19"/>
        <v>31775</v>
      </c>
      <c r="I200" s="23">
        <f>H200</f>
        <v>31775</v>
      </c>
      <c r="J200" s="24"/>
      <c r="K200" s="24"/>
      <c r="L200" s="23">
        <v>21744</v>
      </c>
      <c r="M200" s="22">
        <f t="shared" si="20"/>
        <v>10031</v>
      </c>
      <c r="N200" s="22">
        <f>M200</f>
        <v>10031</v>
      </c>
      <c r="O200" s="30">
        <f t="shared" si="21"/>
        <v>0.31568843430369786</v>
      </c>
    </row>
    <row r="201" spans="1:15" ht="20.100000000000001" customHeight="1" x14ac:dyDescent="0.25">
      <c r="A201" s="33">
        <v>431</v>
      </c>
      <c r="B201" s="9">
        <v>42621</v>
      </c>
      <c r="C201" s="18" t="s">
        <v>13</v>
      </c>
      <c r="D201" s="11">
        <v>17742.22</v>
      </c>
      <c r="E201" s="9">
        <v>42633</v>
      </c>
      <c r="F201" s="15" t="s">
        <v>28</v>
      </c>
      <c r="G201" s="12">
        <v>42626</v>
      </c>
      <c r="H201" s="23">
        <f t="shared" si="19"/>
        <v>17742.22</v>
      </c>
      <c r="I201" s="24"/>
      <c r="J201" s="24"/>
      <c r="K201" s="24"/>
      <c r="L201" s="23">
        <v>13779</v>
      </c>
      <c r="M201" s="22">
        <f t="shared" si="20"/>
        <v>3963.2200000000012</v>
      </c>
      <c r="N201" s="22"/>
      <c r="O201" s="30">
        <f t="shared" si="21"/>
        <v>0.22337790873971808</v>
      </c>
    </row>
    <row r="202" spans="1:15" ht="20.100000000000001" customHeight="1" x14ac:dyDescent="0.25">
      <c r="A202" s="33">
        <v>434</v>
      </c>
      <c r="B202" s="9">
        <v>42633</v>
      </c>
      <c r="C202" s="18" t="s">
        <v>16</v>
      </c>
      <c r="D202" s="11">
        <v>3065.36</v>
      </c>
      <c r="E202" s="9">
        <v>42633</v>
      </c>
      <c r="F202" s="15" t="s">
        <v>28</v>
      </c>
      <c r="G202" s="12">
        <v>42635</v>
      </c>
      <c r="H202" s="23">
        <f t="shared" si="19"/>
        <v>3065.36</v>
      </c>
      <c r="I202" s="24"/>
      <c r="J202" s="24"/>
      <c r="K202" s="24"/>
      <c r="L202" s="23">
        <v>1422</v>
      </c>
      <c r="M202" s="22">
        <f t="shared" si="20"/>
        <v>1643.3600000000001</v>
      </c>
      <c r="N202" s="22"/>
      <c r="O202" s="30">
        <f t="shared" si="21"/>
        <v>0.5361066889370254</v>
      </c>
    </row>
    <row r="203" spans="1:15" ht="20.100000000000001" customHeight="1" x14ac:dyDescent="0.25">
      <c r="A203" s="33">
        <v>439</v>
      </c>
      <c r="B203" s="9">
        <v>42627</v>
      </c>
      <c r="C203" s="20" t="s">
        <v>192</v>
      </c>
      <c r="D203" s="11">
        <v>2284.5700000000002</v>
      </c>
      <c r="E203" s="9">
        <v>42632</v>
      </c>
      <c r="F203" s="15" t="s">
        <v>28</v>
      </c>
      <c r="G203" s="12">
        <v>42636</v>
      </c>
      <c r="H203" s="23">
        <f t="shared" si="19"/>
        <v>2284.5700000000002</v>
      </c>
      <c r="I203" s="23">
        <f>H203</f>
        <v>2284.5700000000002</v>
      </c>
      <c r="J203" s="24"/>
      <c r="K203" s="24"/>
      <c r="L203" s="23">
        <v>1727</v>
      </c>
      <c r="M203" s="22">
        <f t="shared" si="20"/>
        <v>557.57000000000016</v>
      </c>
      <c r="N203" s="22">
        <f>M203</f>
        <v>557.57000000000016</v>
      </c>
      <c r="O203" s="30">
        <f t="shared" si="21"/>
        <v>0.24405905706544345</v>
      </c>
    </row>
    <row r="204" spans="1:15" ht="20.100000000000001" customHeight="1" x14ac:dyDescent="0.25">
      <c r="A204" s="33">
        <v>2534</v>
      </c>
      <c r="B204" s="9">
        <v>42626</v>
      </c>
      <c r="C204" s="20" t="s">
        <v>192</v>
      </c>
      <c r="D204" s="11">
        <v>38790</v>
      </c>
      <c r="E204" s="9">
        <v>42635</v>
      </c>
      <c r="F204" s="15" t="s">
        <v>28</v>
      </c>
      <c r="G204" s="12">
        <v>42636</v>
      </c>
      <c r="H204" s="23">
        <f t="shared" si="19"/>
        <v>38790</v>
      </c>
      <c r="I204" s="23">
        <f>H204</f>
        <v>38790</v>
      </c>
      <c r="J204" s="24"/>
      <c r="K204" s="24"/>
      <c r="L204" s="23">
        <v>28511</v>
      </c>
      <c r="M204" s="22">
        <f t="shared" si="20"/>
        <v>10279</v>
      </c>
      <c r="N204" s="22">
        <f>M204</f>
        <v>10279</v>
      </c>
      <c r="O204" s="30">
        <f t="shared" si="21"/>
        <v>0.26499097705594227</v>
      </c>
    </row>
    <row r="205" spans="1:15" ht="20.100000000000001" customHeight="1" x14ac:dyDescent="0.25">
      <c r="A205" s="33">
        <v>456</v>
      </c>
      <c r="B205" s="9">
        <v>42635</v>
      </c>
      <c r="C205" s="18" t="s">
        <v>16</v>
      </c>
      <c r="D205" s="11">
        <v>13063.12</v>
      </c>
      <c r="E205" s="9">
        <v>42636</v>
      </c>
      <c r="F205" s="15" t="s">
        <v>28</v>
      </c>
      <c r="G205" s="12">
        <v>42655</v>
      </c>
      <c r="H205" s="23">
        <f t="shared" si="19"/>
        <v>13063.12</v>
      </c>
      <c r="I205" s="24"/>
      <c r="J205" s="24"/>
      <c r="K205" s="24"/>
      <c r="L205" s="23">
        <v>9876</v>
      </c>
      <c r="M205" s="22">
        <f t="shared" si="20"/>
        <v>3187.1200000000008</v>
      </c>
      <c r="N205" s="22"/>
      <c r="O205" s="30">
        <f t="shared" si="21"/>
        <v>0.24397846762488598</v>
      </c>
    </row>
    <row r="206" spans="1:15" ht="20.100000000000001" customHeight="1" x14ac:dyDescent="0.25">
      <c r="A206" s="33">
        <v>403</v>
      </c>
      <c r="B206" s="9">
        <v>42613</v>
      </c>
      <c r="C206" s="18" t="s">
        <v>38</v>
      </c>
      <c r="D206" s="11">
        <v>70397</v>
      </c>
      <c r="E206" s="9">
        <v>42640</v>
      </c>
      <c r="F206" s="15" t="s">
        <v>28</v>
      </c>
      <c r="G206" s="12">
        <v>42628</v>
      </c>
      <c r="H206" s="23">
        <f t="shared" si="19"/>
        <v>70397</v>
      </c>
      <c r="I206" s="24"/>
      <c r="J206" s="24">
        <f>D206*0.02</f>
        <v>1407.94</v>
      </c>
      <c r="K206" s="24">
        <v>2400</v>
      </c>
      <c r="L206" s="23">
        <v>28639.599999999999</v>
      </c>
      <c r="M206" s="22">
        <f t="shared" si="20"/>
        <v>37949.46</v>
      </c>
      <c r="N206" s="22"/>
      <c r="O206" s="30">
        <f t="shared" si="21"/>
        <v>0.53907780161086405</v>
      </c>
    </row>
    <row r="207" spans="1:15" ht="19.5" customHeight="1" x14ac:dyDescent="0.25">
      <c r="A207" s="33">
        <v>416</v>
      </c>
      <c r="B207" s="9">
        <v>42613</v>
      </c>
      <c r="C207" s="18" t="s">
        <v>38</v>
      </c>
      <c r="D207" s="11">
        <v>61465.19</v>
      </c>
      <c r="E207" s="9">
        <v>42640</v>
      </c>
      <c r="F207" s="15" t="s">
        <v>28</v>
      </c>
      <c r="G207" s="12">
        <v>42628</v>
      </c>
      <c r="H207" s="23">
        <f t="shared" si="19"/>
        <v>61465.19</v>
      </c>
      <c r="I207" s="24"/>
      <c r="J207" s="25">
        <f>D207*0.02</f>
        <v>1229.3038000000001</v>
      </c>
      <c r="K207" s="24"/>
      <c r="L207" s="23">
        <v>34065</v>
      </c>
      <c r="M207" s="22">
        <f t="shared" si="20"/>
        <v>26170.886200000001</v>
      </c>
      <c r="N207" s="22"/>
      <c r="O207" s="30">
        <f t="shared" si="21"/>
        <v>0.42578386563191295</v>
      </c>
    </row>
    <row r="208" spans="1:15" ht="15.75" x14ac:dyDescent="0.25">
      <c r="A208" s="33">
        <v>200</v>
      </c>
      <c r="B208" s="9">
        <v>42506</v>
      </c>
      <c r="C208" s="18" t="s">
        <v>99</v>
      </c>
      <c r="D208" s="11">
        <v>99507.12</v>
      </c>
      <c r="E208" s="9">
        <v>42642</v>
      </c>
      <c r="F208" s="15" t="s">
        <v>28</v>
      </c>
      <c r="G208" s="12">
        <v>42562</v>
      </c>
      <c r="H208" s="23">
        <f t="shared" si="19"/>
        <v>99507.12</v>
      </c>
      <c r="I208" s="23"/>
      <c r="J208" s="24"/>
      <c r="K208" s="24"/>
      <c r="L208" s="23">
        <v>72290</v>
      </c>
      <c r="M208" s="22">
        <f t="shared" si="20"/>
        <v>27217.119999999995</v>
      </c>
      <c r="N208" s="22"/>
      <c r="O208" s="30">
        <f t="shared" si="21"/>
        <v>0.27351932203444335</v>
      </c>
    </row>
    <row r="209" spans="1:15" s="2" customFormat="1" ht="20.100000000000001" customHeight="1" x14ac:dyDescent="0.25">
      <c r="A209" s="33">
        <v>357</v>
      </c>
      <c r="B209" s="9">
        <v>42584</v>
      </c>
      <c r="C209" s="18" t="s">
        <v>99</v>
      </c>
      <c r="D209" s="11">
        <v>1080</v>
      </c>
      <c r="E209" s="9">
        <v>42643</v>
      </c>
      <c r="F209" s="15" t="s">
        <v>28</v>
      </c>
      <c r="G209" s="12">
        <v>42584</v>
      </c>
      <c r="H209" s="23">
        <f t="shared" si="19"/>
        <v>1080</v>
      </c>
      <c r="I209" s="23"/>
      <c r="J209" s="24"/>
      <c r="K209" s="24"/>
      <c r="L209" s="23">
        <v>810</v>
      </c>
      <c r="M209" s="22">
        <f t="shared" si="20"/>
        <v>270</v>
      </c>
      <c r="N209" s="22"/>
      <c r="O209" s="30">
        <f t="shared" si="21"/>
        <v>0.25</v>
      </c>
    </row>
    <row r="210" spans="1:15" ht="20.100000000000001" customHeight="1" x14ac:dyDescent="0.25">
      <c r="A210" s="33">
        <v>347</v>
      </c>
      <c r="B210" s="9">
        <v>42579</v>
      </c>
      <c r="C210" s="18" t="s">
        <v>99</v>
      </c>
      <c r="D210" s="11">
        <v>253571.45</v>
      </c>
      <c r="E210" s="9">
        <v>42643</v>
      </c>
      <c r="F210" s="15" t="s">
        <v>28</v>
      </c>
      <c r="G210" s="12">
        <v>42608</v>
      </c>
      <c r="H210" s="23">
        <f t="shared" si="19"/>
        <v>253571.45</v>
      </c>
      <c r="I210" s="23"/>
      <c r="J210" s="25">
        <v>12000</v>
      </c>
      <c r="K210" s="24">
        <v>2400</v>
      </c>
      <c r="L210" s="23">
        <v>146720</v>
      </c>
      <c r="M210" s="22">
        <f t="shared" si="20"/>
        <v>92451.450000000012</v>
      </c>
      <c r="N210" s="22"/>
      <c r="O210" s="30">
        <f t="shared" si="21"/>
        <v>0.36459723679459971</v>
      </c>
    </row>
    <row r="211" spans="1:15" ht="20.100000000000001" customHeight="1" x14ac:dyDescent="0.25">
      <c r="A211" s="33">
        <v>469</v>
      </c>
      <c r="B211" s="9">
        <v>42641</v>
      </c>
      <c r="C211" s="18" t="s">
        <v>185</v>
      </c>
      <c r="D211" s="11">
        <v>867</v>
      </c>
      <c r="E211" s="9">
        <v>42642</v>
      </c>
      <c r="F211" s="15" t="s">
        <v>28</v>
      </c>
      <c r="G211" s="12">
        <v>42642</v>
      </c>
      <c r="H211" s="23">
        <f t="shared" si="19"/>
        <v>867</v>
      </c>
      <c r="I211" s="23"/>
      <c r="J211" s="25"/>
      <c r="K211" s="24"/>
      <c r="L211" s="23">
        <v>656</v>
      </c>
      <c r="M211" s="22">
        <f t="shared" si="20"/>
        <v>211</v>
      </c>
      <c r="N211" s="22"/>
      <c r="O211" s="30">
        <f t="shared" si="21"/>
        <v>0.24336793540945789</v>
      </c>
    </row>
    <row r="212" spans="1:15" ht="20.100000000000001" customHeight="1" x14ac:dyDescent="0.25">
      <c r="A212" s="33">
        <v>459</v>
      </c>
      <c r="B212" s="9">
        <v>42636</v>
      </c>
      <c r="C212" s="18" t="s">
        <v>97</v>
      </c>
      <c r="D212" s="11">
        <v>18725.2</v>
      </c>
      <c r="E212" s="9">
        <v>42643</v>
      </c>
      <c r="F212" s="15" t="s">
        <v>28</v>
      </c>
      <c r="G212" s="12">
        <v>42667</v>
      </c>
      <c r="H212" s="23">
        <f t="shared" si="19"/>
        <v>18725.2</v>
      </c>
      <c r="I212" s="23"/>
      <c r="J212" s="25"/>
      <c r="K212" s="24"/>
      <c r="L212" s="23">
        <v>14372</v>
      </c>
      <c r="M212" s="22">
        <f t="shared" si="20"/>
        <v>4353.2000000000007</v>
      </c>
      <c r="N212" s="22"/>
      <c r="O212" s="30">
        <f t="shared" si="21"/>
        <v>0.23247815777668598</v>
      </c>
    </row>
    <row r="213" spans="1:15" ht="20.100000000000001" customHeight="1" x14ac:dyDescent="0.25">
      <c r="A213" s="35" t="s">
        <v>535</v>
      </c>
      <c r="B213" s="36"/>
      <c r="C213" s="42"/>
      <c r="D213" s="37"/>
      <c r="E213" s="46" t="s">
        <v>536</v>
      </c>
      <c r="F213" s="47">
        <f>M213*0.17+N213*0.06</f>
        <v>43971.091454000001</v>
      </c>
      <c r="G213" s="21">
        <f>H213*0.05+I213*0.02</f>
        <v>40108.935700000002</v>
      </c>
      <c r="H213" s="49">
        <f>SUBTOTAL(109,Сентябрь2016[Продажа])</f>
        <v>757843.39</v>
      </c>
      <c r="I213" s="49">
        <f>SUBTOTAL(109,Сентябрь2016[Продажа НК])</f>
        <v>110838.31</v>
      </c>
      <c r="J213" s="49">
        <f>SUBTOTAL(109,Сентябрь2016[отк])</f>
        <v>14637.2438</v>
      </c>
      <c r="K213" s="49">
        <f>SUBTOTAL(109,Сентябрь2016[шланги])</f>
        <v>4800</v>
      </c>
      <c r="L213" s="49">
        <f>SUBTOTAL(109,Сентябрь2016[Закупка])</f>
        <v>489997.6</v>
      </c>
      <c r="M213" s="49">
        <f>SUBTOTAL(109,Сентябрь2016[Маржа])</f>
        <v>248408.54620000001</v>
      </c>
      <c r="N213" s="49">
        <f>SUBTOTAL(109,Сентябрь2016[Маржа НК])</f>
        <v>29027.309999999998</v>
      </c>
      <c r="O213" s="44">
        <f t="shared" si="21"/>
        <v>0.32778348333947993</v>
      </c>
    </row>
    <row r="214" spans="1:15" ht="20.100000000000001" customHeight="1" x14ac:dyDescent="0.25">
      <c r="A214" s="41" t="s">
        <v>1</v>
      </c>
      <c r="B214" s="1" t="s">
        <v>0</v>
      </c>
      <c r="C214" s="1" t="s">
        <v>26</v>
      </c>
      <c r="D214" s="1" t="s">
        <v>2</v>
      </c>
      <c r="E214" s="1" t="s">
        <v>3</v>
      </c>
      <c r="F214" s="1" t="s">
        <v>27</v>
      </c>
      <c r="G214" s="1" t="s">
        <v>4</v>
      </c>
      <c r="H214" s="2" t="s">
        <v>132</v>
      </c>
      <c r="I214" s="2" t="s">
        <v>133</v>
      </c>
      <c r="J214" s="40" t="s">
        <v>187</v>
      </c>
      <c r="K214" s="40" t="s">
        <v>188</v>
      </c>
      <c r="L214" s="40" t="s">
        <v>129</v>
      </c>
      <c r="M214" s="40" t="s">
        <v>130</v>
      </c>
      <c r="N214" s="2" t="s">
        <v>131</v>
      </c>
      <c r="O214" s="2" t="s">
        <v>134</v>
      </c>
    </row>
    <row r="215" spans="1:15" ht="20.100000000000001" customHeight="1" x14ac:dyDescent="0.25">
      <c r="A215" s="33">
        <v>475</v>
      </c>
      <c r="B215" s="9">
        <v>42646</v>
      </c>
      <c r="C215" s="20" t="s">
        <v>193</v>
      </c>
      <c r="D215" s="11">
        <v>37646.5</v>
      </c>
      <c r="E215" s="9">
        <v>42646</v>
      </c>
      <c r="F215" s="15" t="s">
        <v>28</v>
      </c>
      <c r="G215" s="12">
        <v>42646</v>
      </c>
      <c r="H215" s="23">
        <f t="shared" ref="H215:H242" si="22">D215</f>
        <v>37646.5</v>
      </c>
      <c r="I215" s="23">
        <f>H215</f>
        <v>37646.5</v>
      </c>
      <c r="J215" s="24"/>
      <c r="K215" s="24"/>
      <c r="L215" s="23">
        <v>33483</v>
      </c>
      <c r="M215" s="22">
        <f t="shared" ref="M215:M242" si="23">H215-L215-J215-K215</f>
        <v>4163.5</v>
      </c>
      <c r="N215" s="22">
        <f>M215</f>
        <v>4163.5</v>
      </c>
      <c r="O215" s="30">
        <f t="shared" ref="O215:O243" si="24">M215/H215</f>
        <v>0.11059461038874796</v>
      </c>
    </row>
    <row r="216" spans="1:15" ht="20.100000000000001" customHeight="1" x14ac:dyDescent="0.25">
      <c r="A216" s="33">
        <v>476</v>
      </c>
      <c r="B216" s="9">
        <v>42646</v>
      </c>
      <c r="C216" s="20" t="s">
        <v>193</v>
      </c>
      <c r="D216" s="11">
        <v>770.95</v>
      </c>
      <c r="E216" s="9">
        <v>42646</v>
      </c>
      <c r="F216" s="15" t="s">
        <v>28</v>
      </c>
      <c r="G216" s="12">
        <v>42646</v>
      </c>
      <c r="H216" s="23">
        <f t="shared" si="22"/>
        <v>770.95</v>
      </c>
      <c r="I216" s="23">
        <f>H216</f>
        <v>770.95</v>
      </c>
      <c r="J216" s="24"/>
      <c r="K216" s="24"/>
      <c r="L216" s="23">
        <v>727</v>
      </c>
      <c r="M216" s="22">
        <f t="shared" si="23"/>
        <v>43.950000000000045</v>
      </c>
      <c r="N216" s="22">
        <f>M216</f>
        <v>43.950000000000045</v>
      </c>
      <c r="O216" s="30">
        <f t="shared" si="24"/>
        <v>5.7007588040729029E-2</v>
      </c>
    </row>
    <row r="217" spans="1:15" ht="20.100000000000001" customHeight="1" x14ac:dyDescent="0.25">
      <c r="A217" s="33">
        <v>473</v>
      </c>
      <c r="B217" s="9">
        <v>42647</v>
      </c>
      <c r="C217" s="18" t="s">
        <v>180</v>
      </c>
      <c r="D217" s="11">
        <v>54483.14</v>
      </c>
      <c r="E217" s="9">
        <v>42649</v>
      </c>
      <c r="F217" s="15" t="s">
        <v>28</v>
      </c>
      <c r="G217" s="12">
        <v>42670</v>
      </c>
      <c r="H217" s="23">
        <f t="shared" si="22"/>
        <v>54483.14</v>
      </c>
      <c r="I217" s="23"/>
      <c r="J217" s="24"/>
      <c r="K217" s="24"/>
      <c r="L217" s="23">
        <v>39613</v>
      </c>
      <c r="M217" s="22">
        <f t="shared" si="23"/>
        <v>14870.14</v>
      </c>
      <c r="N217" s="22"/>
      <c r="O217" s="30">
        <f t="shared" si="24"/>
        <v>0.27293103884981668</v>
      </c>
    </row>
    <row r="218" spans="1:15" ht="20.100000000000001" customHeight="1" x14ac:dyDescent="0.25">
      <c r="A218" s="33">
        <v>484</v>
      </c>
      <c r="B218" s="9">
        <v>42649</v>
      </c>
      <c r="C218" s="18" t="s">
        <v>144</v>
      </c>
      <c r="D218" s="11">
        <v>4990</v>
      </c>
      <c r="E218" s="9">
        <v>42650</v>
      </c>
      <c r="F218" s="15" t="s">
        <v>28</v>
      </c>
      <c r="G218" s="12">
        <v>42654</v>
      </c>
      <c r="H218" s="23">
        <f t="shared" si="22"/>
        <v>4990</v>
      </c>
      <c r="I218" s="23"/>
      <c r="J218" s="24"/>
      <c r="K218" s="24"/>
      <c r="L218" s="23">
        <v>3850</v>
      </c>
      <c r="M218" s="22">
        <f t="shared" si="23"/>
        <v>1140</v>
      </c>
      <c r="N218" s="22"/>
      <c r="O218" s="30">
        <f t="shared" si="24"/>
        <v>0.22845691382765532</v>
      </c>
    </row>
    <row r="219" spans="1:15" ht="20.100000000000001" customHeight="1" x14ac:dyDescent="0.25">
      <c r="A219" s="33">
        <v>470</v>
      </c>
      <c r="B219" s="9">
        <v>42642</v>
      </c>
      <c r="C219" s="18" t="s">
        <v>97</v>
      </c>
      <c r="D219" s="11">
        <v>98070</v>
      </c>
      <c r="E219" s="9">
        <v>42649</v>
      </c>
      <c r="F219" s="15" t="s">
        <v>28</v>
      </c>
      <c r="G219" s="12">
        <v>42667</v>
      </c>
      <c r="H219" s="23">
        <f t="shared" si="22"/>
        <v>98070</v>
      </c>
      <c r="I219" s="23"/>
      <c r="J219" s="24"/>
      <c r="K219" s="24"/>
      <c r="L219" s="23">
        <v>77229</v>
      </c>
      <c r="M219" s="22">
        <f t="shared" si="23"/>
        <v>20841</v>
      </c>
      <c r="N219" s="22"/>
      <c r="O219" s="30">
        <f t="shared" si="24"/>
        <v>0.21251147139798104</v>
      </c>
    </row>
    <row r="220" spans="1:15" ht="20.100000000000001" customHeight="1" x14ac:dyDescent="0.25">
      <c r="A220" s="33">
        <v>467</v>
      </c>
      <c r="B220" s="9">
        <v>42641</v>
      </c>
      <c r="C220" s="18" t="s">
        <v>97</v>
      </c>
      <c r="D220" s="11">
        <v>3855</v>
      </c>
      <c r="E220" s="9">
        <v>42649</v>
      </c>
      <c r="F220" s="15" t="s">
        <v>28</v>
      </c>
      <c r="G220" s="12">
        <v>42667</v>
      </c>
      <c r="H220" s="23">
        <f t="shared" si="22"/>
        <v>3855</v>
      </c>
      <c r="I220" s="23"/>
      <c r="J220" s="24"/>
      <c r="K220" s="24"/>
      <c r="L220" s="23">
        <v>2349</v>
      </c>
      <c r="M220" s="22">
        <f t="shared" si="23"/>
        <v>1506</v>
      </c>
      <c r="N220" s="22"/>
      <c r="O220" s="30">
        <f t="shared" si="24"/>
        <v>0.39066147859922179</v>
      </c>
    </row>
    <row r="221" spans="1:15" ht="20.100000000000001" customHeight="1" x14ac:dyDescent="0.25">
      <c r="A221" s="33">
        <v>383</v>
      </c>
      <c r="B221" s="9">
        <v>42643</v>
      </c>
      <c r="C221" s="18" t="s">
        <v>45</v>
      </c>
      <c r="D221" s="11">
        <v>232221.58</v>
      </c>
      <c r="E221" s="9">
        <v>42655</v>
      </c>
      <c r="F221" s="15" t="s">
        <v>28</v>
      </c>
      <c r="G221" s="12">
        <v>42682</v>
      </c>
      <c r="H221" s="23">
        <f t="shared" si="22"/>
        <v>232221.58</v>
      </c>
      <c r="I221" s="23"/>
      <c r="J221" s="24"/>
      <c r="K221" s="24"/>
      <c r="L221" s="23">
        <v>155315</v>
      </c>
      <c r="M221" s="22">
        <f t="shared" si="23"/>
        <v>76906.579999999987</v>
      </c>
      <c r="N221" s="22"/>
      <c r="O221" s="30">
        <f t="shared" si="24"/>
        <v>0.3311775761753063</v>
      </c>
    </row>
    <row r="222" spans="1:15" ht="20.100000000000001" customHeight="1" x14ac:dyDescent="0.25">
      <c r="A222" s="33">
        <v>485</v>
      </c>
      <c r="B222" s="9">
        <v>42653</v>
      </c>
      <c r="C222" s="20" t="s">
        <v>194</v>
      </c>
      <c r="D222" s="11">
        <v>15990</v>
      </c>
      <c r="E222" s="9">
        <v>42655</v>
      </c>
      <c r="F222" s="15" t="s">
        <v>28</v>
      </c>
      <c r="G222" s="12">
        <v>42656</v>
      </c>
      <c r="H222" s="23">
        <f t="shared" si="22"/>
        <v>15990</v>
      </c>
      <c r="I222" s="23">
        <f>H222</f>
        <v>15990</v>
      </c>
      <c r="J222" s="24"/>
      <c r="K222" s="24"/>
      <c r="L222" s="23">
        <v>12928</v>
      </c>
      <c r="M222" s="22">
        <f t="shared" si="23"/>
        <v>3062</v>
      </c>
      <c r="N222" s="22">
        <f>M222</f>
        <v>3062</v>
      </c>
      <c r="O222" s="30">
        <f t="shared" si="24"/>
        <v>0.19149468417761101</v>
      </c>
    </row>
    <row r="223" spans="1:15" ht="20.100000000000001" customHeight="1" x14ac:dyDescent="0.25">
      <c r="A223" s="33">
        <v>474</v>
      </c>
      <c r="B223" s="9">
        <v>42646</v>
      </c>
      <c r="C223" s="18" t="s">
        <v>139</v>
      </c>
      <c r="D223" s="11">
        <v>5200</v>
      </c>
      <c r="E223" s="9">
        <v>42654</v>
      </c>
      <c r="F223" s="15" t="s">
        <v>28</v>
      </c>
      <c r="G223" s="12">
        <v>42660</v>
      </c>
      <c r="H223" s="23">
        <f t="shared" si="22"/>
        <v>5200</v>
      </c>
      <c r="I223" s="23"/>
      <c r="J223" s="24"/>
      <c r="K223" s="24"/>
      <c r="L223" s="23">
        <v>2350</v>
      </c>
      <c r="M223" s="22">
        <f t="shared" si="23"/>
        <v>2850</v>
      </c>
      <c r="N223" s="22"/>
      <c r="O223" s="30">
        <f t="shared" si="24"/>
        <v>0.54807692307692313</v>
      </c>
    </row>
    <row r="224" spans="1:15" ht="20.100000000000001" customHeight="1" x14ac:dyDescent="0.25">
      <c r="A224" s="33">
        <v>450</v>
      </c>
      <c r="B224" s="9">
        <v>42633</v>
      </c>
      <c r="C224" s="18" t="s">
        <v>122</v>
      </c>
      <c r="D224" s="11">
        <v>5955</v>
      </c>
      <c r="E224" s="9">
        <v>42656</v>
      </c>
      <c r="F224" s="15" t="s">
        <v>28</v>
      </c>
      <c r="G224" s="12">
        <v>42656</v>
      </c>
      <c r="H224" s="23">
        <f t="shared" si="22"/>
        <v>5955</v>
      </c>
      <c r="I224" s="23"/>
      <c r="J224" s="24"/>
      <c r="K224" s="24"/>
      <c r="L224" s="23">
        <v>4918</v>
      </c>
      <c r="M224" s="22">
        <f t="shared" si="23"/>
        <v>1037</v>
      </c>
      <c r="N224" s="22"/>
      <c r="O224" s="30">
        <f t="shared" si="24"/>
        <v>0.17413937867338372</v>
      </c>
    </row>
    <row r="225" spans="1:15" ht="20.100000000000001" customHeight="1" x14ac:dyDescent="0.25">
      <c r="A225" s="33">
        <v>466</v>
      </c>
      <c r="B225" s="9">
        <v>42640</v>
      </c>
      <c r="C225" s="18" t="s">
        <v>180</v>
      </c>
      <c r="D225" s="11">
        <v>200529.71</v>
      </c>
      <c r="E225" s="9">
        <v>42656</v>
      </c>
      <c r="F225" s="15" t="s">
        <v>28</v>
      </c>
      <c r="G225" s="12">
        <v>42682</v>
      </c>
      <c r="H225" s="23">
        <f t="shared" si="22"/>
        <v>200529.71</v>
      </c>
      <c r="I225" s="23"/>
      <c r="J225" s="24"/>
      <c r="K225" s="24">
        <f>3*1200</f>
        <v>3600</v>
      </c>
      <c r="L225" s="23">
        <v>144180</v>
      </c>
      <c r="M225" s="22">
        <f t="shared" si="23"/>
        <v>52749.709999999992</v>
      </c>
      <c r="N225" s="22"/>
      <c r="O225" s="30">
        <f t="shared" si="24"/>
        <v>0.26305184403847187</v>
      </c>
    </row>
    <row r="226" spans="1:15" ht="20.100000000000001" customHeight="1" x14ac:dyDescent="0.25">
      <c r="A226" s="33">
        <v>290</v>
      </c>
      <c r="B226" s="9">
        <v>42551</v>
      </c>
      <c r="C226" s="18" t="s">
        <v>102</v>
      </c>
      <c r="D226" s="11">
        <v>57918</v>
      </c>
      <c r="E226" s="9">
        <v>42657</v>
      </c>
      <c r="F226" s="15" t="s">
        <v>28</v>
      </c>
      <c r="G226" s="12">
        <v>42660</v>
      </c>
      <c r="H226" s="23">
        <f t="shared" si="22"/>
        <v>57918</v>
      </c>
      <c r="I226" s="23"/>
      <c r="J226" s="24"/>
      <c r="K226" s="24"/>
      <c r="L226" s="23">
        <v>44355</v>
      </c>
      <c r="M226" s="22">
        <f t="shared" si="23"/>
        <v>13563</v>
      </c>
      <c r="N226" s="22"/>
      <c r="O226" s="30">
        <f t="shared" si="24"/>
        <v>0.23417590386408371</v>
      </c>
    </row>
    <row r="227" spans="1:15" ht="20.100000000000001" customHeight="1" x14ac:dyDescent="0.25">
      <c r="A227" s="33">
        <v>496</v>
      </c>
      <c r="B227" s="9">
        <v>42656</v>
      </c>
      <c r="C227" s="20" t="s">
        <v>195</v>
      </c>
      <c r="D227" s="11">
        <v>10031</v>
      </c>
      <c r="E227" s="9">
        <v>42657</v>
      </c>
      <c r="F227" s="15" t="s">
        <v>28</v>
      </c>
      <c r="G227" s="12">
        <v>42661</v>
      </c>
      <c r="H227" s="23">
        <f t="shared" si="22"/>
        <v>10031</v>
      </c>
      <c r="I227" s="23">
        <f>H227</f>
        <v>10031</v>
      </c>
      <c r="J227" s="24"/>
      <c r="K227" s="24"/>
      <c r="L227" s="23">
        <v>7164</v>
      </c>
      <c r="M227" s="22">
        <f t="shared" si="23"/>
        <v>2867</v>
      </c>
      <c r="N227" s="22">
        <f>M227</f>
        <v>2867</v>
      </c>
      <c r="O227" s="30">
        <f t="shared" si="24"/>
        <v>0.28581397667231584</v>
      </c>
    </row>
    <row r="228" spans="1:15" ht="20.100000000000001" customHeight="1" x14ac:dyDescent="0.25">
      <c r="A228" s="33">
        <v>343</v>
      </c>
      <c r="B228" s="9">
        <v>42579</v>
      </c>
      <c r="C228" s="18" t="s">
        <v>150</v>
      </c>
      <c r="D228" s="11">
        <v>5621</v>
      </c>
      <c r="E228" s="9">
        <v>42661</v>
      </c>
      <c r="F228" s="15" t="s">
        <v>28</v>
      </c>
      <c r="G228" s="12">
        <v>42661</v>
      </c>
      <c r="H228" s="23">
        <f t="shared" si="22"/>
        <v>5621</v>
      </c>
      <c r="I228" s="23"/>
      <c r="J228" s="24"/>
      <c r="K228" s="24"/>
      <c r="L228" s="23">
        <v>4840</v>
      </c>
      <c r="M228" s="22">
        <f t="shared" si="23"/>
        <v>781</v>
      </c>
      <c r="N228" s="22"/>
      <c r="O228" s="30">
        <f t="shared" si="24"/>
        <v>0.13894324853228962</v>
      </c>
    </row>
    <row r="229" spans="1:15" ht="20.100000000000001" customHeight="1" x14ac:dyDescent="0.25">
      <c r="A229" s="33">
        <v>422</v>
      </c>
      <c r="B229" s="9">
        <v>42619</v>
      </c>
      <c r="C229" s="18" t="s">
        <v>56</v>
      </c>
      <c r="D229" s="11">
        <v>78380.960000000006</v>
      </c>
      <c r="E229" s="9">
        <v>42661</v>
      </c>
      <c r="F229" s="15" t="s">
        <v>28</v>
      </c>
      <c r="G229" s="12">
        <v>42646</v>
      </c>
      <c r="H229" s="23">
        <f t="shared" si="22"/>
        <v>78380.960000000006</v>
      </c>
      <c r="I229" s="24"/>
      <c r="J229" s="24"/>
      <c r="K229" s="24"/>
      <c r="L229" s="23">
        <v>55179</v>
      </c>
      <c r="M229" s="22">
        <f t="shared" si="23"/>
        <v>23201.960000000006</v>
      </c>
      <c r="N229" s="22"/>
      <c r="O229" s="30">
        <f t="shared" si="24"/>
        <v>0.29601525676643925</v>
      </c>
    </row>
    <row r="230" spans="1:15" ht="20.100000000000001" customHeight="1" x14ac:dyDescent="0.25">
      <c r="A230" s="33">
        <v>500</v>
      </c>
      <c r="B230" s="9">
        <v>42660</v>
      </c>
      <c r="C230" s="20" t="s">
        <v>196</v>
      </c>
      <c r="D230" s="11">
        <v>4865.66</v>
      </c>
      <c r="E230" s="9">
        <v>42661</v>
      </c>
      <c r="F230" s="15" t="s">
        <v>28</v>
      </c>
      <c r="G230" s="12">
        <v>42726</v>
      </c>
      <c r="H230" s="23">
        <f t="shared" si="22"/>
        <v>4865.66</v>
      </c>
      <c r="I230" s="23">
        <f>H230</f>
        <v>4865.66</v>
      </c>
      <c r="J230" s="24"/>
      <c r="K230" s="24"/>
      <c r="L230" s="23">
        <v>3678</v>
      </c>
      <c r="M230" s="22">
        <f t="shared" si="23"/>
        <v>1187.6599999999999</v>
      </c>
      <c r="N230" s="22">
        <f>M230</f>
        <v>1187.6599999999999</v>
      </c>
      <c r="O230" s="30">
        <f t="shared" si="24"/>
        <v>0.2440902159213755</v>
      </c>
    </row>
    <row r="231" spans="1:15" ht="20.100000000000001" customHeight="1" x14ac:dyDescent="0.25">
      <c r="A231" s="33">
        <v>498</v>
      </c>
      <c r="B231" s="9">
        <v>42660</v>
      </c>
      <c r="C231" s="18" t="s">
        <v>16</v>
      </c>
      <c r="D231" s="11">
        <v>6130.72</v>
      </c>
      <c r="E231" s="9">
        <v>42661</v>
      </c>
      <c r="F231" s="15" t="s">
        <v>28</v>
      </c>
      <c r="G231" s="12">
        <v>42674</v>
      </c>
      <c r="H231" s="23">
        <f t="shared" si="22"/>
        <v>6130.72</v>
      </c>
      <c r="I231" s="24"/>
      <c r="J231" s="24"/>
      <c r="K231" s="24"/>
      <c r="L231" s="23">
        <v>3004</v>
      </c>
      <c r="M231" s="22">
        <f t="shared" si="23"/>
        <v>3126.7200000000003</v>
      </c>
      <c r="N231" s="22"/>
      <c r="O231" s="30">
        <f t="shared" si="24"/>
        <v>0.51000861236526873</v>
      </c>
    </row>
    <row r="232" spans="1:15" ht="20.100000000000001" customHeight="1" x14ac:dyDescent="0.25">
      <c r="A232" s="33">
        <v>495</v>
      </c>
      <c r="B232" s="9">
        <v>42656</v>
      </c>
      <c r="C232" s="18" t="s">
        <v>122</v>
      </c>
      <c r="D232" s="11">
        <v>12090</v>
      </c>
      <c r="E232" s="9">
        <v>42661</v>
      </c>
      <c r="F232" s="15" t="s">
        <v>28</v>
      </c>
      <c r="G232" s="12">
        <v>42667</v>
      </c>
      <c r="H232" s="23">
        <f t="shared" si="22"/>
        <v>12090</v>
      </c>
      <c r="I232" s="24"/>
      <c r="J232" s="24"/>
      <c r="K232" s="24"/>
      <c r="L232" s="23">
        <v>9662</v>
      </c>
      <c r="M232" s="22">
        <f t="shared" si="23"/>
        <v>2428</v>
      </c>
      <c r="N232" s="22"/>
      <c r="O232" s="30">
        <f t="shared" si="24"/>
        <v>0.20082712985938792</v>
      </c>
    </row>
    <row r="233" spans="1:15" ht="20.100000000000001" customHeight="1" x14ac:dyDescent="0.25">
      <c r="A233" s="33">
        <v>494</v>
      </c>
      <c r="B233" s="9">
        <v>42656</v>
      </c>
      <c r="C233" s="18" t="s">
        <v>50</v>
      </c>
      <c r="D233" s="11">
        <v>4723.78</v>
      </c>
      <c r="E233" s="9">
        <v>42661</v>
      </c>
      <c r="F233" s="15" t="s">
        <v>28</v>
      </c>
      <c r="G233" s="12">
        <v>42668</v>
      </c>
      <c r="H233" s="23">
        <f t="shared" si="22"/>
        <v>4723.78</v>
      </c>
      <c r="I233" s="24"/>
      <c r="J233" s="24"/>
      <c r="K233" s="24"/>
      <c r="L233" s="23">
        <v>3637</v>
      </c>
      <c r="M233" s="22">
        <f t="shared" si="23"/>
        <v>1086.7799999999997</v>
      </c>
      <c r="N233" s="22"/>
      <c r="O233" s="30">
        <f t="shared" si="24"/>
        <v>0.23006575242708166</v>
      </c>
    </row>
    <row r="234" spans="1:15" ht="20.100000000000001" customHeight="1" x14ac:dyDescent="0.25">
      <c r="A234" s="33">
        <v>497</v>
      </c>
      <c r="B234" s="9">
        <v>42657</v>
      </c>
      <c r="C234" s="18" t="s">
        <v>115</v>
      </c>
      <c r="D234" s="11">
        <v>4335</v>
      </c>
      <c r="E234" s="9">
        <v>42662</v>
      </c>
      <c r="F234" s="15" t="s">
        <v>28</v>
      </c>
      <c r="G234" s="12">
        <v>42683</v>
      </c>
      <c r="H234" s="23">
        <f t="shared" si="22"/>
        <v>4335</v>
      </c>
      <c r="I234" s="24"/>
      <c r="J234" s="24"/>
      <c r="K234" s="24"/>
      <c r="L234" s="23">
        <v>3280</v>
      </c>
      <c r="M234" s="22">
        <f t="shared" si="23"/>
        <v>1055</v>
      </c>
      <c r="N234" s="22"/>
      <c r="O234" s="30">
        <f t="shared" si="24"/>
        <v>0.24336793540945789</v>
      </c>
    </row>
    <row r="235" spans="1:15" ht="20.100000000000001" customHeight="1" x14ac:dyDescent="0.25">
      <c r="A235" s="33">
        <v>503</v>
      </c>
      <c r="B235" s="9">
        <v>42661</v>
      </c>
      <c r="C235" s="18" t="s">
        <v>64</v>
      </c>
      <c r="D235" s="11">
        <v>8177.48</v>
      </c>
      <c r="E235" s="15">
        <v>42663</v>
      </c>
      <c r="F235" s="15" t="s">
        <v>28</v>
      </c>
      <c r="G235" s="12">
        <v>42668</v>
      </c>
      <c r="H235" s="23">
        <f t="shared" si="22"/>
        <v>8177.48</v>
      </c>
      <c r="I235" s="24"/>
      <c r="J235" s="24"/>
      <c r="K235" s="24">
        <v>600</v>
      </c>
      <c r="L235" s="23">
        <v>4944</v>
      </c>
      <c r="M235" s="22">
        <f t="shared" si="23"/>
        <v>2633.4799999999996</v>
      </c>
      <c r="N235" s="22"/>
      <c r="O235" s="30">
        <f t="shared" si="24"/>
        <v>0.32204053082367667</v>
      </c>
    </row>
    <row r="236" spans="1:15" ht="19.5" customHeight="1" x14ac:dyDescent="0.25">
      <c r="A236" s="33">
        <v>505</v>
      </c>
      <c r="B236" s="9">
        <v>42662</v>
      </c>
      <c r="C236" s="20" t="s">
        <v>197</v>
      </c>
      <c r="D236" s="11">
        <v>3476</v>
      </c>
      <c r="E236" s="15">
        <v>42542</v>
      </c>
      <c r="F236" s="15" t="s">
        <v>28</v>
      </c>
      <c r="G236" s="12">
        <v>42542</v>
      </c>
      <c r="H236" s="23">
        <f t="shared" si="22"/>
        <v>3476</v>
      </c>
      <c r="I236" s="23">
        <f>H236</f>
        <v>3476</v>
      </c>
      <c r="J236" s="24"/>
      <c r="K236" s="24"/>
      <c r="L236" s="23">
        <v>2585</v>
      </c>
      <c r="M236" s="22">
        <f t="shared" si="23"/>
        <v>891</v>
      </c>
      <c r="N236" s="22">
        <f>M236</f>
        <v>891</v>
      </c>
      <c r="O236" s="30">
        <f t="shared" si="24"/>
        <v>0.25632911392405061</v>
      </c>
    </row>
    <row r="237" spans="1:15" ht="15.75" x14ac:dyDescent="0.25">
      <c r="A237" s="33">
        <v>453</v>
      </c>
      <c r="B237" s="9">
        <v>42635</v>
      </c>
      <c r="C237" s="18" t="s">
        <v>13</v>
      </c>
      <c r="D237" s="11">
        <v>10601.29</v>
      </c>
      <c r="E237" s="15">
        <v>42668</v>
      </c>
      <c r="F237" s="15" t="s">
        <v>28</v>
      </c>
      <c r="G237" s="12">
        <v>42661</v>
      </c>
      <c r="H237" s="23">
        <f t="shared" si="22"/>
        <v>10601.29</v>
      </c>
      <c r="I237" s="24"/>
      <c r="J237" s="24"/>
      <c r="K237" s="24"/>
      <c r="L237" s="23">
        <v>8014</v>
      </c>
      <c r="M237" s="22">
        <f t="shared" si="23"/>
        <v>2587.2900000000009</v>
      </c>
      <c r="N237" s="22"/>
      <c r="O237" s="30">
        <f t="shared" si="24"/>
        <v>0.24405426132102798</v>
      </c>
    </row>
    <row r="238" spans="1:15" s="2" customFormat="1" ht="20.100000000000001" customHeight="1" x14ac:dyDescent="0.25">
      <c r="A238" s="33">
        <v>492</v>
      </c>
      <c r="B238" s="9">
        <v>42656</v>
      </c>
      <c r="C238" s="18" t="s">
        <v>65</v>
      </c>
      <c r="D238" s="11">
        <v>63528.14</v>
      </c>
      <c r="E238" s="15">
        <v>42670</v>
      </c>
      <c r="F238" s="15" t="s">
        <v>28</v>
      </c>
      <c r="G238" s="12">
        <v>42670</v>
      </c>
      <c r="H238" s="23">
        <f t="shared" si="22"/>
        <v>63528.14</v>
      </c>
      <c r="I238" s="24"/>
      <c r="J238" s="24"/>
      <c r="K238" s="24">
        <f>2*600</f>
        <v>1200</v>
      </c>
      <c r="L238" s="23">
        <v>46080</v>
      </c>
      <c r="M238" s="22">
        <f t="shared" si="23"/>
        <v>16248.14</v>
      </c>
      <c r="N238" s="22"/>
      <c r="O238" s="30">
        <f t="shared" si="24"/>
        <v>0.25576287925319391</v>
      </c>
    </row>
    <row r="239" spans="1:15" ht="20.100000000000001" customHeight="1" x14ac:dyDescent="0.25">
      <c r="A239" s="33">
        <v>454</v>
      </c>
      <c r="B239" s="9">
        <v>42635</v>
      </c>
      <c r="C239" s="18" t="s">
        <v>38</v>
      </c>
      <c r="D239" s="11">
        <v>64300</v>
      </c>
      <c r="E239" s="15">
        <v>42670</v>
      </c>
      <c r="F239" s="15" t="s">
        <v>28</v>
      </c>
      <c r="G239" s="12">
        <v>42661</v>
      </c>
      <c r="H239" s="23">
        <f t="shared" si="22"/>
        <v>64300</v>
      </c>
      <c r="I239" s="24"/>
      <c r="J239" s="23">
        <f>D239*0.02</f>
        <v>1286</v>
      </c>
      <c r="K239" s="24">
        <f>2*1200</f>
        <v>2400</v>
      </c>
      <c r="L239" s="23">
        <v>21968</v>
      </c>
      <c r="M239" s="22">
        <f t="shared" si="23"/>
        <v>38646</v>
      </c>
      <c r="N239" s="22"/>
      <c r="O239" s="30">
        <f t="shared" si="24"/>
        <v>0.60102643856920679</v>
      </c>
    </row>
    <row r="240" spans="1:15" ht="20.100000000000001" customHeight="1" x14ac:dyDescent="0.25">
      <c r="A240" s="33">
        <v>455</v>
      </c>
      <c r="B240" s="9">
        <v>42635</v>
      </c>
      <c r="C240" s="18" t="s">
        <v>38</v>
      </c>
      <c r="D240" s="11">
        <v>97553.72</v>
      </c>
      <c r="E240" s="15">
        <v>42670</v>
      </c>
      <c r="F240" s="15" t="s">
        <v>28</v>
      </c>
      <c r="G240" s="12">
        <v>42661</v>
      </c>
      <c r="H240" s="23">
        <f t="shared" si="22"/>
        <v>97553.72</v>
      </c>
      <c r="I240" s="24"/>
      <c r="J240" s="23">
        <f>D240*0.02</f>
        <v>1951.0744</v>
      </c>
      <c r="K240" s="24">
        <f>2*1200</f>
        <v>2400</v>
      </c>
      <c r="L240" s="23">
        <v>59612</v>
      </c>
      <c r="M240" s="22">
        <f t="shared" si="23"/>
        <v>33590.645600000003</v>
      </c>
      <c r="N240" s="22"/>
      <c r="O240" s="30">
        <f t="shared" si="24"/>
        <v>0.34432972520166327</v>
      </c>
    </row>
    <row r="241" spans="1:15" ht="20.100000000000001" customHeight="1" x14ac:dyDescent="0.25">
      <c r="A241" s="33">
        <v>516</v>
      </c>
      <c r="B241" s="9">
        <v>42669</v>
      </c>
      <c r="C241" s="18" t="s">
        <v>122</v>
      </c>
      <c r="D241" s="11">
        <v>12090</v>
      </c>
      <c r="E241" s="15">
        <v>42671</v>
      </c>
      <c r="F241" s="15" t="s">
        <v>28</v>
      </c>
      <c r="G241" s="12">
        <v>42671</v>
      </c>
      <c r="H241" s="23">
        <f t="shared" si="22"/>
        <v>12090</v>
      </c>
      <c r="I241" s="24"/>
      <c r="J241" s="24"/>
      <c r="K241" s="24"/>
      <c r="L241" s="23">
        <v>9662</v>
      </c>
      <c r="M241" s="22">
        <f t="shared" si="23"/>
        <v>2428</v>
      </c>
      <c r="N241" s="22"/>
      <c r="O241" s="30">
        <f t="shared" si="24"/>
        <v>0.20082712985938792</v>
      </c>
    </row>
    <row r="242" spans="1:15" ht="20.100000000000001" customHeight="1" x14ac:dyDescent="0.25">
      <c r="A242" s="33">
        <v>514</v>
      </c>
      <c r="B242" s="9">
        <v>42668</v>
      </c>
      <c r="C242" s="20" t="s">
        <v>198</v>
      </c>
      <c r="D242" s="11">
        <v>6050</v>
      </c>
      <c r="E242" s="15">
        <v>42674</v>
      </c>
      <c r="F242" s="15" t="s">
        <v>28</v>
      </c>
      <c r="G242" s="12">
        <v>42690</v>
      </c>
      <c r="H242" s="23">
        <f t="shared" si="22"/>
        <v>6050</v>
      </c>
      <c r="I242" s="23">
        <f>H242</f>
        <v>6050</v>
      </c>
      <c r="J242" s="23"/>
      <c r="K242" s="24"/>
      <c r="L242" s="23">
        <v>4574</v>
      </c>
      <c r="M242" s="22">
        <f t="shared" si="23"/>
        <v>1476</v>
      </c>
      <c r="N242" s="22">
        <f>M242</f>
        <v>1476</v>
      </c>
      <c r="O242" s="30">
        <f t="shared" si="24"/>
        <v>0.24396694214876033</v>
      </c>
    </row>
    <row r="243" spans="1:15" ht="20.100000000000001" customHeight="1" x14ac:dyDescent="0.25">
      <c r="A243" s="35" t="s">
        <v>535</v>
      </c>
      <c r="B243" s="36"/>
      <c r="C243" s="42"/>
      <c r="D243" s="37"/>
      <c r="E243" s="46" t="s">
        <v>537</v>
      </c>
      <c r="F243" s="47">
        <f>M243*0.17+N243*0.06</f>
        <v>56405.951051999997</v>
      </c>
      <c r="G243" s="21">
        <f>H243*0.05+I243*0.02</f>
        <v>57055.83370000001</v>
      </c>
      <c r="H243" s="49">
        <f>SUBTOTAL(109,Октябрь2016[Продажа])</f>
        <v>1109584.6300000001</v>
      </c>
      <c r="I243" s="49">
        <f>SUBTOTAL(109,Октябрь2016[Продажа НК])</f>
        <v>78830.11</v>
      </c>
      <c r="J243" s="49">
        <f>SUBTOTAL(109,Октябрь2016[отк])</f>
        <v>3237.0744</v>
      </c>
      <c r="K243" s="49">
        <f>SUBTOTAL(109,Октябрь2016[шланги])</f>
        <v>10200</v>
      </c>
      <c r="L243" s="49">
        <f>SUBTOTAL(109,Октябрь2016[Закупка])</f>
        <v>769180</v>
      </c>
      <c r="M243" s="49">
        <f>SUBTOTAL(109,Октябрь2016[Маржа])</f>
        <v>326967.55559999996</v>
      </c>
      <c r="N243" s="49">
        <f>SUBTOTAL(109,Октябрь2016[Маржа НК])</f>
        <v>13691.11</v>
      </c>
      <c r="O243" s="44">
        <f t="shared" si="24"/>
        <v>0.29467563515186751</v>
      </c>
    </row>
    <row r="244" spans="1:15" ht="20.100000000000001" customHeight="1" x14ac:dyDescent="0.25">
      <c r="A244" s="41" t="s">
        <v>1</v>
      </c>
      <c r="B244" s="1" t="s">
        <v>0</v>
      </c>
      <c r="C244" s="1" t="s">
        <v>26</v>
      </c>
      <c r="D244" s="1" t="s">
        <v>2</v>
      </c>
      <c r="E244" s="1" t="s">
        <v>3</v>
      </c>
      <c r="F244" s="1" t="s">
        <v>27</v>
      </c>
      <c r="G244" s="1" t="s">
        <v>4</v>
      </c>
      <c r="H244" s="2" t="s">
        <v>132</v>
      </c>
      <c r="I244" s="2" t="s">
        <v>133</v>
      </c>
      <c r="J244" s="40" t="s">
        <v>187</v>
      </c>
      <c r="K244" s="40" t="s">
        <v>188</v>
      </c>
      <c r="L244" s="40" t="s">
        <v>129</v>
      </c>
      <c r="M244" s="40" t="s">
        <v>130</v>
      </c>
      <c r="N244" s="2" t="s">
        <v>131</v>
      </c>
      <c r="O244" s="2" t="s">
        <v>134</v>
      </c>
    </row>
    <row r="245" spans="1:15" ht="20.100000000000001" customHeight="1" x14ac:dyDescent="0.25">
      <c r="A245" s="33">
        <v>520</v>
      </c>
      <c r="B245" s="9">
        <v>42675</v>
      </c>
      <c r="C245" s="20" t="s">
        <v>199</v>
      </c>
      <c r="D245" s="11">
        <v>22291</v>
      </c>
      <c r="E245" s="15">
        <v>42675</v>
      </c>
      <c r="F245" s="15" t="s">
        <v>28</v>
      </c>
      <c r="G245" s="12">
        <v>42682</v>
      </c>
      <c r="H245" s="23">
        <f>D245</f>
        <v>22291</v>
      </c>
      <c r="I245" s="23">
        <f>H245</f>
        <v>22291</v>
      </c>
      <c r="J245" s="23"/>
      <c r="K245" s="24"/>
      <c r="L245" s="23">
        <v>17692</v>
      </c>
      <c r="M245" s="22">
        <f t="shared" ref="M245:M271" si="25">H245-L245-J245-K245</f>
        <v>4599</v>
      </c>
      <c r="N245" s="22">
        <f>M245</f>
        <v>4599</v>
      </c>
      <c r="O245" s="30">
        <f t="shared" ref="O245:O272" si="26">M245/H245</f>
        <v>0.20631645058543807</v>
      </c>
    </row>
    <row r="246" spans="1:15" ht="20.100000000000001" customHeight="1" x14ac:dyDescent="0.25">
      <c r="A246" s="33">
        <v>523</v>
      </c>
      <c r="B246" s="9">
        <v>42675</v>
      </c>
      <c r="C246" s="18" t="s">
        <v>144</v>
      </c>
      <c r="D246" s="11">
        <v>2450</v>
      </c>
      <c r="E246" s="9">
        <v>42676</v>
      </c>
      <c r="F246" s="15" t="s">
        <v>28</v>
      </c>
      <c r="G246" s="12">
        <v>42682</v>
      </c>
      <c r="H246" s="23">
        <f>D246</f>
        <v>2450</v>
      </c>
      <c r="I246" s="23"/>
      <c r="J246" s="23"/>
      <c r="K246" s="24"/>
      <c r="L246" s="23">
        <v>2174</v>
      </c>
      <c r="M246" s="22">
        <f t="shared" si="25"/>
        <v>276</v>
      </c>
      <c r="N246" s="22"/>
      <c r="O246" s="30">
        <f t="shared" si="26"/>
        <v>0.1126530612244898</v>
      </c>
    </row>
    <row r="247" spans="1:15" ht="20.100000000000001" customHeight="1" x14ac:dyDescent="0.25">
      <c r="A247" s="33">
        <v>527</v>
      </c>
      <c r="B247" s="9">
        <v>42676</v>
      </c>
      <c r="C247" s="20" t="s">
        <v>200</v>
      </c>
      <c r="D247" s="11">
        <v>12067.86</v>
      </c>
      <c r="E247" s="9">
        <v>42677</v>
      </c>
      <c r="F247" s="15" t="s">
        <v>28</v>
      </c>
      <c r="G247" s="12">
        <v>42703</v>
      </c>
      <c r="H247" s="23">
        <f>D247</f>
        <v>12067.86</v>
      </c>
      <c r="I247" s="23">
        <f>H247</f>
        <v>12067.86</v>
      </c>
      <c r="J247" s="23"/>
      <c r="K247" s="24"/>
      <c r="L247" s="23">
        <v>9124</v>
      </c>
      <c r="M247" s="22">
        <f t="shared" si="25"/>
        <v>2943.8600000000006</v>
      </c>
      <c r="N247" s="22">
        <f>M247</f>
        <v>2943.8600000000006</v>
      </c>
      <c r="O247" s="30">
        <f t="shared" si="26"/>
        <v>0.24394217367453719</v>
      </c>
    </row>
    <row r="248" spans="1:15" ht="20.100000000000001" customHeight="1" x14ac:dyDescent="0.25">
      <c r="A248" s="33">
        <v>515</v>
      </c>
      <c r="B248" s="9">
        <v>42668</v>
      </c>
      <c r="C248" s="18" t="s">
        <v>60</v>
      </c>
      <c r="D248" s="11">
        <v>22631.64</v>
      </c>
      <c r="E248" s="9">
        <v>42682</v>
      </c>
      <c r="F248" s="15" t="s">
        <v>28</v>
      </c>
      <c r="G248" s="12">
        <v>42671</v>
      </c>
      <c r="H248" s="23">
        <f>D248</f>
        <v>22631.64</v>
      </c>
      <c r="I248" s="24"/>
      <c r="J248" s="24"/>
      <c r="K248" s="24"/>
      <c r="L248" s="23">
        <v>17604</v>
      </c>
      <c r="M248" s="22">
        <f t="shared" si="25"/>
        <v>5027.6399999999994</v>
      </c>
      <c r="N248" s="22"/>
      <c r="O248" s="30">
        <f t="shared" si="26"/>
        <v>0.22215093559282489</v>
      </c>
    </row>
    <row r="249" spans="1:15" ht="20.100000000000001" customHeight="1" x14ac:dyDescent="0.25">
      <c r="A249" s="33">
        <v>487</v>
      </c>
      <c r="B249" s="9">
        <v>42655</v>
      </c>
      <c r="C249" s="18" t="s">
        <v>180</v>
      </c>
      <c r="D249" s="11">
        <v>620582.84</v>
      </c>
      <c r="E249" s="9">
        <v>42685</v>
      </c>
      <c r="F249" s="15" t="s">
        <v>28</v>
      </c>
      <c r="G249" s="12">
        <v>42704</v>
      </c>
      <c r="H249" s="23">
        <v>310291.42</v>
      </c>
      <c r="I249" s="23"/>
      <c r="J249" s="24"/>
      <c r="K249" s="24">
        <f>5*1200</f>
        <v>6000</v>
      </c>
      <c r="L249" s="23">
        <v>228398</v>
      </c>
      <c r="M249" s="22">
        <f t="shared" si="25"/>
        <v>75893.419999999984</v>
      </c>
      <c r="N249" s="22"/>
      <c r="O249" s="30">
        <f t="shared" si="26"/>
        <v>0.24458755578868402</v>
      </c>
    </row>
    <row r="250" spans="1:15" ht="20.100000000000001" customHeight="1" x14ac:dyDescent="0.25">
      <c r="A250" s="33">
        <v>524</v>
      </c>
      <c r="B250" s="9">
        <v>42675</v>
      </c>
      <c r="C250" s="20" t="s">
        <v>202</v>
      </c>
      <c r="D250" s="11">
        <v>19260</v>
      </c>
      <c r="E250" s="9">
        <v>42688</v>
      </c>
      <c r="F250" s="15" t="s">
        <v>28</v>
      </c>
      <c r="G250" s="12">
        <v>42690</v>
      </c>
      <c r="H250" s="23">
        <f t="shared" ref="H250:H256" si="27">D250</f>
        <v>19260</v>
      </c>
      <c r="I250" s="23">
        <f>H250</f>
        <v>19260</v>
      </c>
      <c r="J250" s="23"/>
      <c r="K250" s="24"/>
      <c r="L250" s="23">
        <v>17788</v>
      </c>
      <c r="M250" s="22">
        <f t="shared" si="25"/>
        <v>1472</v>
      </c>
      <c r="N250" s="22">
        <f>M250</f>
        <v>1472</v>
      </c>
      <c r="O250" s="30">
        <f t="shared" si="26"/>
        <v>7.6427829698857738E-2</v>
      </c>
    </row>
    <row r="251" spans="1:15" ht="20.100000000000001" customHeight="1" x14ac:dyDescent="0.25">
      <c r="A251" s="33">
        <v>522</v>
      </c>
      <c r="B251" s="9">
        <v>42681</v>
      </c>
      <c r="C251" s="18" t="s">
        <v>65</v>
      </c>
      <c r="D251" s="11">
        <v>42699.22</v>
      </c>
      <c r="E251" s="9">
        <v>42689</v>
      </c>
      <c r="F251" s="15" t="s">
        <v>28</v>
      </c>
      <c r="G251" s="12">
        <v>42689</v>
      </c>
      <c r="H251" s="23">
        <f t="shared" si="27"/>
        <v>42699.22</v>
      </c>
      <c r="I251" s="23"/>
      <c r="J251" s="23"/>
      <c r="K251" s="24"/>
      <c r="L251" s="23">
        <v>30066</v>
      </c>
      <c r="M251" s="22">
        <f t="shared" si="25"/>
        <v>12633.220000000001</v>
      </c>
      <c r="N251" s="22"/>
      <c r="O251" s="30">
        <f t="shared" si="26"/>
        <v>0.29586535772784611</v>
      </c>
    </row>
    <row r="252" spans="1:15" ht="20.100000000000001" customHeight="1" x14ac:dyDescent="0.25">
      <c r="A252" s="33">
        <v>546</v>
      </c>
      <c r="B252" s="9">
        <v>42688</v>
      </c>
      <c r="C252" s="20" t="s">
        <v>201</v>
      </c>
      <c r="D252" s="11">
        <v>1319</v>
      </c>
      <c r="E252" s="9">
        <v>42689</v>
      </c>
      <c r="F252" s="15" t="s">
        <v>28</v>
      </c>
      <c r="G252" s="12">
        <v>42696</v>
      </c>
      <c r="H252" s="23">
        <f t="shared" si="27"/>
        <v>1319</v>
      </c>
      <c r="I252" s="23">
        <f>H252</f>
        <v>1319</v>
      </c>
      <c r="J252" s="23"/>
      <c r="K252" s="24"/>
      <c r="L252" s="23">
        <v>986</v>
      </c>
      <c r="M252" s="22">
        <f t="shared" si="25"/>
        <v>333</v>
      </c>
      <c r="N252" s="22">
        <f>M252</f>
        <v>333</v>
      </c>
      <c r="O252" s="30">
        <f t="shared" si="26"/>
        <v>0.25246398786959817</v>
      </c>
    </row>
    <row r="253" spans="1:15" ht="20.100000000000001" customHeight="1" x14ac:dyDescent="0.25">
      <c r="A253" s="33">
        <v>547</v>
      </c>
      <c r="B253" s="9">
        <v>42689</v>
      </c>
      <c r="C253" s="20" t="s">
        <v>203</v>
      </c>
      <c r="D253" s="11">
        <v>21029</v>
      </c>
      <c r="E253" s="9">
        <v>42689</v>
      </c>
      <c r="F253" s="15" t="s">
        <v>28</v>
      </c>
      <c r="G253" s="12">
        <v>42690</v>
      </c>
      <c r="H253" s="23">
        <f t="shared" si="27"/>
        <v>21029</v>
      </c>
      <c r="I253" s="23">
        <f>H253</f>
        <v>21029</v>
      </c>
      <c r="J253" s="23"/>
      <c r="K253" s="24"/>
      <c r="L253" s="23">
        <v>15898</v>
      </c>
      <c r="M253" s="22">
        <f t="shared" si="25"/>
        <v>5131</v>
      </c>
      <c r="N253" s="22">
        <f>M253</f>
        <v>5131</v>
      </c>
      <c r="O253" s="30">
        <f t="shared" si="26"/>
        <v>0.24399638594322126</v>
      </c>
    </row>
    <row r="254" spans="1:15" ht="20.100000000000001" customHeight="1" x14ac:dyDescent="0.25">
      <c r="A254" s="33">
        <v>508</v>
      </c>
      <c r="B254" s="9">
        <v>42667</v>
      </c>
      <c r="C254" s="18" t="s">
        <v>38</v>
      </c>
      <c r="D254" s="11">
        <v>20146.669999999998</v>
      </c>
      <c r="E254" s="15">
        <v>42690</v>
      </c>
      <c r="F254" s="15" t="s">
        <v>28</v>
      </c>
      <c r="G254" s="12">
        <v>42683</v>
      </c>
      <c r="H254" s="23">
        <f t="shared" si="27"/>
        <v>20146.669999999998</v>
      </c>
      <c r="I254" s="23"/>
      <c r="J254" s="23">
        <f>D254*0.02</f>
        <v>402.93339999999995</v>
      </c>
      <c r="K254" s="24"/>
      <c r="L254" s="23">
        <v>14466</v>
      </c>
      <c r="M254" s="22">
        <f t="shared" si="25"/>
        <v>5277.7365999999984</v>
      </c>
      <c r="N254" s="22"/>
      <c r="O254" s="30">
        <f t="shared" si="26"/>
        <v>0.26196570450600515</v>
      </c>
    </row>
    <row r="255" spans="1:15" ht="20.100000000000001" customHeight="1" x14ac:dyDescent="0.25">
      <c r="A255" s="33">
        <v>510</v>
      </c>
      <c r="B255" s="9">
        <v>42667</v>
      </c>
      <c r="C255" s="18" t="s">
        <v>38</v>
      </c>
      <c r="D255" s="11">
        <v>78600</v>
      </c>
      <c r="E255" s="15">
        <v>42690</v>
      </c>
      <c r="F255" s="15" t="s">
        <v>28</v>
      </c>
      <c r="G255" s="12">
        <v>42683</v>
      </c>
      <c r="H255" s="23">
        <f t="shared" si="27"/>
        <v>78600</v>
      </c>
      <c r="I255" s="23"/>
      <c r="J255" s="23">
        <f>D255*0.02</f>
        <v>1572</v>
      </c>
      <c r="K255" s="24">
        <f>5*1200</f>
        <v>6000</v>
      </c>
      <c r="L255" s="23">
        <v>29194</v>
      </c>
      <c r="M255" s="22">
        <f t="shared" si="25"/>
        <v>41834</v>
      </c>
      <c r="N255" s="22"/>
      <c r="O255" s="30">
        <f t="shared" si="26"/>
        <v>0.53223918575063611</v>
      </c>
    </row>
    <row r="256" spans="1:15" ht="20.100000000000001" customHeight="1" x14ac:dyDescent="0.25">
      <c r="A256" s="33">
        <v>511</v>
      </c>
      <c r="B256" s="9">
        <v>42667</v>
      </c>
      <c r="C256" s="18" t="s">
        <v>38</v>
      </c>
      <c r="D256" s="11">
        <v>32841.24</v>
      </c>
      <c r="E256" s="15">
        <v>42690</v>
      </c>
      <c r="F256" s="15" t="s">
        <v>28</v>
      </c>
      <c r="G256" s="12">
        <v>42683</v>
      </c>
      <c r="H256" s="23">
        <f t="shared" si="27"/>
        <v>32841.24</v>
      </c>
      <c r="I256" s="23"/>
      <c r="J256" s="23">
        <f>D256*0.02</f>
        <v>656.82479999999998</v>
      </c>
      <c r="K256" s="24"/>
      <c r="L256" s="23">
        <v>21348</v>
      </c>
      <c r="M256" s="22">
        <f t="shared" si="25"/>
        <v>10836.415199999998</v>
      </c>
      <c r="N256" s="22"/>
      <c r="O256" s="30">
        <f t="shared" si="26"/>
        <v>0.32996364327290928</v>
      </c>
    </row>
    <row r="257" spans="1:15" ht="20.100000000000001" customHeight="1" x14ac:dyDescent="0.25">
      <c r="A257" s="33">
        <v>536</v>
      </c>
      <c r="B257" s="9">
        <v>42683</v>
      </c>
      <c r="C257" s="18" t="s">
        <v>180</v>
      </c>
      <c r="D257" s="11">
        <v>56388</v>
      </c>
      <c r="E257" s="15">
        <v>42691</v>
      </c>
      <c r="F257" s="15" t="s">
        <v>28</v>
      </c>
      <c r="G257" s="12">
        <v>42720</v>
      </c>
      <c r="H257" s="23">
        <f>D257/2</f>
        <v>28194</v>
      </c>
      <c r="I257" s="23"/>
      <c r="J257" s="23"/>
      <c r="K257" s="24"/>
      <c r="L257" s="23">
        <v>19698</v>
      </c>
      <c r="M257" s="22">
        <f t="shared" si="25"/>
        <v>8496</v>
      </c>
      <c r="N257" s="22"/>
      <c r="O257" s="30">
        <f t="shared" si="26"/>
        <v>0.30134071078952968</v>
      </c>
    </row>
    <row r="258" spans="1:15" ht="20.100000000000001" customHeight="1" x14ac:dyDescent="0.25">
      <c r="A258" s="33">
        <v>504</v>
      </c>
      <c r="B258" s="9">
        <v>42661</v>
      </c>
      <c r="C258" s="18" t="s">
        <v>180</v>
      </c>
      <c r="D258" s="11">
        <v>336760</v>
      </c>
      <c r="E258" s="15">
        <v>42691</v>
      </c>
      <c r="F258" s="15" t="s">
        <v>28</v>
      </c>
      <c r="G258" s="12">
        <v>42712</v>
      </c>
      <c r="H258" s="23">
        <f>D258/2</f>
        <v>168380</v>
      </c>
      <c r="I258" s="23"/>
      <c r="J258" s="23"/>
      <c r="K258" s="24"/>
      <c r="L258" s="23">
        <v>128064</v>
      </c>
      <c r="M258" s="22">
        <f t="shared" si="25"/>
        <v>40316</v>
      </c>
      <c r="N258" s="22"/>
      <c r="O258" s="30">
        <f t="shared" si="26"/>
        <v>0.23943461218672052</v>
      </c>
    </row>
    <row r="259" spans="1:15" ht="20.100000000000001" customHeight="1" x14ac:dyDescent="0.25">
      <c r="A259" s="33">
        <v>544</v>
      </c>
      <c r="B259" s="9">
        <v>42688</v>
      </c>
      <c r="C259" s="18" t="s">
        <v>64</v>
      </c>
      <c r="D259" s="11">
        <v>1517</v>
      </c>
      <c r="E259" s="15">
        <v>42691</v>
      </c>
      <c r="F259" s="15" t="s">
        <v>28</v>
      </c>
      <c r="G259" s="12">
        <v>42695</v>
      </c>
      <c r="H259" s="23">
        <f t="shared" ref="H259:H265" si="28">D259</f>
        <v>1517</v>
      </c>
      <c r="I259" s="23"/>
      <c r="J259" s="23"/>
      <c r="K259" s="24"/>
      <c r="L259" s="23">
        <v>908</v>
      </c>
      <c r="M259" s="22">
        <f t="shared" si="25"/>
        <v>609</v>
      </c>
      <c r="N259" s="22"/>
      <c r="O259" s="30">
        <f t="shared" si="26"/>
        <v>0.40145023071852343</v>
      </c>
    </row>
    <row r="260" spans="1:15" ht="20.100000000000001" customHeight="1" x14ac:dyDescent="0.25">
      <c r="A260" s="33">
        <v>501</v>
      </c>
      <c r="B260" s="9">
        <v>42660</v>
      </c>
      <c r="C260" s="18" t="s">
        <v>56</v>
      </c>
      <c r="D260" s="11">
        <v>15834.94</v>
      </c>
      <c r="E260" s="9">
        <v>42692</v>
      </c>
      <c r="F260" s="15" t="s">
        <v>28</v>
      </c>
      <c r="G260" s="12">
        <v>42684</v>
      </c>
      <c r="H260" s="23">
        <f t="shared" si="28"/>
        <v>15834.94</v>
      </c>
      <c r="I260" s="24"/>
      <c r="J260" s="24"/>
      <c r="K260" s="24"/>
      <c r="L260" s="23">
        <v>11972</v>
      </c>
      <c r="M260" s="22">
        <f t="shared" si="25"/>
        <v>3862.9400000000005</v>
      </c>
      <c r="N260" s="22"/>
      <c r="O260" s="30">
        <f t="shared" si="26"/>
        <v>0.24395040334854445</v>
      </c>
    </row>
    <row r="261" spans="1:15" ht="20.100000000000001" customHeight="1" x14ac:dyDescent="0.25">
      <c r="A261" s="33">
        <v>480</v>
      </c>
      <c r="B261" s="9">
        <v>42647</v>
      </c>
      <c r="C261" s="18" t="s">
        <v>56</v>
      </c>
      <c r="D261" s="11">
        <v>24714.9</v>
      </c>
      <c r="E261" s="9">
        <v>42692</v>
      </c>
      <c r="F261" s="15" t="s">
        <v>28</v>
      </c>
      <c r="G261" s="12">
        <v>42684</v>
      </c>
      <c r="H261" s="23">
        <f t="shared" si="28"/>
        <v>24714.9</v>
      </c>
      <c r="I261" s="24"/>
      <c r="J261" s="24"/>
      <c r="K261" s="24"/>
      <c r="L261" s="23">
        <v>17450</v>
      </c>
      <c r="M261" s="22">
        <f t="shared" si="25"/>
        <v>7264.9000000000015</v>
      </c>
      <c r="N261" s="22"/>
      <c r="O261" s="30">
        <f t="shared" si="26"/>
        <v>0.29394818510291365</v>
      </c>
    </row>
    <row r="262" spans="1:15" ht="20.100000000000001" customHeight="1" x14ac:dyDescent="0.25">
      <c r="A262" s="33">
        <v>540</v>
      </c>
      <c r="B262" s="9">
        <v>42684</v>
      </c>
      <c r="C262" s="18" t="s">
        <v>56</v>
      </c>
      <c r="D262" s="11">
        <v>4700</v>
      </c>
      <c r="E262" s="9">
        <v>42692</v>
      </c>
      <c r="F262" s="15" t="s">
        <v>28</v>
      </c>
      <c r="G262" s="12">
        <v>42684</v>
      </c>
      <c r="H262" s="23">
        <f t="shared" si="28"/>
        <v>4700</v>
      </c>
      <c r="I262" s="24"/>
      <c r="J262" s="24"/>
      <c r="K262" s="24"/>
      <c r="L262" s="23">
        <v>2350</v>
      </c>
      <c r="M262" s="22">
        <f t="shared" si="25"/>
        <v>2350</v>
      </c>
      <c r="N262" s="22"/>
      <c r="O262" s="30">
        <f t="shared" si="26"/>
        <v>0.5</v>
      </c>
    </row>
    <row r="263" spans="1:15" ht="20.100000000000001" customHeight="1" x14ac:dyDescent="0.25">
      <c r="A263" s="33">
        <v>533</v>
      </c>
      <c r="B263" s="9">
        <v>42681</v>
      </c>
      <c r="C263" s="18" t="s">
        <v>114</v>
      </c>
      <c r="D263" s="11">
        <v>16795</v>
      </c>
      <c r="E263" s="9">
        <v>42692</v>
      </c>
      <c r="F263" s="15" t="s">
        <v>28</v>
      </c>
      <c r="G263" s="12">
        <v>42685</v>
      </c>
      <c r="H263" s="23">
        <f t="shared" si="28"/>
        <v>16795</v>
      </c>
      <c r="I263" s="23"/>
      <c r="J263" s="23"/>
      <c r="K263" s="24"/>
      <c r="L263" s="23">
        <v>13469</v>
      </c>
      <c r="M263" s="22">
        <f t="shared" si="25"/>
        <v>3326</v>
      </c>
      <c r="N263" s="22"/>
      <c r="O263" s="30">
        <f t="shared" si="26"/>
        <v>0.19803512950282823</v>
      </c>
    </row>
    <row r="264" spans="1:15" ht="19.5" customHeight="1" x14ac:dyDescent="0.25">
      <c r="A264" s="33">
        <v>551</v>
      </c>
      <c r="B264" s="9">
        <v>42691</v>
      </c>
      <c r="C264" s="20" t="s">
        <v>204</v>
      </c>
      <c r="D264" s="11">
        <v>57490</v>
      </c>
      <c r="E264" s="9">
        <v>42696</v>
      </c>
      <c r="F264" s="15" t="s">
        <v>28</v>
      </c>
      <c r="G264" s="12">
        <v>42705</v>
      </c>
      <c r="H264" s="23">
        <f t="shared" si="28"/>
        <v>57490</v>
      </c>
      <c r="I264" s="23">
        <f>H264</f>
        <v>57490</v>
      </c>
      <c r="J264" s="23"/>
      <c r="K264" s="24"/>
      <c r="L264" s="23">
        <v>47098</v>
      </c>
      <c r="M264" s="22">
        <f t="shared" si="25"/>
        <v>10392</v>
      </c>
      <c r="N264" s="22">
        <f>M264</f>
        <v>10392</v>
      </c>
      <c r="O264" s="30">
        <f t="shared" si="26"/>
        <v>0.18076187162984866</v>
      </c>
    </row>
    <row r="265" spans="1:15" ht="15.75" x14ac:dyDescent="0.25">
      <c r="A265" s="33">
        <v>539</v>
      </c>
      <c r="B265" s="9">
        <v>42684</v>
      </c>
      <c r="C265" s="18" t="s">
        <v>66</v>
      </c>
      <c r="D265" s="11">
        <v>12657</v>
      </c>
      <c r="E265" s="9">
        <v>42697</v>
      </c>
      <c r="F265" s="15" t="s">
        <v>28</v>
      </c>
      <c r="G265" s="12">
        <v>42718</v>
      </c>
      <c r="H265" s="23">
        <f t="shared" si="28"/>
        <v>12657</v>
      </c>
      <c r="I265" s="23"/>
      <c r="J265" s="23"/>
      <c r="K265" s="24"/>
      <c r="L265" s="23">
        <v>9129</v>
      </c>
      <c r="M265" s="22">
        <f t="shared" si="25"/>
        <v>3528</v>
      </c>
      <c r="N265" s="22"/>
      <c r="O265" s="30">
        <f t="shared" si="26"/>
        <v>0.27873903768665559</v>
      </c>
    </row>
    <row r="266" spans="1:15" s="2" customFormat="1" ht="20.100000000000001" customHeight="1" x14ac:dyDescent="0.25">
      <c r="A266" s="33">
        <v>536</v>
      </c>
      <c r="B266" s="9">
        <v>42683</v>
      </c>
      <c r="C266" s="18" t="s">
        <v>180</v>
      </c>
      <c r="D266" s="11">
        <v>56388</v>
      </c>
      <c r="E266" s="9">
        <v>42698</v>
      </c>
      <c r="F266" s="15" t="s">
        <v>28</v>
      </c>
      <c r="G266" s="12">
        <v>42720</v>
      </c>
      <c r="H266" s="23">
        <f>D266/2</f>
        <v>28194</v>
      </c>
      <c r="I266" s="23"/>
      <c r="J266" s="23"/>
      <c r="K266" s="24"/>
      <c r="L266" s="23">
        <v>19698</v>
      </c>
      <c r="M266" s="22">
        <f t="shared" si="25"/>
        <v>8496</v>
      </c>
      <c r="N266" s="22"/>
      <c r="O266" s="30">
        <f t="shared" si="26"/>
        <v>0.30134071078952968</v>
      </c>
    </row>
    <row r="267" spans="1:15" ht="20.100000000000001" customHeight="1" x14ac:dyDescent="0.25">
      <c r="A267" s="33">
        <v>553</v>
      </c>
      <c r="B267" s="9">
        <v>42692</v>
      </c>
      <c r="C267" s="18" t="s">
        <v>180</v>
      </c>
      <c r="D267" s="11">
        <v>10026</v>
      </c>
      <c r="E267" s="9">
        <v>42698</v>
      </c>
      <c r="F267" s="15" t="s">
        <v>28</v>
      </c>
      <c r="G267" s="12">
        <v>42726</v>
      </c>
      <c r="H267" s="23">
        <f>D267</f>
        <v>10026</v>
      </c>
      <c r="I267" s="23"/>
      <c r="J267" s="23"/>
      <c r="K267" s="24"/>
      <c r="L267" s="23">
        <v>8550</v>
      </c>
      <c r="M267" s="22">
        <f t="shared" si="25"/>
        <v>1476</v>
      </c>
      <c r="N267" s="22"/>
      <c r="O267" s="30">
        <f t="shared" si="26"/>
        <v>0.14721723518850988</v>
      </c>
    </row>
    <row r="268" spans="1:15" ht="20.100000000000001" customHeight="1" x14ac:dyDescent="0.25">
      <c r="A268" s="33">
        <v>458</v>
      </c>
      <c r="B268" s="9">
        <v>42636</v>
      </c>
      <c r="C268" s="18" t="s">
        <v>99</v>
      </c>
      <c r="D268" s="11">
        <v>316630.71000000002</v>
      </c>
      <c r="E268" s="9">
        <v>42702</v>
      </c>
      <c r="F268" s="15" t="s">
        <v>28</v>
      </c>
      <c r="G268" s="12">
        <v>42667</v>
      </c>
      <c r="H268" s="23">
        <f>D268</f>
        <v>316630.71000000002</v>
      </c>
      <c r="I268" s="24"/>
      <c r="J268" s="24">
        <f>18*3000</f>
        <v>54000</v>
      </c>
      <c r="K268" s="24">
        <f>18*600</f>
        <v>10800</v>
      </c>
      <c r="L268" s="23">
        <v>101273</v>
      </c>
      <c r="M268" s="22">
        <f t="shared" si="25"/>
        <v>150557.71000000002</v>
      </c>
      <c r="N268" s="22"/>
      <c r="O268" s="30">
        <f t="shared" si="26"/>
        <v>0.47549939170461392</v>
      </c>
    </row>
    <row r="269" spans="1:15" ht="20.100000000000001" customHeight="1" x14ac:dyDescent="0.25">
      <c r="A269" s="33">
        <v>487</v>
      </c>
      <c r="B269" s="9">
        <v>42655</v>
      </c>
      <c r="C269" s="18" t="s">
        <v>180</v>
      </c>
      <c r="D269" s="11">
        <v>620582.84</v>
      </c>
      <c r="E269" s="9">
        <v>42702</v>
      </c>
      <c r="F269" s="15" t="s">
        <v>28</v>
      </c>
      <c r="G269" s="12">
        <v>42704</v>
      </c>
      <c r="H269" s="23">
        <f>D269/2</f>
        <v>310291.42</v>
      </c>
      <c r="I269" s="23"/>
      <c r="J269" s="24"/>
      <c r="K269" s="24">
        <f>5*1200</f>
        <v>6000</v>
      </c>
      <c r="L269" s="23">
        <v>228398</v>
      </c>
      <c r="M269" s="22">
        <f t="shared" si="25"/>
        <v>75893.419999999984</v>
      </c>
      <c r="N269" s="22"/>
      <c r="O269" s="30">
        <f t="shared" si="26"/>
        <v>0.24458755578868402</v>
      </c>
    </row>
    <row r="270" spans="1:15" ht="20.100000000000001" customHeight="1" x14ac:dyDescent="0.25">
      <c r="A270" s="33">
        <v>548</v>
      </c>
      <c r="B270" s="9">
        <v>42697</v>
      </c>
      <c r="C270" s="18" t="s">
        <v>108</v>
      </c>
      <c r="D270" s="11">
        <v>4000</v>
      </c>
      <c r="E270" s="9">
        <v>42702</v>
      </c>
      <c r="F270" s="15" t="s">
        <v>28</v>
      </c>
      <c r="G270" s="12">
        <v>42703</v>
      </c>
      <c r="H270" s="23">
        <f>D270</f>
        <v>4000</v>
      </c>
      <c r="I270" s="23"/>
      <c r="J270" s="24"/>
      <c r="K270" s="24">
        <v>600</v>
      </c>
      <c r="L270" s="23">
        <v>1808.8</v>
      </c>
      <c r="M270" s="22">
        <f t="shared" si="25"/>
        <v>1591.1999999999998</v>
      </c>
      <c r="N270" s="22"/>
      <c r="O270" s="30">
        <f t="shared" si="26"/>
        <v>0.39779999999999993</v>
      </c>
    </row>
    <row r="271" spans="1:15" ht="20.100000000000001" customHeight="1" x14ac:dyDescent="0.25">
      <c r="A271" s="33">
        <v>578</v>
      </c>
      <c r="B271" s="9">
        <v>42704</v>
      </c>
      <c r="C271" s="20" t="s">
        <v>205</v>
      </c>
      <c r="D271" s="11">
        <v>14598</v>
      </c>
      <c r="E271" s="9">
        <v>42704</v>
      </c>
      <c r="F271" s="15" t="s">
        <v>28</v>
      </c>
      <c r="G271" s="12">
        <v>42705</v>
      </c>
      <c r="H271" s="23">
        <f>D271</f>
        <v>14598</v>
      </c>
      <c r="I271" s="23">
        <f>H271</f>
        <v>14598</v>
      </c>
      <c r="J271" s="23"/>
      <c r="K271" s="23"/>
      <c r="L271" s="23">
        <v>10762</v>
      </c>
      <c r="M271" s="22">
        <f t="shared" si="25"/>
        <v>3836</v>
      </c>
      <c r="N271" s="22">
        <f>M271</f>
        <v>3836</v>
      </c>
      <c r="O271" s="30">
        <f t="shared" si="26"/>
        <v>0.26277572270173999</v>
      </c>
    </row>
    <row r="272" spans="1:15" ht="20.100000000000001" customHeight="1" x14ac:dyDescent="0.25">
      <c r="A272" s="35" t="s">
        <v>535</v>
      </c>
      <c r="B272" s="36"/>
      <c r="C272" s="42"/>
      <c r="D272" s="37"/>
      <c r="E272" s="46" t="s">
        <v>538</v>
      </c>
      <c r="F272" s="47">
        <f>M272*0.17+N272*0.06</f>
        <v>84725.330106000009</v>
      </c>
      <c r="G272" s="21">
        <f>H272*0.05+I272*0.02</f>
        <v>82943.598200000008</v>
      </c>
      <c r="H272" s="49">
        <f>SUBTOTAL(109,Ноябрь2016[Продажа])</f>
        <v>1599650.02</v>
      </c>
      <c r="I272" s="49">
        <f>SUBTOTAL(109,Ноябрь2016[Продажа НК])</f>
        <v>148054.85999999999</v>
      </c>
      <c r="J272" s="49">
        <f>SUBTOTAL(109,Ноябрь2016[отк])</f>
        <v>56631.758199999997</v>
      </c>
      <c r="K272" s="49">
        <f>SUBTOTAL(109,Ноябрь2016[шланги])</f>
        <v>29400</v>
      </c>
      <c r="L272" s="49">
        <f>SUBTOTAL(109,Ноябрь2016[Закупка])</f>
        <v>1025365.8</v>
      </c>
      <c r="M272" s="49">
        <f>SUBTOTAL(109,Ноябрь2016[Маржа])</f>
        <v>488252.46179999999</v>
      </c>
      <c r="N272" s="49">
        <f>SUBTOTAL(109,Ноябрь2016[Маржа НК])</f>
        <v>28706.86</v>
      </c>
      <c r="O272" s="44">
        <f t="shared" si="26"/>
        <v>0.30522455268059195</v>
      </c>
    </row>
    <row r="273" spans="1:15" ht="20.100000000000001" customHeight="1" x14ac:dyDescent="0.25">
      <c r="A273" s="41" t="s">
        <v>1</v>
      </c>
      <c r="B273" s="1" t="s">
        <v>0</v>
      </c>
      <c r="C273" s="1" t="s">
        <v>26</v>
      </c>
      <c r="D273" s="1" t="s">
        <v>2</v>
      </c>
      <c r="E273" s="1" t="s">
        <v>3</v>
      </c>
      <c r="F273" s="1" t="s">
        <v>27</v>
      </c>
      <c r="G273" s="1" t="s">
        <v>4</v>
      </c>
      <c r="H273" s="2" t="s">
        <v>132</v>
      </c>
      <c r="I273" s="2" t="s">
        <v>133</v>
      </c>
      <c r="J273" s="40" t="s">
        <v>187</v>
      </c>
      <c r="K273" s="40" t="s">
        <v>188</v>
      </c>
      <c r="L273" s="40" t="s">
        <v>129</v>
      </c>
      <c r="M273" s="40" t="s">
        <v>130</v>
      </c>
      <c r="N273" s="2" t="s">
        <v>131</v>
      </c>
      <c r="O273" s="2" t="s">
        <v>134</v>
      </c>
    </row>
    <row r="274" spans="1:15" ht="20.100000000000001" customHeight="1" x14ac:dyDescent="0.25">
      <c r="A274" s="33">
        <v>575</v>
      </c>
      <c r="B274" s="9">
        <v>42702</v>
      </c>
      <c r="C274" s="18" t="s">
        <v>180</v>
      </c>
      <c r="D274" s="11">
        <v>113190</v>
      </c>
      <c r="E274" s="9">
        <v>42705</v>
      </c>
      <c r="F274" s="15" t="s">
        <v>28</v>
      </c>
      <c r="G274" s="12">
        <v>42720</v>
      </c>
      <c r="H274" s="23">
        <f>D274/2</f>
        <v>56595</v>
      </c>
      <c r="I274" s="23"/>
      <c r="J274" s="23"/>
      <c r="K274" s="24"/>
      <c r="L274" s="23">
        <f>89207/2</f>
        <v>44603.5</v>
      </c>
      <c r="M274" s="22">
        <f t="shared" ref="M274:M304" si="29">H274-L274-J274-K274</f>
        <v>11991.5</v>
      </c>
      <c r="N274" s="22"/>
      <c r="O274" s="30">
        <f t="shared" ref="O274:O305" si="30">M274/H274</f>
        <v>0.21188267514798126</v>
      </c>
    </row>
    <row r="275" spans="1:15" ht="20.100000000000001" customHeight="1" x14ac:dyDescent="0.25">
      <c r="A275" s="33">
        <v>545</v>
      </c>
      <c r="B275" s="9">
        <v>42688</v>
      </c>
      <c r="C275" s="18" t="s">
        <v>11</v>
      </c>
      <c r="D275" s="11">
        <v>9958</v>
      </c>
      <c r="E275" s="9">
        <v>42705</v>
      </c>
      <c r="F275" s="15" t="s">
        <v>28</v>
      </c>
      <c r="G275" s="12">
        <v>42713</v>
      </c>
      <c r="H275" s="23">
        <f>D275</f>
        <v>9958</v>
      </c>
      <c r="I275" s="23"/>
      <c r="J275" s="23"/>
      <c r="K275" s="24"/>
      <c r="L275" s="23">
        <v>7719</v>
      </c>
      <c r="M275" s="22">
        <f t="shared" si="29"/>
        <v>2239</v>
      </c>
      <c r="N275" s="22"/>
      <c r="O275" s="30">
        <f t="shared" si="30"/>
        <v>0.22484434625426791</v>
      </c>
    </row>
    <row r="276" spans="1:15" ht="20.100000000000001" customHeight="1" x14ac:dyDescent="0.25">
      <c r="A276" s="33">
        <v>587</v>
      </c>
      <c r="B276" s="9">
        <v>42705</v>
      </c>
      <c r="C276" s="18" t="s">
        <v>16</v>
      </c>
      <c r="D276" s="11">
        <v>6130.72</v>
      </c>
      <c r="E276" s="9">
        <v>42706</v>
      </c>
      <c r="F276" s="15" t="s">
        <v>28</v>
      </c>
      <c r="G276" s="12">
        <v>42733</v>
      </c>
      <c r="H276" s="23">
        <f>D276</f>
        <v>6130.72</v>
      </c>
      <c r="I276" s="23"/>
      <c r="J276" s="23"/>
      <c r="K276" s="24"/>
      <c r="L276" s="23">
        <v>3004</v>
      </c>
      <c r="M276" s="22">
        <f t="shared" si="29"/>
        <v>3126.7200000000003</v>
      </c>
      <c r="N276" s="22"/>
      <c r="O276" s="30">
        <f t="shared" si="30"/>
        <v>0.51000861236526873</v>
      </c>
    </row>
    <row r="277" spans="1:15" ht="20.100000000000001" customHeight="1" x14ac:dyDescent="0.25">
      <c r="A277" s="33">
        <v>509</v>
      </c>
      <c r="B277" s="9">
        <v>42667</v>
      </c>
      <c r="C277" s="18" t="s">
        <v>38</v>
      </c>
      <c r="D277" s="11">
        <v>51250</v>
      </c>
      <c r="E277" s="15">
        <v>42709</v>
      </c>
      <c r="F277" s="15" t="s">
        <v>28</v>
      </c>
      <c r="G277" s="12">
        <v>42683</v>
      </c>
      <c r="H277" s="23">
        <f>D277</f>
        <v>51250</v>
      </c>
      <c r="I277" s="23"/>
      <c r="J277" s="23">
        <f>D277*0.02</f>
        <v>1025</v>
      </c>
      <c r="K277" s="24">
        <f>4*1200</f>
        <v>4800</v>
      </c>
      <c r="L277" s="23">
        <v>16080</v>
      </c>
      <c r="M277" s="22">
        <f t="shared" si="29"/>
        <v>29345</v>
      </c>
      <c r="N277" s="22"/>
      <c r="O277" s="30">
        <f t="shared" si="30"/>
        <v>0.57258536585365849</v>
      </c>
    </row>
    <row r="278" spans="1:15" ht="20.100000000000001" customHeight="1" x14ac:dyDescent="0.25">
      <c r="A278" s="33">
        <v>583</v>
      </c>
      <c r="B278" s="9">
        <v>42705</v>
      </c>
      <c r="C278" s="18" t="s">
        <v>122</v>
      </c>
      <c r="D278" s="11">
        <v>9588.58</v>
      </c>
      <c r="E278" s="15">
        <v>42709</v>
      </c>
      <c r="F278" s="15" t="s">
        <v>28</v>
      </c>
      <c r="G278" s="12">
        <v>42717</v>
      </c>
      <c r="H278" s="23">
        <f>D278</f>
        <v>9588.58</v>
      </c>
      <c r="I278" s="23"/>
      <c r="J278" s="23"/>
      <c r="K278" s="24"/>
      <c r="L278" s="23">
        <v>7250</v>
      </c>
      <c r="M278" s="22">
        <f t="shared" si="29"/>
        <v>2338.58</v>
      </c>
      <c r="N278" s="22"/>
      <c r="O278" s="30">
        <f t="shared" si="30"/>
        <v>0.24389221344557796</v>
      </c>
    </row>
    <row r="279" spans="1:15" ht="20.100000000000001" customHeight="1" x14ac:dyDescent="0.25">
      <c r="A279" s="33">
        <v>504</v>
      </c>
      <c r="B279" s="9">
        <v>42661</v>
      </c>
      <c r="C279" s="18" t="s">
        <v>180</v>
      </c>
      <c r="D279" s="11">
        <v>336760</v>
      </c>
      <c r="E279" s="15">
        <v>42711</v>
      </c>
      <c r="F279" s="15" t="s">
        <v>28</v>
      </c>
      <c r="G279" s="12">
        <v>42712</v>
      </c>
      <c r="H279" s="23">
        <f>D279/2</f>
        <v>168380</v>
      </c>
      <c r="I279" s="23"/>
      <c r="J279" s="23"/>
      <c r="K279" s="24">
        <f>23*600</f>
        <v>13800</v>
      </c>
      <c r="L279" s="23">
        <v>128064</v>
      </c>
      <c r="M279" s="22">
        <f t="shared" si="29"/>
        <v>26516</v>
      </c>
      <c r="N279" s="22"/>
      <c r="O279" s="30">
        <f t="shared" si="30"/>
        <v>0.15747713505166885</v>
      </c>
    </row>
    <row r="280" spans="1:15" ht="20.100000000000001" customHeight="1" x14ac:dyDescent="0.25">
      <c r="A280" s="33">
        <v>586</v>
      </c>
      <c r="B280" s="9">
        <v>42705</v>
      </c>
      <c r="C280" s="20" t="s">
        <v>206</v>
      </c>
      <c r="D280" s="11">
        <v>6249.67</v>
      </c>
      <c r="E280" s="15">
        <v>42712</v>
      </c>
      <c r="F280" s="15" t="s">
        <v>28</v>
      </c>
      <c r="G280" s="12">
        <v>42705</v>
      </c>
      <c r="H280" s="23">
        <f t="shared" ref="H280:H289" si="31">D280</f>
        <v>6249.67</v>
      </c>
      <c r="I280" s="23">
        <f>H280</f>
        <v>6249.67</v>
      </c>
      <c r="J280" s="23"/>
      <c r="K280" s="24"/>
      <c r="L280" s="23">
        <v>5041</v>
      </c>
      <c r="M280" s="22">
        <f t="shared" si="29"/>
        <v>1208.67</v>
      </c>
      <c r="N280" s="22">
        <f>M280</f>
        <v>1208.67</v>
      </c>
      <c r="O280" s="30">
        <f t="shared" si="30"/>
        <v>0.19339741138332106</v>
      </c>
    </row>
    <row r="281" spans="1:15" ht="20.100000000000001" customHeight="1" x14ac:dyDescent="0.25">
      <c r="A281" s="33">
        <v>602</v>
      </c>
      <c r="B281" s="9">
        <v>42712</v>
      </c>
      <c r="C281" s="18" t="s">
        <v>207</v>
      </c>
      <c r="D281" s="11">
        <v>663</v>
      </c>
      <c r="E281" s="15">
        <v>42713</v>
      </c>
      <c r="F281" s="15" t="s">
        <v>28</v>
      </c>
      <c r="G281" s="12">
        <v>42725</v>
      </c>
      <c r="H281" s="23">
        <f t="shared" si="31"/>
        <v>663</v>
      </c>
      <c r="I281" s="23"/>
      <c r="J281" s="23"/>
      <c r="K281" s="24"/>
      <c r="L281" s="23">
        <v>500</v>
      </c>
      <c r="M281" s="22">
        <f t="shared" si="29"/>
        <v>163</v>
      </c>
      <c r="N281" s="22"/>
      <c r="O281" s="30">
        <f t="shared" si="30"/>
        <v>0.2458521870286576</v>
      </c>
    </row>
    <row r="282" spans="1:15" ht="20.100000000000001" customHeight="1" x14ac:dyDescent="0.25">
      <c r="A282" s="33">
        <v>603</v>
      </c>
      <c r="B282" s="9">
        <v>42713</v>
      </c>
      <c r="C282" s="18" t="s">
        <v>118</v>
      </c>
      <c r="D282" s="11">
        <v>10276.5</v>
      </c>
      <c r="E282" s="15">
        <v>42713</v>
      </c>
      <c r="F282" s="15" t="s">
        <v>28</v>
      </c>
      <c r="G282" s="12">
        <v>42716</v>
      </c>
      <c r="H282" s="23">
        <f t="shared" si="31"/>
        <v>10276.5</v>
      </c>
      <c r="I282" s="23"/>
      <c r="J282" s="23"/>
      <c r="K282" s="24"/>
      <c r="L282" s="23">
        <v>9662</v>
      </c>
      <c r="M282" s="22">
        <f t="shared" si="29"/>
        <v>614.5</v>
      </c>
      <c r="N282" s="22"/>
      <c r="O282" s="30">
        <f t="shared" si="30"/>
        <v>5.9796623363985793E-2</v>
      </c>
    </row>
    <row r="283" spans="1:15" ht="20.100000000000001" customHeight="1" x14ac:dyDescent="0.25">
      <c r="A283" s="33">
        <v>556</v>
      </c>
      <c r="B283" s="9">
        <v>42695</v>
      </c>
      <c r="C283" s="18" t="s">
        <v>202</v>
      </c>
      <c r="D283" s="11">
        <v>6200</v>
      </c>
      <c r="E283" s="15">
        <v>42713</v>
      </c>
      <c r="F283" s="15" t="s">
        <v>28</v>
      </c>
      <c r="G283" s="12">
        <v>42724</v>
      </c>
      <c r="H283" s="23">
        <f t="shared" si="31"/>
        <v>6200</v>
      </c>
      <c r="I283" s="23"/>
      <c r="J283" s="23"/>
      <c r="K283" s="24"/>
      <c r="L283" s="23">
        <v>5180</v>
      </c>
      <c r="M283" s="22">
        <f t="shared" si="29"/>
        <v>1020</v>
      </c>
      <c r="N283" s="22"/>
      <c r="O283" s="30">
        <f t="shared" si="30"/>
        <v>0.16451612903225807</v>
      </c>
    </row>
    <row r="284" spans="1:15" ht="20.100000000000001" customHeight="1" x14ac:dyDescent="0.25">
      <c r="A284" s="33">
        <v>559</v>
      </c>
      <c r="B284" s="9">
        <v>42697</v>
      </c>
      <c r="C284" s="18" t="s">
        <v>167</v>
      </c>
      <c r="D284" s="11">
        <v>4000</v>
      </c>
      <c r="E284" s="15">
        <v>42713</v>
      </c>
      <c r="F284" s="15" t="s">
        <v>28</v>
      </c>
      <c r="G284" s="12">
        <v>42718</v>
      </c>
      <c r="H284" s="23">
        <f t="shared" si="31"/>
        <v>4000</v>
      </c>
      <c r="I284" s="23"/>
      <c r="J284" s="23"/>
      <c r="K284" s="24">
        <v>600</v>
      </c>
      <c r="L284" s="23">
        <v>1808.8</v>
      </c>
      <c r="M284" s="22">
        <f t="shared" si="29"/>
        <v>1591.1999999999998</v>
      </c>
      <c r="N284" s="22"/>
      <c r="O284" s="30">
        <f t="shared" si="30"/>
        <v>0.39779999999999993</v>
      </c>
    </row>
    <row r="285" spans="1:15" ht="20.100000000000001" customHeight="1" x14ac:dyDescent="0.25">
      <c r="A285" s="33">
        <v>601</v>
      </c>
      <c r="B285" s="9">
        <v>42712</v>
      </c>
      <c r="C285" s="20" t="s">
        <v>208</v>
      </c>
      <c r="D285" s="11">
        <v>30390</v>
      </c>
      <c r="E285" s="15">
        <v>42713</v>
      </c>
      <c r="F285" s="15" t="s">
        <v>28</v>
      </c>
      <c r="G285" s="12">
        <v>42717</v>
      </c>
      <c r="H285" s="23">
        <f t="shared" si="31"/>
        <v>30390</v>
      </c>
      <c r="I285" s="23">
        <f>H285</f>
        <v>30390</v>
      </c>
      <c r="J285" s="23"/>
      <c r="K285" s="24"/>
      <c r="L285" s="23">
        <v>23613</v>
      </c>
      <c r="M285" s="22">
        <f t="shared" si="29"/>
        <v>6777</v>
      </c>
      <c r="N285" s="22">
        <f>M285</f>
        <v>6777</v>
      </c>
      <c r="O285" s="30">
        <f t="shared" si="30"/>
        <v>0.2230009871668312</v>
      </c>
    </row>
    <row r="286" spans="1:15" ht="20.100000000000001" customHeight="1" x14ac:dyDescent="0.25">
      <c r="A286" s="33">
        <v>463</v>
      </c>
      <c r="B286" s="9">
        <v>42640</v>
      </c>
      <c r="C286" s="18" t="s">
        <v>175</v>
      </c>
      <c r="D286" s="11">
        <v>19112</v>
      </c>
      <c r="E286" s="9">
        <v>42716</v>
      </c>
      <c r="F286" s="15" t="s">
        <v>28</v>
      </c>
      <c r="G286" s="12">
        <v>42717</v>
      </c>
      <c r="H286" s="23">
        <f t="shared" si="31"/>
        <v>19112</v>
      </c>
      <c r="I286" s="24"/>
      <c r="J286" s="24"/>
      <c r="K286" s="24"/>
      <c r="L286" s="23">
        <v>14448</v>
      </c>
      <c r="M286" s="22">
        <f t="shared" si="29"/>
        <v>4664</v>
      </c>
      <c r="N286" s="22"/>
      <c r="O286" s="30">
        <f t="shared" si="30"/>
        <v>0.24403516115529511</v>
      </c>
    </row>
    <row r="287" spans="1:15" ht="20.100000000000001" customHeight="1" x14ac:dyDescent="0.25">
      <c r="A287" s="33">
        <v>579</v>
      </c>
      <c r="B287" s="9">
        <v>42704</v>
      </c>
      <c r="C287" s="18" t="s">
        <v>192</v>
      </c>
      <c r="D287" s="11">
        <v>1324</v>
      </c>
      <c r="E287" s="9">
        <v>42716</v>
      </c>
      <c r="F287" s="15" t="s">
        <v>28</v>
      </c>
      <c r="G287" s="12">
        <v>42717</v>
      </c>
      <c r="H287" s="23">
        <f t="shared" si="31"/>
        <v>1324</v>
      </c>
      <c r="I287" s="24"/>
      <c r="J287" s="24"/>
      <c r="K287" s="24"/>
      <c r="L287" s="23">
        <v>1000</v>
      </c>
      <c r="M287" s="22">
        <f t="shared" si="29"/>
        <v>324</v>
      </c>
      <c r="N287" s="22"/>
      <c r="O287" s="30">
        <f t="shared" si="30"/>
        <v>0.24471299093655588</v>
      </c>
    </row>
    <row r="288" spans="1:15" ht="20.100000000000001" customHeight="1" x14ac:dyDescent="0.25">
      <c r="A288" s="33">
        <v>538</v>
      </c>
      <c r="B288" s="9">
        <v>42683</v>
      </c>
      <c r="C288" s="18" t="s">
        <v>108</v>
      </c>
      <c r="D288" s="11">
        <v>8451</v>
      </c>
      <c r="E288" s="9">
        <v>42717</v>
      </c>
      <c r="F288" s="15" t="s">
        <v>28</v>
      </c>
      <c r="G288" s="12">
        <v>42733</v>
      </c>
      <c r="H288" s="23">
        <f t="shared" si="31"/>
        <v>8451</v>
      </c>
      <c r="I288" s="24"/>
      <c r="J288" s="24"/>
      <c r="K288" s="24"/>
      <c r="L288" s="23">
        <v>5997</v>
      </c>
      <c r="M288" s="22">
        <f t="shared" si="29"/>
        <v>2454</v>
      </c>
      <c r="N288" s="22"/>
      <c r="O288" s="30">
        <f t="shared" si="30"/>
        <v>0.29037983670571532</v>
      </c>
    </row>
    <row r="289" spans="1:15" ht="20.100000000000001" customHeight="1" x14ac:dyDescent="0.25">
      <c r="A289" s="33">
        <v>588</v>
      </c>
      <c r="B289" s="9">
        <v>42709</v>
      </c>
      <c r="C289" s="18" t="s">
        <v>16</v>
      </c>
      <c r="D289" s="11">
        <v>47237.8</v>
      </c>
      <c r="E289" s="9">
        <v>42717</v>
      </c>
      <c r="F289" s="15" t="s">
        <v>28</v>
      </c>
      <c r="G289" s="12">
        <v>42733</v>
      </c>
      <c r="H289" s="23">
        <f t="shared" si="31"/>
        <v>47237.8</v>
      </c>
      <c r="I289" s="24"/>
      <c r="J289" s="24"/>
      <c r="K289" s="24"/>
      <c r="L289" s="23">
        <v>36370</v>
      </c>
      <c r="M289" s="22">
        <f t="shared" si="29"/>
        <v>10867.800000000003</v>
      </c>
      <c r="N289" s="22"/>
      <c r="O289" s="30">
        <f t="shared" si="30"/>
        <v>0.23006575242708174</v>
      </c>
    </row>
    <row r="290" spans="1:15" ht="20.100000000000001" customHeight="1" x14ac:dyDescent="0.25">
      <c r="A290" s="33">
        <v>575</v>
      </c>
      <c r="B290" s="9">
        <v>42702</v>
      </c>
      <c r="C290" s="18" t="s">
        <v>180</v>
      </c>
      <c r="D290" s="11">
        <v>113190</v>
      </c>
      <c r="E290" s="9">
        <v>42719</v>
      </c>
      <c r="F290" s="15" t="s">
        <v>28</v>
      </c>
      <c r="G290" s="12">
        <v>42720</v>
      </c>
      <c r="H290" s="23">
        <f>D290/2</f>
        <v>56595</v>
      </c>
      <c r="I290" s="23"/>
      <c r="J290" s="23"/>
      <c r="K290" s="24"/>
      <c r="L290" s="23">
        <f>89207/2</f>
        <v>44603.5</v>
      </c>
      <c r="M290" s="22">
        <f t="shared" si="29"/>
        <v>11991.5</v>
      </c>
      <c r="N290" s="22"/>
      <c r="O290" s="30">
        <f t="shared" si="30"/>
        <v>0.21188267514798126</v>
      </c>
    </row>
    <row r="291" spans="1:15" ht="20.100000000000001" customHeight="1" x14ac:dyDescent="0.25">
      <c r="A291" s="33">
        <v>612</v>
      </c>
      <c r="B291" s="9">
        <v>42717</v>
      </c>
      <c r="C291" s="20" t="s">
        <v>209</v>
      </c>
      <c r="D291" s="11">
        <v>2312.85</v>
      </c>
      <c r="E291" s="9">
        <v>42719</v>
      </c>
      <c r="F291" s="15" t="s">
        <v>28</v>
      </c>
      <c r="G291" s="12">
        <v>42720</v>
      </c>
      <c r="H291" s="23">
        <f>D291</f>
        <v>2312.85</v>
      </c>
      <c r="I291" s="23">
        <f>H291</f>
        <v>2312.85</v>
      </c>
      <c r="J291" s="23"/>
      <c r="K291" s="24"/>
      <c r="L291" s="23">
        <v>2094</v>
      </c>
      <c r="M291" s="22">
        <f t="shared" si="29"/>
        <v>218.84999999999991</v>
      </c>
      <c r="N291" s="22">
        <f>M291</f>
        <v>218.84999999999991</v>
      </c>
      <c r="O291" s="30">
        <f t="shared" si="30"/>
        <v>9.4623516440754882E-2</v>
      </c>
    </row>
    <row r="292" spans="1:15" ht="20.100000000000001" customHeight="1" x14ac:dyDescent="0.25">
      <c r="A292" s="33">
        <v>619</v>
      </c>
      <c r="B292" s="9">
        <v>42719</v>
      </c>
      <c r="C292" s="18" t="s">
        <v>147</v>
      </c>
      <c r="D292" s="11">
        <v>9552.92</v>
      </c>
      <c r="E292" s="9">
        <v>42720</v>
      </c>
      <c r="F292" s="15" t="s">
        <v>28</v>
      </c>
      <c r="G292" s="12">
        <v>42724</v>
      </c>
      <c r="H292" s="23">
        <f>D292</f>
        <v>9552.92</v>
      </c>
      <c r="I292" s="23"/>
      <c r="J292" s="23"/>
      <c r="K292" s="24"/>
      <c r="L292" s="23">
        <v>7224</v>
      </c>
      <c r="M292" s="22">
        <f t="shared" si="29"/>
        <v>2328.92</v>
      </c>
      <c r="N292" s="22"/>
      <c r="O292" s="30">
        <f t="shared" si="30"/>
        <v>0.24379142712385324</v>
      </c>
    </row>
    <row r="293" spans="1:15" ht="20.100000000000001" customHeight="1" x14ac:dyDescent="0.25">
      <c r="A293" s="33">
        <v>558</v>
      </c>
      <c r="B293" s="9">
        <v>42697</v>
      </c>
      <c r="C293" s="18" t="s">
        <v>180</v>
      </c>
      <c r="D293" s="11">
        <v>323253.98</v>
      </c>
      <c r="E293" s="9">
        <v>42720</v>
      </c>
      <c r="F293" s="15" t="s">
        <v>28</v>
      </c>
      <c r="G293" s="12">
        <v>42766</v>
      </c>
      <c r="H293" s="23">
        <f>D293/2</f>
        <v>161626.99</v>
      </c>
      <c r="I293" s="23"/>
      <c r="J293" s="23"/>
      <c r="K293" s="24">
        <f>10*1200</f>
        <v>12000</v>
      </c>
      <c r="L293" s="23">
        <v>116872</v>
      </c>
      <c r="M293" s="22">
        <f t="shared" si="29"/>
        <v>32754.989999999991</v>
      </c>
      <c r="N293" s="22"/>
      <c r="O293" s="30">
        <f t="shared" si="30"/>
        <v>0.20265792241753677</v>
      </c>
    </row>
    <row r="294" spans="1:15" ht="20.100000000000001" customHeight="1" x14ac:dyDescent="0.25">
      <c r="A294" s="33">
        <v>600</v>
      </c>
      <c r="B294" s="9">
        <v>42712</v>
      </c>
      <c r="C294" s="18" t="s">
        <v>13</v>
      </c>
      <c r="D294" s="11">
        <v>11941.15</v>
      </c>
      <c r="E294" s="15">
        <v>42723</v>
      </c>
      <c r="F294" s="15" t="s">
        <v>28</v>
      </c>
      <c r="G294" s="12">
        <v>42713</v>
      </c>
      <c r="H294" s="23">
        <f t="shared" ref="H294:H304" si="32">D294</f>
        <v>11941.15</v>
      </c>
      <c r="I294" s="23"/>
      <c r="J294" s="23"/>
      <c r="K294" s="24"/>
      <c r="L294" s="23">
        <v>9030</v>
      </c>
      <c r="M294" s="22">
        <f t="shared" si="29"/>
        <v>2911.1499999999996</v>
      </c>
      <c r="N294" s="22"/>
      <c r="O294" s="30">
        <f t="shared" si="30"/>
        <v>0.24379142712385321</v>
      </c>
    </row>
    <row r="295" spans="1:15" ht="20.100000000000001" customHeight="1" x14ac:dyDescent="0.25">
      <c r="A295" s="33">
        <v>567</v>
      </c>
      <c r="B295" s="9">
        <v>42699</v>
      </c>
      <c r="C295" s="18" t="s">
        <v>150</v>
      </c>
      <c r="D295" s="11">
        <v>3873.32</v>
      </c>
      <c r="E295" s="15">
        <v>42724</v>
      </c>
      <c r="F295" s="15" t="s">
        <v>28</v>
      </c>
      <c r="G295" s="12">
        <v>42769</v>
      </c>
      <c r="H295" s="23">
        <f t="shared" si="32"/>
        <v>3873.32</v>
      </c>
      <c r="I295" s="23"/>
      <c r="J295" s="23"/>
      <c r="K295" s="24"/>
      <c r="L295" s="23">
        <v>2929</v>
      </c>
      <c r="M295" s="22">
        <f t="shared" si="29"/>
        <v>944.32000000000016</v>
      </c>
      <c r="N295" s="22"/>
      <c r="O295" s="30">
        <f t="shared" si="30"/>
        <v>0.24380118348083818</v>
      </c>
    </row>
    <row r="296" spans="1:15" ht="19.5" customHeight="1" x14ac:dyDescent="0.25">
      <c r="A296" s="33">
        <v>541</v>
      </c>
      <c r="B296" s="9">
        <v>42684</v>
      </c>
      <c r="C296" s="18" t="s">
        <v>108</v>
      </c>
      <c r="D296" s="11">
        <v>19890</v>
      </c>
      <c r="E296" s="15">
        <v>42725</v>
      </c>
      <c r="F296" s="15" t="s">
        <v>28</v>
      </c>
      <c r="G296" s="12">
        <v>42726</v>
      </c>
      <c r="H296" s="23">
        <f t="shared" si="32"/>
        <v>19890</v>
      </c>
      <c r="I296" s="23"/>
      <c r="J296" s="23"/>
      <c r="K296" s="24"/>
      <c r="L296" s="23">
        <v>15037</v>
      </c>
      <c r="M296" s="22">
        <f t="shared" si="29"/>
        <v>4853</v>
      </c>
      <c r="N296" s="22"/>
      <c r="O296" s="30">
        <f t="shared" si="30"/>
        <v>0.24399195575666163</v>
      </c>
    </row>
    <row r="297" spans="1:15" ht="19.5" customHeight="1" x14ac:dyDescent="0.25">
      <c r="A297" s="33">
        <v>629</v>
      </c>
      <c r="B297" s="9">
        <v>42725</v>
      </c>
      <c r="C297" s="18" t="s">
        <v>91</v>
      </c>
      <c r="D297" s="11">
        <v>106722</v>
      </c>
      <c r="E297" s="15">
        <v>42726</v>
      </c>
      <c r="F297" s="15" t="s">
        <v>28</v>
      </c>
      <c r="G297" s="12">
        <v>42727</v>
      </c>
      <c r="H297" s="23">
        <f t="shared" si="32"/>
        <v>106722</v>
      </c>
      <c r="I297" s="23"/>
      <c r="J297" s="23"/>
      <c r="K297" s="24">
        <v>600</v>
      </c>
      <c r="L297" s="23">
        <v>81376</v>
      </c>
      <c r="M297" s="22">
        <f t="shared" si="29"/>
        <v>24746</v>
      </c>
      <c r="N297" s="22"/>
      <c r="O297" s="30">
        <f t="shared" si="30"/>
        <v>0.23187346563969941</v>
      </c>
    </row>
    <row r="298" spans="1:15" ht="15.75" x14ac:dyDescent="0.25">
      <c r="A298" s="33">
        <v>629</v>
      </c>
      <c r="B298" s="9">
        <v>42726</v>
      </c>
      <c r="C298" s="20" t="s">
        <v>209</v>
      </c>
      <c r="D298" s="11">
        <v>48190</v>
      </c>
      <c r="E298" s="15">
        <v>42726</v>
      </c>
      <c r="F298" s="15" t="s">
        <v>28</v>
      </c>
      <c r="G298" s="12">
        <v>42727</v>
      </c>
      <c r="H298" s="23">
        <f t="shared" si="32"/>
        <v>48190</v>
      </c>
      <c r="I298" s="23">
        <f>H298</f>
        <v>48190</v>
      </c>
      <c r="J298" s="23"/>
      <c r="K298" s="24"/>
      <c r="L298" s="23">
        <v>36279</v>
      </c>
      <c r="M298" s="22">
        <f t="shared" si="29"/>
        <v>11911</v>
      </c>
      <c r="N298" s="22">
        <f>M298</f>
        <v>11911</v>
      </c>
      <c r="O298" s="30">
        <f t="shared" si="30"/>
        <v>0.24716746212907242</v>
      </c>
    </row>
    <row r="299" spans="1:15" s="2" customFormat="1" ht="20.100000000000001" customHeight="1" x14ac:dyDescent="0.25">
      <c r="A299" s="33">
        <v>604</v>
      </c>
      <c r="B299" s="9">
        <v>42716</v>
      </c>
      <c r="C299" s="18" t="s">
        <v>50</v>
      </c>
      <c r="D299" s="11">
        <v>49578.400000000001</v>
      </c>
      <c r="E299" s="15">
        <v>42731</v>
      </c>
      <c r="F299" s="15" t="s">
        <v>28</v>
      </c>
      <c r="G299" s="12">
        <v>42761</v>
      </c>
      <c r="H299" s="23">
        <f t="shared" si="32"/>
        <v>49578.400000000001</v>
      </c>
      <c r="I299" s="23"/>
      <c r="J299" s="23"/>
      <c r="K299" s="24"/>
      <c r="L299" s="23">
        <v>38780</v>
      </c>
      <c r="M299" s="22">
        <f t="shared" si="29"/>
        <v>10798.400000000001</v>
      </c>
      <c r="N299" s="22"/>
      <c r="O299" s="30">
        <f t="shared" si="30"/>
        <v>0.21780452777822604</v>
      </c>
    </row>
    <row r="300" spans="1:15" ht="20.100000000000001" customHeight="1" x14ac:dyDescent="0.25">
      <c r="A300" s="33">
        <v>632</v>
      </c>
      <c r="B300" s="9">
        <v>42726</v>
      </c>
      <c r="C300" s="20" t="s">
        <v>210</v>
      </c>
      <c r="D300" s="11">
        <v>12090</v>
      </c>
      <c r="E300" s="9">
        <v>42732</v>
      </c>
      <c r="F300" s="15" t="s">
        <v>28</v>
      </c>
      <c r="G300" s="12">
        <v>42726</v>
      </c>
      <c r="H300" s="23">
        <f t="shared" si="32"/>
        <v>12090</v>
      </c>
      <c r="I300" s="23"/>
      <c r="J300" s="23"/>
      <c r="K300" s="24"/>
      <c r="L300" s="23">
        <v>9662</v>
      </c>
      <c r="M300" s="22">
        <f t="shared" si="29"/>
        <v>2428</v>
      </c>
      <c r="N300" s="22">
        <f>M300</f>
        <v>2428</v>
      </c>
      <c r="O300" s="30">
        <f t="shared" si="30"/>
        <v>0.20082712985938792</v>
      </c>
    </row>
    <row r="301" spans="1:15" ht="20.100000000000001" customHeight="1" x14ac:dyDescent="0.25">
      <c r="A301" s="33">
        <v>423</v>
      </c>
      <c r="B301" s="9">
        <v>42620</v>
      </c>
      <c r="C301" s="18" t="s">
        <v>175</v>
      </c>
      <c r="D301" s="11">
        <v>20777.8</v>
      </c>
      <c r="E301" s="9">
        <v>42732</v>
      </c>
      <c r="F301" s="15" t="s">
        <v>28</v>
      </c>
      <c r="G301" s="12">
        <v>42732</v>
      </c>
      <c r="H301" s="23">
        <f t="shared" si="32"/>
        <v>20777.8</v>
      </c>
      <c r="I301" s="23"/>
      <c r="J301" s="23"/>
      <c r="K301" s="24"/>
      <c r="L301" s="23">
        <v>12468</v>
      </c>
      <c r="M301" s="22">
        <f t="shared" si="29"/>
        <v>8309.7999999999993</v>
      </c>
      <c r="N301" s="22"/>
      <c r="O301" s="30">
        <f t="shared" si="30"/>
        <v>0.3999364706561811</v>
      </c>
    </row>
    <row r="302" spans="1:15" ht="20.100000000000001" customHeight="1" x14ac:dyDescent="0.25">
      <c r="A302" s="33">
        <v>594</v>
      </c>
      <c r="B302" s="9">
        <v>42711</v>
      </c>
      <c r="C302" s="18" t="s">
        <v>56</v>
      </c>
      <c r="D302" s="11">
        <v>45283.57</v>
      </c>
      <c r="E302" s="9">
        <v>42732</v>
      </c>
      <c r="F302" s="15" t="s">
        <v>28</v>
      </c>
      <c r="G302" s="12">
        <v>42725</v>
      </c>
      <c r="H302" s="23">
        <f t="shared" si="32"/>
        <v>45283.57</v>
      </c>
      <c r="I302" s="23"/>
      <c r="J302" s="23"/>
      <c r="K302" s="24">
        <f>3*1200</f>
        <v>3600</v>
      </c>
      <c r="L302" s="23">
        <v>22259</v>
      </c>
      <c r="M302" s="22">
        <f t="shared" si="29"/>
        <v>19424.57</v>
      </c>
      <c r="N302" s="22"/>
      <c r="O302" s="30">
        <f t="shared" si="30"/>
        <v>0.42895403343861804</v>
      </c>
    </row>
    <row r="303" spans="1:15" ht="20.100000000000001" customHeight="1" x14ac:dyDescent="0.25">
      <c r="A303" s="33">
        <v>623</v>
      </c>
      <c r="B303" s="9">
        <v>42724</v>
      </c>
      <c r="C303" s="18" t="s">
        <v>56</v>
      </c>
      <c r="D303" s="11">
        <v>4900</v>
      </c>
      <c r="E303" s="9">
        <v>42732</v>
      </c>
      <c r="F303" s="15" t="s">
        <v>28</v>
      </c>
      <c r="G303" s="12">
        <v>42725</v>
      </c>
      <c r="H303" s="23">
        <f t="shared" si="32"/>
        <v>4900</v>
      </c>
      <c r="I303" s="23"/>
      <c r="J303" s="23"/>
      <c r="K303" s="24"/>
      <c r="L303" s="23">
        <v>4366</v>
      </c>
      <c r="M303" s="22">
        <f t="shared" si="29"/>
        <v>534</v>
      </c>
      <c r="N303" s="22"/>
      <c r="O303" s="30">
        <f t="shared" si="30"/>
        <v>0.1089795918367347</v>
      </c>
    </row>
    <row r="304" spans="1:15" ht="20.100000000000001" customHeight="1" x14ac:dyDescent="0.25">
      <c r="A304" s="33">
        <v>642</v>
      </c>
      <c r="B304" s="9">
        <v>42732</v>
      </c>
      <c r="C304" s="18" t="s">
        <v>56</v>
      </c>
      <c r="D304" s="11">
        <v>11352.22</v>
      </c>
      <c r="E304" s="9">
        <v>43099</v>
      </c>
      <c r="F304" s="15" t="s">
        <v>28</v>
      </c>
      <c r="G304" s="12">
        <v>42732</v>
      </c>
      <c r="H304" s="23">
        <f t="shared" si="32"/>
        <v>11352.22</v>
      </c>
      <c r="I304" s="23"/>
      <c r="J304" s="23"/>
      <c r="K304" s="24"/>
      <c r="L304" s="23">
        <v>7922</v>
      </c>
      <c r="M304" s="22">
        <f t="shared" si="29"/>
        <v>3430.2199999999993</v>
      </c>
      <c r="N304" s="22"/>
      <c r="O304" s="30">
        <f t="shared" si="30"/>
        <v>0.30216292496093272</v>
      </c>
    </row>
    <row r="305" spans="1:15" ht="20.100000000000001" customHeight="1" x14ac:dyDescent="0.25">
      <c r="A305" s="35" t="s">
        <v>535</v>
      </c>
      <c r="B305" s="36"/>
      <c r="C305" s="42"/>
      <c r="D305" s="37"/>
      <c r="E305" s="46" t="s">
        <v>539</v>
      </c>
      <c r="F305" s="47">
        <f>M305*0.17+N305*0.06</f>
        <v>42632.978499999997</v>
      </c>
      <c r="G305" s="21">
        <f>H305*0.05+I305*0.02</f>
        <v>51767.474900000001</v>
      </c>
      <c r="H305" s="49">
        <f>SUBTOTAL(109,Декабрь2016[Продажа])</f>
        <v>1000492.4899999999</v>
      </c>
      <c r="I305" s="49">
        <f>SUBTOTAL(109,Декабрь2016[Продажа НК])</f>
        <v>87142.51999999999</v>
      </c>
      <c r="J305" s="49">
        <f>SUBTOTAL(109,Декабрь2016[отк])</f>
        <v>1025</v>
      </c>
      <c r="K305" s="49">
        <f>SUBTOTAL(109,Декабрь2016[шланги])</f>
        <v>35400</v>
      </c>
      <c r="L305" s="49">
        <f>SUBTOTAL(109,Декабрь2016[Закупка])</f>
        <v>721241.8</v>
      </c>
      <c r="M305" s="49">
        <f>SUBTOTAL(109,Декабрь2016[Маржа])</f>
        <v>242825.68999999997</v>
      </c>
      <c r="N305" s="49">
        <f>SUBTOTAL(109,Декабрь2016[Маржа НК])</f>
        <v>22543.52</v>
      </c>
      <c r="O305" s="44">
        <f t="shared" si="30"/>
        <v>0.2427061596434372</v>
      </c>
    </row>
    <row r="306" spans="1:15" ht="20.100000000000001" customHeight="1" x14ac:dyDescent="0.25">
      <c r="A306" s="41" t="s">
        <v>1</v>
      </c>
      <c r="B306" s="1" t="s">
        <v>0</v>
      </c>
      <c r="C306" s="1" t="s">
        <v>26</v>
      </c>
      <c r="D306" s="1" t="s">
        <v>2</v>
      </c>
      <c r="E306" s="1" t="s">
        <v>3</v>
      </c>
      <c r="F306" s="1" t="s">
        <v>27</v>
      </c>
      <c r="G306" s="1" t="s">
        <v>4</v>
      </c>
      <c r="H306" s="2" t="s">
        <v>132</v>
      </c>
      <c r="I306" s="2" t="s">
        <v>133</v>
      </c>
      <c r="J306" s="40" t="s">
        <v>187</v>
      </c>
      <c r="K306" s="40" t="s">
        <v>188</v>
      </c>
      <c r="L306" s="40" t="s">
        <v>129</v>
      </c>
      <c r="M306" s="40" t="s">
        <v>130</v>
      </c>
      <c r="N306" s="2" t="s">
        <v>131</v>
      </c>
      <c r="O306" s="2" t="s">
        <v>134</v>
      </c>
    </row>
    <row r="307" spans="1:15" ht="20.100000000000001" customHeight="1" x14ac:dyDescent="0.25">
      <c r="A307" s="33">
        <v>620</v>
      </c>
      <c r="B307" s="9">
        <v>42719</v>
      </c>
      <c r="C307" s="18" t="s">
        <v>60</v>
      </c>
      <c r="D307" s="11">
        <v>22631.64</v>
      </c>
      <c r="E307" s="9">
        <v>42744</v>
      </c>
      <c r="F307" s="15" t="s">
        <v>28</v>
      </c>
      <c r="G307" s="12">
        <v>42725</v>
      </c>
      <c r="H307" s="23">
        <f t="shared" ref="H307:H312" si="33">D307</f>
        <v>22631.64</v>
      </c>
      <c r="I307" s="24"/>
      <c r="J307" s="24"/>
      <c r="K307" s="24"/>
      <c r="L307" s="23">
        <v>17604</v>
      </c>
      <c r="M307" s="22">
        <f t="shared" ref="M307:M326" si="34">H307-L307-J307-K307</f>
        <v>5027.6399999999994</v>
      </c>
      <c r="N307" s="22"/>
      <c r="O307" s="30">
        <f t="shared" ref="O307:O327" si="35">M307/H307</f>
        <v>0.22215093559282489</v>
      </c>
    </row>
    <row r="308" spans="1:15" ht="20.100000000000001" customHeight="1" x14ac:dyDescent="0.25">
      <c r="A308" s="33">
        <v>634</v>
      </c>
      <c r="B308" s="9">
        <v>42730</v>
      </c>
      <c r="C308" s="18" t="s">
        <v>211</v>
      </c>
      <c r="D308" s="11">
        <v>51271.16</v>
      </c>
      <c r="E308" s="9">
        <v>42744</v>
      </c>
      <c r="F308" s="15" t="s">
        <v>28</v>
      </c>
      <c r="G308" s="12">
        <v>42748</v>
      </c>
      <c r="H308" s="23">
        <f t="shared" si="33"/>
        <v>51271.16</v>
      </c>
      <c r="I308" s="23"/>
      <c r="J308" s="23"/>
      <c r="K308" s="24"/>
      <c r="L308" s="23">
        <v>38651</v>
      </c>
      <c r="M308" s="22">
        <f t="shared" si="34"/>
        <v>12620.160000000003</v>
      </c>
      <c r="N308" s="22"/>
      <c r="O308" s="30">
        <f t="shared" si="35"/>
        <v>0.24614539635927885</v>
      </c>
    </row>
    <row r="309" spans="1:15" ht="20.100000000000001" customHeight="1" x14ac:dyDescent="0.25">
      <c r="A309" s="33">
        <v>3</v>
      </c>
      <c r="B309" s="9">
        <v>42745</v>
      </c>
      <c r="C309" s="20" t="s">
        <v>212</v>
      </c>
      <c r="D309" s="11">
        <v>51565.24</v>
      </c>
      <c r="E309" s="9">
        <v>42745</v>
      </c>
      <c r="F309" s="15" t="s">
        <v>28</v>
      </c>
      <c r="G309" s="12">
        <v>42760</v>
      </c>
      <c r="H309" s="23">
        <f t="shared" si="33"/>
        <v>51565.24</v>
      </c>
      <c r="I309" s="23">
        <f>H309</f>
        <v>51565.24</v>
      </c>
      <c r="J309" s="23"/>
      <c r="K309" s="24"/>
      <c r="L309" s="23">
        <v>38436</v>
      </c>
      <c r="M309" s="22">
        <f t="shared" si="34"/>
        <v>13129.239999999998</v>
      </c>
      <c r="N309" s="22">
        <f>M309</f>
        <v>13129.239999999998</v>
      </c>
      <c r="O309" s="30">
        <f t="shared" si="35"/>
        <v>0.25461415480660998</v>
      </c>
    </row>
    <row r="310" spans="1:15" ht="20.100000000000001" customHeight="1" x14ac:dyDescent="0.25">
      <c r="A310" s="33">
        <v>621</v>
      </c>
      <c r="B310" s="9">
        <v>42720</v>
      </c>
      <c r="C310" s="18" t="s">
        <v>21</v>
      </c>
      <c r="D310" s="11">
        <v>3962.53</v>
      </c>
      <c r="E310" s="15">
        <v>42746</v>
      </c>
      <c r="F310" s="15" t="s">
        <v>28</v>
      </c>
      <c r="G310" s="12">
        <v>42751</v>
      </c>
      <c r="H310" s="23">
        <f t="shared" si="33"/>
        <v>3962.53</v>
      </c>
      <c r="I310" s="23"/>
      <c r="J310" s="23"/>
      <c r="K310" s="24"/>
      <c r="L310" s="23">
        <v>558.13</v>
      </c>
      <c r="M310" s="22">
        <f t="shared" si="34"/>
        <v>3404.4</v>
      </c>
      <c r="N310" s="22"/>
      <c r="O310" s="30">
        <f t="shared" si="35"/>
        <v>0.8591480695414293</v>
      </c>
    </row>
    <row r="311" spans="1:15" ht="20.100000000000001" customHeight="1" x14ac:dyDescent="0.25">
      <c r="A311" s="33">
        <v>641</v>
      </c>
      <c r="B311" s="9">
        <v>42732</v>
      </c>
      <c r="C311" s="18" t="s">
        <v>97</v>
      </c>
      <c r="D311" s="11">
        <v>26432.799999999999</v>
      </c>
      <c r="E311" s="15">
        <v>42747</v>
      </c>
      <c r="F311" s="15" t="s">
        <v>28</v>
      </c>
      <c r="G311" s="12">
        <v>42774</v>
      </c>
      <c r="H311" s="23">
        <f t="shared" si="33"/>
        <v>26432.799999999999</v>
      </c>
      <c r="I311" s="23"/>
      <c r="J311" s="23"/>
      <c r="K311" s="24"/>
      <c r="L311" s="23">
        <v>18096</v>
      </c>
      <c r="M311" s="22">
        <f t="shared" si="34"/>
        <v>8336.7999999999993</v>
      </c>
      <c r="N311" s="22"/>
      <c r="O311" s="30">
        <f t="shared" si="35"/>
        <v>0.31539602312278681</v>
      </c>
    </row>
    <row r="312" spans="1:15" ht="20.100000000000001" customHeight="1" x14ac:dyDescent="0.25">
      <c r="A312" s="33">
        <v>557</v>
      </c>
      <c r="B312" s="9">
        <v>43088</v>
      </c>
      <c r="C312" s="18" t="s">
        <v>11</v>
      </c>
      <c r="D312" s="11">
        <v>24180</v>
      </c>
      <c r="E312" s="15">
        <v>42748</v>
      </c>
      <c r="F312" s="15" t="s">
        <v>28</v>
      </c>
      <c r="G312" s="12">
        <v>42775</v>
      </c>
      <c r="H312" s="23">
        <f t="shared" si="33"/>
        <v>24180</v>
      </c>
      <c r="I312" s="23"/>
      <c r="J312" s="23"/>
      <c r="K312" s="24"/>
      <c r="L312" s="23">
        <f>8920*2</f>
        <v>17840</v>
      </c>
      <c r="M312" s="22">
        <f t="shared" si="34"/>
        <v>6340</v>
      </c>
      <c r="N312" s="22"/>
      <c r="O312" s="30">
        <f t="shared" si="35"/>
        <v>0.26220016542597185</v>
      </c>
    </row>
    <row r="313" spans="1:15" ht="20.100000000000001" customHeight="1" x14ac:dyDescent="0.25">
      <c r="A313" s="33">
        <v>4</v>
      </c>
      <c r="B313" s="9">
        <v>42745</v>
      </c>
      <c r="C313" s="18" t="s">
        <v>180</v>
      </c>
      <c r="D313" s="11">
        <v>113190</v>
      </c>
      <c r="E313" s="15">
        <v>42751</v>
      </c>
      <c r="F313" s="15" t="s">
        <v>28</v>
      </c>
      <c r="G313" s="12">
        <v>42768</v>
      </c>
      <c r="H313" s="23">
        <f>D313/2</f>
        <v>56595</v>
      </c>
      <c r="I313" s="23"/>
      <c r="J313" s="23"/>
      <c r="K313" s="24"/>
      <c r="L313" s="23">
        <v>39535</v>
      </c>
      <c r="M313" s="22">
        <f t="shared" si="34"/>
        <v>17060</v>
      </c>
      <c r="N313" s="22"/>
      <c r="O313" s="30">
        <f t="shared" si="35"/>
        <v>0.30144005654209738</v>
      </c>
    </row>
    <row r="314" spans="1:15" ht="20.100000000000001" customHeight="1" x14ac:dyDescent="0.25">
      <c r="A314" s="33">
        <v>16</v>
      </c>
      <c r="B314" s="9">
        <v>42747</v>
      </c>
      <c r="C314" s="20" t="s">
        <v>213</v>
      </c>
      <c r="D314" s="11">
        <v>28590</v>
      </c>
      <c r="E314" s="15">
        <v>42751</v>
      </c>
      <c r="F314" s="15" t="s">
        <v>28</v>
      </c>
      <c r="G314" s="12">
        <v>42762</v>
      </c>
      <c r="H314" s="23">
        <f>D314</f>
        <v>28590</v>
      </c>
      <c r="I314" s="23">
        <f>H314</f>
        <v>28590</v>
      </c>
      <c r="J314" s="23"/>
      <c r="K314" s="24"/>
      <c r="L314" s="23">
        <v>21614</v>
      </c>
      <c r="M314" s="22">
        <f t="shared" si="34"/>
        <v>6976</v>
      </c>
      <c r="N314" s="22">
        <f>M314</f>
        <v>6976</v>
      </c>
      <c r="O314" s="30">
        <f t="shared" si="35"/>
        <v>0.24400139909059113</v>
      </c>
    </row>
    <row r="315" spans="1:15" ht="20.100000000000001" customHeight="1" x14ac:dyDescent="0.25">
      <c r="A315" s="33">
        <v>27</v>
      </c>
      <c r="B315" s="9">
        <v>42753</v>
      </c>
      <c r="C315" s="20" t="s">
        <v>214</v>
      </c>
      <c r="D315" s="11">
        <v>30700</v>
      </c>
      <c r="E315" s="15">
        <v>42754</v>
      </c>
      <c r="F315" s="15" t="s">
        <v>28</v>
      </c>
      <c r="G315" s="9">
        <v>42794</v>
      </c>
      <c r="H315" s="23">
        <f>D315</f>
        <v>30700</v>
      </c>
      <c r="I315" s="23">
        <f>H315</f>
        <v>30700</v>
      </c>
      <c r="J315" s="23"/>
      <c r="K315" s="24"/>
      <c r="L315" s="23">
        <v>23122</v>
      </c>
      <c r="M315" s="22">
        <f t="shared" si="34"/>
        <v>7578</v>
      </c>
      <c r="N315" s="22">
        <f>M315</f>
        <v>7578</v>
      </c>
      <c r="O315" s="30">
        <f t="shared" si="35"/>
        <v>0.24684039087947882</v>
      </c>
    </row>
    <row r="316" spans="1:15" ht="20.100000000000001" customHeight="1" x14ac:dyDescent="0.25">
      <c r="A316" s="33">
        <v>21</v>
      </c>
      <c r="B316" s="9">
        <v>42751</v>
      </c>
      <c r="C316" s="18" t="s">
        <v>180</v>
      </c>
      <c r="D316" s="11">
        <v>126654.02</v>
      </c>
      <c r="E316" s="15">
        <v>42754</v>
      </c>
      <c r="F316" s="15" t="s">
        <v>28</v>
      </c>
      <c r="G316" s="12">
        <v>42804</v>
      </c>
      <c r="H316" s="23">
        <f>D316/2</f>
        <v>63327.01</v>
      </c>
      <c r="I316" s="23"/>
      <c r="J316" s="23"/>
      <c r="K316" s="24"/>
      <c r="L316" s="23">
        <v>45579</v>
      </c>
      <c r="M316" s="22">
        <f t="shared" si="34"/>
        <v>17748.010000000002</v>
      </c>
      <c r="N316" s="22"/>
      <c r="O316" s="30">
        <f t="shared" si="35"/>
        <v>0.28025971856242704</v>
      </c>
    </row>
    <row r="317" spans="1:15" ht="19.5" customHeight="1" x14ac:dyDescent="0.25">
      <c r="A317" s="33">
        <v>28</v>
      </c>
      <c r="B317" s="9">
        <v>42753</v>
      </c>
      <c r="C317" s="20" t="s">
        <v>215</v>
      </c>
      <c r="D317" s="11">
        <v>61580</v>
      </c>
      <c r="E317" s="15">
        <v>42755</v>
      </c>
      <c r="F317" s="15" t="s">
        <v>28</v>
      </c>
      <c r="G317" s="12">
        <v>42761</v>
      </c>
      <c r="H317" s="23">
        <f t="shared" ref="H317:H323" si="36">D317</f>
        <v>61580</v>
      </c>
      <c r="J317" s="23"/>
      <c r="K317" s="24"/>
      <c r="L317" s="23">
        <v>44108</v>
      </c>
      <c r="M317" s="22">
        <f t="shared" si="34"/>
        <v>17472</v>
      </c>
      <c r="N317" s="22">
        <f>M317</f>
        <v>17472</v>
      </c>
      <c r="O317" s="30">
        <f t="shared" si="35"/>
        <v>0.28372848327379019</v>
      </c>
    </row>
    <row r="318" spans="1:15" ht="15.75" x14ac:dyDescent="0.25">
      <c r="A318" s="33">
        <v>32</v>
      </c>
      <c r="B318" s="9">
        <v>42754</v>
      </c>
      <c r="C318" s="18" t="s">
        <v>216</v>
      </c>
      <c r="D318" s="11">
        <v>3990</v>
      </c>
      <c r="E318" s="15">
        <v>42755</v>
      </c>
      <c r="F318" s="15" t="s">
        <v>28</v>
      </c>
      <c r="G318" s="12">
        <v>42779</v>
      </c>
      <c r="H318" s="23">
        <f t="shared" si="36"/>
        <v>3990</v>
      </c>
      <c r="I318" s="23"/>
      <c r="J318" s="23"/>
      <c r="K318" s="24"/>
      <c r="L318" s="23">
        <v>2933</v>
      </c>
      <c r="M318" s="22">
        <f t="shared" si="34"/>
        <v>1057</v>
      </c>
      <c r="N318" s="22"/>
      <c r="O318" s="30">
        <f t="shared" si="35"/>
        <v>0.26491228070175438</v>
      </c>
    </row>
    <row r="319" spans="1:15" s="2" customFormat="1" ht="20.100000000000001" customHeight="1" x14ac:dyDescent="0.25">
      <c r="A319" s="33">
        <v>13</v>
      </c>
      <c r="B319" s="9">
        <v>42746</v>
      </c>
      <c r="C319" s="18" t="s">
        <v>13</v>
      </c>
      <c r="D319" s="11">
        <v>11941.15</v>
      </c>
      <c r="E319" s="15">
        <v>42758</v>
      </c>
      <c r="F319" s="15" t="s">
        <v>28</v>
      </c>
      <c r="G319" s="12">
        <v>42748</v>
      </c>
      <c r="H319" s="23">
        <f t="shared" si="36"/>
        <v>11941.15</v>
      </c>
      <c r="I319" s="23"/>
      <c r="J319" s="23"/>
      <c r="K319" s="24"/>
      <c r="L319" s="23">
        <v>9030</v>
      </c>
      <c r="M319" s="22">
        <f t="shared" si="34"/>
        <v>2911.1499999999996</v>
      </c>
      <c r="N319" s="22"/>
      <c r="O319" s="30">
        <f t="shared" si="35"/>
        <v>0.24379142712385321</v>
      </c>
    </row>
    <row r="320" spans="1:15" ht="20.100000000000001" customHeight="1" x14ac:dyDescent="0.25">
      <c r="A320" s="33">
        <v>12</v>
      </c>
      <c r="B320" s="9">
        <v>42746</v>
      </c>
      <c r="C320" s="18" t="s">
        <v>175</v>
      </c>
      <c r="D320" s="11">
        <v>9556</v>
      </c>
      <c r="E320" s="15">
        <v>42759</v>
      </c>
      <c r="F320" s="15" t="s">
        <v>28</v>
      </c>
      <c r="G320" s="12">
        <v>42760</v>
      </c>
      <c r="H320" s="23">
        <f t="shared" si="36"/>
        <v>9556</v>
      </c>
      <c r="I320" s="23"/>
      <c r="J320" s="23"/>
      <c r="K320" s="24"/>
      <c r="L320" s="23">
        <v>7224</v>
      </c>
      <c r="M320" s="22">
        <f t="shared" si="34"/>
        <v>2332</v>
      </c>
      <c r="N320" s="22"/>
      <c r="O320" s="30">
        <f t="shared" si="35"/>
        <v>0.24403516115529511</v>
      </c>
    </row>
    <row r="321" spans="1:15" ht="20.100000000000001" customHeight="1" x14ac:dyDescent="0.25">
      <c r="A321" s="33">
        <v>479</v>
      </c>
      <c r="B321" s="9">
        <v>42647</v>
      </c>
      <c r="C321" s="18" t="s">
        <v>99</v>
      </c>
      <c r="D321" s="11">
        <v>238082.1</v>
      </c>
      <c r="E321" s="15">
        <v>42759</v>
      </c>
      <c r="F321" s="15" t="s">
        <v>28</v>
      </c>
      <c r="G321" s="12">
        <v>42725</v>
      </c>
      <c r="H321" s="23">
        <f t="shared" si="36"/>
        <v>238082.1</v>
      </c>
      <c r="I321" s="24"/>
      <c r="J321" s="24">
        <f>8*3000</f>
        <v>24000</v>
      </c>
      <c r="K321" s="24"/>
      <c r="L321" s="23">
        <v>61584</v>
      </c>
      <c r="M321" s="22">
        <f t="shared" si="34"/>
        <v>152498.1</v>
      </c>
      <c r="N321" s="22"/>
      <c r="O321" s="30">
        <f t="shared" si="35"/>
        <v>0.64052736429996204</v>
      </c>
    </row>
    <row r="322" spans="1:15" ht="20.100000000000001" customHeight="1" x14ac:dyDescent="0.25">
      <c r="A322" s="33">
        <v>596</v>
      </c>
      <c r="B322" s="9">
        <v>42711</v>
      </c>
      <c r="C322" s="18" t="s">
        <v>99</v>
      </c>
      <c r="D322" s="11">
        <v>150176.26</v>
      </c>
      <c r="E322" s="15">
        <v>42759</v>
      </c>
      <c r="F322" s="15" t="s">
        <v>28</v>
      </c>
      <c r="G322" s="12">
        <v>42725</v>
      </c>
      <c r="H322" s="23">
        <f t="shared" si="36"/>
        <v>150176.26</v>
      </c>
      <c r="I322" s="24"/>
      <c r="J322" s="24">
        <f>15*3000</f>
        <v>45000</v>
      </c>
      <c r="K322" s="24"/>
      <c r="L322" s="23">
        <v>50490</v>
      </c>
      <c r="M322" s="22">
        <f t="shared" si="34"/>
        <v>54686.260000000009</v>
      </c>
      <c r="N322" s="22"/>
      <c r="O322" s="30">
        <f t="shared" si="35"/>
        <v>0.36414716946606612</v>
      </c>
    </row>
    <row r="323" spans="1:15" ht="20.100000000000001" customHeight="1" x14ac:dyDescent="0.25">
      <c r="A323" s="33">
        <v>40</v>
      </c>
      <c r="B323" s="9">
        <v>42759</v>
      </c>
      <c r="C323" s="20" t="s">
        <v>217</v>
      </c>
      <c r="D323" s="11">
        <v>23617.48</v>
      </c>
      <c r="E323" s="15">
        <v>42761</v>
      </c>
      <c r="F323" s="15" t="s">
        <v>28</v>
      </c>
      <c r="G323" s="12">
        <v>42781</v>
      </c>
      <c r="H323" s="23">
        <f t="shared" si="36"/>
        <v>23617.48</v>
      </c>
      <c r="I323" s="23">
        <f>H323</f>
        <v>23617.48</v>
      </c>
      <c r="J323" s="24"/>
      <c r="K323" s="24"/>
      <c r="L323" s="23">
        <v>18420</v>
      </c>
      <c r="M323" s="22">
        <f t="shared" si="34"/>
        <v>5197.4799999999996</v>
      </c>
      <c r="N323" s="22">
        <f>M323</f>
        <v>5197.4799999999996</v>
      </c>
      <c r="O323" s="30">
        <f t="shared" si="35"/>
        <v>0.22006920298016552</v>
      </c>
    </row>
    <row r="324" spans="1:15" ht="20.100000000000001" customHeight="1" x14ac:dyDescent="0.25">
      <c r="A324" s="33">
        <v>558</v>
      </c>
      <c r="B324" s="9">
        <v>42697</v>
      </c>
      <c r="C324" s="18" t="s">
        <v>180</v>
      </c>
      <c r="D324" s="11">
        <v>323253.98</v>
      </c>
      <c r="E324" s="15">
        <v>42761</v>
      </c>
      <c r="F324" s="15" t="s">
        <v>28</v>
      </c>
      <c r="G324" s="12">
        <v>42766</v>
      </c>
      <c r="H324" s="23">
        <f>D324/2</f>
        <v>161626.99</v>
      </c>
      <c r="I324" s="23"/>
      <c r="J324" s="23"/>
      <c r="K324" s="24"/>
      <c r="L324" s="23">
        <v>116872</v>
      </c>
      <c r="M324" s="22">
        <f t="shared" si="34"/>
        <v>44754.989999999991</v>
      </c>
      <c r="N324" s="22"/>
      <c r="O324" s="30">
        <f t="shared" si="35"/>
        <v>0.27690294795442266</v>
      </c>
    </row>
    <row r="325" spans="1:15" ht="20.100000000000001" customHeight="1" x14ac:dyDescent="0.25">
      <c r="A325" s="33">
        <v>35</v>
      </c>
      <c r="B325" s="9">
        <v>42758</v>
      </c>
      <c r="C325" s="18" t="s">
        <v>139</v>
      </c>
      <c r="D325" s="11">
        <v>1206.44</v>
      </c>
      <c r="E325" s="15">
        <v>42761</v>
      </c>
      <c r="F325" s="15" t="s">
        <v>28</v>
      </c>
      <c r="G325" s="12">
        <v>42787</v>
      </c>
      <c r="H325" s="23">
        <f>D325</f>
        <v>1206.44</v>
      </c>
      <c r="I325" s="23"/>
      <c r="J325" s="23"/>
      <c r="K325" s="24"/>
      <c r="L325" s="23">
        <v>822</v>
      </c>
      <c r="M325" s="22">
        <f t="shared" si="34"/>
        <v>384.44000000000005</v>
      </c>
      <c r="N325" s="22"/>
      <c r="O325" s="30">
        <f t="shared" si="35"/>
        <v>0.31865654321806308</v>
      </c>
    </row>
    <row r="326" spans="1:15" ht="20.100000000000001" customHeight="1" x14ac:dyDescent="0.25">
      <c r="A326" s="33">
        <v>4</v>
      </c>
      <c r="B326" s="9">
        <v>42745</v>
      </c>
      <c r="C326" s="18" t="s">
        <v>180</v>
      </c>
      <c r="D326" s="11">
        <v>113190</v>
      </c>
      <c r="E326" s="15">
        <v>42765</v>
      </c>
      <c r="F326" s="15" t="s">
        <v>28</v>
      </c>
      <c r="G326" s="12">
        <v>42768</v>
      </c>
      <c r="H326" s="23">
        <f>D326/2</f>
        <v>56595</v>
      </c>
      <c r="I326" s="23"/>
      <c r="J326" s="23"/>
      <c r="K326" s="24"/>
      <c r="L326" s="23">
        <v>39535</v>
      </c>
      <c r="M326" s="22">
        <f t="shared" si="34"/>
        <v>17060</v>
      </c>
      <c r="N326" s="22"/>
      <c r="O326" s="30">
        <f t="shared" si="35"/>
        <v>0.30144005654209738</v>
      </c>
    </row>
    <row r="327" spans="1:15" ht="20.100000000000001" customHeight="1" x14ac:dyDescent="0.25">
      <c r="A327" s="35" t="s">
        <v>535</v>
      </c>
      <c r="B327" s="36"/>
      <c r="C327" s="42"/>
      <c r="D327" s="37"/>
      <c r="E327" s="46" t="s">
        <v>540</v>
      </c>
      <c r="F327" s="47">
        <f>M327*0.17+N327*0.06+8000</f>
        <v>78438.687099999996</v>
      </c>
      <c r="G327" s="21">
        <f>H327*0.05+I327*0.02</f>
        <v>56570.794399999999</v>
      </c>
      <c r="H327" s="49">
        <f>SUBTOTAL(109,Январь2017[Продажа])</f>
        <v>1077626.7999999998</v>
      </c>
      <c r="I327" s="49">
        <f>SUBTOTAL(109,Январь2017[Продажа НК])</f>
        <v>134472.72</v>
      </c>
      <c r="J327" s="49">
        <f>SUBTOTAL(109,Январь2017[отк])</f>
        <v>69000</v>
      </c>
      <c r="K327" s="49">
        <f>SUBTOTAL(109,Январь2017[шланги])</f>
        <v>0</v>
      </c>
      <c r="L327" s="49">
        <f>SUBTOTAL(109,Январь2017[Закупка])</f>
        <v>612053.13</v>
      </c>
      <c r="M327" s="49">
        <f>SUBTOTAL(109,Январь2017[Маржа])</f>
        <v>396573.67</v>
      </c>
      <c r="N327" s="49">
        <f>SUBTOTAL(109,Январь2017[Маржа НК])</f>
        <v>50352.72</v>
      </c>
      <c r="O327" s="44">
        <f t="shared" si="35"/>
        <v>0.3680065028078367</v>
      </c>
    </row>
    <row r="328" spans="1:15" ht="20.100000000000001" customHeight="1" x14ac:dyDescent="0.25">
      <c r="A328" s="41" t="s">
        <v>1</v>
      </c>
      <c r="B328" s="1" t="s">
        <v>0</v>
      </c>
      <c r="C328" s="1" t="s">
        <v>26</v>
      </c>
      <c r="D328" s="1" t="s">
        <v>2</v>
      </c>
      <c r="E328" s="1" t="s">
        <v>3</v>
      </c>
      <c r="F328" s="1" t="s">
        <v>27</v>
      </c>
      <c r="G328" s="1" t="s">
        <v>4</v>
      </c>
      <c r="H328" s="2" t="s">
        <v>132</v>
      </c>
      <c r="I328" s="2" t="s">
        <v>133</v>
      </c>
      <c r="J328" s="40" t="s">
        <v>187</v>
      </c>
      <c r="K328" s="40" t="s">
        <v>188</v>
      </c>
      <c r="L328" s="40" t="s">
        <v>129</v>
      </c>
      <c r="M328" s="40" t="s">
        <v>130</v>
      </c>
      <c r="N328" s="2" t="s">
        <v>131</v>
      </c>
      <c r="O328" s="2" t="s">
        <v>134</v>
      </c>
    </row>
    <row r="329" spans="1:15" ht="20.100000000000001" customHeight="1" x14ac:dyDescent="0.25">
      <c r="A329" s="33">
        <v>10</v>
      </c>
      <c r="B329" s="9">
        <v>42754</v>
      </c>
      <c r="C329" s="18" t="s">
        <v>56</v>
      </c>
      <c r="D329" s="11">
        <v>120618.58</v>
      </c>
      <c r="E329" s="15">
        <v>42768</v>
      </c>
      <c r="F329" s="15" t="s">
        <v>28</v>
      </c>
      <c r="G329" s="12">
        <v>42762</v>
      </c>
      <c r="H329" s="23">
        <f t="shared" ref="H329:H351" si="37">D329</f>
        <v>120618.58</v>
      </c>
      <c r="I329" s="23"/>
      <c r="J329" s="23"/>
      <c r="K329" s="24"/>
      <c r="L329" s="23">
        <v>78228</v>
      </c>
      <c r="M329" s="22">
        <f t="shared" ref="M329:M354" si="38">H329-L329-J329-K329</f>
        <v>42390.58</v>
      </c>
      <c r="N329" s="22"/>
      <c r="O329" s="30">
        <f t="shared" ref="O329:O355" si="39">M329/H329</f>
        <v>0.35144320219986008</v>
      </c>
    </row>
    <row r="330" spans="1:15" ht="20.100000000000001" customHeight="1" x14ac:dyDescent="0.25">
      <c r="A330" s="33">
        <v>51</v>
      </c>
      <c r="B330" s="9">
        <v>42767</v>
      </c>
      <c r="C330" s="18" t="s">
        <v>71</v>
      </c>
      <c r="D330" s="11">
        <v>2870.12</v>
      </c>
      <c r="E330" s="15">
        <v>42768</v>
      </c>
      <c r="F330" s="15" t="s">
        <v>28</v>
      </c>
      <c r="G330" s="12">
        <v>42773</v>
      </c>
      <c r="H330" s="23">
        <f t="shared" si="37"/>
        <v>2870.12</v>
      </c>
      <c r="I330" s="23"/>
      <c r="J330" s="23"/>
      <c r="K330" s="24"/>
      <c r="L330" s="23">
        <v>1976</v>
      </c>
      <c r="M330" s="22">
        <f t="shared" si="38"/>
        <v>894.11999999999989</v>
      </c>
      <c r="N330" s="22"/>
      <c r="O330" s="30">
        <f t="shared" si="39"/>
        <v>0.31152704416540072</v>
      </c>
    </row>
    <row r="331" spans="1:15" ht="20.100000000000001" customHeight="1" x14ac:dyDescent="0.25">
      <c r="A331" s="33">
        <v>43</v>
      </c>
      <c r="B331" s="9">
        <v>42765</v>
      </c>
      <c r="C331" s="18" t="s">
        <v>208</v>
      </c>
      <c r="D331" s="11">
        <v>96378</v>
      </c>
      <c r="E331" s="15">
        <v>42769</v>
      </c>
      <c r="F331" s="15" t="s">
        <v>28</v>
      </c>
      <c r="G331" s="12">
        <v>42773</v>
      </c>
      <c r="H331" s="23">
        <f t="shared" si="37"/>
        <v>96378</v>
      </c>
      <c r="I331" s="23"/>
      <c r="J331" s="23">
        <v>8500</v>
      </c>
      <c r="K331" s="24">
        <v>1200</v>
      </c>
      <c r="L331" s="23">
        <v>68124</v>
      </c>
      <c r="M331" s="22">
        <f t="shared" si="38"/>
        <v>18554</v>
      </c>
      <c r="N331" s="22"/>
      <c r="O331" s="30">
        <f t="shared" si="39"/>
        <v>0.19251281412770549</v>
      </c>
    </row>
    <row r="332" spans="1:15" ht="20.100000000000001" customHeight="1" x14ac:dyDescent="0.25">
      <c r="A332" s="33">
        <v>45</v>
      </c>
      <c r="B332" s="9">
        <v>42761</v>
      </c>
      <c r="C332" s="20" t="s">
        <v>218</v>
      </c>
      <c r="D332" s="11">
        <v>12945.82</v>
      </c>
      <c r="E332" s="15">
        <v>42769</v>
      </c>
      <c r="F332" s="15" t="s">
        <v>28</v>
      </c>
      <c r="G332" s="12">
        <v>42769</v>
      </c>
      <c r="H332" s="23">
        <f t="shared" si="37"/>
        <v>12945.82</v>
      </c>
      <c r="I332" s="23">
        <f>H332</f>
        <v>12945.82</v>
      </c>
      <c r="J332" s="23"/>
      <c r="K332" s="24"/>
      <c r="L332" s="23">
        <v>12902</v>
      </c>
      <c r="M332" s="22">
        <f t="shared" si="38"/>
        <v>43.819999999999709</v>
      </c>
      <c r="N332" s="22">
        <f>M332</f>
        <v>43.819999999999709</v>
      </c>
      <c r="O332" s="30">
        <f t="shared" si="39"/>
        <v>3.3848763539118965E-3</v>
      </c>
    </row>
    <row r="333" spans="1:15" ht="20.100000000000001" customHeight="1" x14ac:dyDescent="0.25">
      <c r="A333" s="33">
        <v>67</v>
      </c>
      <c r="B333" s="9">
        <v>42772</v>
      </c>
      <c r="C333" s="18" t="s">
        <v>91</v>
      </c>
      <c r="D333" s="11">
        <v>4654</v>
      </c>
      <c r="E333" s="15">
        <v>42773</v>
      </c>
      <c r="F333" s="15" t="s">
        <v>28</v>
      </c>
      <c r="G333" s="12">
        <v>42797</v>
      </c>
      <c r="H333" s="23">
        <f t="shared" si="37"/>
        <v>4654</v>
      </c>
      <c r="I333" s="23"/>
      <c r="J333" s="23"/>
      <c r="K333" s="24"/>
      <c r="L333" s="23">
        <v>3980</v>
      </c>
      <c r="M333" s="22">
        <f t="shared" si="38"/>
        <v>674</v>
      </c>
      <c r="N333" s="22"/>
      <c r="O333" s="30">
        <f t="shared" si="39"/>
        <v>0.14482165878813924</v>
      </c>
    </row>
    <row r="334" spans="1:15" ht="20.100000000000001" customHeight="1" x14ac:dyDescent="0.25">
      <c r="A334" s="33">
        <v>2</v>
      </c>
      <c r="B334" s="9">
        <v>42754</v>
      </c>
      <c r="C334" s="20" t="s">
        <v>219</v>
      </c>
      <c r="D334" s="11">
        <v>317428</v>
      </c>
      <c r="E334" s="15">
        <v>42774</v>
      </c>
      <c r="F334" s="15" t="s">
        <v>28</v>
      </c>
      <c r="G334" s="12">
        <v>42793</v>
      </c>
      <c r="H334" s="23">
        <f t="shared" si="37"/>
        <v>317428</v>
      </c>
      <c r="I334" s="23">
        <f>H334</f>
        <v>317428</v>
      </c>
      <c r="J334" s="23"/>
      <c r="K334" s="24">
        <v>18000</v>
      </c>
      <c r="L334" s="23">
        <v>239053</v>
      </c>
      <c r="M334" s="22">
        <f t="shared" si="38"/>
        <v>60375</v>
      </c>
      <c r="N334" s="22">
        <f>M334</f>
        <v>60375</v>
      </c>
      <c r="O334" s="30">
        <f t="shared" si="39"/>
        <v>0.19020061242234459</v>
      </c>
    </row>
    <row r="335" spans="1:15" ht="20.100000000000001" customHeight="1" x14ac:dyDescent="0.25">
      <c r="A335" s="33">
        <v>69</v>
      </c>
      <c r="B335" s="9">
        <v>42772</v>
      </c>
      <c r="C335" s="18" t="s">
        <v>15</v>
      </c>
      <c r="D335" s="11">
        <v>4128.68</v>
      </c>
      <c r="E335" s="15">
        <v>42774</v>
      </c>
      <c r="F335" s="15" t="s">
        <v>28</v>
      </c>
      <c r="G335" s="12">
        <v>42776</v>
      </c>
      <c r="H335" s="23">
        <f t="shared" si="37"/>
        <v>4128.68</v>
      </c>
      <c r="I335" s="23"/>
      <c r="J335" s="23"/>
      <c r="K335" s="24"/>
      <c r="L335" s="23">
        <v>3166</v>
      </c>
      <c r="M335" s="22">
        <f t="shared" si="38"/>
        <v>962.68000000000029</v>
      </c>
      <c r="N335" s="22"/>
      <c r="O335" s="30">
        <f t="shared" si="39"/>
        <v>0.23316895472645016</v>
      </c>
    </row>
    <row r="336" spans="1:15" ht="20.100000000000001" customHeight="1" x14ac:dyDescent="0.25">
      <c r="A336" s="33">
        <v>79</v>
      </c>
      <c r="B336" s="9">
        <v>42774</v>
      </c>
      <c r="C336" s="18" t="s">
        <v>216</v>
      </c>
      <c r="D336" s="11">
        <v>2717.33</v>
      </c>
      <c r="E336" s="15">
        <v>42775</v>
      </c>
      <c r="F336" s="15" t="s">
        <v>28</v>
      </c>
      <c r="G336" s="12">
        <v>42794</v>
      </c>
      <c r="H336" s="23">
        <f t="shared" si="37"/>
        <v>2717.33</v>
      </c>
      <c r="I336" s="23"/>
      <c r="J336" s="23"/>
      <c r="K336" s="24"/>
      <c r="L336" s="23">
        <v>2556</v>
      </c>
      <c r="M336" s="22">
        <f t="shared" si="38"/>
        <v>161.32999999999993</v>
      </c>
      <c r="N336" s="22"/>
      <c r="O336" s="30">
        <f t="shared" si="39"/>
        <v>5.9370779404783344E-2</v>
      </c>
    </row>
    <row r="337" spans="1:15" ht="20.100000000000001" customHeight="1" x14ac:dyDescent="0.25">
      <c r="A337" s="33">
        <v>61</v>
      </c>
      <c r="B337" s="9">
        <v>42769</v>
      </c>
      <c r="C337" s="18" t="s">
        <v>66</v>
      </c>
      <c r="D337" s="11">
        <v>32931</v>
      </c>
      <c r="E337" s="15">
        <v>42775</v>
      </c>
      <c r="F337" s="15" t="s">
        <v>28</v>
      </c>
      <c r="G337" s="12">
        <v>42816</v>
      </c>
      <c r="H337" s="23">
        <f t="shared" si="37"/>
        <v>32931</v>
      </c>
      <c r="I337" s="23"/>
      <c r="J337" s="23"/>
      <c r="K337" s="24"/>
      <c r="L337" s="23">
        <v>21740</v>
      </c>
      <c r="M337" s="22">
        <f t="shared" si="38"/>
        <v>11191</v>
      </c>
      <c r="N337" s="22"/>
      <c r="O337" s="30">
        <f t="shared" si="39"/>
        <v>0.33983176945735022</v>
      </c>
    </row>
    <row r="338" spans="1:15" ht="20.100000000000001" customHeight="1" x14ac:dyDescent="0.25">
      <c r="A338" s="33">
        <v>70</v>
      </c>
      <c r="B338" s="9">
        <v>42772</v>
      </c>
      <c r="C338" s="18" t="s">
        <v>180</v>
      </c>
      <c r="D338" s="11">
        <v>31013.27</v>
      </c>
      <c r="E338" s="15">
        <v>42775</v>
      </c>
      <c r="F338" s="15" t="s">
        <v>28</v>
      </c>
      <c r="G338" s="12">
        <v>42804</v>
      </c>
      <c r="H338" s="23">
        <f t="shared" si="37"/>
        <v>31013.27</v>
      </c>
      <c r="I338" s="23"/>
      <c r="J338" s="23"/>
      <c r="K338" s="24">
        <f>2*1200</f>
        <v>2400</v>
      </c>
      <c r="L338" s="23">
        <v>13082</v>
      </c>
      <c r="M338" s="22">
        <f t="shared" si="38"/>
        <v>15531.27</v>
      </c>
      <c r="N338" s="22"/>
      <c r="O338" s="30">
        <f t="shared" si="39"/>
        <v>0.50079433739170365</v>
      </c>
    </row>
    <row r="339" spans="1:15" ht="20.100000000000001" customHeight="1" x14ac:dyDescent="0.25">
      <c r="A339" s="33">
        <v>76</v>
      </c>
      <c r="B339" s="9">
        <v>42774</v>
      </c>
      <c r="C339" s="18" t="s">
        <v>220</v>
      </c>
      <c r="D339" s="11">
        <v>4953.28</v>
      </c>
      <c r="E339" s="15">
        <v>42775</v>
      </c>
      <c r="F339" s="15" t="s">
        <v>28</v>
      </c>
      <c r="G339" s="12">
        <v>42779</v>
      </c>
      <c r="H339" s="23">
        <f t="shared" si="37"/>
        <v>4953.28</v>
      </c>
      <c r="I339" s="23"/>
      <c r="J339" s="23"/>
      <c r="K339" s="24"/>
      <c r="L339" s="23">
        <v>3226</v>
      </c>
      <c r="M339" s="22">
        <f t="shared" si="38"/>
        <v>1727.2799999999997</v>
      </c>
      <c r="N339" s="22"/>
      <c r="O339" s="30">
        <f t="shared" si="39"/>
        <v>0.34871438723431741</v>
      </c>
    </row>
    <row r="340" spans="1:15" ht="20.100000000000001" customHeight="1" x14ac:dyDescent="0.25">
      <c r="A340" s="33">
        <v>77</v>
      </c>
      <c r="B340" s="9">
        <v>42774</v>
      </c>
      <c r="C340" s="18" t="s">
        <v>45</v>
      </c>
      <c r="D340" s="11">
        <v>1932.84</v>
      </c>
      <c r="E340" s="15">
        <v>42776</v>
      </c>
      <c r="F340" s="15" t="s">
        <v>28</v>
      </c>
      <c r="G340" s="12">
        <v>42800</v>
      </c>
      <c r="H340" s="23">
        <f t="shared" si="37"/>
        <v>1932.84</v>
      </c>
      <c r="I340" s="23"/>
      <c r="J340" s="23"/>
      <c r="K340" s="24"/>
      <c r="L340" s="23">
        <v>1508</v>
      </c>
      <c r="M340" s="22">
        <f t="shared" si="38"/>
        <v>424.83999999999992</v>
      </c>
      <c r="N340" s="22"/>
      <c r="O340" s="30">
        <f t="shared" si="39"/>
        <v>0.21980091471616892</v>
      </c>
    </row>
    <row r="341" spans="1:15" ht="20.100000000000001" customHeight="1" x14ac:dyDescent="0.25">
      <c r="A341" s="33">
        <v>73</v>
      </c>
      <c r="B341" s="9">
        <v>42773</v>
      </c>
      <c r="C341" s="18" t="s">
        <v>65</v>
      </c>
      <c r="D341" s="11">
        <v>97176.4</v>
      </c>
      <c r="E341" s="15">
        <v>42779</v>
      </c>
      <c r="F341" s="15" t="s">
        <v>28</v>
      </c>
      <c r="G341" s="12">
        <v>42779</v>
      </c>
      <c r="H341" s="23">
        <f t="shared" si="37"/>
        <v>97176.4</v>
      </c>
      <c r="I341" s="23"/>
      <c r="J341" s="23"/>
      <c r="K341" s="24">
        <f>3*600+8*900</f>
        <v>9000</v>
      </c>
      <c r="L341" s="23">
        <v>51147</v>
      </c>
      <c r="M341" s="22">
        <f t="shared" si="38"/>
        <v>37029.399999999994</v>
      </c>
      <c r="N341" s="22"/>
      <c r="O341" s="30">
        <f t="shared" si="39"/>
        <v>0.38105342449401292</v>
      </c>
    </row>
    <row r="342" spans="1:15" ht="20.100000000000001" customHeight="1" x14ac:dyDescent="0.25">
      <c r="A342" s="33">
        <v>64</v>
      </c>
      <c r="B342" s="9">
        <v>42769</v>
      </c>
      <c r="C342" s="18" t="s">
        <v>60</v>
      </c>
      <c r="D342" s="11">
        <v>26340.09</v>
      </c>
      <c r="E342" s="15">
        <v>42780</v>
      </c>
      <c r="F342" s="15" t="s">
        <v>28</v>
      </c>
      <c r="G342" s="12">
        <v>42772</v>
      </c>
      <c r="H342" s="23">
        <f t="shared" si="37"/>
        <v>26340.09</v>
      </c>
      <c r="I342" s="23"/>
      <c r="J342" s="23"/>
      <c r="K342" s="24"/>
      <c r="L342" s="23">
        <v>19984</v>
      </c>
      <c r="M342" s="22">
        <f t="shared" si="38"/>
        <v>6356.09</v>
      </c>
      <c r="N342" s="22"/>
      <c r="O342" s="30">
        <f t="shared" si="39"/>
        <v>0.24130859082106401</v>
      </c>
    </row>
    <row r="343" spans="1:15" ht="20.100000000000001" customHeight="1" x14ac:dyDescent="0.25">
      <c r="A343" s="33">
        <v>60</v>
      </c>
      <c r="B343" s="9">
        <v>42768</v>
      </c>
      <c r="C343" s="20" t="s">
        <v>221</v>
      </c>
      <c r="D343" s="11">
        <v>20875.86</v>
      </c>
      <c r="E343" s="15">
        <v>42780</v>
      </c>
      <c r="F343" s="15" t="s">
        <v>28</v>
      </c>
      <c r="G343" s="12">
        <v>42793</v>
      </c>
      <c r="H343" s="23">
        <f t="shared" si="37"/>
        <v>20875.86</v>
      </c>
      <c r="I343" s="23">
        <f>H343</f>
        <v>20875.86</v>
      </c>
      <c r="J343" s="23"/>
      <c r="K343" s="24"/>
      <c r="L343" s="23">
        <v>16019</v>
      </c>
      <c r="M343" s="22">
        <f t="shared" si="38"/>
        <v>4856.8600000000006</v>
      </c>
      <c r="N343" s="22">
        <f>M343</f>
        <v>4856.8600000000006</v>
      </c>
      <c r="O343" s="30">
        <f t="shared" si="39"/>
        <v>0.23265436729313191</v>
      </c>
    </row>
    <row r="344" spans="1:15" ht="19.5" customHeight="1" x14ac:dyDescent="0.25">
      <c r="A344" s="33">
        <v>92</v>
      </c>
      <c r="B344" s="9">
        <v>42781</v>
      </c>
      <c r="C344" s="18" t="s">
        <v>222</v>
      </c>
      <c r="D344" s="11">
        <v>8948</v>
      </c>
      <c r="E344" s="15">
        <v>42782</v>
      </c>
      <c r="F344" s="15" t="s">
        <v>28</v>
      </c>
      <c r="G344" s="12">
        <v>42804</v>
      </c>
      <c r="H344" s="23">
        <f t="shared" si="37"/>
        <v>8948</v>
      </c>
      <c r="I344" s="23"/>
      <c r="J344" s="23"/>
      <c r="K344" s="24"/>
      <c r="L344" s="23">
        <v>7064</v>
      </c>
      <c r="M344" s="22">
        <f t="shared" si="38"/>
        <v>1884</v>
      </c>
      <c r="N344" s="22"/>
      <c r="O344" s="30">
        <f t="shared" si="39"/>
        <v>0.21054984354045597</v>
      </c>
    </row>
    <row r="345" spans="1:15" ht="15.75" x14ac:dyDescent="0.25">
      <c r="A345" s="33">
        <v>89</v>
      </c>
      <c r="B345" s="9">
        <v>42780</v>
      </c>
      <c r="C345" s="20" t="s">
        <v>223</v>
      </c>
      <c r="D345" s="11">
        <v>132870</v>
      </c>
      <c r="E345" s="15">
        <v>42783</v>
      </c>
      <c r="F345" s="15" t="s">
        <v>28</v>
      </c>
      <c r="G345" s="12">
        <v>42808</v>
      </c>
      <c r="H345" s="23">
        <f t="shared" si="37"/>
        <v>132870</v>
      </c>
      <c r="I345" s="23">
        <f>H345</f>
        <v>132870</v>
      </c>
      <c r="J345" s="23"/>
      <c r="K345" s="24"/>
      <c r="L345" s="23">
        <v>100449</v>
      </c>
      <c r="M345" s="22">
        <f t="shared" si="38"/>
        <v>32421</v>
      </c>
      <c r="N345" s="22">
        <f>M345</f>
        <v>32421</v>
      </c>
      <c r="O345" s="30">
        <f t="shared" si="39"/>
        <v>0.24400541883043578</v>
      </c>
    </row>
    <row r="346" spans="1:15" s="2" customFormat="1" ht="20.100000000000001" customHeight="1" x14ac:dyDescent="0.25">
      <c r="A346" s="33">
        <v>94</v>
      </c>
      <c r="B346" s="9">
        <v>42782</v>
      </c>
      <c r="C346" s="18" t="s">
        <v>19</v>
      </c>
      <c r="D346" s="11">
        <v>5138.8999999999996</v>
      </c>
      <c r="E346" s="15">
        <v>42783</v>
      </c>
      <c r="F346" s="15" t="s">
        <v>28</v>
      </c>
      <c r="G346" s="12">
        <v>42786</v>
      </c>
      <c r="H346" s="23">
        <f t="shared" si="37"/>
        <v>5138.8999999999996</v>
      </c>
      <c r="I346" s="23"/>
      <c r="J346" s="23"/>
      <c r="K346" s="24"/>
      <c r="L346" s="23">
        <v>4604</v>
      </c>
      <c r="M346" s="22">
        <f t="shared" si="38"/>
        <v>534.89999999999964</v>
      </c>
      <c r="N346" s="22"/>
      <c r="O346" s="30">
        <f t="shared" si="39"/>
        <v>0.10408842359259757</v>
      </c>
    </row>
    <row r="347" spans="1:15" ht="20.100000000000001" customHeight="1" x14ac:dyDescent="0.25">
      <c r="A347" s="33">
        <v>101</v>
      </c>
      <c r="B347" s="9">
        <v>42786</v>
      </c>
      <c r="C347" s="18" t="s">
        <v>122</v>
      </c>
      <c r="D347" s="11">
        <v>1800</v>
      </c>
      <c r="E347" s="15">
        <v>42786</v>
      </c>
      <c r="F347" s="15" t="s">
        <v>28</v>
      </c>
      <c r="G347" s="12">
        <v>42786</v>
      </c>
      <c r="H347" s="23">
        <f t="shared" si="37"/>
        <v>1800</v>
      </c>
      <c r="I347" s="23"/>
      <c r="J347" s="23"/>
      <c r="K347" s="24"/>
      <c r="L347" s="23">
        <v>1485</v>
      </c>
      <c r="M347" s="22">
        <f t="shared" si="38"/>
        <v>315</v>
      </c>
      <c r="N347" s="22"/>
      <c r="O347" s="30">
        <f t="shared" si="39"/>
        <v>0.17499999999999999</v>
      </c>
    </row>
    <row r="348" spans="1:15" ht="20.100000000000001" customHeight="1" x14ac:dyDescent="0.25">
      <c r="A348" s="33">
        <v>99</v>
      </c>
      <c r="B348" s="9">
        <v>42786</v>
      </c>
      <c r="C348" s="18" t="s">
        <v>30</v>
      </c>
      <c r="D348" s="11">
        <v>4086</v>
      </c>
      <c r="E348" s="15">
        <v>42786</v>
      </c>
      <c r="F348" s="15" t="s">
        <v>28</v>
      </c>
      <c r="G348" s="12">
        <v>42787</v>
      </c>
      <c r="H348" s="23">
        <f t="shared" si="37"/>
        <v>4086</v>
      </c>
      <c r="I348" s="23"/>
      <c r="J348" s="23"/>
      <c r="K348" s="24"/>
      <c r="L348" s="23">
        <v>3348</v>
      </c>
      <c r="M348" s="22">
        <f t="shared" si="38"/>
        <v>738</v>
      </c>
      <c r="N348" s="22"/>
      <c r="O348" s="30">
        <f t="shared" si="39"/>
        <v>0.18061674008810572</v>
      </c>
    </row>
    <row r="349" spans="1:15" ht="20.100000000000001" customHeight="1" x14ac:dyDescent="0.25">
      <c r="A349" s="33">
        <v>87</v>
      </c>
      <c r="B349" s="9">
        <v>42780</v>
      </c>
      <c r="C349" s="18" t="s">
        <v>108</v>
      </c>
      <c r="D349" s="11">
        <v>12000</v>
      </c>
      <c r="E349" s="15">
        <v>42786</v>
      </c>
      <c r="F349" s="15" t="s">
        <v>28</v>
      </c>
      <c r="G349" s="12">
        <v>42814</v>
      </c>
      <c r="H349" s="23">
        <f t="shared" si="37"/>
        <v>12000</v>
      </c>
      <c r="I349" s="23"/>
      <c r="J349" s="23"/>
      <c r="K349" s="24">
        <f>2*900</f>
        <v>1800</v>
      </c>
      <c r="L349" s="23">
        <v>4102</v>
      </c>
      <c r="M349" s="22">
        <f t="shared" si="38"/>
        <v>6098</v>
      </c>
      <c r="N349" s="22"/>
      <c r="O349" s="30">
        <f t="shared" si="39"/>
        <v>0.50816666666666666</v>
      </c>
    </row>
    <row r="350" spans="1:15" ht="20.100000000000001" customHeight="1" x14ac:dyDescent="0.25">
      <c r="A350" s="33">
        <v>107</v>
      </c>
      <c r="B350" s="9">
        <v>42787</v>
      </c>
      <c r="C350" s="18" t="s">
        <v>16</v>
      </c>
      <c r="D350" s="11">
        <v>11500</v>
      </c>
      <c r="E350" s="15">
        <v>42788</v>
      </c>
      <c r="F350" s="15" t="s">
        <v>28</v>
      </c>
      <c r="G350" s="12">
        <v>42793</v>
      </c>
      <c r="H350" s="23">
        <f t="shared" si="37"/>
        <v>11500</v>
      </c>
      <c r="I350" s="23"/>
      <c r="J350" s="23"/>
      <c r="K350" s="24"/>
      <c r="L350" s="23">
        <v>7814</v>
      </c>
      <c r="M350" s="22">
        <f t="shared" si="38"/>
        <v>3686</v>
      </c>
      <c r="N350" s="22"/>
      <c r="O350" s="30">
        <f t="shared" si="39"/>
        <v>0.3205217391304348</v>
      </c>
    </row>
    <row r="351" spans="1:15" ht="20.100000000000001" customHeight="1" x14ac:dyDescent="0.25">
      <c r="A351" s="33">
        <v>109</v>
      </c>
      <c r="B351" s="9">
        <v>42787</v>
      </c>
      <c r="C351" s="20" t="s">
        <v>224</v>
      </c>
      <c r="D351" s="11">
        <v>7890</v>
      </c>
      <c r="E351" s="15">
        <v>42788</v>
      </c>
      <c r="F351" s="15" t="s">
        <v>28</v>
      </c>
      <c r="G351" s="12">
        <v>42793</v>
      </c>
      <c r="H351" s="23">
        <f t="shared" si="37"/>
        <v>7890</v>
      </c>
      <c r="I351" s="23">
        <f>H351</f>
        <v>7890</v>
      </c>
      <c r="J351" s="23"/>
      <c r="K351" s="24"/>
      <c r="L351" s="23">
        <v>6364</v>
      </c>
      <c r="M351" s="22">
        <f t="shared" si="38"/>
        <v>1526</v>
      </c>
      <c r="N351" s="22">
        <f>M351</f>
        <v>1526</v>
      </c>
      <c r="O351" s="30">
        <f t="shared" si="39"/>
        <v>0.19340937896070975</v>
      </c>
    </row>
    <row r="352" spans="1:15" ht="20.100000000000001" customHeight="1" x14ac:dyDescent="0.25">
      <c r="A352" s="33">
        <v>21</v>
      </c>
      <c r="B352" s="9">
        <v>42751</v>
      </c>
      <c r="C352" s="18" t="s">
        <v>180</v>
      </c>
      <c r="D352" s="11">
        <v>126654.02</v>
      </c>
      <c r="E352" s="15">
        <v>42788</v>
      </c>
      <c r="F352" s="15" t="s">
        <v>28</v>
      </c>
      <c r="G352" s="12">
        <v>42804</v>
      </c>
      <c r="H352" s="23">
        <f>D352/2</f>
        <v>63327.01</v>
      </c>
      <c r="I352" s="23"/>
      <c r="J352" s="23"/>
      <c r="K352" s="24"/>
      <c r="L352" s="23">
        <v>45579</v>
      </c>
      <c r="M352" s="22">
        <f t="shared" si="38"/>
        <v>17748.010000000002</v>
      </c>
      <c r="N352" s="22"/>
      <c r="O352" s="30">
        <f t="shared" si="39"/>
        <v>0.28025971856242704</v>
      </c>
    </row>
    <row r="353" spans="1:15" ht="20.100000000000001" customHeight="1" x14ac:dyDescent="0.25">
      <c r="A353" s="33">
        <v>14</v>
      </c>
      <c r="B353" s="9">
        <v>42788</v>
      </c>
      <c r="C353" s="18" t="s">
        <v>175</v>
      </c>
      <c r="D353" s="11">
        <v>18960</v>
      </c>
      <c r="E353" s="15">
        <v>42793</v>
      </c>
      <c r="F353" s="15" t="s">
        <v>28</v>
      </c>
      <c r="G353" s="12">
        <v>42807</v>
      </c>
      <c r="H353" s="23">
        <f>D353</f>
        <v>18960</v>
      </c>
      <c r="I353" s="23"/>
      <c r="J353" s="23"/>
      <c r="K353" s="24"/>
      <c r="L353" s="23">
        <v>12512</v>
      </c>
      <c r="M353" s="22">
        <f t="shared" si="38"/>
        <v>6448</v>
      </c>
      <c r="N353" s="22"/>
      <c r="O353" s="30">
        <f t="shared" si="39"/>
        <v>0.34008438818565401</v>
      </c>
    </row>
    <row r="354" spans="1:15" ht="20.100000000000001" customHeight="1" x14ac:dyDescent="0.25">
      <c r="A354" s="33">
        <v>111</v>
      </c>
      <c r="B354" s="9">
        <v>42793</v>
      </c>
      <c r="C354" s="20" t="s">
        <v>225</v>
      </c>
      <c r="D354" s="11">
        <v>8480</v>
      </c>
      <c r="E354" s="15">
        <v>42794</v>
      </c>
      <c r="F354" s="15" t="s">
        <v>28</v>
      </c>
      <c r="G354" s="12">
        <v>42767</v>
      </c>
      <c r="H354" s="23">
        <f>D354</f>
        <v>8480</v>
      </c>
      <c r="I354" s="23">
        <f>H354</f>
        <v>8480</v>
      </c>
      <c r="J354" s="23"/>
      <c r="K354" s="24"/>
      <c r="L354" s="23">
        <v>3310</v>
      </c>
      <c r="M354" s="22">
        <f t="shared" si="38"/>
        <v>5170</v>
      </c>
      <c r="N354" s="22">
        <f>M354</f>
        <v>5170</v>
      </c>
      <c r="O354" s="30">
        <f t="shared" si="39"/>
        <v>0.60966981132075471</v>
      </c>
    </row>
    <row r="355" spans="1:15" ht="20.100000000000001" customHeight="1" x14ac:dyDescent="0.25">
      <c r="A355" s="35" t="s">
        <v>535</v>
      </c>
      <c r="B355" s="36"/>
      <c r="C355" s="42"/>
      <c r="D355" s="37"/>
      <c r="E355" s="46" t="s">
        <v>541</v>
      </c>
      <c r="F355" s="47">
        <f>M355*0.17+N355*0.06+8000</f>
        <v>61479.561399999999</v>
      </c>
      <c r="G355" s="21">
        <f>H355*0.05+I355*0.02</f>
        <v>62607.952600000019</v>
      </c>
      <c r="H355" s="49">
        <f>SUBTOTAL(109,Февраль2017[Продажа])</f>
        <v>1051963.1800000002</v>
      </c>
      <c r="I355" s="49">
        <f>SUBTOTAL(109,Февраль2017[Продажа НК])</f>
        <v>500489.68</v>
      </c>
      <c r="J355" s="49">
        <f>SUBTOTAL(109,Февраль2017[отк])</f>
        <v>8500</v>
      </c>
      <c r="K355" s="49">
        <f>SUBTOTAL(109,Февраль2017[шланги])</f>
        <v>32400</v>
      </c>
      <c r="L355" s="49">
        <f>SUBTOTAL(109,Февраль2017[Закупка])</f>
        <v>733322</v>
      </c>
      <c r="M355" s="49">
        <f>SUBTOTAL(109,Февраль2017[Маржа])</f>
        <v>277741.18</v>
      </c>
      <c r="N355" s="49">
        <f>SUBTOTAL(109,Февраль2017[Маржа НК])</f>
        <v>104392.68</v>
      </c>
      <c r="O355" s="44">
        <f t="shared" si="39"/>
        <v>0.26402176927903498</v>
      </c>
    </row>
    <row r="356" spans="1:15" ht="20.100000000000001" customHeight="1" x14ac:dyDescent="0.25">
      <c r="A356" s="41" t="s">
        <v>1</v>
      </c>
      <c r="B356" s="1" t="s">
        <v>0</v>
      </c>
      <c r="C356" s="1" t="s">
        <v>26</v>
      </c>
      <c r="D356" s="1" t="s">
        <v>2</v>
      </c>
      <c r="E356" s="1" t="s">
        <v>3</v>
      </c>
      <c r="F356" s="1" t="s">
        <v>27</v>
      </c>
      <c r="G356" s="1" t="s">
        <v>4</v>
      </c>
      <c r="H356" s="2" t="s">
        <v>132</v>
      </c>
      <c r="I356" s="2" t="s">
        <v>133</v>
      </c>
      <c r="J356" s="40" t="s">
        <v>187</v>
      </c>
      <c r="K356" s="40" t="s">
        <v>188</v>
      </c>
      <c r="L356" s="40" t="s">
        <v>129</v>
      </c>
      <c r="M356" s="40" t="s">
        <v>130</v>
      </c>
      <c r="N356" s="2" t="s">
        <v>131</v>
      </c>
      <c r="O356" s="2" t="s">
        <v>134</v>
      </c>
    </row>
    <row r="357" spans="1:15" ht="20.100000000000001" customHeight="1" x14ac:dyDescent="0.25">
      <c r="A357" s="33">
        <v>115</v>
      </c>
      <c r="B357" s="9">
        <v>42794</v>
      </c>
      <c r="C357" s="18" t="s">
        <v>118</v>
      </c>
      <c r="D357" s="11">
        <v>1504.7</v>
      </c>
      <c r="E357" s="15">
        <v>42795</v>
      </c>
      <c r="F357" s="15" t="s">
        <v>28</v>
      </c>
      <c r="G357" s="12">
        <v>42767</v>
      </c>
      <c r="H357" s="23">
        <f t="shared" ref="H357:H372" si="40">D357</f>
        <v>1504.7</v>
      </c>
      <c r="I357" s="23"/>
      <c r="J357" s="23"/>
      <c r="K357" s="24"/>
      <c r="L357" s="23">
        <v>1449</v>
      </c>
      <c r="M357" s="22">
        <f t="shared" ref="M357:M389" si="41">H357-L357-J357-K357</f>
        <v>55.700000000000045</v>
      </c>
      <c r="N357" s="22"/>
      <c r="O357" s="30">
        <f t="shared" ref="O357:O390" si="42">M357/H357</f>
        <v>3.7017345650295769E-2</v>
      </c>
    </row>
    <row r="358" spans="1:15" ht="20.100000000000001" customHeight="1" x14ac:dyDescent="0.25">
      <c r="A358" s="33">
        <v>98</v>
      </c>
      <c r="B358" s="9">
        <v>42783</v>
      </c>
      <c r="C358" s="18" t="s">
        <v>66</v>
      </c>
      <c r="D358" s="11">
        <v>8032.8</v>
      </c>
      <c r="E358" s="15">
        <v>42795</v>
      </c>
      <c r="F358" s="15" t="s">
        <v>28</v>
      </c>
      <c r="G358" s="12">
        <v>42816</v>
      </c>
      <c r="H358" s="23">
        <f t="shared" si="40"/>
        <v>8032.8</v>
      </c>
      <c r="I358" s="23"/>
      <c r="J358" s="23"/>
      <c r="K358" s="24"/>
      <c r="L358" s="23">
        <v>5301</v>
      </c>
      <c r="M358" s="22">
        <f t="shared" si="41"/>
        <v>2731.8</v>
      </c>
      <c r="N358" s="22"/>
      <c r="O358" s="30">
        <f t="shared" si="42"/>
        <v>0.34008066925605018</v>
      </c>
    </row>
    <row r="359" spans="1:15" ht="20.100000000000001" customHeight="1" x14ac:dyDescent="0.25">
      <c r="A359" s="33">
        <v>96</v>
      </c>
      <c r="B359" s="9">
        <v>42795</v>
      </c>
      <c r="C359" s="20" t="s">
        <v>226</v>
      </c>
      <c r="D359" s="11">
        <v>149900</v>
      </c>
      <c r="E359" s="15">
        <v>42796</v>
      </c>
      <c r="F359" s="15" t="s">
        <v>28</v>
      </c>
      <c r="G359" s="12">
        <v>42801</v>
      </c>
      <c r="H359" s="23">
        <f t="shared" si="40"/>
        <v>149900</v>
      </c>
      <c r="I359" s="23">
        <f>H359</f>
        <v>149900</v>
      </c>
      <c r="J359" s="23"/>
      <c r="K359" s="24"/>
      <c r="L359" s="23">
        <v>123642</v>
      </c>
      <c r="M359" s="22">
        <f t="shared" si="41"/>
        <v>26258</v>
      </c>
      <c r="N359" s="22">
        <f>M359</f>
        <v>26258</v>
      </c>
      <c r="O359" s="30">
        <f t="shared" si="42"/>
        <v>0.17517011340893929</v>
      </c>
    </row>
    <row r="360" spans="1:15" ht="20.100000000000001" customHeight="1" x14ac:dyDescent="0.25">
      <c r="A360" s="33">
        <v>133</v>
      </c>
      <c r="B360" s="9">
        <v>42797</v>
      </c>
      <c r="C360" s="18" t="s">
        <v>58</v>
      </c>
      <c r="D360" s="11">
        <v>4552.58</v>
      </c>
      <c r="E360" s="15">
        <v>42800</v>
      </c>
      <c r="F360" s="15" t="s">
        <v>28</v>
      </c>
      <c r="G360" s="12">
        <v>42803</v>
      </c>
      <c r="H360" s="23">
        <f t="shared" si="40"/>
        <v>4552.58</v>
      </c>
      <c r="I360" s="23"/>
      <c r="J360" s="23"/>
      <c r="K360" s="24"/>
      <c r="L360" s="23">
        <v>3463</v>
      </c>
      <c r="M360" s="22">
        <f t="shared" si="41"/>
        <v>1089.58</v>
      </c>
      <c r="N360" s="22"/>
      <c r="O360" s="30">
        <f t="shared" si="42"/>
        <v>0.23933242249449763</v>
      </c>
    </row>
    <row r="361" spans="1:15" ht="20.100000000000001" customHeight="1" x14ac:dyDescent="0.25">
      <c r="A361" s="33">
        <v>80</v>
      </c>
      <c r="B361" s="9">
        <v>42774</v>
      </c>
      <c r="C361" s="18" t="s">
        <v>56</v>
      </c>
      <c r="D361" s="11">
        <v>39853.15</v>
      </c>
      <c r="E361" s="15">
        <v>42807</v>
      </c>
      <c r="F361" s="15" t="s">
        <v>28</v>
      </c>
      <c r="G361" s="12">
        <v>42794</v>
      </c>
      <c r="H361" s="23">
        <f t="shared" si="40"/>
        <v>39853.15</v>
      </c>
      <c r="I361" s="23"/>
      <c r="J361" s="23"/>
      <c r="K361" s="24"/>
      <c r="L361" s="23">
        <v>24593</v>
      </c>
      <c r="M361" s="22">
        <f t="shared" si="41"/>
        <v>15260.150000000001</v>
      </c>
      <c r="N361" s="22"/>
      <c r="O361" s="30">
        <f t="shared" si="42"/>
        <v>0.382909506525833</v>
      </c>
    </row>
    <row r="362" spans="1:15" ht="20.100000000000001" customHeight="1" x14ac:dyDescent="0.25">
      <c r="A362" s="33">
        <v>6</v>
      </c>
      <c r="B362" s="9">
        <v>42745</v>
      </c>
      <c r="C362" s="18" t="s">
        <v>38</v>
      </c>
      <c r="D362" s="11">
        <v>199080</v>
      </c>
      <c r="E362" s="15">
        <v>42808</v>
      </c>
      <c r="F362" s="15" t="s">
        <v>28</v>
      </c>
      <c r="G362" s="12">
        <v>42774</v>
      </c>
      <c r="H362" s="23">
        <f t="shared" si="40"/>
        <v>199080</v>
      </c>
      <c r="I362" s="23"/>
      <c r="J362" s="23"/>
      <c r="K362" s="24">
        <v>1200</v>
      </c>
      <c r="L362" s="23">
        <v>133598</v>
      </c>
      <c r="M362" s="22">
        <f t="shared" si="41"/>
        <v>64282</v>
      </c>
      <c r="N362" s="22"/>
      <c r="O362" s="30">
        <f t="shared" si="42"/>
        <v>0.32289531846493874</v>
      </c>
    </row>
    <row r="363" spans="1:15" ht="20.100000000000001" customHeight="1" x14ac:dyDescent="0.25">
      <c r="A363" s="33">
        <v>125</v>
      </c>
      <c r="B363" s="9">
        <v>42796</v>
      </c>
      <c r="C363" s="18" t="s">
        <v>102</v>
      </c>
      <c r="D363" s="11">
        <v>4627</v>
      </c>
      <c r="E363" s="15">
        <v>42808</v>
      </c>
      <c r="F363" s="15" t="s">
        <v>28</v>
      </c>
      <c r="G363" s="12">
        <v>42810</v>
      </c>
      <c r="H363" s="23">
        <f t="shared" si="40"/>
        <v>4627</v>
      </c>
      <c r="I363" s="23"/>
      <c r="J363" s="23"/>
      <c r="K363" s="24"/>
      <c r="L363" s="23">
        <v>3885</v>
      </c>
      <c r="M363" s="22">
        <f t="shared" si="41"/>
        <v>742</v>
      </c>
      <c r="N363" s="22"/>
      <c r="O363" s="30">
        <f t="shared" si="42"/>
        <v>0.16036308623298035</v>
      </c>
    </row>
    <row r="364" spans="1:15" ht="20.100000000000001" customHeight="1" x14ac:dyDescent="0.25">
      <c r="A364" s="33">
        <v>136</v>
      </c>
      <c r="B364" s="9">
        <v>42801</v>
      </c>
      <c r="C364" s="20" t="s">
        <v>227</v>
      </c>
      <c r="D364" s="11">
        <v>9790</v>
      </c>
      <c r="E364" s="15">
        <v>42808</v>
      </c>
      <c r="F364" s="15" t="s">
        <v>28</v>
      </c>
      <c r="G364" s="12">
        <v>42821</v>
      </c>
      <c r="H364" s="23">
        <f t="shared" si="40"/>
        <v>9790</v>
      </c>
      <c r="I364" s="23">
        <f>H364</f>
        <v>9790</v>
      </c>
      <c r="J364" s="23"/>
      <c r="K364" s="24"/>
      <c r="L364" s="23">
        <v>7196</v>
      </c>
      <c r="M364" s="22">
        <f t="shared" si="41"/>
        <v>2594</v>
      </c>
      <c r="N364" s="22">
        <f>M364</f>
        <v>2594</v>
      </c>
      <c r="O364" s="30">
        <f t="shared" si="42"/>
        <v>0.26496424923391215</v>
      </c>
    </row>
    <row r="365" spans="1:15" ht="20.100000000000001" customHeight="1" x14ac:dyDescent="0.25">
      <c r="A365" s="33">
        <v>124</v>
      </c>
      <c r="B365" s="9">
        <v>42795</v>
      </c>
      <c r="C365" s="18" t="s">
        <v>65</v>
      </c>
      <c r="D365" s="11">
        <v>20895</v>
      </c>
      <c r="E365" s="15">
        <v>42811</v>
      </c>
      <c r="F365" s="15" t="s">
        <v>28</v>
      </c>
      <c r="G365" s="12">
        <v>42811</v>
      </c>
      <c r="H365" s="23">
        <f t="shared" si="40"/>
        <v>20895</v>
      </c>
      <c r="I365" s="23"/>
      <c r="J365" s="23"/>
      <c r="K365" s="24"/>
      <c r="L365" s="23">
        <v>17465</v>
      </c>
      <c r="M365" s="22">
        <f t="shared" si="41"/>
        <v>3430</v>
      </c>
      <c r="N365" s="22"/>
      <c r="O365" s="30">
        <f t="shared" si="42"/>
        <v>0.16415410385259632</v>
      </c>
    </row>
    <row r="366" spans="1:15" ht="20.100000000000001" customHeight="1" x14ac:dyDescent="0.25">
      <c r="A366" s="33">
        <v>167</v>
      </c>
      <c r="B366" s="9">
        <v>42810</v>
      </c>
      <c r="C366" s="18" t="s">
        <v>85</v>
      </c>
      <c r="D366" s="11">
        <v>7718.16</v>
      </c>
      <c r="E366" s="15">
        <v>42811</v>
      </c>
      <c r="F366" s="15" t="s">
        <v>28</v>
      </c>
      <c r="G366" s="12">
        <v>42829</v>
      </c>
      <c r="H366" s="23">
        <f t="shared" si="40"/>
        <v>7718.16</v>
      </c>
      <c r="I366" s="23"/>
      <c r="J366" s="23"/>
      <c r="K366" s="24"/>
      <c r="L366" s="23">
        <v>6275</v>
      </c>
      <c r="M366" s="22">
        <f t="shared" si="41"/>
        <v>1443.1599999999999</v>
      </c>
      <c r="N366" s="22"/>
      <c r="O366" s="30">
        <f t="shared" si="42"/>
        <v>0.18698238958508243</v>
      </c>
    </row>
    <row r="367" spans="1:15" ht="20.100000000000001" customHeight="1" x14ac:dyDescent="0.25">
      <c r="A367" s="33">
        <v>112</v>
      </c>
      <c r="B367" s="9">
        <v>42793</v>
      </c>
      <c r="C367" s="18" t="s">
        <v>11</v>
      </c>
      <c r="D367" s="11">
        <v>18242.62</v>
      </c>
      <c r="E367" s="15">
        <v>42811</v>
      </c>
      <c r="F367" s="15" t="s">
        <v>28</v>
      </c>
      <c r="G367" s="12">
        <v>42831</v>
      </c>
      <c r="H367" s="23">
        <f t="shared" si="40"/>
        <v>18242.62</v>
      </c>
      <c r="I367" s="23"/>
      <c r="J367" s="23"/>
      <c r="K367" s="24">
        <v>600</v>
      </c>
      <c r="L367" s="23">
        <v>12813</v>
      </c>
      <c r="M367" s="22">
        <f t="shared" si="41"/>
        <v>4829.619999999999</v>
      </c>
      <c r="N367" s="22"/>
      <c r="O367" s="30">
        <f t="shared" si="42"/>
        <v>0.26474377035754726</v>
      </c>
    </row>
    <row r="368" spans="1:15" ht="20.100000000000001" customHeight="1" x14ac:dyDescent="0.25">
      <c r="A368" s="33">
        <v>149</v>
      </c>
      <c r="B368" s="9">
        <v>42807</v>
      </c>
      <c r="C368" s="18" t="s">
        <v>216</v>
      </c>
      <c r="D368" s="11">
        <v>1190</v>
      </c>
      <c r="E368" s="15">
        <v>42811</v>
      </c>
      <c r="F368" s="15" t="s">
        <v>28</v>
      </c>
      <c r="G368" s="12">
        <v>42817</v>
      </c>
      <c r="H368" s="23">
        <f t="shared" si="40"/>
        <v>1190</v>
      </c>
      <c r="I368" s="23"/>
      <c r="J368" s="23"/>
      <c r="K368" s="24"/>
      <c r="L368" s="23">
        <v>930</v>
      </c>
      <c r="M368" s="22">
        <f t="shared" si="41"/>
        <v>260</v>
      </c>
      <c r="N368" s="22"/>
      <c r="O368" s="30">
        <f t="shared" si="42"/>
        <v>0.21848739495798319</v>
      </c>
    </row>
    <row r="369" spans="1:15" ht="20.100000000000001" customHeight="1" x14ac:dyDescent="0.25">
      <c r="A369" s="33">
        <v>114</v>
      </c>
      <c r="B369" s="9">
        <v>42794</v>
      </c>
      <c r="C369" s="18" t="s">
        <v>216</v>
      </c>
      <c r="D369" s="11">
        <v>4190.75</v>
      </c>
      <c r="E369" s="15">
        <v>42811</v>
      </c>
      <c r="F369" s="15" t="s">
        <v>28</v>
      </c>
      <c r="G369" s="12">
        <v>42843</v>
      </c>
      <c r="H369" s="23">
        <f t="shared" si="40"/>
        <v>4190.75</v>
      </c>
      <c r="I369" s="23"/>
      <c r="J369" s="23"/>
      <c r="K369" s="24"/>
      <c r="L369" s="23">
        <v>3624</v>
      </c>
      <c r="M369" s="22">
        <f t="shared" si="41"/>
        <v>566.75</v>
      </c>
      <c r="N369" s="22"/>
      <c r="O369" s="30">
        <f t="shared" si="42"/>
        <v>0.13523832249597328</v>
      </c>
    </row>
    <row r="370" spans="1:15" ht="20.100000000000001" customHeight="1" x14ac:dyDescent="0.25">
      <c r="A370" s="33">
        <v>150</v>
      </c>
      <c r="B370" s="9">
        <v>42808</v>
      </c>
      <c r="C370" s="18" t="s">
        <v>89</v>
      </c>
      <c r="D370" s="11">
        <v>4000</v>
      </c>
      <c r="E370" s="15">
        <v>42811</v>
      </c>
      <c r="F370" s="15" t="s">
        <v>28</v>
      </c>
      <c r="G370" s="12">
        <v>42814</v>
      </c>
      <c r="H370" s="23">
        <f t="shared" si="40"/>
        <v>4000</v>
      </c>
      <c r="I370" s="23"/>
      <c r="J370" s="23"/>
      <c r="K370" s="24">
        <v>600</v>
      </c>
      <c r="L370" s="23">
        <v>1786</v>
      </c>
      <c r="M370" s="22">
        <f t="shared" si="41"/>
        <v>1614</v>
      </c>
      <c r="N370" s="22"/>
      <c r="O370" s="30">
        <f t="shared" si="42"/>
        <v>0.40350000000000003</v>
      </c>
    </row>
    <row r="371" spans="1:15" ht="20.100000000000001" customHeight="1" x14ac:dyDescent="0.25">
      <c r="A371" s="33">
        <v>135</v>
      </c>
      <c r="B371" s="9">
        <v>42800</v>
      </c>
      <c r="C371" s="20" t="s">
        <v>229</v>
      </c>
      <c r="D371" s="11">
        <v>104590</v>
      </c>
      <c r="E371" s="15">
        <v>42815</v>
      </c>
      <c r="F371" s="15" t="s">
        <v>28</v>
      </c>
      <c r="G371" s="12">
        <v>42816</v>
      </c>
      <c r="H371" s="23">
        <f t="shared" si="40"/>
        <v>104590</v>
      </c>
      <c r="I371" s="23">
        <f>H371</f>
        <v>104590</v>
      </c>
      <c r="J371" s="23"/>
      <c r="K371" s="24"/>
      <c r="L371" s="23">
        <v>79070</v>
      </c>
      <c r="M371" s="22">
        <f t="shared" si="41"/>
        <v>25520</v>
      </c>
      <c r="N371" s="22">
        <f>M371</f>
        <v>25520</v>
      </c>
      <c r="O371" s="30">
        <f t="shared" si="42"/>
        <v>0.24400038244574052</v>
      </c>
    </row>
    <row r="372" spans="1:15" ht="20.100000000000001" customHeight="1" x14ac:dyDescent="0.25">
      <c r="A372" s="33">
        <v>170</v>
      </c>
      <c r="B372" s="9">
        <v>42811</v>
      </c>
      <c r="C372" s="18" t="s">
        <v>49</v>
      </c>
      <c r="D372" s="11">
        <v>4468.54</v>
      </c>
      <c r="E372" s="15">
        <v>42815</v>
      </c>
      <c r="F372" s="15" t="s">
        <v>28</v>
      </c>
      <c r="G372" s="12">
        <v>42818</v>
      </c>
      <c r="H372" s="23">
        <f t="shared" si="40"/>
        <v>4468.54</v>
      </c>
      <c r="I372" s="23"/>
      <c r="J372" s="23"/>
      <c r="K372" s="24"/>
      <c r="L372" s="23">
        <v>3485</v>
      </c>
      <c r="M372" s="22">
        <f t="shared" si="41"/>
        <v>983.54</v>
      </c>
      <c r="N372" s="22"/>
      <c r="O372" s="30">
        <f t="shared" si="42"/>
        <v>0.22010321044457473</v>
      </c>
    </row>
    <row r="373" spans="1:15" ht="20.100000000000001" customHeight="1" x14ac:dyDescent="0.25">
      <c r="A373" s="33">
        <v>93</v>
      </c>
      <c r="B373" s="9">
        <v>42781</v>
      </c>
      <c r="C373" s="20" t="s">
        <v>228</v>
      </c>
      <c r="D373" s="11">
        <v>230621</v>
      </c>
      <c r="E373" s="15">
        <v>42815</v>
      </c>
      <c r="F373" s="15" t="s">
        <v>28</v>
      </c>
      <c r="G373" s="12">
        <v>42835</v>
      </c>
      <c r="H373" s="23">
        <f>D373/2</f>
        <v>115310.5</v>
      </c>
      <c r="I373" s="23">
        <f>H373</f>
        <v>115310.5</v>
      </c>
      <c r="J373" s="23"/>
      <c r="K373" s="24"/>
      <c r="L373" s="23">
        <v>91534.5</v>
      </c>
      <c r="M373" s="22">
        <f t="shared" si="41"/>
        <v>23776</v>
      </c>
      <c r="N373" s="22">
        <f>M373</f>
        <v>23776</v>
      </c>
      <c r="O373" s="30">
        <f t="shared" si="42"/>
        <v>0.2061911100897143</v>
      </c>
    </row>
    <row r="374" spans="1:15" ht="20.100000000000001" customHeight="1" x14ac:dyDescent="0.25">
      <c r="A374" s="33">
        <v>164</v>
      </c>
      <c r="B374" s="9">
        <v>42810</v>
      </c>
      <c r="C374" s="18" t="s">
        <v>65</v>
      </c>
      <c r="D374" s="11">
        <v>30000</v>
      </c>
      <c r="E374" s="15">
        <v>42816</v>
      </c>
      <c r="F374" s="15" t="s">
        <v>28</v>
      </c>
      <c r="G374" s="12">
        <v>42816</v>
      </c>
      <c r="H374" s="23">
        <f>D374</f>
        <v>30000</v>
      </c>
      <c r="I374" s="23"/>
      <c r="J374" s="23"/>
      <c r="K374" s="24"/>
      <c r="L374" s="23">
        <v>26557</v>
      </c>
      <c r="M374" s="22">
        <f t="shared" si="41"/>
        <v>3443</v>
      </c>
      <c r="N374" s="22"/>
      <c r="O374" s="30">
        <f t="shared" si="42"/>
        <v>0.11476666666666667</v>
      </c>
    </row>
    <row r="375" spans="1:15" ht="20.100000000000001" customHeight="1" x14ac:dyDescent="0.25">
      <c r="A375" s="33">
        <v>53</v>
      </c>
      <c r="B375" s="9">
        <v>42767</v>
      </c>
      <c r="C375" s="18" t="s">
        <v>99</v>
      </c>
      <c r="D375" s="11">
        <v>118322.5</v>
      </c>
      <c r="E375" s="15">
        <v>42816</v>
      </c>
      <c r="F375" s="15" t="s">
        <v>28</v>
      </c>
      <c r="G375" s="12">
        <v>42772</v>
      </c>
      <c r="H375" s="23">
        <f>D375</f>
        <v>118322.5</v>
      </c>
      <c r="I375" s="23"/>
      <c r="J375" s="23">
        <v>30000</v>
      </c>
      <c r="K375" s="24"/>
      <c r="L375" s="23">
        <v>14980</v>
      </c>
      <c r="M375" s="22">
        <f t="shared" si="41"/>
        <v>73342.5</v>
      </c>
      <c r="N375" s="22"/>
      <c r="O375" s="30">
        <f t="shared" si="42"/>
        <v>0.61985252170973404</v>
      </c>
    </row>
    <row r="376" spans="1:15" ht="20.100000000000001" customHeight="1" x14ac:dyDescent="0.25">
      <c r="A376" s="33">
        <v>147</v>
      </c>
      <c r="B376" s="9">
        <v>42804</v>
      </c>
      <c r="C376" s="20" t="s">
        <v>230</v>
      </c>
      <c r="D376" s="11">
        <v>5770.92</v>
      </c>
      <c r="E376" s="15">
        <v>42816</v>
      </c>
      <c r="F376" s="15" t="s">
        <v>28</v>
      </c>
      <c r="G376" s="12">
        <v>42817</v>
      </c>
      <c r="H376" s="23">
        <f>D376</f>
        <v>5770.92</v>
      </c>
      <c r="I376" s="23">
        <f>H376</f>
        <v>5770.92</v>
      </c>
      <c r="J376" s="23"/>
      <c r="K376" s="24"/>
      <c r="L376" s="23">
        <v>4452</v>
      </c>
      <c r="M376" s="22">
        <f t="shared" si="41"/>
        <v>1318.92</v>
      </c>
      <c r="N376" s="22">
        <f>M376</f>
        <v>1318.92</v>
      </c>
      <c r="O376" s="30">
        <f t="shared" si="42"/>
        <v>0.22854588176581897</v>
      </c>
    </row>
    <row r="377" spans="1:15" ht="20.100000000000001" customHeight="1" x14ac:dyDescent="0.25">
      <c r="A377" s="33">
        <v>144</v>
      </c>
      <c r="B377" s="9">
        <v>42804</v>
      </c>
      <c r="C377" s="18" t="s">
        <v>13</v>
      </c>
      <c r="D377" s="11">
        <v>11941.15</v>
      </c>
      <c r="E377" s="15">
        <v>42816</v>
      </c>
      <c r="F377" s="15" t="s">
        <v>28</v>
      </c>
      <c r="G377" s="12">
        <v>42808</v>
      </c>
      <c r="H377" s="23">
        <f>D377</f>
        <v>11941.15</v>
      </c>
      <c r="I377" s="23"/>
      <c r="J377" s="23"/>
      <c r="K377" s="24"/>
      <c r="L377" s="23">
        <v>9030</v>
      </c>
      <c r="M377" s="22">
        <f t="shared" si="41"/>
        <v>2911.1499999999996</v>
      </c>
      <c r="N377" s="22"/>
      <c r="O377" s="30">
        <f t="shared" si="42"/>
        <v>0.24379142712385321</v>
      </c>
    </row>
    <row r="378" spans="1:15" ht="19.5" customHeight="1" x14ac:dyDescent="0.25">
      <c r="A378" s="33">
        <v>143</v>
      </c>
      <c r="B378" s="9">
        <v>42803</v>
      </c>
      <c r="C378" s="18" t="s">
        <v>180</v>
      </c>
      <c r="D378" s="11">
        <v>133579.66</v>
      </c>
      <c r="E378" s="15">
        <v>42816</v>
      </c>
      <c r="F378" s="15" t="s">
        <v>28</v>
      </c>
      <c r="G378" s="12">
        <v>42845</v>
      </c>
      <c r="H378" s="23">
        <f>D378/2</f>
        <v>66789.83</v>
      </c>
      <c r="I378" s="23"/>
      <c r="J378" s="23"/>
      <c r="K378" s="24">
        <v>1200</v>
      </c>
      <c r="L378" s="23">
        <v>42302.5</v>
      </c>
      <c r="M378" s="22">
        <f t="shared" si="41"/>
        <v>23287.33</v>
      </c>
      <c r="N378" s="22"/>
      <c r="O378" s="30">
        <f t="shared" si="42"/>
        <v>0.34866580735420349</v>
      </c>
    </row>
    <row r="379" spans="1:15" ht="15.75" x14ac:dyDescent="0.25">
      <c r="A379" s="33">
        <v>185</v>
      </c>
      <c r="B379" s="9">
        <v>42816</v>
      </c>
      <c r="C379" s="18" t="s">
        <v>231</v>
      </c>
      <c r="D379" s="11">
        <v>8480</v>
      </c>
      <c r="E379" s="15">
        <v>42818</v>
      </c>
      <c r="F379" s="15" t="s">
        <v>28</v>
      </c>
      <c r="G379" s="12">
        <v>42821</v>
      </c>
      <c r="H379" s="23">
        <f t="shared" ref="H379:H389" si="43">D379</f>
        <v>8480</v>
      </c>
      <c r="I379" s="23"/>
      <c r="J379" s="23"/>
      <c r="K379" s="24">
        <f>600*2</f>
        <v>1200</v>
      </c>
      <c r="L379" s="23">
        <v>3946</v>
      </c>
      <c r="M379" s="22">
        <f t="shared" si="41"/>
        <v>3334</v>
      </c>
      <c r="N379" s="22"/>
      <c r="O379" s="30">
        <f t="shared" si="42"/>
        <v>0.39316037735849058</v>
      </c>
    </row>
    <row r="380" spans="1:15" s="2" customFormat="1" ht="20.100000000000001" customHeight="1" x14ac:dyDescent="0.25">
      <c r="A380" s="33">
        <v>197</v>
      </c>
      <c r="B380" s="9">
        <v>42821</v>
      </c>
      <c r="C380" s="20" t="s">
        <v>232</v>
      </c>
      <c r="D380" s="11">
        <v>20100</v>
      </c>
      <c r="E380" s="15">
        <v>42822</v>
      </c>
      <c r="F380" s="15" t="s">
        <v>28</v>
      </c>
      <c r="G380" s="12">
        <v>42822</v>
      </c>
      <c r="H380" s="23">
        <f t="shared" si="43"/>
        <v>20100</v>
      </c>
      <c r="I380" s="23">
        <f>H380</f>
        <v>20100</v>
      </c>
      <c r="J380" s="23"/>
      <c r="K380" s="24"/>
      <c r="L380" s="23">
        <v>17154</v>
      </c>
      <c r="M380" s="22">
        <f t="shared" si="41"/>
        <v>2946</v>
      </c>
      <c r="N380" s="22">
        <f>M380</f>
        <v>2946</v>
      </c>
      <c r="O380" s="30">
        <f t="shared" si="42"/>
        <v>0.14656716417910448</v>
      </c>
    </row>
    <row r="381" spans="1:15" ht="20.100000000000001" customHeight="1" x14ac:dyDescent="0.25">
      <c r="A381" s="33">
        <v>181</v>
      </c>
      <c r="B381" s="9">
        <v>42815</v>
      </c>
      <c r="C381" s="18" t="s">
        <v>165</v>
      </c>
      <c r="D381" s="11">
        <v>1331.52</v>
      </c>
      <c r="E381" s="15">
        <v>42822</v>
      </c>
      <c r="F381" s="15" t="s">
        <v>28</v>
      </c>
      <c r="G381" s="12">
        <v>42853</v>
      </c>
      <c r="H381" s="23">
        <f t="shared" si="43"/>
        <v>1331.52</v>
      </c>
      <c r="I381" s="23"/>
      <c r="J381" s="23"/>
      <c r="K381" s="24"/>
      <c r="L381" s="23">
        <v>1038</v>
      </c>
      <c r="M381" s="22">
        <f t="shared" si="41"/>
        <v>293.52</v>
      </c>
      <c r="N381" s="22"/>
      <c r="O381" s="30">
        <f t="shared" si="42"/>
        <v>0.22043979812545061</v>
      </c>
    </row>
    <row r="382" spans="1:15" ht="20.100000000000001" customHeight="1" x14ac:dyDescent="0.25">
      <c r="A382" s="33">
        <v>202</v>
      </c>
      <c r="B382" s="9">
        <v>42823</v>
      </c>
      <c r="C382" s="20" t="s">
        <v>233</v>
      </c>
      <c r="D382" s="11">
        <v>31673</v>
      </c>
      <c r="E382" s="15">
        <v>42823</v>
      </c>
      <c r="F382" s="15" t="s">
        <v>28</v>
      </c>
      <c r="G382" s="12">
        <v>42823</v>
      </c>
      <c r="H382" s="23">
        <f t="shared" si="43"/>
        <v>31673</v>
      </c>
      <c r="I382" s="23">
        <f>H382</f>
        <v>31673</v>
      </c>
      <c r="J382" s="23"/>
      <c r="K382" s="24"/>
      <c r="L382" s="23">
        <v>24204</v>
      </c>
      <c r="M382" s="22">
        <f t="shared" si="41"/>
        <v>7469</v>
      </c>
      <c r="N382" s="22">
        <f>M382</f>
        <v>7469</v>
      </c>
      <c r="O382" s="30">
        <f t="shared" si="42"/>
        <v>0.23581599469579767</v>
      </c>
    </row>
    <row r="383" spans="1:15" ht="20.100000000000001" customHeight="1" x14ac:dyDescent="0.25">
      <c r="A383" s="33">
        <v>200</v>
      </c>
      <c r="B383" s="9">
        <v>42822</v>
      </c>
      <c r="C383" s="20" t="s">
        <v>234</v>
      </c>
      <c r="D383" s="11">
        <v>17890</v>
      </c>
      <c r="E383" s="15">
        <v>42823</v>
      </c>
      <c r="F383" s="15" t="s">
        <v>28</v>
      </c>
      <c r="G383" s="12">
        <v>42843</v>
      </c>
      <c r="H383" s="23">
        <f t="shared" si="43"/>
        <v>17890</v>
      </c>
      <c r="I383" s="23">
        <f>H383</f>
        <v>17890</v>
      </c>
      <c r="J383" s="23"/>
      <c r="K383" s="24"/>
      <c r="L383" s="23">
        <v>13525</v>
      </c>
      <c r="M383" s="22">
        <f t="shared" si="41"/>
        <v>4365</v>
      </c>
      <c r="N383" s="22">
        <f>M383</f>
        <v>4365</v>
      </c>
      <c r="O383" s="30">
        <f t="shared" si="42"/>
        <v>0.24399105645612074</v>
      </c>
    </row>
    <row r="384" spans="1:15" ht="20.100000000000001" customHeight="1" x14ac:dyDescent="0.25">
      <c r="A384" s="33">
        <v>184</v>
      </c>
      <c r="B384" s="9">
        <v>42816</v>
      </c>
      <c r="C384" s="18" t="s">
        <v>66</v>
      </c>
      <c r="D384" s="11">
        <v>102.03</v>
      </c>
      <c r="E384" s="15">
        <v>42823</v>
      </c>
      <c r="F384" s="15" t="s">
        <v>28</v>
      </c>
      <c r="G384" s="12">
        <v>42843</v>
      </c>
      <c r="H384" s="23">
        <f t="shared" si="43"/>
        <v>102.03</v>
      </c>
      <c r="I384" s="23"/>
      <c r="J384" s="23"/>
      <c r="K384" s="24"/>
      <c r="L384" s="23">
        <v>57</v>
      </c>
      <c r="M384" s="22">
        <f t="shared" si="41"/>
        <v>45.03</v>
      </c>
      <c r="N384" s="22"/>
      <c r="O384" s="30">
        <f t="shared" si="42"/>
        <v>0.44134078212290501</v>
      </c>
    </row>
    <row r="385" spans="1:15" ht="20.100000000000001" customHeight="1" x14ac:dyDescent="0.25">
      <c r="A385" s="33">
        <v>194</v>
      </c>
      <c r="B385" s="9">
        <v>42821</v>
      </c>
      <c r="C385" s="18" t="s">
        <v>66</v>
      </c>
      <c r="D385" s="11">
        <v>582</v>
      </c>
      <c r="E385" s="15">
        <v>42823</v>
      </c>
      <c r="F385" s="15" t="s">
        <v>28</v>
      </c>
      <c r="G385" s="12">
        <v>42821</v>
      </c>
      <c r="H385" s="23">
        <f t="shared" si="43"/>
        <v>582</v>
      </c>
      <c r="I385" s="23"/>
      <c r="J385" s="23"/>
      <c r="K385" s="24"/>
      <c r="L385" s="23">
        <v>382</v>
      </c>
      <c r="M385" s="22">
        <f t="shared" si="41"/>
        <v>200</v>
      </c>
      <c r="N385" s="22"/>
      <c r="O385" s="30">
        <f t="shared" si="42"/>
        <v>0.3436426116838488</v>
      </c>
    </row>
    <row r="386" spans="1:15" ht="20.100000000000001" customHeight="1" x14ac:dyDescent="0.25">
      <c r="A386" s="33">
        <v>148</v>
      </c>
      <c r="B386" s="9">
        <v>42804</v>
      </c>
      <c r="C386" s="18" t="s">
        <v>33</v>
      </c>
      <c r="D386" s="11">
        <v>4920.6000000000004</v>
      </c>
      <c r="E386" s="15">
        <v>42823</v>
      </c>
      <c r="F386" s="15" t="s">
        <v>28</v>
      </c>
      <c r="G386" s="12">
        <v>42825</v>
      </c>
      <c r="H386" s="23">
        <f t="shared" si="43"/>
        <v>4920.6000000000004</v>
      </c>
      <c r="I386" s="23"/>
      <c r="J386" s="23"/>
      <c r="K386" s="24"/>
      <c r="L386" s="23">
        <v>3463</v>
      </c>
      <c r="M386" s="22">
        <f t="shared" si="41"/>
        <v>1457.6000000000004</v>
      </c>
      <c r="N386" s="22"/>
      <c r="O386" s="30">
        <f t="shared" si="42"/>
        <v>0.29622403771897743</v>
      </c>
    </row>
    <row r="387" spans="1:15" ht="20.100000000000001" customHeight="1" x14ac:dyDescent="0.25">
      <c r="A387" s="33">
        <v>129</v>
      </c>
      <c r="B387" s="9">
        <v>42815</v>
      </c>
      <c r="C387" s="18" t="s">
        <v>94</v>
      </c>
      <c r="D387" s="11">
        <v>6736.9</v>
      </c>
      <c r="E387" s="15">
        <v>42823</v>
      </c>
      <c r="F387" s="15" t="s">
        <v>28</v>
      </c>
      <c r="G387" s="12">
        <v>42815</v>
      </c>
      <c r="H387" s="23">
        <f t="shared" si="43"/>
        <v>6736.9</v>
      </c>
      <c r="I387" s="23"/>
      <c r="J387" s="23"/>
      <c r="K387" s="24"/>
      <c r="L387" s="23">
        <v>4833</v>
      </c>
      <c r="M387" s="22">
        <f t="shared" si="41"/>
        <v>1903.8999999999996</v>
      </c>
      <c r="N387" s="22"/>
      <c r="O387" s="30">
        <f t="shared" si="42"/>
        <v>0.28260772758984098</v>
      </c>
    </row>
    <row r="388" spans="1:15" ht="20.100000000000001" customHeight="1" x14ac:dyDescent="0.25">
      <c r="A388" s="33">
        <v>201</v>
      </c>
      <c r="B388" s="9">
        <v>42822</v>
      </c>
      <c r="C388" s="18" t="s">
        <v>216</v>
      </c>
      <c r="D388" s="11">
        <v>16542.93</v>
      </c>
      <c r="E388" s="15">
        <v>42824</v>
      </c>
      <c r="F388" s="15" t="s">
        <v>28</v>
      </c>
      <c r="G388" s="12">
        <v>42843</v>
      </c>
      <c r="H388" s="23">
        <f t="shared" si="43"/>
        <v>16542.93</v>
      </c>
      <c r="I388" s="23"/>
      <c r="J388" s="23"/>
      <c r="K388" s="24"/>
      <c r="L388" s="23">
        <v>15067</v>
      </c>
      <c r="M388" s="22">
        <f t="shared" si="41"/>
        <v>1475.9300000000003</v>
      </c>
      <c r="N388" s="22"/>
      <c r="O388" s="30">
        <f t="shared" si="42"/>
        <v>8.9218173564175163E-2</v>
      </c>
    </row>
    <row r="389" spans="1:15" ht="20.100000000000001" customHeight="1" x14ac:dyDescent="0.25">
      <c r="A389" s="33">
        <v>198</v>
      </c>
      <c r="B389" s="9">
        <v>42822</v>
      </c>
      <c r="C389" s="18" t="s">
        <v>91</v>
      </c>
      <c r="D389" s="11">
        <v>2090</v>
      </c>
      <c r="E389" s="15">
        <v>42825</v>
      </c>
      <c r="F389" s="15" t="s">
        <v>28</v>
      </c>
      <c r="G389" s="12">
        <v>42828</v>
      </c>
      <c r="H389" s="23">
        <f t="shared" si="43"/>
        <v>2090</v>
      </c>
      <c r="I389" s="23"/>
      <c r="J389" s="23"/>
      <c r="K389" s="24"/>
      <c r="L389" s="23">
        <v>1702</v>
      </c>
      <c r="M389" s="22">
        <f t="shared" si="41"/>
        <v>388</v>
      </c>
      <c r="N389" s="22"/>
      <c r="O389" s="30">
        <f t="shared" si="42"/>
        <v>0.18564593301435406</v>
      </c>
    </row>
    <row r="390" spans="1:15" ht="20.100000000000001" customHeight="1" x14ac:dyDescent="0.25">
      <c r="A390" s="35" t="s">
        <v>535</v>
      </c>
      <c r="B390" s="36"/>
      <c r="C390" s="42"/>
      <c r="D390" s="37"/>
      <c r="E390" s="46" t="s">
        <v>542</v>
      </c>
      <c r="F390" s="47">
        <f>M390*0.17+N390*0.06+8000</f>
        <v>65269.735800000009</v>
      </c>
      <c r="G390" s="21">
        <f>H390*0.05+I390*0.02</f>
        <v>61161.447400000012</v>
      </c>
      <c r="H390" s="49">
        <f>SUBTOTAL(109,Март2017[Продажа])</f>
        <v>1041219.1800000002</v>
      </c>
      <c r="I390" s="49">
        <f>SUBTOTAL(109,Март2017[Продажа НК])</f>
        <v>455024.42</v>
      </c>
      <c r="J390" s="49">
        <f>SUBTOTAL(109,Март2017[отк])</f>
        <v>30000</v>
      </c>
      <c r="K390" s="49">
        <f>SUBTOTAL(109,Март2017[шланги])</f>
        <v>4800</v>
      </c>
      <c r="L390" s="49">
        <f>SUBTOTAL(109,Март2017[Закупка])</f>
        <v>702802</v>
      </c>
      <c r="M390" s="49">
        <f>SUBTOTAL(109,Март2017[Маржа])</f>
        <v>303617.18000000005</v>
      </c>
      <c r="N390" s="49">
        <f>SUBTOTAL(109,Март2017[Маржа НК])</f>
        <v>94246.92</v>
      </c>
      <c r="O390" s="44">
        <f t="shared" si="42"/>
        <v>0.29159775946501487</v>
      </c>
    </row>
    <row r="391" spans="1:15" ht="20.100000000000001" customHeight="1" x14ac:dyDescent="0.25">
      <c r="A391" s="41" t="s">
        <v>1</v>
      </c>
      <c r="B391" s="1" t="s">
        <v>0</v>
      </c>
      <c r="C391" s="1" t="s">
        <v>26</v>
      </c>
      <c r="D391" s="1" t="s">
        <v>2</v>
      </c>
      <c r="E391" s="1" t="s">
        <v>3</v>
      </c>
      <c r="F391" s="1" t="s">
        <v>27</v>
      </c>
      <c r="G391" s="1" t="s">
        <v>4</v>
      </c>
      <c r="H391" s="2" t="s">
        <v>132</v>
      </c>
      <c r="I391" s="2" t="s">
        <v>133</v>
      </c>
      <c r="J391" s="40" t="s">
        <v>187</v>
      </c>
      <c r="K391" s="40" t="s">
        <v>188</v>
      </c>
      <c r="L391" s="40" t="s">
        <v>129</v>
      </c>
      <c r="M391" s="40" t="s">
        <v>130</v>
      </c>
      <c r="N391" s="2" t="s">
        <v>131</v>
      </c>
      <c r="O391" s="2" t="s">
        <v>134</v>
      </c>
    </row>
    <row r="392" spans="1:15" ht="20.100000000000001" customHeight="1" x14ac:dyDescent="0.25">
      <c r="A392" s="33">
        <v>204</v>
      </c>
      <c r="B392" s="9">
        <v>42823</v>
      </c>
      <c r="C392" s="18" t="s">
        <v>228</v>
      </c>
      <c r="D392" s="11">
        <v>4474.68</v>
      </c>
      <c r="E392" s="15">
        <v>42829</v>
      </c>
      <c r="F392" s="15" t="s">
        <v>28</v>
      </c>
      <c r="G392" s="12">
        <v>42835</v>
      </c>
      <c r="H392" s="23">
        <f>D392</f>
        <v>4474.68</v>
      </c>
      <c r="I392" s="23"/>
      <c r="J392" s="23"/>
      <c r="K392" s="24"/>
      <c r="L392" s="23">
        <v>3446</v>
      </c>
      <c r="M392" s="22">
        <f t="shared" ref="M392:M422" si="44">H392-L392-J392-K392</f>
        <v>1028.6800000000003</v>
      </c>
      <c r="N392" s="22"/>
      <c r="O392" s="30">
        <f t="shared" ref="O392:O423" si="45">M392/H392</f>
        <v>0.2298890646928943</v>
      </c>
    </row>
    <row r="393" spans="1:15" ht="20.100000000000001" customHeight="1" x14ac:dyDescent="0.25">
      <c r="A393" s="33">
        <v>217</v>
      </c>
      <c r="B393" s="9">
        <v>42828</v>
      </c>
      <c r="C393" s="18" t="s">
        <v>236</v>
      </c>
      <c r="D393" s="11">
        <v>10400</v>
      </c>
      <c r="E393" s="15">
        <v>42830</v>
      </c>
      <c r="F393" s="15" t="s">
        <v>28</v>
      </c>
      <c r="G393" s="12">
        <v>42836</v>
      </c>
      <c r="H393" s="23">
        <f>D393</f>
        <v>10400</v>
      </c>
      <c r="I393" s="23"/>
      <c r="J393" s="23"/>
      <c r="K393" s="24"/>
      <c r="L393" s="23">
        <v>5400</v>
      </c>
      <c r="M393" s="22">
        <f t="shared" si="44"/>
        <v>5000</v>
      </c>
      <c r="N393" s="22"/>
      <c r="O393" s="30">
        <f t="shared" si="45"/>
        <v>0.48076923076923078</v>
      </c>
    </row>
    <row r="394" spans="1:15" ht="20.100000000000001" customHeight="1" x14ac:dyDescent="0.25">
      <c r="A394" s="33">
        <v>230</v>
      </c>
      <c r="B394" s="9">
        <v>42831</v>
      </c>
      <c r="C394" s="18" t="s">
        <v>125</v>
      </c>
      <c r="D394" s="11">
        <v>20999</v>
      </c>
      <c r="E394" s="15">
        <v>42831</v>
      </c>
      <c r="F394" s="15" t="s">
        <v>28</v>
      </c>
      <c r="G394" s="12">
        <v>42832</v>
      </c>
      <c r="H394" s="23">
        <f>D394</f>
        <v>20999</v>
      </c>
      <c r="I394" s="23"/>
      <c r="J394" s="23"/>
      <c r="K394" s="24"/>
      <c r="L394" s="23">
        <v>17154</v>
      </c>
      <c r="M394" s="22">
        <f t="shared" si="44"/>
        <v>3845</v>
      </c>
      <c r="N394" s="22"/>
      <c r="O394" s="30">
        <f t="shared" si="45"/>
        <v>0.1831039573313015</v>
      </c>
    </row>
    <row r="395" spans="1:15" ht="20.100000000000001" customHeight="1" x14ac:dyDescent="0.25">
      <c r="A395" s="33">
        <v>126</v>
      </c>
      <c r="B395" s="9">
        <v>42831</v>
      </c>
      <c r="C395" s="20" t="s">
        <v>237</v>
      </c>
      <c r="D395" s="11">
        <v>68628.84</v>
      </c>
      <c r="E395" s="15">
        <v>42832</v>
      </c>
      <c r="F395" s="15" t="s">
        <v>28</v>
      </c>
      <c r="G395" s="12">
        <v>42837</v>
      </c>
      <c r="H395" s="23">
        <f>D395</f>
        <v>68628.84</v>
      </c>
      <c r="I395" s="23">
        <f>H395</f>
        <v>68628.84</v>
      </c>
      <c r="J395" s="23"/>
      <c r="K395" s="24">
        <v>600</v>
      </c>
      <c r="L395" s="23">
        <v>57636.25</v>
      </c>
      <c r="M395" s="22">
        <f t="shared" si="44"/>
        <v>10392.589999999997</v>
      </c>
      <c r="N395" s="22">
        <f>M395</f>
        <v>10392.589999999997</v>
      </c>
      <c r="O395" s="30">
        <f t="shared" si="45"/>
        <v>0.15143181787714899</v>
      </c>
    </row>
    <row r="396" spans="1:15" ht="20.100000000000001" customHeight="1" x14ac:dyDescent="0.25">
      <c r="A396" s="33">
        <v>206</v>
      </c>
      <c r="B396" s="9">
        <v>42824</v>
      </c>
      <c r="C396" s="18" t="s">
        <v>97</v>
      </c>
      <c r="D396" s="11">
        <v>2345.4899999999998</v>
      </c>
      <c r="E396" s="15">
        <v>42831</v>
      </c>
      <c r="F396" s="15" t="s">
        <v>28</v>
      </c>
      <c r="G396" s="12">
        <v>42843</v>
      </c>
      <c r="H396" s="23">
        <f>D396</f>
        <v>2345.4899999999998</v>
      </c>
      <c r="I396" s="23"/>
      <c r="J396" s="23"/>
      <c r="K396" s="24"/>
      <c r="L396" s="23">
        <v>1548</v>
      </c>
      <c r="M396" s="22">
        <f t="shared" si="44"/>
        <v>797.48999999999978</v>
      </c>
      <c r="N396" s="22"/>
      <c r="O396" s="30">
        <f t="shared" si="45"/>
        <v>0.34000997659337701</v>
      </c>
    </row>
    <row r="397" spans="1:15" ht="20.100000000000001" customHeight="1" x14ac:dyDescent="0.25">
      <c r="A397" s="33">
        <v>93</v>
      </c>
      <c r="B397" s="9">
        <v>42781</v>
      </c>
      <c r="C397" s="20" t="s">
        <v>228</v>
      </c>
      <c r="D397" s="11">
        <v>230621</v>
      </c>
      <c r="E397" s="15">
        <v>42832</v>
      </c>
      <c r="F397" s="15" t="s">
        <v>28</v>
      </c>
      <c r="G397" s="12">
        <v>42835</v>
      </c>
      <c r="H397" s="23">
        <f>D397/2</f>
        <v>115310.5</v>
      </c>
      <c r="I397" s="23">
        <f>H397</f>
        <v>115310.5</v>
      </c>
      <c r="J397" s="23"/>
      <c r="K397" s="24"/>
      <c r="L397" s="23">
        <v>91534.5</v>
      </c>
      <c r="M397" s="22">
        <f t="shared" si="44"/>
        <v>23776</v>
      </c>
      <c r="N397" s="22">
        <f>M397</f>
        <v>23776</v>
      </c>
      <c r="O397" s="30">
        <f t="shared" si="45"/>
        <v>0.2061911100897143</v>
      </c>
    </row>
    <row r="398" spans="1:15" ht="20.100000000000001" customHeight="1" x14ac:dyDescent="0.25">
      <c r="A398" s="33">
        <v>234</v>
      </c>
      <c r="B398" s="9">
        <v>42832</v>
      </c>
      <c r="C398" s="18" t="s">
        <v>175</v>
      </c>
      <c r="D398" s="11">
        <v>9480</v>
      </c>
      <c r="E398" s="15">
        <v>42835</v>
      </c>
      <c r="F398" s="15" t="s">
        <v>28</v>
      </c>
      <c r="G398" s="12">
        <v>42837</v>
      </c>
      <c r="H398" s="23">
        <f t="shared" ref="H398:H422" si="46">D398</f>
        <v>9480</v>
      </c>
      <c r="I398" s="23"/>
      <c r="J398" s="23"/>
      <c r="K398" s="24"/>
      <c r="L398" s="23">
        <v>6256</v>
      </c>
      <c r="M398" s="22">
        <f t="shared" si="44"/>
        <v>3224</v>
      </c>
      <c r="N398" s="22"/>
      <c r="O398" s="30">
        <f t="shared" si="45"/>
        <v>0.34008438818565401</v>
      </c>
    </row>
    <row r="399" spans="1:15" ht="20.100000000000001" customHeight="1" x14ac:dyDescent="0.25">
      <c r="A399" s="33">
        <v>233</v>
      </c>
      <c r="B399" s="9">
        <v>42832</v>
      </c>
      <c r="C399" s="20" t="s">
        <v>238</v>
      </c>
      <c r="D399" s="11">
        <v>6490</v>
      </c>
      <c r="E399" s="15">
        <v>42835</v>
      </c>
      <c r="F399" s="15" t="s">
        <v>28</v>
      </c>
      <c r="G399" s="12">
        <v>42838</v>
      </c>
      <c r="H399" s="23">
        <f t="shared" si="46"/>
        <v>6490</v>
      </c>
      <c r="I399" s="23">
        <f>H399</f>
        <v>6490</v>
      </c>
      <c r="J399" s="23"/>
      <c r="K399" s="24"/>
      <c r="L399" s="23">
        <v>4612</v>
      </c>
      <c r="M399" s="22">
        <f t="shared" si="44"/>
        <v>1878</v>
      </c>
      <c r="N399" s="22">
        <f>M399</f>
        <v>1878</v>
      </c>
      <c r="O399" s="30">
        <f t="shared" si="45"/>
        <v>0.28936825885978429</v>
      </c>
    </row>
    <row r="400" spans="1:15" ht="20.100000000000001" customHeight="1" x14ac:dyDescent="0.25">
      <c r="A400" s="33">
        <v>240</v>
      </c>
      <c r="B400" s="9">
        <v>42836</v>
      </c>
      <c r="C400" s="20" t="s">
        <v>239</v>
      </c>
      <c r="D400" s="11">
        <v>15990</v>
      </c>
      <c r="E400" s="15">
        <v>42836</v>
      </c>
      <c r="F400" s="15" t="s">
        <v>28</v>
      </c>
      <c r="G400" s="12">
        <v>42838</v>
      </c>
      <c r="H400" s="23">
        <f t="shared" si="46"/>
        <v>15990</v>
      </c>
      <c r="I400" s="23">
        <f>H400</f>
        <v>15990</v>
      </c>
      <c r="J400" s="23"/>
      <c r="K400" s="24"/>
      <c r="L400" s="23">
        <v>12088</v>
      </c>
      <c r="M400" s="22">
        <f t="shared" si="44"/>
        <v>3902</v>
      </c>
      <c r="N400" s="22">
        <f>M400</f>
        <v>3902</v>
      </c>
      <c r="O400" s="30">
        <f t="shared" si="45"/>
        <v>0.24402751719824892</v>
      </c>
    </row>
    <row r="401" spans="1:15" ht="20.100000000000001" customHeight="1" x14ac:dyDescent="0.25">
      <c r="A401" s="33">
        <v>241</v>
      </c>
      <c r="B401" s="9">
        <v>42836</v>
      </c>
      <c r="C401" s="18" t="s">
        <v>209</v>
      </c>
      <c r="D401" s="11">
        <v>2312.85</v>
      </c>
      <c r="E401" s="15">
        <v>42836</v>
      </c>
      <c r="F401" s="15" t="s">
        <v>28</v>
      </c>
      <c r="G401" s="12">
        <v>42836</v>
      </c>
      <c r="H401" s="23">
        <f t="shared" si="46"/>
        <v>2312.85</v>
      </c>
      <c r="I401" s="23"/>
      <c r="J401" s="23"/>
      <c r="K401" s="24"/>
      <c r="L401" s="23">
        <v>1935</v>
      </c>
      <c r="M401" s="22">
        <f t="shared" si="44"/>
        <v>377.84999999999991</v>
      </c>
      <c r="N401" s="22"/>
      <c r="O401" s="30">
        <f t="shared" si="45"/>
        <v>0.16336986834425057</v>
      </c>
    </row>
    <row r="402" spans="1:15" ht="20.100000000000001" customHeight="1" x14ac:dyDescent="0.25">
      <c r="A402" s="33">
        <v>235</v>
      </c>
      <c r="B402" s="9">
        <v>42832</v>
      </c>
      <c r="C402" s="18" t="s">
        <v>175</v>
      </c>
      <c r="D402" s="11">
        <v>28440</v>
      </c>
      <c r="E402" s="15">
        <v>42837</v>
      </c>
      <c r="F402" s="15" t="s">
        <v>28</v>
      </c>
      <c r="G402" s="12">
        <v>42865</v>
      </c>
      <c r="H402" s="23">
        <f t="shared" si="46"/>
        <v>28440</v>
      </c>
      <c r="I402" s="23"/>
      <c r="J402" s="23"/>
      <c r="K402" s="24"/>
      <c r="L402" s="23">
        <v>18768</v>
      </c>
      <c r="M402" s="22">
        <f t="shared" si="44"/>
        <v>9672</v>
      </c>
      <c r="N402" s="22"/>
      <c r="O402" s="30">
        <f t="shared" si="45"/>
        <v>0.34008438818565401</v>
      </c>
    </row>
    <row r="403" spans="1:15" ht="20.100000000000001" customHeight="1" x14ac:dyDescent="0.25">
      <c r="A403" s="33">
        <v>243</v>
      </c>
      <c r="B403" s="9">
        <v>42836</v>
      </c>
      <c r="C403" s="18" t="s">
        <v>185</v>
      </c>
      <c r="D403" s="11">
        <v>5444</v>
      </c>
      <c r="E403" s="15">
        <v>42837</v>
      </c>
      <c r="F403" s="15" t="s">
        <v>28</v>
      </c>
      <c r="G403" s="12">
        <v>42843</v>
      </c>
      <c r="H403" s="23">
        <f t="shared" si="46"/>
        <v>5444</v>
      </c>
      <c r="I403" s="23"/>
      <c r="J403" s="23"/>
      <c r="K403" s="24"/>
      <c r="L403" s="23">
        <v>4129</v>
      </c>
      <c r="M403" s="22">
        <f t="shared" si="44"/>
        <v>1315</v>
      </c>
      <c r="N403" s="22"/>
      <c r="O403" s="30">
        <f t="shared" si="45"/>
        <v>0.24155033063923587</v>
      </c>
    </row>
    <row r="404" spans="1:15" ht="20.100000000000001" customHeight="1" x14ac:dyDescent="0.25">
      <c r="A404" s="33">
        <v>248</v>
      </c>
      <c r="B404" s="9">
        <v>42837</v>
      </c>
      <c r="C404" s="18" t="s">
        <v>175</v>
      </c>
      <c r="D404" s="11">
        <v>5358</v>
      </c>
      <c r="E404" s="9">
        <v>42838</v>
      </c>
      <c r="F404" s="15" t="s">
        <v>28</v>
      </c>
      <c r="G404" s="12">
        <v>42838</v>
      </c>
      <c r="H404" s="23">
        <f t="shared" si="46"/>
        <v>5358</v>
      </c>
      <c r="I404" s="23"/>
      <c r="J404" s="23"/>
      <c r="K404" s="24"/>
      <c r="L404" s="23">
        <v>3960</v>
      </c>
      <c r="M404" s="22">
        <f t="shared" si="44"/>
        <v>1398</v>
      </c>
      <c r="N404" s="22"/>
      <c r="O404" s="30">
        <f t="shared" si="45"/>
        <v>0.26091825307950728</v>
      </c>
    </row>
    <row r="405" spans="1:15" ht="20.100000000000001" customHeight="1" x14ac:dyDescent="0.25">
      <c r="A405" s="33">
        <v>154</v>
      </c>
      <c r="B405" s="9">
        <v>42808</v>
      </c>
      <c r="C405" s="18" t="s">
        <v>60</v>
      </c>
      <c r="D405" s="11">
        <v>19194.18</v>
      </c>
      <c r="E405" s="9">
        <v>42838</v>
      </c>
      <c r="F405" s="15" t="s">
        <v>28</v>
      </c>
      <c r="G405" s="12">
        <v>42830</v>
      </c>
      <c r="H405" s="23">
        <f t="shared" si="46"/>
        <v>19194.18</v>
      </c>
      <c r="I405" s="23"/>
      <c r="J405" s="23"/>
      <c r="K405" s="24"/>
      <c r="L405" s="23">
        <v>15047</v>
      </c>
      <c r="M405" s="22">
        <f t="shared" si="44"/>
        <v>4147.18</v>
      </c>
      <c r="N405" s="22"/>
      <c r="O405" s="30">
        <f t="shared" si="45"/>
        <v>0.21606445287060974</v>
      </c>
    </row>
    <row r="406" spans="1:15" ht="20.100000000000001" customHeight="1" x14ac:dyDescent="0.25">
      <c r="A406" s="33">
        <v>122</v>
      </c>
      <c r="B406" s="9">
        <v>42795</v>
      </c>
      <c r="C406" s="18" t="s">
        <v>175</v>
      </c>
      <c r="D406" s="11">
        <v>19112</v>
      </c>
      <c r="E406" s="9">
        <v>42839</v>
      </c>
      <c r="F406" s="15" t="s">
        <v>28</v>
      </c>
      <c r="G406" s="12">
        <v>42839</v>
      </c>
      <c r="H406" s="23">
        <f t="shared" si="46"/>
        <v>19112</v>
      </c>
      <c r="I406" s="23"/>
      <c r="J406" s="23"/>
      <c r="K406" s="24"/>
      <c r="L406" s="23">
        <v>13752</v>
      </c>
      <c r="M406" s="22">
        <f t="shared" si="44"/>
        <v>5360</v>
      </c>
      <c r="N406" s="22"/>
      <c r="O406" s="30">
        <f t="shared" si="45"/>
        <v>0.28045207199665134</v>
      </c>
    </row>
    <row r="407" spans="1:15" ht="20.100000000000001" customHeight="1" x14ac:dyDescent="0.25">
      <c r="A407" s="33">
        <v>212</v>
      </c>
      <c r="B407" s="9">
        <v>42825</v>
      </c>
      <c r="C407" s="18" t="s">
        <v>60</v>
      </c>
      <c r="D407" s="11">
        <v>22631.64</v>
      </c>
      <c r="E407" s="9">
        <v>42839</v>
      </c>
      <c r="F407" s="15" t="s">
        <v>28</v>
      </c>
      <c r="G407" s="12">
        <v>42830</v>
      </c>
      <c r="H407" s="23">
        <f t="shared" si="46"/>
        <v>22631.64</v>
      </c>
      <c r="I407" s="23"/>
      <c r="J407" s="23"/>
      <c r="K407" s="24"/>
      <c r="L407" s="23">
        <v>17604</v>
      </c>
      <c r="M407" s="22">
        <f t="shared" si="44"/>
        <v>5027.6399999999994</v>
      </c>
      <c r="N407" s="22"/>
      <c r="O407" s="30">
        <f t="shared" si="45"/>
        <v>0.22215093559282489</v>
      </c>
    </row>
    <row r="408" spans="1:15" ht="20.100000000000001" customHeight="1" x14ac:dyDescent="0.25">
      <c r="A408" s="33">
        <v>142</v>
      </c>
      <c r="B408" s="9">
        <v>42818</v>
      </c>
      <c r="C408" s="18" t="s">
        <v>56</v>
      </c>
      <c r="D408" s="11">
        <v>34418.81</v>
      </c>
      <c r="E408" s="9">
        <v>42839</v>
      </c>
      <c r="F408" s="15" t="s">
        <v>28</v>
      </c>
      <c r="G408" s="12">
        <v>42823</v>
      </c>
      <c r="H408" s="23">
        <f t="shared" si="46"/>
        <v>34418.81</v>
      </c>
      <c r="I408" s="23"/>
      <c r="J408" s="23"/>
      <c r="K408" s="24">
        <f>5*600</f>
        <v>3000</v>
      </c>
      <c r="L408" s="23">
        <v>18282</v>
      </c>
      <c r="M408" s="22">
        <f t="shared" si="44"/>
        <v>13136.809999999998</v>
      </c>
      <c r="N408" s="22"/>
      <c r="O408" s="30">
        <f t="shared" si="45"/>
        <v>0.38167531068040988</v>
      </c>
    </row>
    <row r="409" spans="1:15" ht="20.100000000000001" customHeight="1" x14ac:dyDescent="0.25">
      <c r="A409" s="33">
        <v>275</v>
      </c>
      <c r="B409" s="9">
        <v>42843</v>
      </c>
      <c r="C409" s="20" t="s">
        <v>240</v>
      </c>
      <c r="D409" s="11">
        <v>22236</v>
      </c>
      <c r="E409" s="9">
        <v>42844</v>
      </c>
      <c r="F409" s="15" t="s">
        <v>28</v>
      </c>
      <c r="G409" s="12">
        <v>42844</v>
      </c>
      <c r="H409" s="23">
        <f t="shared" si="46"/>
        <v>22236</v>
      </c>
      <c r="I409" s="23">
        <f>H409</f>
        <v>22236</v>
      </c>
      <c r="J409" s="23"/>
      <c r="K409" s="24"/>
      <c r="L409" s="23">
        <v>17296</v>
      </c>
      <c r="M409" s="22">
        <f t="shared" si="44"/>
        <v>4940</v>
      </c>
      <c r="N409" s="22">
        <f>M409</f>
        <v>4940</v>
      </c>
      <c r="O409" s="30">
        <f t="shared" si="45"/>
        <v>0.2221622593991725</v>
      </c>
    </row>
    <row r="410" spans="1:15" ht="19.5" customHeight="1" x14ac:dyDescent="0.25">
      <c r="A410" s="33">
        <v>278</v>
      </c>
      <c r="B410" s="9">
        <v>42843</v>
      </c>
      <c r="C410" s="18" t="s">
        <v>14</v>
      </c>
      <c r="D410" s="11">
        <v>4985</v>
      </c>
      <c r="E410" s="9">
        <v>42844</v>
      </c>
      <c r="F410" s="15" t="s">
        <v>28</v>
      </c>
      <c r="G410" s="12">
        <v>42846</v>
      </c>
      <c r="H410" s="23">
        <f t="shared" si="46"/>
        <v>4985</v>
      </c>
      <c r="I410" s="23"/>
      <c r="J410" s="23"/>
      <c r="K410" s="24"/>
      <c r="L410" s="23">
        <v>3402</v>
      </c>
      <c r="M410" s="22">
        <f t="shared" si="44"/>
        <v>1583</v>
      </c>
      <c r="N410" s="22"/>
      <c r="O410" s="30">
        <f t="shared" si="45"/>
        <v>0.31755265797392179</v>
      </c>
    </row>
    <row r="411" spans="1:15" ht="15.75" x14ac:dyDescent="0.25">
      <c r="A411" s="33">
        <v>215</v>
      </c>
      <c r="B411" s="9">
        <v>42828</v>
      </c>
      <c r="C411" s="18" t="s">
        <v>180</v>
      </c>
      <c r="D411" s="11">
        <v>48997.09</v>
      </c>
      <c r="E411" s="15">
        <v>42845</v>
      </c>
      <c r="F411" s="15" t="s">
        <v>28</v>
      </c>
      <c r="G411" s="12">
        <v>42844</v>
      </c>
      <c r="H411" s="23">
        <f t="shared" si="46"/>
        <v>48997.09</v>
      </c>
      <c r="I411" s="23"/>
      <c r="J411" s="23"/>
      <c r="K411" s="24"/>
      <c r="L411" s="23">
        <v>33258</v>
      </c>
      <c r="M411" s="22">
        <f t="shared" si="44"/>
        <v>15739.089999999997</v>
      </c>
      <c r="N411" s="22"/>
      <c r="O411" s="30">
        <f t="shared" si="45"/>
        <v>0.32122499519869441</v>
      </c>
    </row>
    <row r="412" spans="1:15" s="2" customFormat="1" ht="20.100000000000001" customHeight="1" x14ac:dyDescent="0.25">
      <c r="A412" s="33">
        <v>282</v>
      </c>
      <c r="B412" s="9">
        <v>42844</v>
      </c>
      <c r="C412" s="20" t="s">
        <v>241</v>
      </c>
      <c r="D412" s="11">
        <v>2161</v>
      </c>
      <c r="E412" s="15">
        <v>42845</v>
      </c>
      <c r="F412" s="15" t="s">
        <v>28</v>
      </c>
      <c r="G412" s="12">
        <v>42850</v>
      </c>
      <c r="H412" s="23">
        <f t="shared" si="46"/>
        <v>2161</v>
      </c>
      <c r="I412" s="23">
        <f>H412</f>
        <v>2161</v>
      </c>
      <c r="J412" s="23"/>
      <c r="K412" s="24"/>
      <c r="L412" s="23">
        <v>1633</v>
      </c>
      <c r="M412" s="22">
        <f t="shared" si="44"/>
        <v>528</v>
      </c>
      <c r="N412" s="22">
        <f>M412</f>
        <v>528</v>
      </c>
      <c r="O412" s="30">
        <f t="shared" si="45"/>
        <v>0.24433132808884775</v>
      </c>
    </row>
    <row r="413" spans="1:15" ht="20.100000000000001" customHeight="1" x14ac:dyDescent="0.25">
      <c r="A413" s="33">
        <v>273</v>
      </c>
      <c r="B413" s="9">
        <v>42844</v>
      </c>
      <c r="C413" s="20" t="s">
        <v>242</v>
      </c>
      <c r="D413" s="11">
        <v>18490</v>
      </c>
      <c r="E413" s="15">
        <v>42846</v>
      </c>
      <c r="F413" s="15" t="s">
        <v>28</v>
      </c>
      <c r="G413" s="12">
        <v>42846</v>
      </c>
      <c r="H413" s="23">
        <f t="shared" si="46"/>
        <v>18490</v>
      </c>
      <c r="I413" s="23">
        <f>H413</f>
        <v>18490</v>
      </c>
      <c r="J413" s="23"/>
      <c r="K413" s="24"/>
      <c r="L413" s="23">
        <v>13142</v>
      </c>
      <c r="M413" s="22">
        <f t="shared" si="44"/>
        <v>5348</v>
      </c>
      <c r="N413" s="22">
        <f>M413</f>
        <v>5348</v>
      </c>
      <c r="O413" s="30">
        <f t="shared" si="45"/>
        <v>0.28923742563547866</v>
      </c>
    </row>
    <row r="414" spans="1:15" ht="20.100000000000001" customHeight="1" x14ac:dyDescent="0.25">
      <c r="A414" s="33">
        <v>210</v>
      </c>
      <c r="B414" s="9">
        <v>42825</v>
      </c>
      <c r="C414" s="20" t="s">
        <v>235</v>
      </c>
      <c r="D414" s="11">
        <v>26389.17</v>
      </c>
      <c r="E414" s="15">
        <v>42849</v>
      </c>
      <c r="F414" s="15" t="s">
        <v>28</v>
      </c>
      <c r="G414" s="12">
        <v>42828</v>
      </c>
      <c r="H414" s="23">
        <f t="shared" si="46"/>
        <v>26389.17</v>
      </c>
      <c r="I414" s="23">
        <f>H414</f>
        <v>26389.17</v>
      </c>
      <c r="J414" s="23"/>
      <c r="K414" s="24"/>
      <c r="L414" s="23">
        <v>18133</v>
      </c>
      <c r="M414" s="22">
        <f t="shared" si="44"/>
        <v>8256.1699999999983</v>
      </c>
      <c r="N414" s="22">
        <f>M414</f>
        <v>8256.1699999999983</v>
      </c>
      <c r="O414" s="30">
        <f t="shared" si="45"/>
        <v>0.31286205666945943</v>
      </c>
    </row>
    <row r="415" spans="1:15" ht="20.100000000000001" customHeight="1" x14ac:dyDescent="0.25">
      <c r="A415" s="33">
        <v>295</v>
      </c>
      <c r="B415" s="9">
        <v>42846</v>
      </c>
      <c r="C415" s="18" t="s">
        <v>234</v>
      </c>
      <c r="D415" s="11">
        <v>2579.42</v>
      </c>
      <c r="E415" s="15">
        <v>42849</v>
      </c>
      <c r="F415" s="15" t="s">
        <v>28</v>
      </c>
      <c r="G415" s="12">
        <v>42866</v>
      </c>
      <c r="H415" s="23">
        <f t="shared" si="46"/>
        <v>2579.42</v>
      </c>
      <c r="I415" s="23"/>
      <c r="J415" s="23"/>
      <c r="K415" s="24"/>
      <c r="L415" s="23">
        <v>2054</v>
      </c>
      <c r="M415" s="22">
        <f t="shared" si="44"/>
        <v>525.42000000000007</v>
      </c>
      <c r="N415" s="22"/>
      <c r="O415" s="30">
        <f t="shared" si="45"/>
        <v>0.20369695512944772</v>
      </c>
    </row>
    <row r="416" spans="1:15" ht="20.100000000000001" customHeight="1" x14ac:dyDescent="0.25">
      <c r="A416" s="33">
        <v>284</v>
      </c>
      <c r="B416" s="9">
        <v>42845</v>
      </c>
      <c r="C416" s="18" t="s">
        <v>243</v>
      </c>
      <c r="D416" s="11">
        <v>44087.199999999997</v>
      </c>
      <c r="E416" s="15">
        <v>42849</v>
      </c>
      <c r="F416" s="15" t="s">
        <v>28</v>
      </c>
      <c r="G416" s="12">
        <v>42865</v>
      </c>
      <c r="H416" s="23">
        <f t="shared" si="46"/>
        <v>44087.199999999997</v>
      </c>
      <c r="I416" s="23"/>
      <c r="J416" s="23"/>
      <c r="K416" s="24"/>
      <c r="L416" s="23">
        <v>34380</v>
      </c>
      <c r="M416" s="22">
        <f t="shared" si="44"/>
        <v>9707.1999999999971</v>
      </c>
      <c r="N416" s="22"/>
      <c r="O416" s="30">
        <f t="shared" si="45"/>
        <v>0.22018182148106474</v>
      </c>
    </row>
    <row r="417" spans="1:15" ht="20.100000000000001" customHeight="1" x14ac:dyDescent="0.25">
      <c r="A417" s="33">
        <v>237</v>
      </c>
      <c r="B417" s="9">
        <v>42832</v>
      </c>
      <c r="C417" s="18" t="s">
        <v>167</v>
      </c>
      <c r="D417" s="11">
        <v>6513</v>
      </c>
      <c r="E417" s="15">
        <v>42851</v>
      </c>
      <c r="F417" s="15" t="s">
        <v>28</v>
      </c>
      <c r="G417" s="12">
        <v>42853</v>
      </c>
      <c r="H417" s="23">
        <f t="shared" si="46"/>
        <v>6513</v>
      </c>
      <c r="I417" s="23"/>
      <c r="J417" s="23"/>
      <c r="K417" s="24">
        <v>600</v>
      </c>
      <c r="L417" s="23">
        <v>3448</v>
      </c>
      <c r="M417" s="22">
        <f t="shared" si="44"/>
        <v>2465</v>
      </c>
      <c r="N417" s="22"/>
      <c r="O417" s="30">
        <f t="shared" si="45"/>
        <v>0.37847382158759402</v>
      </c>
    </row>
    <row r="418" spans="1:15" ht="20.100000000000001" customHeight="1" x14ac:dyDescent="0.25">
      <c r="A418" s="33">
        <v>279</v>
      </c>
      <c r="B418" s="9">
        <v>42844</v>
      </c>
      <c r="C418" s="18" t="s">
        <v>11</v>
      </c>
      <c r="D418" s="11">
        <v>9048.24</v>
      </c>
      <c r="E418" s="15">
        <v>42852</v>
      </c>
      <c r="F418" s="15" t="s">
        <v>28</v>
      </c>
      <c r="G418" s="12">
        <v>42867</v>
      </c>
      <c r="H418" s="23">
        <f t="shared" si="46"/>
        <v>9048.24</v>
      </c>
      <c r="I418" s="23"/>
      <c r="J418" s="23"/>
      <c r="K418" s="24"/>
      <c r="L418" s="23">
        <v>5762</v>
      </c>
      <c r="M418" s="22">
        <f t="shared" si="44"/>
        <v>3286.24</v>
      </c>
      <c r="N418" s="22"/>
      <c r="O418" s="30">
        <f t="shared" si="45"/>
        <v>0.36319107362315761</v>
      </c>
    </row>
    <row r="419" spans="1:15" ht="20.100000000000001" customHeight="1" x14ac:dyDescent="0.25">
      <c r="A419" s="33">
        <v>301</v>
      </c>
      <c r="B419" s="9">
        <v>42851</v>
      </c>
      <c r="C419" s="20" t="s">
        <v>244</v>
      </c>
      <c r="D419" s="11">
        <v>1760.27</v>
      </c>
      <c r="E419" s="15">
        <v>42852</v>
      </c>
      <c r="F419" s="15" t="s">
        <v>28</v>
      </c>
      <c r="G419" s="12">
        <v>42867</v>
      </c>
      <c r="H419" s="23">
        <f t="shared" si="46"/>
        <v>1760.27</v>
      </c>
      <c r="I419" s="23">
        <f>H419</f>
        <v>1760.27</v>
      </c>
      <c r="J419" s="23"/>
      <c r="K419" s="24"/>
      <c r="L419" s="23">
        <v>1698</v>
      </c>
      <c r="M419" s="22">
        <f t="shared" si="44"/>
        <v>62.269999999999982</v>
      </c>
      <c r="N419" s="22">
        <f>M419</f>
        <v>62.269999999999982</v>
      </c>
      <c r="O419" s="30">
        <f t="shared" si="45"/>
        <v>3.5375254932481941E-2</v>
      </c>
    </row>
    <row r="420" spans="1:15" ht="20.100000000000001" customHeight="1" x14ac:dyDescent="0.25">
      <c r="A420" s="33">
        <v>208</v>
      </c>
      <c r="B420" s="9">
        <v>42846</v>
      </c>
      <c r="C420" s="18" t="s">
        <v>65</v>
      </c>
      <c r="D420" s="11">
        <v>100945.52</v>
      </c>
      <c r="E420" s="15">
        <v>42852</v>
      </c>
      <c r="F420" s="15" t="s">
        <v>28</v>
      </c>
      <c r="G420" s="12">
        <v>42873</v>
      </c>
      <c r="H420" s="23">
        <f t="shared" si="46"/>
        <v>100945.52</v>
      </c>
      <c r="I420" s="23"/>
      <c r="J420" s="23"/>
      <c r="K420" s="24"/>
      <c r="L420" s="23">
        <v>85324</v>
      </c>
      <c r="M420" s="22">
        <f t="shared" si="44"/>
        <v>15621.520000000004</v>
      </c>
      <c r="N420" s="22"/>
      <c r="O420" s="30">
        <f t="shared" si="45"/>
        <v>0.1547519889936671</v>
      </c>
    </row>
    <row r="421" spans="1:15" ht="20.100000000000001" customHeight="1" x14ac:dyDescent="0.25">
      <c r="A421" s="33">
        <v>287</v>
      </c>
      <c r="B421" s="9">
        <v>42845</v>
      </c>
      <c r="C421" s="20" t="s">
        <v>245</v>
      </c>
      <c r="D421" s="11">
        <v>12512.85</v>
      </c>
      <c r="E421" s="15">
        <v>42853</v>
      </c>
      <c r="F421" s="15" t="s">
        <v>28</v>
      </c>
      <c r="G421" s="12">
        <v>42873</v>
      </c>
      <c r="H421" s="23">
        <f t="shared" si="46"/>
        <v>12512.85</v>
      </c>
      <c r="I421" s="23">
        <f>H421</f>
        <v>12512.85</v>
      </c>
      <c r="J421" s="23"/>
      <c r="K421" s="24"/>
      <c r="L421" s="23">
        <v>10585</v>
      </c>
      <c r="M421" s="22">
        <f t="shared" si="44"/>
        <v>1927.8500000000004</v>
      </c>
      <c r="N421" s="22">
        <f>M421</f>
        <v>1927.8500000000004</v>
      </c>
      <c r="O421" s="30">
        <f t="shared" si="45"/>
        <v>0.15406961643430556</v>
      </c>
    </row>
    <row r="422" spans="1:15" ht="20.100000000000001" customHeight="1" x14ac:dyDescent="0.25">
      <c r="A422" s="33">
        <v>239</v>
      </c>
      <c r="B422" s="9">
        <v>42835</v>
      </c>
      <c r="C422" s="18" t="s">
        <v>13</v>
      </c>
      <c r="D422" s="11">
        <v>11941.15</v>
      </c>
      <c r="E422" s="15">
        <v>42853</v>
      </c>
      <c r="F422" s="15" t="s">
        <v>28</v>
      </c>
      <c r="G422" s="12">
        <v>42836</v>
      </c>
      <c r="H422" s="23">
        <f t="shared" si="46"/>
        <v>11941.15</v>
      </c>
      <c r="I422" s="23"/>
      <c r="J422" s="23"/>
      <c r="K422" s="24"/>
      <c r="L422" s="23">
        <v>8595</v>
      </c>
      <c r="M422" s="22">
        <f t="shared" si="44"/>
        <v>3346.1499999999996</v>
      </c>
      <c r="N422" s="22"/>
      <c r="O422" s="30">
        <f t="shared" si="45"/>
        <v>0.2802200793055945</v>
      </c>
    </row>
    <row r="423" spans="1:15" ht="20.100000000000001" customHeight="1" x14ac:dyDescent="0.25">
      <c r="A423" s="35" t="s">
        <v>535</v>
      </c>
      <c r="B423" s="36"/>
      <c r="C423" s="42"/>
      <c r="D423" s="37"/>
      <c r="E423" s="46" t="s">
        <v>543</v>
      </c>
      <c r="F423" s="47">
        <f>M423*0.17+N423*0.06+8000</f>
        <v>40155.058299999997</v>
      </c>
      <c r="G423" s="21">
        <f>H423*0.05+I423*0.02</f>
        <v>40983.167600000001</v>
      </c>
      <c r="H423" s="49">
        <f>SUBTOTAL(109,Апрель2017[Продажа])</f>
        <v>703675.89999999991</v>
      </c>
      <c r="I423" s="49">
        <f>SUBTOTAL(109,Апрель2017[Продажа НК])</f>
        <v>289968.63</v>
      </c>
      <c r="J423" s="49">
        <f>SUBTOTAL(109,Апрель2017[отк])</f>
        <v>0</v>
      </c>
      <c r="K423" s="49">
        <f>SUBTOTAL(109,Апрель2017[шланги])</f>
        <v>4200</v>
      </c>
      <c r="L423" s="49">
        <f>SUBTOTAL(109,Апрель2017[Закупка])</f>
        <v>531861.75</v>
      </c>
      <c r="M423" s="49">
        <f>SUBTOTAL(109,Апрель2017[Маржа])</f>
        <v>167614.14999999997</v>
      </c>
      <c r="N423" s="49">
        <f>SUBTOTAL(109,Апрель2017[Маржа НК])</f>
        <v>61010.87999999999</v>
      </c>
      <c r="O423" s="44">
        <f t="shared" si="45"/>
        <v>0.23819794027335595</v>
      </c>
    </row>
    <row r="424" spans="1:15" ht="20.100000000000001" customHeight="1" x14ac:dyDescent="0.25">
      <c r="A424" s="41" t="s">
        <v>1</v>
      </c>
      <c r="B424" s="1" t="s">
        <v>0</v>
      </c>
      <c r="C424" s="1" t="s">
        <v>26</v>
      </c>
      <c r="D424" s="1" t="s">
        <v>2</v>
      </c>
      <c r="E424" s="1" t="s">
        <v>3</v>
      </c>
      <c r="F424" s="1" t="s">
        <v>27</v>
      </c>
      <c r="G424" s="1" t="s">
        <v>4</v>
      </c>
      <c r="H424" s="2" t="s">
        <v>132</v>
      </c>
      <c r="I424" s="2" t="s">
        <v>133</v>
      </c>
      <c r="J424" s="40" t="s">
        <v>187</v>
      </c>
      <c r="K424" s="40" t="s">
        <v>188</v>
      </c>
      <c r="L424" s="40" t="s">
        <v>129</v>
      </c>
      <c r="M424" s="40" t="s">
        <v>130</v>
      </c>
      <c r="N424" s="2" t="s">
        <v>131</v>
      </c>
      <c r="O424" s="2" t="s">
        <v>134</v>
      </c>
    </row>
    <row r="425" spans="1:15" ht="20.100000000000001" customHeight="1" x14ac:dyDescent="0.25">
      <c r="A425" s="33">
        <v>304</v>
      </c>
      <c r="B425" s="9">
        <v>42853</v>
      </c>
      <c r="C425" s="20" t="s">
        <v>246</v>
      </c>
      <c r="D425" s="11">
        <v>72699</v>
      </c>
      <c r="E425" s="15">
        <v>42857</v>
      </c>
      <c r="F425" s="15" t="s">
        <v>28</v>
      </c>
      <c r="G425" s="12">
        <v>42860</v>
      </c>
      <c r="H425" s="23">
        <f>D425</f>
        <v>72699</v>
      </c>
      <c r="I425" s="23">
        <f>H425</f>
        <v>72699</v>
      </c>
      <c r="J425" s="23"/>
      <c r="K425" s="24"/>
      <c r="L425" s="23">
        <v>54960</v>
      </c>
      <c r="M425" s="22">
        <f t="shared" ref="M425:M465" si="47">H425-L425-J425-K425</f>
        <v>17739</v>
      </c>
      <c r="N425" s="22">
        <f>M425</f>
        <v>17739</v>
      </c>
      <c r="O425" s="30">
        <f t="shared" ref="O425:O466" si="48">M425/H425</f>
        <v>0.24400610737424175</v>
      </c>
    </row>
    <row r="426" spans="1:15" ht="20.100000000000001" customHeight="1" x14ac:dyDescent="0.25">
      <c r="A426" s="33">
        <v>261</v>
      </c>
      <c r="B426" s="9">
        <v>42849</v>
      </c>
      <c r="C426" s="20" t="s">
        <v>247</v>
      </c>
      <c r="D426" s="11">
        <v>18114.240000000002</v>
      </c>
      <c r="E426" s="15">
        <v>42858</v>
      </c>
      <c r="F426" s="15" t="s">
        <v>28</v>
      </c>
      <c r="G426" s="12">
        <v>42877</v>
      </c>
      <c r="H426" s="23">
        <f>D426</f>
        <v>18114.240000000002</v>
      </c>
      <c r="I426" s="23">
        <f>H426</f>
        <v>18114.240000000002</v>
      </c>
      <c r="J426" s="23"/>
      <c r="K426" s="24"/>
      <c r="L426" s="23">
        <v>14129</v>
      </c>
      <c r="M426" s="22">
        <f t="shared" si="47"/>
        <v>3985.2400000000016</v>
      </c>
      <c r="N426" s="22">
        <f>M426</f>
        <v>3985.2400000000016</v>
      </c>
      <c r="O426" s="30">
        <f t="shared" si="48"/>
        <v>0.22000591799600763</v>
      </c>
    </row>
    <row r="427" spans="1:15" ht="20.100000000000001" customHeight="1" x14ac:dyDescent="0.25">
      <c r="A427" s="33">
        <v>288</v>
      </c>
      <c r="B427" s="9">
        <v>42845</v>
      </c>
      <c r="C427" s="18" t="s">
        <v>175</v>
      </c>
      <c r="D427" s="11">
        <v>16125.42</v>
      </c>
      <c r="E427" s="15">
        <v>42860</v>
      </c>
      <c r="F427" s="15" t="s">
        <v>28</v>
      </c>
      <c r="G427" s="12">
        <v>42892</v>
      </c>
      <c r="H427" s="23">
        <f>D427</f>
        <v>16125.42</v>
      </c>
      <c r="I427" s="23"/>
      <c r="J427" s="23"/>
      <c r="K427" s="24"/>
      <c r="L427" s="23">
        <v>13208</v>
      </c>
      <c r="M427" s="22">
        <f t="shared" si="47"/>
        <v>2917.42</v>
      </c>
      <c r="N427" s="22"/>
      <c r="O427" s="30">
        <f t="shared" si="48"/>
        <v>0.18092055896838657</v>
      </c>
    </row>
    <row r="428" spans="1:15" ht="20.100000000000001" customHeight="1" x14ac:dyDescent="0.25">
      <c r="A428" s="33">
        <v>274</v>
      </c>
      <c r="B428" s="9">
        <v>42843</v>
      </c>
      <c r="C428" s="18" t="s">
        <v>228</v>
      </c>
      <c r="D428" s="11">
        <v>14800</v>
      </c>
      <c r="E428" s="15">
        <v>42865</v>
      </c>
      <c r="F428" s="15" t="s">
        <v>28</v>
      </c>
      <c r="G428" s="12">
        <v>42860</v>
      </c>
      <c r="H428" s="23">
        <f>D428</f>
        <v>14800</v>
      </c>
      <c r="I428" s="23"/>
      <c r="J428" s="23"/>
      <c r="K428" s="24">
        <v>600</v>
      </c>
      <c r="L428" s="23">
        <v>6175</v>
      </c>
      <c r="M428" s="22">
        <f t="shared" si="47"/>
        <v>8025</v>
      </c>
      <c r="N428" s="22"/>
      <c r="O428" s="30">
        <f t="shared" si="48"/>
        <v>0.54222972972972971</v>
      </c>
    </row>
    <row r="429" spans="1:15" ht="20.100000000000001" customHeight="1" x14ac:dyDescent="0.25">
      <c r="A429" s="33">
        <v>143</v>
      </c>
      <c r="B429" s="9">
        <v>42803</v>
      </c>
      <c r="C429" s="18" t="s">
        <v>180</v>
      </c>
      <c r="D429" s="11">
        <v>133579.66</v>
      </c>
      <c r="E429" s="15">
        <v>42866</v>
      </c>
      <c r="F429" s="15" t="s">
        <v>28</v>
      </c>
      <c r="G429" s="12">
        <v>42845</v>
      </c>
      <c r="H429" s="23">
        <f>D429/2</f>
        <v>66789.83</v>
      </c>
      <c r="I429" s="23"/>
      <c r="J429" s="23"/>
      <c r="K429" s="24">
        <v>1200</v>
      </c>
      <c r="L429" s="23">
        <v>42302.5</v>
      </c>
      <c r="M429" s="22">
        <f t="shared" si="47"/>
        <v>23287.33</v>
      </c>
      <c r="N429" s="22"/>
      <c r="O429" s="30">
        <f t="shared" si="48"/>
        <v>0.34866580735420349</v>
      </c>
    </row>
    <row r="430" spans="1:15" ht="20.100000000000001" customHeight="1" x14ac:dyDescent="0.25">
      <c r="A430" s="33">
        <v>312</v>
      </c>
      <c r="B430" s="9">
        <v>42858</v>
      </c>
      <c r="C430" s="18" t="s">
        <v>50</v>
      </c>
      <c r="D430" s="11">
        <v>4496.92</v>
      </c>
      <c r="E430" s="15">
        <v>42866</v>
      </c>
      <c r="F430" s="15" t="s">
        <v>28</v>
      </c>
      <c r="G430" s="12">
        <v>42873</v>
      </c>
      <c r="H430" s="23">
        <f t="shared" ref="H430:H465" si="49">D430</f>
        <v>4496.92</v>
      </c>
      <c r="I430" s="23"/>
      <c r="J430" s="23"/>
      <c r="K430" s="24"/>
      <c r="L430" s="23">
        <v>3463</v>
      </c>
      <c r="M430" s="22">
        <f t="shared" si="47"/>
        <v>1033.92</v>
      </c>
      <c r="N430" s="22"/>
      <c r="O430" s="30">
        <f t="shared" si="48"/>
        <v>0.22991736566360976</v>
      </c>
    </row>
    <row r="431" spans="1:15" ht="20.100000000000001" customHeight="1" x14ac:dyDescent="0.25">
      <c r="A431" s="33">
        <v>329</v>
      </c>
      <c r="B431" s="9">
        <v>42866</v>
      </c>
      <c r="C431" s="20" t="s">
        <v>249</v>
      </c>
      <c r="D431" s="11">
        <v>18790</v>
      </c>
      <c r="E431" s="15">
        <v>42867</v>
      </c>
      <c r="F431" s="15" t="s">
        <v>28</v>
      </c>
      <c r="G431" s="12">
        <v>42891</v>
      </c>
      <c r="H431" s="23">
        <f t="shared" si="49"/>
        <v>18790</v>
      </c>
      <c r="I431" s="23">
        <f>H431</f>
        <v>18790</v>
      </c>
      <c r="J431" s="23"/>
      <c r="K431" s="24"/>
      <c r="L431" s="23">
        <v>13811</v>
      </c>
      <c r="M431" s="22">
        <f t="shared" si="47"/>
        <v>4979</v>
      </c>
      <c r="N431" s="22">
        <f>M431</f>
        <v>4979</v>
      </c>
      <c r="O431" s="30">
        <f t="shared" si="48"/>
        <v>0.26498137307078234</v>
      </c>
    </row>
    <row r="432" spans="1:15" ht="20.100000000000001" customHeight="1" x14ac:dyDescent="0.25">
      <c r="A432" s="33">
        <v>333</v>
      </c>
      <c r="B432" s="9">
        <v>42867</v>
      </c>
      <c r="C432" s="18" t="s">
        <v>250</v>
      </c>
      <c r="D432" s="11">
        <v>4013.71</v>
      </c>
      <c r="E432" s="15">
        <v>42867</v>
      </c>
      <c r="F432" s="15" t="s">
        <v>28</v>
      </c>
      <c r="G432" s="12">
        <v>42874</v>
      </c>
      <c r="H432" s="23">
        <f t="shared" si="49"/>
        <v>4013.71</v>
      </c>
      <c r="I432" s="23"/>
      <c r="J432" s="23"/>
      <c r="K432" s="24"/>
      <c r="L432" s="23">
        <v>3139</v>
      </c>
      <c r="M432" s="22">
        <f t="shared" si="47"/>
        <v>874.71</v>
      </c>
      <c r="N432" s="22"/>
      <c r="O432" s="30">
        <f t="shared" si="48"/>
        <v>0.21793054306364934</v>
      </c>
    </row>
    <row r="433" spans="1:15" ht="20.100000000000001" customHeight="1" x14ac:dyDescent="0.25">
      <c r="A433" s="33">
        <v>337</v>
      </c>
      <c r="B433" s="9">
        <v>42867</v>
      </c>
      <c r="C433" s="18" t="s">
        <v>169</v>
      </c>
      <c r="D433" s="11">
        <v>83811.37</v>
      </c>
      <c r="E433" s="15">
        <v>42870</v>
      </c>
      <c r="F433" s="15" t="s">
        <v>28</v>
      </c>
      <c r="G433" s="12">
        <v>42895</v>
      </c>
      <c r="H433" s="23">
        <f t="shared" si="49"/>
        <v>83811.37</v>
      </c>
      <c r="I433" s="23"/>
      <c r="J433" s="23"/>
      <c r="K433" s="24">
        <v>600</v>
      </c>
      <c r="L433" s="23">
        <v>61417</v>
      </c>
      <c r="M433" s="22">
        <f t="shared" si="47"/>
        <v>21794.369999999995</v>
      </c>
      <c r="N433" s="22"/>
      <c r="O433" s="30">
        <f t="shared" si="48"/>
        <v>0.26004073194364913</v>
      </c>
    </row>
    <row r="434" spans="1:15" ht="20.100000000000001" customHeight="1" x14ac:dyDescent="0.25">
      <c r="A434" s="33">
        <v>193</v>
      </c>
      <c r="B434" s="9">
        <v>42821</v>
      </c>
      <c r="C434" s="18" t="s">
        <v>99</v>
      </c>
      <c r="D434" s="11">
        <v>163265.54999999999</v>
      </c>
      <c r="E434" s="15">
        <v>42871</v>
      </c>
      <c r="F434" s="15" t="s">
        <v>28</v>
      </c>
      <c r="G434" s="12">
        <v>42844</v>
      </c>
      <c r="H434" s="23">
        <f t="shared" si="49"/>
        <v>163265.54999999999</v>
      </c>
      <c r="I434" s="23"/>
      <c r="J434" s="23">
        <v>15000</v>
      </c>
      <c r="K434" s="7">
        <f>600*26</f>
        <v>15600</v>
      </c>
      <c r="L434" s="23">
        <v>80530</v>
      </c>
      <c r="M434" s="22">
        <f t="shared" si="47"/>
        <v>52135.549999999988</v>
      </c>
      <c r="N434" s="22"/>
      <c r="O434" s="30">
        <f t="shared" si="48"/>
        <v>0.31932976675116087</v>
      </c>
    </row>
    <row r="435" spans="1:15" ht="20.100000000000001" customHeight="1" x14ac:dyDescent="0.25">
      <c r="A435" s="33">
        <v>336</v>
      </c>
      <c r="B435" s="9">
        <v>42867</v>
      </c>
      <c r="C435" s="18" t="s">
        <v>228</v>
      </c>
      <c r="D435" s="11">
        <v>12000</v>
      </c>
      <c r="E435" s="15">
        <v>42871</v>
      </c>
      <c r="F435" s="15" t="s">
        <v>28</v>
      </c>
      <c r="G435" s="12">
        <v>42879</v>
      </c>
      <c r="H435" s="23">
        <f t="shared" si="49"/>
        <v>12000</v>
      </c>
      <c r="I435" s="23"/>
      <c r="J435" s="23"/>
      <c r="K435" s="24">
        <f>600*3</f>
        <v>1800</v>
      </c>
      <c r="L435" s="23">
        <v>4137</v>
      </c>
      <c r="M435" s="22">
        <f t="shared" si="47"/>
        <v>6063</v>
      </c>
      <c r="N435" s="22"/>
      <c r="O435" s="30">
        <f t="shared" si="48"/>
        <v>0.50524999999999998</v>
      </c>
    </row>
    <row r="436" spans="1:15" ht="20.100000000000001" customHeight="1" x14ac:dyDescent="0.25">
      <c r="A436" s="33">
        <v>199</v>
      </c>
      <c r="B436" s="9">
        <v>42867</v>
      </c>
      <c r="C436" s="20" t="s">
        <v>251</v>
      </c>
      <c r="D436" s="11">
        <v>3291</v>
      </c>
      <c r="E436" s="15">
        <v>42871</v>
      </c>
      <c r="F436" s="15" t="s">
        <v>28</v>
      </c>
      <c r="G436" s="12">
        <v>42877</v>
      </c>
      <c r="H436" s="23">
        <f t="shared" si="49"/>
        <v>3291</v>
      </c>
      <c r="I436" s="23">
        <f>H436</f>
        <v>3291</v>
      </c>
      <c r="J436" s="23"/>
      <c r="K436" s="24"/>
      <c r="L436" s="23">
        <v>2487</v>
      </c>
      <c r="M436" s="22">
        <f t="shared" si="47"/>
        <v>804</v>
      </c>
      <c r="N436" s="22">
        <f>M436</f>
        <v>804</v>
      </c>
      <c r="O436" s="30">
        <f t="shared" si="48"/>
        <v>0.24430264357338194</v>
      </c>
    </row>
    <row r="437" spans="1:15" ht="20.100000000000001" customHeight="1" x14ac:dyDescent="0.25">
      <c r="A437" s="33">
        <v>178</v>
      </c>
      <c r="B437" s="9">
        <v>42830</v>
      </c>
      <c r="C437" s="18" t="s">
        <v>56</v>
      </c>
      <c r="D437" s="11">
        <v>44988.79</v>
      </c>
      <c r="E437" s="15">
        <v>42872</v>
      </c>
      <c r="F437" s="15" t="s">
        <v>28</v>
      </c>
      <c r="G437" s="12">
        <v>42849</v>
      </c>
      <c r="H437" s="23">
        <f t="shared" si="49"/>
        <v>44988.79</v>
      </c>
      <c r="I437" s="23"/>
      <c r="J437" s="23"/>
      <c r="K437" s="24"/>
      <c r="L437" s="23">
        <v>29780</v>
      </c>
      <c r="M437" s="22">
        <f t="shared" si="47"/>
        <v>15208.79</v>
      </c>
      <c r="N437" s="22"/>
      <c r="O437" s="30">
        <f t="shared" si="48"/>
        <v>0.3380573249469479</v>
      </c>
    </row>
    <row r="438" spans="1:15" ht="20.100000000000001" customHeight="1" x14ac:dyDescent="0.25">
      <c r="A438" s="33">
        <v>214</v>
      </c>
      <c r="B438" s="9">
        <v>42853</v>
      </c>
      <c r="C438" s="18" t="s">
        <v>65</v>
      </c>
      <c r="D438" s="11">
        <v>16358.48</v>
      </c>
      <c r="E438" s="15">
        <v>42873</v>
      </c>
      <c r="F438" s="15" t="s">
        <v>28</v>
      </c>
      <c r="G438" s="12">
        <v>42873</v>
      </c>
      <c r="H438" s="23">
        <f t="shared" si="49"/>
        <v>16358.48</v>
      </c>
      <c r="I438" s="23"/>
      <c r="J438" s="23"/>
      <c r="K438" s="24"/>
      <c r="L438" s="23">
        <v>12192</v>
      </c>
      <c r="M438" s="22">
        <f t="shared" si="47"/>
        <v>4166.4799999999996</v>
      </c>
      <c r="N438" s="22"/>
      <c r="O438" s="30">
        <f t="shared" si="48"/>
        <v>0.25469848054342453</v>
      </c>
    </row>
    <row r="439" spans="1:15" ht="20.100000000000001" customHeight="1" x14ac:dyDescent="0.25">
      <c r="A439" s="33">
        <v>339</v>
      </c>
      <c r="B439" s="9">
        <v>42870</v>
      </c>
      <c r="C439" s="18" t="s">
        <v>137</v>
      </c>
      <c r="D439" s="11">
        <v>596.73</v>
      </c>
      <c r="E439" s="15">
        <v>42873</v>
      </c>
      <c r="F439" s="15" t="s">
        <v>28</v>
      </c>
      <c r="G439" s="12">
        <v>42895</v>
      </c>
      <c r="H439" s="23">
        <f t="shared" si="49"/>
        <v>596.73</v>
      </c>
      <c r="I439" s="23"/>
      <c r="J439" s="23"/>
      <c r="K439" s="24"/>
      <c r="L439" s="23">
        <v>465</v>
      </c>
      <c r="M439" s="22">
        <f t="shared" si="47"/>
        <v>131.73000000000002</v>
      </c>
      <c r="N439" s="22"/>
      <c r="O439" s="30">
        <f t="shared" si="48"/>
        <v>0.22075310441908402</v>
      </c>
    </row>
    <row r="440" spans="1:15" ht="20.100000000000001" customHeight="1" x14ac:dyDescent="0.25">
      <c r="A440" s="33">
        <v>192</v>
      </c>
      <c r="B440" s="9">
        <v>42836</v>
      </c>
      <c r="C440" s="18" t="s">
        <v>56</v>
      </c>
      <c r="D440" s="11">
        <v>280640</v>
      </c>
      <c r="E440" s="15">
        <v>42874</v>
      </c>
      <c r="F440" s="15" t="s">
        <v>28</v>
      </c>
      <c r="G440" s="12">
        <v>42865</v>
      </c>
      <c r="H440" s="23">
        <f t="shared" si="49"/>
        <v>280640</v>
      </c>
      <c r="I440" s="23"/>
      <c r="J440" s="23"/>
      <c r="K440" s="24"/>
      <c r="L440" s="23">
        <v>221826</v>
      </c>
      <c r="M440" s="22">
        <f t="shared" si="47"/>
        <v>58814</v>
      </c>
      <c r="N440" s="22"/>
      <c r="O440" s="30">
        <f t="shared" si="48"/>
        <v>0.20957098061573545</v>
      </c>
    </row>
    <row r="441" spans="1:15" ht="20.100000000000001" customHeight="1" x14ac:dyDescent="0.25">
      <c r="A441" s="33">
        <v>328</v>
      </c>
      <c r="B441" s="9">
        <v>42866</v>
      </c>
      <c r="C441" s="18" t="s">
        <v>89</v>
      </c>
      <c r="D441" s="11">
        <v>8216.1</v>
      </c>
      <c r="E441" s="15">
        <v>42874</v>
      </c>
      <c r="F441" s="15" t="s">
        <v>28</v>
      </c>
      <c r="G441" s="12">
        <v>42878</v>
      </c>
      <c r="H441" s="23">
        <f t="shared" si="49"/>
        <v>8216.1</v>
      </c>
      <c r="I441" s="23"/>
      <c r="J441" s="23"/>
      <c r="K441" s="24"/>
      <c r="L441" s="23">
        <v>6408</v>
      </c>
      <c r="M441" s="22">
        <f t="shared" si="47"/>
        <v>1808.1000000000004</v>
      </c>
      <c r="N441" s="22"/>
      <c r="O441" s="30">
        <f t="shared" si="48"/>
        <v>0.22006791543433019</v>
      </c>
    </row>
    <row r="442" spans="1:15" ht="20.100000000000001" customHeight="1" x14ac:dyDescent="0.25">
      <c r="A442" s="33">
        <v>375</v>
      </c>
      <c r="B442" s="9">
        <v>42874</v>
      </c>
      <c r="C442" s="20" t="s">
        <v>253</v>
      </c>
      <c r="D442" s="11">
        <v>5390</v>
      </c>
      <c r="E442" s="15">
        <v>42874</v>
      </c>
      <c r="F442" s="15" t="s">
        <v>28</v>
      </c>
      <c r="G442" s="12">
        <v>42881</v>
      </c>
      <c r="H442" s="23">
        <f t="shared" si="49"/>
        <v>5390</v>
      </c>
      <c r="I442" s="23">
        <f>H442</f>
        <v>5390</v>
      </c>
      <c r="J442" s="23"/>
      <c r="K442" s="24"/>
      <c r="L442" s="23">
        <v>4075</v>
      </c>
      <c r="M442" s="22">
        <f t="shared" si="47"/>
        <v>1315</v>
      </c>
      <c r="N442" s="22">
        <f>M442</f>
        <v>1315</v>
      </c>
      <c r="O442" s="30">
        <f t="shared" si="48"/>
        <v>0.24397031539888683</v>
      </c>
    </row>
    <row r="443" spans="1:15" ht="20.100000000000001" customHeight="1" x14ac:dyDescent="0.25">
      <c r="A443" s="33">
        <v>359</v>
      </c>
      <c r="B443" s="9">
        <v>42873</v>
      </c>
      <c r="C443" s="18" t="s">
        <v>86</v>
      </c>
      <c r="D443" s="11">
        <v>11092.54</v>
      </c>
      <c r="E443" s="15">
        <v>42877</v>
      </c>
      <c r="F443" s="15" t="s">
        <v>28</v>
      </c>
      <c r="G443" s="12">
        <v>42878</v>
      </c>
      <c r="H443" s="23">
        <f t="shared" si="49"/>
        <v>11092.54</v>
      </c>
      <c r="I443" s="23"/>
      <c r="J443" s="23"/>
      <c r="K443" s="24"/>
      <c r="L443" s="23">
        <v>10409</v>
      </c>
      <c r="M443" s="22">
        <f t="shared" si="47"/>
        <v>683.54000000000087</v>
      </c>
      <c r="N443" s="22"/>
      <c r="O443" s="30">
        <f t="shared" si="48"/>
        <v>6.1621594332767864E-2</v>
      </c>
    </row>
    <row r="444" spans="1:15" ht="20.100000000000001" customHeight="1" x14ac:dyDescent="0.25">
      <c r="A444" s="33">
        <v>347</v>
      </c>
      <c r="B444" s="9">
        <v>42870</v>
      </c>
      <c r="C444" s="20" t="s">
        <v>255</v>
      </c>
      <c r="D444" s="11">
        <v>41400</v>
      </c>
      <c r="E444" s="15">
        <v>42878</v>
      </c>
      <c r="F444" s="15" t="s">
        <v>28</v>
      </c>
      <c r="G444" s="12">
        <v>42895</v>
      </c>
      <c r="H444" s="23">
        <f t="shared" si="49"/>
        <v>41400</v>
      </c>
      <c r="I444" s="23">
        <f>H444</f>
        <v>41400</v>
      </c>
      <c r="J444" s="23"/>
      <c r="K444" s="24"/>
      <c r="L444" s="23">
        <v>32794</v>
      </c>
      <c r="M444" s="22">
        <f t="shared" si="47"/>
        <v>8606</v>
      </c>
      <c r="N444" s="22">
        <f>M444</f>
        <v>8606</v>
      </c>
      <c r="O444" s="30">
        <f t="shared" si="48"/>
        <v>0.2078743961352657</v>
      </c>
    </row>
    <row r="445" spans="1:15" ht="20.100000000000001" customHeight="1" x14ac:dyDescent="0.25">
      <c r="A445" s="33">
        <v>360</v>
      </c>
      <c r="B445" s="9">
        <v>42873</v>
      </c>
      <c r="C445" s="18" t="s">
        <v>147</v>
      </c>
      <c r="D445" s="11">
        <v>8817.44</v>
      </c>
      <c r="E445" s="15">
        <v>42879</v>
      </c>
      <c r="F445" s="15" t="s">
        <v>28</v>
      </c>
      <c r="G445" s="12">
        <v>42893</v>
      </c>
      <c r="H445" s="23">
        <f t="shared" si="49"/>
        <v>8817.44</v>
      </c>
      <c r="I445" s="23"/>
      <c r="J445" s="23"/>
      <c r="K445" s="24"/>
      <c r="L445" s="23">
        <v>6876</v>
      </c>
      <c r="M445" s="22">
        <f t="shared" si="47"/>
        <v>1941.4400000000005</v>
      </c>
      <c r="N445" s="22"/>
      <c r="O445" s="30">
        <f t="shared" si="48"/>
        <v>0.22018182148106485</v>
      </c>
    </row>
    <row r="446" spans="1:15" ht="20.100000000000001" customHeight="1" x14ac:dyDescent="0.25">
      <c r="A446" s="33">
        <v>366</v>
      </c>
      <c r="B446" s="9">
        <v>42873</v>
      </c>
      <c r="C446" s="18" t="s">
        <v>144</v>
      </c>
      <c r="D446" s="11">
        <v>2450</v>
      </c>
      <c r="E446" s="15">
        <v>42879</v>
      </c>
      <c r="F446" s="15" t="s">
        <v>28</v>
      </c>
      <c r="G446" s="12">
        <v>42891</v>
      </c>
      <c r="H446" s="23">
        <f t="shared" si="49"/>
        <v>2450</v>
      </c>
      <c r="I446" s="23"/>
      <c r="J446" s="23"/>
      <c r="K446" s="24"/>
      <c r="L446" s="23">
        <v>2183</v>
      </c>
      <c r="M446" s="22">
        <f t="shared" si="47"/>
        <v>267</v>
      </c>
      <c r="N446" s="22"/>
      <c r="O446" s="30">
        <f t="shared" si="48"/>
        <v>0.1089795918367347</v>
      </c>
    </row>
    <row r="447" spans="1:15" ht="20.100000000000001" customHeight="1" x14ac:dyDescent="0.25">
      <c r="A447" s="33">
        <v>338</v>
      </c>
      <c r="B447" s="9">
        <v>42870</v>
      </c>
      <c r="C447" s="18" t="s">
        <v>252</v>
      </c>
      <c r="D447" s="11">
        <v>2179.81</v>
      </c>
      <c r="E447" s="15">
        <v>42878</v>
      </c>
      <c r="F447" s="15" t="s">
        <v>28</v>
      </c>
      <c r="G447" s="12">
        <v>42873</v>
      </c>
      <c r="H447" s="23">
        <f t="shared" si="49"/>
        <v>2179.81</v>
      </c>
      <c r="I447" s="23"/>
      <c r="J447" s="23"/>
      <c r="K447" s="24"/>
      <c r="L447" s="23">
        <v>1648</v>
      </c>
      <c r="M447" s="22">
        <f t="shared" si="47"/>
        <v>531.80999999999995</v>
      </c>
      <c r="N447" s="22"/>
      <c r="O447" s="30">
        <f t="shared" si="48"/>
        <v>0.24397080479491329</v>
      </c>
    </row>
    <row r="448" spans="1:15" ht="20.100000000000001" customHeight="1" x14ac:dyDescent="0.25">
      <c r="A448" s="33">
        <v>332</v>
      </c>
      <c r="B448" s="9">
        <v>42867</v>
      </c>
      <c r="C448" s="18" t="s">
        <v>175</v>
      </c>
      <c r="D448" s="11">
        <v>18012</v>
      </c>
      <c r="E448" s="15">
        <v>42880</v>
      </c>
      <c r="F448" s="15" t="s">
        <v>28</v>
      </c>
      <c r="G448" s="12">
        <v>42892</v>
      </c>
      <c r="H448" s="23">
        <f t="shared" si="49"/>
        <v>18012</v>
      </c>
      <c r="I448" s="23"/>
      <c r="J448" s="23"/>
      <c r="K448" s="24"/>
      <c r="L448" s="23">
        <v>12512</v>
      </c>
      <c r="M448" s="22">
        <f t="shared" si="47"/>
        <v>5500</v>
      </c>
      <c r="N448" s="22"/>
      <c r="O448" s="30">
        <f t="shared" si="48"/>
        <v>0.30535198756384635</v>
      </c>
    </row>
    <row r="449" spans="1:15" ht="20.100000000000001" customHeight="1" x14ac:dyDescent="0.25">
      <c r="A449" s="33">
        <v>372</v>
      </c>
      <c r="B449" s="9">
        <v>42874</v>
      </c>
      <c r="C449" s="18" t="s">
        <v>49</v>
      </c>
      <c r="D449" s="11">
        <v>600</v>
      </c>
      <c r="E449" s="15">
        <v>42880</v>
      </c>
      <c r="F449" s="15" t="s">
        <v>28</v>
      </c>
      <c r="G449" s="12">
        <v>42885</v>
      </c>
      <c r="H449" s="23">
        <f t="shared" si="49"/>
        <v>600</v>
      </c>
      <c r="I449" s="23"/>
      <c r="J449" s="23"/>
      <c r="K449" s="24"/>
      <c r="L449" s="23">
        <v>100</v>
      </c>
      <c r="M449" s="22">
        <f t="shared" si="47"/>
        <v>500</v>
      </c>
      <c r="N449" s="22"/>
      <c r="O449" s="30">
        <f t="shared" si="48"/>
        <v>0.83333333333333337</v>
      </c>
    </row>
    <row r="450" spans="1:15" ht="20.100000000000001" customHeight="1" x14ac:dyDescent="0.25">
      <c r="A450" s="33">
        <v>379</v>
      </c>
      <c r="B450" s="9">
        <v>42877</v>
      </c>
      <c r="C450" s="18" t="s">
        <v>258</v>
      </c>
      <c r="D450" s="11">
        <v>4468</v>
      </c>
      <c r="E450" s="15">
        <v>42880</v>
      </c>
      <c r="F450" s="15" t="s">
        <v>28</v>
      </c>
      <c r="G450" s="12">
        <v>42884</v>
      </c>
      <c r="H450" s="23">
        <f t="shared" si="49"/>
        <v>4468</v>
      </c>
      <c r="I450" s="23"/>
      <c r="J450" s="23"/>
      <c r="K450" s="24"/>
      <c r="L450" s="23">
        <v>3485</v>
      </c>
      <c r="M450" s="22">
        <f t="shared" si="47"/>
        <v>983</v>
      </c>
      <c r="N450" s="22"/>
      <c r="O450" s="30">
        <f t="shared" si="48"/>
        <v>0.22000895255147718</v>
      </c>
    </row>
    <row r="451" spans="1:15" ht="20.100000000000001" customHeight="1" x14ac:dyDescent="0.25">
      <c r="A451" s="33">
        <v>376</v>
      </c>
      <c r="B451" s="9">
        <v>42874</v>
      </c>
      <c r="C451" s="20" t="s">
        <v>257</v>
      </c>
      <c r="D451" s="11">
        <v>7180</v>
      </c>
      <c r="E451" s="15">
        <v>42880</v>
      </c>
      <c r="F451" s="15" t="s">
        <v>28</v>
      </c>
      <c r="G451" s="12">
        <v>42891</v>
      </c>
      <c r="H451" s="23">
        <f t="shared" si="49"/>
        <v>7180</v>
      </c>
      <c r="I451" s="23">
        <f>H451</f>
        <v>7180</v>
      </c>
      <c r="J451" s="23"/>
      <c r="K451" s="24"/>
      <c r="L451" s="23">
        <v>5428</v>
      </c>
      <c r="M451" s="22">
        <f t="shared" si="47"/>
        <v>1752</v>
      </c>
      <c r="N451" s="22">
        <f>M451</f>
        <v>1752</v>
      </c>
      <c r="O451" s="30">
        <f t="shared" si="48"/>
        <v>0.24401114206128133</v>
      </c>
    </row>
    <row r="452" spans="1:15" ht="19.5" customHeight="1" x14ac:dyDescent="0.25">
      <c r="A452" s="33">
        <v>367</v>
      </c>
      <c r="B452" s="9">
        <v>42873</v>
      </c>
      <c r="C452" s="18" t="s">
        <v>11</v>
      </c>
      <c r="D452" s="11">
        <v>22199</v>
      </c>
      <c r="E452" s="15">
        <v>42880</v>
      </c>
      <c r="F452" s="15" t="s">
        <v>28</v>
      </c>
      <c r="G452" s="12">
        <v>42923</v>
      </c>
      <c r="H452" s="23">
        <f t="shared" si="49"/>
        <v>22199</v>
      </c>
      <c r="I452" s="23"/>
      <c r="J452" s="23"/>
      <c r="K452" s="24"/>
      <c r="L452" s="23">
        <v>16782</v>
      </c>
      <c r="M452" s="22">
        <f t="shared" si="47"/>
        <v>5417</v>
      </c>
      <c r="N452" s="22"/>
      <c r="O452" s="30">
        <f t="shared" si="48"/>
        <v>0.24402000090094147</v>
      </c>
    </row>
    <row r="453" spans="1:15" ht="15.75" x14ac:dyDescent="0.25">
      <c r="A453" s="33">
        <v>341</v>
      </c>
      <c r="B453" s="9">
        <v>42870</v>
      </c>
      <c r="C453" s="18" t="s">
        <v>180</v>
      </c>
      <c r="D453" s="11">
        <v>21000</v>
      </c>
      <c r="E453" s="15">
        <v>42880</v>
      </c>
      <c r="F453" s="15" t="s">
        <v>28</v>
      </c>
      <c r="G453" s="12">
        <v>42893</v>
      </c>
      <c r="H453" s="23">
        <f t="shared" si="49"/>
        <v>21000</v>
      </c>
      <c r="I453" s="23"/>
      <c r="J453" s="23"/>
      <c r="K453" s="24"/>
      <c r="L453" s="23">
        <v>12600</v>
      </c>
      <c r="M453" s="22">
        <f t="shared" si="47"/>
        <v>8400</v>
      </c>
      <c r="N453" s="22"/>
      <c r="O453" s="30">
        <f t="shared" si="48"/>
        <v>0.4</v>
      </c>
    </row>
    <row r="454" spans="1:15" s="2" customFormat="1" ht="20.100000000000001" customHeight="1" x14ac:dyDescent="0.25">
      <c r="A454" s="33">
        <v>303</v>
      </c>
      <c r="B454" s="9">
        <v>42851</v>
      </c>
      <c r="C454" s="18" t="s">
        <v>60</v>
      </c>
      <c r="D454" s="11">
        <v>2991.3</v>
      </c>
      <c r="E454" s="15">
        <v>42880</v>
      </c>
      <c r="F454" s="15" t="s">
        <v>28</v>
      </c>
      <c r="G454" s="12">
        <v>42873</v>
      </c>
      <c r="H454" s="23">
        <f t="shared" si="49"/>
        <v>2991.3</v>
      </c>
      <c r="I454" s="23"/>
      <c r="J454" s="23"/>
      <c r="K454" s="24"/>
      <c r="L454" s="23">
        <v>2088</v>
      </c>
      <c r="M454" s="22">
        <f t="shared" si="47"/>
        <v>903.30000000000018</v>
      </c>
      <c r="N454" s="22"/>
      <c r="O454" s="30">
        <f t="shared" si="48"/>
        <v>0.30197572961588609</v>
      </c>
    </row>
    <row r="455" spans="1:15" ht="20.100000000000001" customHeight="1" x14ac:dyDescent="0.25">
      <c r="A455" s="33">
        <v>340</v>
      </c>
      <c r="B455" s="9">
        <v>42870</v>
      </c>
      <c r="C455" s="18" t="s">
        <v>60</v>
      </c>
      <c r="D455" s="11">
        <v>2239.64</v>
      </c>
      <c r="E455" s="15">
        <v>42880</v>
      </c>
      <c r="F455" s="15" t="s">
        <v>28</v>
      </c>
      <c r="G455" s="12">
        <v>42873</v>
      </c>
      <c r="H455" s="23">
        <f t="shared" si="49"/>
        <v>2239.64</v>
      </c>
      <c r="I455" s="23"/>
      <c r="J455" s="23"/>
      <c r="K455" s="24"/>
      <c r="L455" s="23">
        <v>1848</v>
      </c>
      <c r="M455" s="22">
        <f t="shared" si="47"/>
        <v>391.63999999999987</v>
      </c>
      <c r="N455" s="22"/>
      <c r="O455" s="30">
        <f t="shared" si="48"/>
        <v>0.17486738940186811</v>
      </c>
    </row>
    <row r="456" spans="1:15" ht="20.100000000000001" customHeight="1" x14ac:dyDescent="0.25">
      <c r="A456" s="33">
        <v>374</v>
      </c>
      <c r="B456" s="9">
        <v>42874</v>
      </c>
      <c r="C456" s="18" t="s">
        <v>97</v>
      </c>
      <c r="D456" s="11">
        <v>107.38</v>
      </c>
      <c r="E456" s="15">
        <v>42881</v>
      </c>
      <c r="F456" s="15" t="s">
        <v>28</v>
      </c>
      <c r="G456" s="12">
        <v>42893</v>
      </c>
      <c r="H456" s="23">
        <f t="shared" si="49"/>
        <v>107.38</v>
      </c>
      <c r="I456" s="23"/>
      <c r="J456" s="23"/>
      <c r="K456" s="24"/>
      <c r="L456" s="23">
        <v>71</v>
      </c>
      <c r="M456" s="22">
        <f t="shared" si="47"/>
        <v>36.379999999999995</v>
      </c>
      <c r="N456" s="22"/>
      <c r="O456" s="30">
        <f t="shared" si="48"/>
        <v>0.33879679642391503</v>
      </c>
    </row>
    <row r="457" spans="1:15" ht="20.100000000000001" customHeight="1" x14ac:dyDescent="0.25">
      <c r="A457" s="33">
        <v>266</v>
      </c>
      <c r="B457" s="9">
        <v>42842</v>
      </c>
      <c r="C457" s="18" t="s">
        <v>56</v>
      </c>
      <c r="D457" s="11">
        <v>101974.45</v>
      </c>
      <c r="E457" s="15">
        <v>42881</v>
      </c>
      <c r="F457" s="15" t="s">
        <v>28</v>
      </c>
      <c r="G457" s="12">
        <v>42865</v>
      </c>
      <c r="H457" s="23">
        <f t="shared" si="49"/>
        <v>101974.45</v>
      </c>
      <c r="I457" s="23"/>
      <c r="J457" s="23"/>
      <c r="K457" s="24"/>
      <c r="L457" s="23">
        <v>67348</v>
      </c>
      <c r="M457" s="22">
        <f t="shared" si="47"/>
        <v>34626.449999999997</v>
      </c>
      <c r="N457" s="22"/>
      <c r="O457" s="30">
        <f t="shared" si="48"/>
        <v>0.33956005646512433</v>
      </c>
    </row>
    <row r="458" spans="1:15" ht="20.100000000000001" customHeight="1" x14ac:dyDescent="0.25">
      <c r="A458" s="33">
        <v>353</v>
      </c>
      <c r="B458" s="9">
        <v>42872</v>
      </c>
      <c r="C458" s="18" t="s">
        <v>56</v>
      </c>
      <c r="D458" s="11">
        <v>11479.33</v>
      </c>
      <c r="E458" s="15">
        <v>42881</v>
      </c>
      <c r="F458" s="15" t="s">
        <v>28</v>
      </c>
      <c r="G458" s="12">
        <v>42873</v>
      </c>
      <c r="H458" s="23">
        <f t="shared" si="49"/>
        <v>11479.33</v>
      </c>
      <c r="I458" s="23"/>
      <c r="J458" s="23"/>
      <c r="K458" s="24"/>
      <c r="L458" s="23">
        <v>5022</v>
      </c>
      <c r="M458" s="22">
        <f t="shared" si="47"/>
        <v>6457.33</v>
      </c>
      <c r="N458" s="22"/>
      <c r="O458" s="30">
        <f t="shared" si="48"/>
        <v>0.56251802152216202</v>
      </c>
    </row>
    <row r="459" spans="1:15" ht="20.100000000000001" customHeight="1" x14ac:dyDescent="0.25">
      <c r="A459" s="33">
        <v>391</v>
      </c>
      <c r="B459" s="9">
        <v>42881</v>
      </c>
      <c r="C459" s="20" t="s">
        <v>259</v>
      </c>
      <c r="D459" s="11">
        <v>8670</v>
      </c>
      <c r="E459" s="15">
        <v>42884</v>
      </c>
      <c r="F459" s="15" t="s">
        <v>28</v>
      </c>
      <c r="G459" s="12">
        <v>42885</v>
      </c>
      <c r="H459" s="23">
        <f t="shared" si="49"/>
        <v>8670</v>
      </c>
      <c r="I459" s="23">
        <f>H459</f>
        <v>8670</v>
      </c>
      <c r="J459" s="23"/>
      <c r="K459" s="24"/>
      <c r="L459" s="23">
        <v>7398.91</v>
      </c>
      <c r="M459" s="22">
        <f t="shared" si="47"/>
        <v>1271.0900000000001</v>
      </c>
      <c r="N459" s="22">
        <f>M459</f>
        <v>1271.0900000000001</v>
      </c>
      <c r="O459" s="30">
        <f t="shared" si="48"/>
        <v>0.14660784313725492</v>
      </c>
    </row>
    <row r="460" spans="1:15" ht="20.100000000000001" customHeight="1" x14ac:dyDescent="0.25">
      <c r="A460" s="33">
        <v>389</v>
      </c>
      <c r="B460" s="9">
        <v>42880</v>
      </c>
      <c r="C460" s="20" t="s">
        <v>260</v>
      </c>
      <c r="D460" s="11">
        <v>10374.44</v>
      </c>
      <c r="E460" s="15">
        <v>42885</v>
      </c>
      <c r="F460" s="15" t="s">
        <v>28</v>
      </c>
      <c r="G460" s="12">
        <v>42921</v>
      </c>
      <c r="H460" s="23">
        <f t="shared" si="49"/>
        <v>10374.44</v>
      </c>
      <c r="I460" s="23">
        <f>H460</f>
        <v>10374.44</v>
      </c>
      <c r="J460" s="23"/>
      <c r="K460" s="24"/>
      <c r="L460" s="23">
        <v>8196</v>
      </c>
      <c r="M460" s="22">
        <f t="shared" si="47"/>
        <v>2178.4400000000005</v>
      </c>
      <c r="N460" s="22">
        <f>M460</f>
        <v>2178.4400000000005</v>
      </c>
      <c r="O460" s="30">
        <f t="shared" si="48"/>
        <v>0.20998145442067237</v>
      </c>
    </row>
    <row r="461" spans="1:15" ht="20.100000000000001" customHeight="1" x14ac:dyDescent="0.25">
      <c r="A461" s="33">
        <v>394</v>
      </c>
      <c r="B461" s="9">
        <v>42884</v>
      </c>
      <c r="C461" s="20" t="s">
        <v>261</v>
      </c>
      <c r="D461" s="11">
        <v>11107</v>
      </c>
      <c r="E461" s="15">
        <v>42885</v>
      </c>
      <c r="F461" s="15" t="s">
        <v>28</v>
      </c>
      <c r="G461" s="12">
        <v>42922</v>
      </c>
      <c r="H461" s="23">
        <f t="shared" si="49"/>
        <v>11107</v>
      </c>
      <c r="I461" s="23">
        <f>H461</f>
        <v>11107</v>
      </c>
      <c r="J461" s="23"/>
      <c r="K461" s="24"/>
      <c r="L461" s="23">
        <v>8552</v>
      </c>
      <c r="M461" s="22">
        <f t="shared" si="47"/>
        <v>2555</v>
      </c>
      <c r="N461" s="22">
        <f>M461</f>
        <v>2555</v>
      </c>
      <c r="O461" s="30">
        <f t="shared" si="48"/>
        <v>0.23003511299180696</v>
      </c>
    </row>
    <row r="462" spans="1:15" ht="20.100000000000001" customHeight="1" x14ac:dyDescent="0.25">
      <c r="A462" s="33">
        <v>242</v>
      </c>
      <c r="B462" s="9">
        <v>42836</v>
      </c>
      <c r="C462" s="18" t="s">
        <v>66</v>
      </c>
      <c r="D462" s="11">
        <v>17124</v>
      </c>
      <c r="E462" s="15">
        <v>42885</v>
      </c>
      <c r="F462" s="15" t="s">
        <v>28</v>
      </c>
      <c r="G462" s="12">
        <v>42899</v>
      </c>
      <c r="H462" s="23">
        <f t="shared" si="49"/>
        <v>17124</v>
      </c>
      <c r="I462" s="23"/>
      <c r="J462" s="23"/>
      <c r="K462" s="24"/>
      <c r="L462" s="23">
        <v>13059</v>
      </c>
      <c r="M462" s="22">
        <f t="shared" si="47"/>
        <v>4065</v>
      </c>
      <c r="N462" s="22"/>
      <c r="O462" s="30">
        <f t="shared" si="48"/>
        <v>0.23738612473721094</v>
      </c>
    </row>
    <row r="463" spans="1:15" ht="20.100000000000001" customHeight="1" x14ac:dyDescent="0.25">
      <c r="A463" s="33">
        <v>380</v>
      </c>
      <c r="B463" s="9">
        <v>42879</v>
      </c>
      <c r="C463" s="20" t="s">
        <v>254</v>
      </c>
      <c r="D463" s="11">
        <v>40190</v>
      </c>
      <c r="E463" s="15">
        <v>42885</v>
      </c>
      <c r="F463" s="15" t="s">
        <v>28</v>
      </c>
      <c r="G463" s="12">
        <v>42879</v>
      </c>
      <c r="H463" s="23">
        <f t="shared" si="49"/>
        <v>40190</v>
      </c>
      <c r="I463" s="23">
        <f>H463</f>
        <v>40190</v>
      </c>
      <c r="J463" s="23"/>
      <c r="K463" s="24"/>
      <c r="L463" s="23">
        <v>32954</v>
      </c>
      <c r="M463" s="22">
        <f t="shared" si="47"/>
        <v>7236</v>
      </c>
      <c r="N463" s="22">
        <f>M463</f>
        <v>7236</v>
      </c>
      <c r="O463" s="30">
        <f t="shared" si="48"/>
        <v>0.18004478726051257</v>
      </c>
    </row>
    <row r="464" spans="1:15" ht="20.100000000000001" customHeight="1" x14ac:dyDescent="0.25">
      <c r="A464" s="33">
        <v>401</v>
      </c>
      <c r="B464" s="9">
        <v>42885</v>
      </c>
      <c r="C464" s="18" t="s">
        <v>19</v>
      </c>
      <c r="D464" s="11">
        <v>5615.97</v>
      </c>
      <c r="E464" s="15">
        <v>42886</v>
      </c>
      <c r="F464" s="15" t="s">
        <v>28</v>
      </c>
      <c r="G464" s="12">
        <v>42892</v>
      </c>
      <c r="H464" s="23">
        <f t="shared" si="49"/>
        <v>5615.97</v>
      </c>
      <c r="I464" s="23"/>
      <c r="J464" s="23"/>
      <c r="K464" s="24"/>
      <c r="L464" s="23">
        <v>5338</v>
      </c>
      <c r="M464" s="22">
        <f t="shared" si="47"/>
        <v>277.97000000000025</v>
      </c>
      <c r="N464" s="22"/>
      <c r="O464" s="30">
        <f t="shared" si="48"/>
        <v>4.949634702464583E-2</v>
      </c>
    </row>
    <row r="465" spans="1:15" ht="20.100000000000001" customHeight="1" x14ac:dyDescent="0.25">
      <c r="A465" s="33">
        <v>349</v>
      </c>
      <c r="B465" s="9">
        <v>42871</v>
      </c>
      <c r="C465" s="18" t="s">
        <v>13</v>
      </c>
      <c r="D465" s="11">
        <v>23099.040000000001</v>
      </c>
      <c r="E465" s="15">
        <v>42886</v>
      </c>
      <c r="F465" s="15" t="s">
        <v>28</v>
      </c>
      <c r="G465" s="12">
        <v>42872</v>
      </c>
      <c r="H465" s="23">
        <f t="shared" si="49"/>
        <v>23099.040000000001</v>
      </c>
      <c r="I465" s="23"/>
      <c r="J465" s="23"/>
      <c r="K465" s="24"/>
      <c r="L465" s="23">
        <v>17513</v>
      </c>
      <c r="M465" s="22">
        <f t="shared" si="47"/>
        <v>5586.0400000000009</v>
      </c>
      <c r="N465" s="22"/>
      <c r="O465" s="30">
        <f t="shared" si="48"/>
        <v>0.2418299634963185</v>
      </c>
    </row>
    <row r="466" spans="1:15" ht="20.100000000000001" customHeight="1" x14ac:dyDescent="0.25">
      <c r="A466" s="35" t="s">
        <v>535</v>
      </c>
      <c r="B466" s="36"/>
      <c r="C466" s="42"/>
      <c r="D466" s="37"/>
      <c r="E466" s="46" t="s">
        <v>544</v>
      </c>
      <c r="F466" s="47">
        <f>M466*0.17+N466*0.06+8000</f>
        <v>66437.588100000008</v>
      </c>
      <c r="G466" s="21">
        <f>H466*0.05+I466*0.02</f>
        <v>65182.037599999996</v>
      </c>
      <c r="H466" s="49">
        <f>SUBTOTAL(109,Май2017[Продажа])</f>
        <v>1208758.48</v>
      </c>
      <c r="I466" s="49">
        <f>SUBTOTAL(109,Май2017[Продажа НК])</f>
        <v>237205.68</v>
      </c>
      <c r="J466" s="49">
        <f>SUBTOTAL(109,Май2017[отк])</f>
        <v>15000</v>
      </c>
      <c r="K466" s="49">
        <f>SUBTOTAL(109,Май2017[шланги])</f>
        <v>19800</v>
      </c>
      <c r="L466" s="49">
        <f>SUBTOTAL(109,Май2017[Закупка])</f>
        <v>848709.41</v>
      </c>
      <c r="M466" s="49">
        <f>SUBTOTAL(109,Май2017[Маржа])</f>
        <v>325249.07</v>
      </c>
      <c r="N466" s="49">
        <f>SUBTOTAL(109,Май2017[Маржа НК])</f>
        <v>52420.770000000004</v>
      </c>
      <c r="O466" s="44">
        <f t="shared" si="48"/>
        <v>0.26907697061202829</v>
      </c>
    </row>
    <row r="467" spans="1:15" ht="20.100000000000001" customHeight="1" x14ac:dyDescent="0.25">
      <c r="A467" s="41" t="s">
        <v>1</v>
      </c>
      <c r="B467" s="1" t="s">
        <v>0</v>
      </c>
      <c r="C467" s="1" t="s">
        <v>26</v>
      </c>
      <c r="D467" s="1" t="s">
        <v>2</v>
      </c>
      <c r="E467" s="1" t="s">
        <v>3</v>
      </c>
      <c r="F467" s="1" t="s">
        <v>27</v>
      </c>
      <c r="G467" s="1" t="s">
        <v>4</v>
      </c>
      <c r="H467" s="2" t="s">
        <v>132</v>
      </c>
      <c r="I467" s="2" t="s">
        <v>133</v>
      </c>
      <c r="J467" s="40" t="s">
        <v>187</v>
      </c>
      <c r="K467" s="40" t="s">
        <v>188</v>
      </c>
      <c r="L467" s="40" t="s">
        <v>129</v>
      </c>
      <c r="M467" s="40" t="s">
        <v>130</v>
      </c>
      <c r="N467" s="2" t="s">
        <v>131</v>
      </c>
      <c r="O467" s="2" t="s">
        <v>134</v>
      </c>
    </row>
    <row r="468" spans="1:15" ht="20.100000000000001" customHeight="1" x14ac:dyDescent="0.25">
      <c r="A468" s="33">
        <v>399</v>
      </c>
      <c r="B468" s="9">
        <v>42885</v>
      </c>
      <c r="C468" s="18" t="s">
        <v>77</v>
      </c>
      <c r="D468" s="11">
        <v>1537.25</v>
      </c>
      <c r="E468" s="15">
        <v>42887</v>
      </c>
      <c r="F468" s="15" t="s">
        <v>28</v>
      </c>
      <c r="G468" s="12">
        <v>42891</v>
      </c>
      <c r="H468" s="23">
        <f t="shared" ref="H468:H499" si="50">D468</f>
        <v>1537.25</v>
      </c>
      <c r="I468" s="23"/>
      <c r="J468" s="23"/>
      <c r="K468" s="24"/>
      <c r="L468" s="23">
        <v>1116</v>
      </c>
      <c r="M468" s="22">
        <f t="shared" ref="M468:M499" si="51">H468-L468-J468-K468</f>
        <v>421.25</v>
      </c>
      <c r="N468" s="22"/>
      <c r="O468" s="30">
        <f t="shared" ref="O468:O500" si="52">M468/H468</f>
        <v>0.27402829728411121</v>
      </c>
    </row>
    <row r="469" spans="1:15" ht="20.100000000000001" customHeight="1" x14ac:dyDescent="0.25">
      <c r="A469" s="33">
        <v>420</v>
      </c>
      <c r="B469" s="9">
        <v>42888</v>
      </c>
      <c r="C469" s="18" t="s">
        <v>122</v>
      </c>
      <c r="D469" s="11">
        <v>962</v>
      </c>
      <c r="E469" s="15">
        <v>42888</v>
      </c>
      <c r="F469" s="15" t="s">
        <v>28</v>
      </c>
      <c r="G469" s="12">
        <v>42888</v>
      </c>
      <c r="H469" s="23">
        <f t="shared" si="50"/>
        <v>962</v>
      </c>
      <c r="I469" s="23"/>
      <c r="J469" s="23"/>
      <c r="K469" s="24"/>
      <c r="L469" s="23">
        <v>787</v>
      </c>
      <c r="M469" s="22">
        <f t="shared" si="51"/>
        <v>175</v>
      </c>
      <c r="N469" s="22"/>
      <c r="O469" s="30">
        <f t="shared" si="52"/>
        <v>0.18191268191268192</v>
      </c>
    </row>
    <row r="470" spans="1:15" ht="20.100000000000001" customHeight="1" x14ac:dyDescent="0.25">
      <c r="A470" s="33">
        <v>416</v>
      </c>
      <c r="B470" s="9">
        <v>42887</v>
      </c>
      <c r="C470" s="20" t="s">
        <v>263</v>
      </c>
      <c r="D470" s="11">
        <v>52690</v>
      </c>
      <c r="E470" s="15">
        <v>42888</v>
      </c>
      <c r="F470" s="15" t="s">
        <v>28</v>
      </c>
      <c r="G470" s="12">
        <v>42891</v>
      </c>
      <c r="H470" s="23">
        <f t="shared" si="50"/>
        <v>52690</v>
      </c>
      <c r="I470" s="23">
        <f>H470</f>
        <v>52690</v>
      </c>
      <c r="J470" s="23"/>
      <c r="K470" s="24"/>
      <c r="L470" s="23">
        <v>39834</v>
      </c>
      <c r="M470" s="22">
        <f t="shared" si="51"/>
        <v>12856</v>
      </c>
      <c r="N470" s="22">
        <f>M470</f>
        <v>12856</v>
      </c>
      <c r="O470" s="30">
        <f t="shared" si="52"/>
        <v>0.24399316758398179</v>
      </c>
    </row>
    <row r="471" spans="1:15" ht="20.100000000000001" customHeight="1" x14ac:dyDescent="0.25">
      <c r="A471" s="33">
        <v>404</v>
      </c>
      <c r="B471" s="9">
        <v>42886</v>
      </c>
      <c r="C471" s="18" t="s">
        <v>16</v>
      </c>
      <c r="D471" s="11">
        <v>4919.54</v>
      </c>
      <c r="E471" s="15">
        <v>42888</v>
      </c>
      <c r="F471" s="15" t="s">
        <v>28</v>
      </c>
      <c r="G471" s="12">
        <v>42920</v>
      </c>
      <c r="H471" s="23">
        <f t="shared" si="50"/>
        <v>4919.54</v>
      </c>
      <c r="I471" s="23"/>
      <c r="J471" s="23"/>
      <c r="K471" s="24"/>
      <c r="L471" s="23">
        <v>3244</v>
      </c>
      <c r="M471" s="22">
        <f t="shared" si="51"/>
        <v>1675.54</v>
      </c>
      <c r="N471" s="22"/>
      <c r="O471" s="30">
        <f t="shared" si="52"/>
        <v>0.34058875423311935</v>
      </c>
    </row>
    <row r="472" spans="1:15" ht="20.100000000000001" customHeight="1" x14ac:dyDescent="0.25">
      <c r="A472" s="33">
        <v>412</v>
      </c>
      <c r="B472" s="9">
        <v>42887</v>
      </c>
      <c r="C472" s="18" t="s">
        <v>220</v>
      </c>
      <c r="D472" s="11">
        <v>1924</v>
      </c>
      <c r="E472" s="15">
        <v>42888</v>
      </c>
      <c r="F472" s="15" t="s">
        <v>28</v>
      </c>
      <c r="G472" s="12">
        <v>42891</v>
      </c>
      <c r="H472" s="23">
        <f t="shared" si="50"/>
        <v>1924</v>
      </c>
      <c r="I472" s="23"/>
      <c r="J472" s="23"/>
      <c r="K472" s="24"/>
      <c r="L472" s="23">
        <v>1484</v>
      </c>
      <c r="M472" s="22">
        <f t="shared" si="51"/>
        <v>440</v>
      </c>
      <c r="N472" s="22"/>
      <c r="O472" s="30">
        <f t="shared" si="52"/>
        <v>0.2286902286902287</v>
      </c>
    </row>
    <row r="473" spans="1:15" ht="20.100000000000001" customHeight="1" x14ac:dyDescent="0.25">
      <c r="A473" s="33">
        <v>424</v>
      </c>
      <c r="B473" s="9">
        <v>42891</v>
      </c>
      <c r="C473" s="18" t="s">
        <v>122</v>
      </c>
      <c r="D473" s="11">
        <v>203.26</v>
      </c>
      <c r="E473" s="15">
        <v>42892</v>
      </c>
      <c r="F473" s="15" t="s">
        <v>28</v>
      </c>
      <c r="G473" s="12">
        <v>42913</v>
      </c>
      <c r="H473" s="23">
        <f t="shared" si="50"/>
        <v>203.26</v>
      </c>
      <c r="I473" s="23"/>
      <c r="J473" s="23"/>
      <c r="K473" s="24"/>
      <c r="L473" s="23">
        <v>134</v>
      </c>
      <c r="M473" s="22">
        <f t="shared" si="51"/>
        <v>69.259999999999991</v>
      </c>
      <c r="N473" s="22"/>
      <c r="O473" s="30">
        <f t="shared" si="52"/>
        <v>0.34074584276296366</v>
      </c>
    </row>
    <row r="474" spans="1:15" ht="20.100000000000001" customHeight="1" x14ac:dyDescent="0.25">
      <c r="A474" s="33">
        <v>408</v>
      </c>
      <c r="B474" s="9">
        <v>42861</v>
      </c>
      <c r="C474" s="20" t="s">
        <v>262</v>
      </c>
      <c r="D474" s="11">
        <v>15990</v>
      </c>
      <c r="E474" s="15">
        <v>42893</v>
      </c>
      <c r="F474" s="15" t="s">
        <v>28</v>
      </c>
      <c r="G474" s="12">
        <v>42861</v>
      </c>
      <c r="H474" s="23">
        <f t="shared" si="50"/>
        <v>15990</v>
      </c>
      <c r="I474" s="23">
        <f>H474</f>
        <v>15990</v>
      </c>
      <c r="J474" s="23"/>
      <c r="K474" s="24"/>
      <c r="L474" s="23">
        <v>12088</v>
      </c>
      <c r="M474" s="22">
        <f t="shared" si="51"/>
        <v>3902</v>
      </c>
      <c r="N474" s="22">
        <f>M474</f>
        <v>3902</v>
      </c>
      <c r="O474" s="30">
        <f t="shared" si="52"/>
        <v>0.24402751719824892</v>
      </c>
    </row>
    <row r="475" spans="1:15" ht="20.100000000000001" customHeight="1" x14ac:dyDescent="0.25">
      <c r="A475" s="33">
        <v>384</v>
      </c>
      <c r="B475" s="9">
        <v>42878</v>
      </c>
      <c r="C475" s="18" t="s">
        <v>175</v>
      </c>
      <c r="D475" s="11">
        <v>23246.5</v>
      </c>
      <c r="E475" s="15">
        <v>42894</v>
      </c>
      <c r="F475" s="15" t="s">
        <v>28</v>
      </c>
      <c r="G475" s="12">
        <v>42895</v>
      </c>
      <c r="H475" s="23">
        <f t="shared" si="50"/>
        <v>23246.5</v>
      </c>
      <c r="I475" s="23"/>
      <c r="J475" s="23"/>
      <c r="K475" s="24"/>
      <c r="L475" s="23">
        <v>17858</v>
      </c>
      <c r="M475" s="22">
        <f t="shared" si="51"/>
        <v>5388.5</v>
      </c>
      <c r="N475" s="22"/>
      <c r="O475" s="30">
        <f t="shared" si="52"/>
        <v>0.23179833523326093</v>
      </c>
    </row>
    <row r="476" spans="1:15" ht="20.100000000000001" customHeight="1" x14ac:dyDescent="0.25">
      <c r="A476" s="33">
        <v>327</v>
      </c>
      <c r="B476" s="9">
        <v>42878</v>
      </c>
      <c r="C476" s="20" t="s">
        <v>256</v>
      </c>
      <c r="D476" s="11">
        <v>40658.120000000003</v>
      </c>
      <c r="E476" s="15">
        <v>42894</v>
      </c>
      <c r="F476" s="15" t="s">
        <v>28</v>
      </c>
      <c r="G476" s="12">
        <v>42901</v>
      </c>
      <c r="H476" s="23">
        <f t="shared" si="50"/>
        <v>40658.120000000003</v>
      </c>
      <c r="I476" s="23">
        <f>H476</f>
        <v>40658.120000000003</v>
      </c>
      <c r="J476" s="23"/>
      <c r="K476" s="24"/>
      <c r="L476" s="23">
        <v>31248</v>
      </c>
      <c r="M476" s="22">
        <f t="shared" si="51"/>
        <v>9410.1200000000026</v>
      </c>
      <c r="N476" s="22">
        <f>M476</f>
        <v>9410.1200000000026</v>
      </c>
      <c r="O476" s="30">
        <f t="shared" si="52"/>
        <v>0.23144503484174875</v>
      </c>
    </row>
    <row r="477" spans="1:15" ht="20.100000000000001" customHeight="1" x14ac:dyDescent="0.25">
      <c r="A477" s="33">
        <v>289</v>
      </c>
      <c r="B477" s="9">
        <v>42845</v>
      </c>
      <c r="C477" s="18" t="s">
        <v>66</v>
      </c>
      <c r="D477" s="11">
        <v>14874</v>
      </c>
      <c r="E477" s="15">
        <v>42894</v>
      </c>
      <c r="F477" s="15" t="s">
        <v>28</v>
      </c>
      <c r="G477" s="12">
        <v>42899</v>
      </c>
      <c r="H477" s="23">
        <f t="shared" si="50"/>
        <v>14874</v>
      </c>
      <c r="I477" s="23"/>
      <c r="J477" s="23"/>
      <c r="K477" s="24"/>
      <c r="L477" s="23">
        <v>10382</v>
      </c>
      <c r="M477" s="22">
        <f t="shared" si="51"/>
        <v>4492</v>
      </c>
      <c r="N477" s="22"/>
      <c r="O477" s="30">
        <f t="shared" si="52"/>
        <v>0.30200349603334675</v>
      </c>
    </row>
    <row r="478" spans="1:15" ht="20.100000000000001" customHeight="1" x14ac:dyDescent="0.25">
      <c r="A478" s="33">
        <v>418</v>
      </c>
      <c r="B478" s="9">
        <v>42888</v>
      </c>
      <c r="C478" s="18" t="s">
        <v>11</v>
      </c>
      <c r="D478" s="11">
        <v>11799</v>
      </c>
      <c r="E478" s="15">
        <v>42895</v>
      </c>
      <c r="F478" s="15" t="s">
        <v>28</v>
      </c>
      <c r="G478" s="12">
        <v>42900</v>
      </c>
      <c r="H478" s="23">
        <f t="shared" si="50"/>
        <v>11799</v>
      </c>
      <c r="I478" s="23"/>
      <c r="J478" s="23"/>
      <c r="K478" s="24"/>
      <c r="L478" s="23">
        <v>8920</v>
      </c>
      <c r="M478" s="22">
        <f t="shared" si="51"/>
        <v>2879</v>
      </c>
      <c r="N478" s="22"/>
      <c r="O478" s="30">
        <f t="shared" si="52"/>
        <v>0.24400372912958726</v>
      </c>
    </row>
    <row r="479" spans="1:15" ht="20.100000000000001" customHeight="1" x14ac:dyDescent="0.25">
      <c r="A479" s="33">
        <v>438</v>
      </c>
      <c r="B479" s="9">
        <v>42894</v>
      </c>
      <c r="C479" s="18" t="s">
        <v>58</v>
      </c>
      <c r="D479" s="11">
        <v>4552.58</v>
      </c>
      <c r="E479" s="15">
        <v>42899</v>
      </c>
      <c r="F479" s="15" t="s">
        <v>28</v>
      </c>
      <c r="G479" s="12">
        <v>42902</v>
      </c>
      <c r="H479" s="23">
        <f t="shared" si="50"/>
        <v>4552.58</v>
      </c>
      <c r="I479" s="23"/>
      <c r="J479" s="23"/>
      <c r="K479" s="24"/>
      <c r="L479" s="23">
        <v>3463</v>
      </c>
      <c r="M479" s="22">
        <f t="shared" si="51"/>
        <v>1089.58</v>
      </c>
      <c r="N479" s="22"/>
      <c r="O479" s="30">
        <f t="shared" si="52"/>
        <v>0.23933242249449763</v>
      </c>
    </row>
    <row r="480" spans="1:15" ht="20.100000000000001" customHeight="1" x14ac:dyDescent="0.25">
      <c r="A480" s="33">
        <v>303</v>
      </c>
      <c r="B480" s="9">
        <v>42851</v>
      </c>
      <c r="C480" s="18" t="s">
        <v>60</v>
      </c>
      <c r="D480" s="11">
        <v>1495.65</v>
      </c>
      <c r="E480" s="15">
        <v>42899</v>
      </c>
      <c r="F480" s="15" t="s">
        <v>28</v>
      </c>
      <c r="G480" s="12">
        <v>42893</v>
      </c>
      <c r="H480" s="23">
        <f t="shared" si="50"/>
        <v>1495.65</v>
      </c>
      <c r="I480" s="23"/>
      <c r="J480" s="23"/>
      <c r="K480" s="24"/>
      <c r="L480" s="23">
        <v>989</v>
      </c>
      <c r="M480" s="22">
        <f t="shared" si="51"/>
        <v>506.65000000000009</v>
      </c>
      <c r="N480" s="22"/>
      <c r="O480" s="30">
        <f t="shared" si="52"/>
        <v>0.33874903887941704</v>
      </c>
    </row>
    <row r="481" spans="1:15" ht="20.100000000000001" customHeight="1" x14ac:dyDescent="0.25">
      <c r="A481" s="33">
        <v>340</v>
      </c>
      <c r="B481" s="9">
        <v>42870</v>
      </c>
      <c r="C481" s="18" t="s">
        <v>60</v>
      </c>
      <c r="D481" s="11">
        <v>1119.82</v>
      </c>
      <c r="E481" s="15">
        <v>42899</v>
      </c>
      <c r="F481" s="15" t="s">
        <v>28</v>
      </c>
      <c r="G481" s="12">
        <v>42893</v>
      </c>
      <c r="H481" s="23">
        <f t="shared" si="50"/>
        <v>1119.82</v>
      </c>
      <c r="I481" s="23"/>
      <c r="J481" s="23"/>
      <c r="K481" s="24"/>
      <c r="L481" s="23">
        <v>874</v>
      </c>
      <c r="M481" s="22">
        <f t="shared" si="51"/>
        <v>245.81999999999994</v>
      </c>
      <c r="N481" s="22"/>
      <c r="O481" s="30">
        <f t="shared" si="52"/>
        <v>0.21951742244289257</v>
      </c>
    </row>
    <row r="482" spans="1:15" ht="20.100000000000001" customHeight="1" x14ac:dyDescent="0.25">
      <c r="A482" s="33">
        <v>430</v>
      </c>
      <c r="B482" s="9">
        <v>42893</v>
      </c>
      <c r="C482" s="18" t="s">
        <v>264</v>
      </c>
      <c r="D482" s="11">
        <v>28590</v>
      </c>
      <c r="E482" s="15">
        <v>42900</v>
      </c>
      <c r="F482" s="15" t="s">
        <v>28</v>
      </c>
      <c r="G482" s="12">
        <v>42901</v>
      </c>
      <c r="H482" s="23">
        <f t="shared" si="50"/>
        <v>28590</v>
      </c>
      <c r="I482" s="23"/>
      <c r="J482" s="23"/>
      <c r="K482" s="24"/>
      <c r="L482" s="23">
        <v>21614</v>
      </c>
      <c r="M482" s="22">
        <f t="shared" si="51"/>
        <v>6976</v>
      </c>
      <c r="N482" s="22"/>
      <c r="O482" s="30">
        <f t="shared" si="52"/>
        <v>0.24400139909059113</v>
      </c>
    </row>
    <row r="483" spans="1:15" ht="20.100000000000001" customHeight="1" x14ac:dyDescent="0.25">
      <c r="A483" s="33">
        <v>265</v>
      </c>
      <c r="B483" s="9">
        <v>42886</v>
      </c>
      <c r="C483" s="20" t="s">
        <v>248</v>
      </c>
      <c r="D483" s="11">
        <v>15010.96</v>
      </c>
      <c r="E483" s="15">
        <v>42900</v>
      </c>
      <c r="F483" s="15" t="s">
        <v>28</v>
      </c>
      <c r="G483" s="12">
        <v>42886</v>
      </c>
      <c r="H483" s="23">
        <f t="shared" si="50"/>
        <v>15010.96</v>
      </c>
      <c r="I483" s="23">
        <f>H483</f>
        <v>15010.96</v>
      </c>
      <c r="J483" s="23"/>
      <c r="K483" s="24"/>
      <c r="L483" s="23">
        <v>11710</v>
      </c>
      <c r="M483" s="22">
        <f t="shared" si="51"/>
        <v>3300.9599999999991</v>
      </c>
      <c r="N483" s="22">
        <f>M483</f>
        <v>3300.9599999999991</v>
      </c>
      <c r="O483" s="30">
        <f t="shared" si="52"/>
        <v>0.21990332397128493</v>
      </c>
    </row>
    <row r="484" spans="1:15" ht="20.100000000000001" customHeight="1" x14ac:dyDescent="0.25">
      <c r="A484" s="33">
        <v>450</v>
      </c>
      <c r="B484" s="15">
        <v>42900</v>
      </c>
      <c r="C484" s="18" t="s">
        <v>236</v>
      </c>
      <c r="D484" s="11">
        <v>14455</v>
      </c>
      <c r="E484" s="15">
        <v>42901</v>
      </c>
      <c r="F484" s="15" t="s">
        <v>28</v>
      </c>
      <c r="G484" s="12">
        <v>42909</v>
      </c>
      <c r="H484" s="23">
        <f t="shared" si="50"/>
        <v>14455</v>
      </c>
      <c r="I484" s="23"/>
      <c r="J484" s="23"/>
      <c r="K484" s="24"/>
      <c r="L484" s="23">
        <v>10915</v>
      </c>
      <c r="M484" s="22">
        <f t="shared" si="51"/>
        <v>3540</v>
      </c>
      <c r="N484" s="22"/>
      <c r="O484" s="30">
        <f t="shared" si="52"/>
        <v>0.24489795918367346</v>
      </c>
    </row>
    <row r="485" spans="1:15" ht="19.5" customHeight="1" x14ac:dyDescent="0.25">
      <c r="A485" s="33">
        <v>449</v>
      </c>
      <c r="B485" s="15">
        <v>42900</v>
      </c>
      <c r="C485" s="18" t="s">
        <v>91</v>
      </c>
      <c r="D485" s="11">
        <v>4410</v>
      </c>
      <c r="E485" s="15">
        <v>42901</v>
      </c>
      <c r="F485" s="15" t="s">
        <v>28</v>
      </c>
      <c r="G485" s="12">
        <v>42902</v>
      </c>
      <c r="H485" s="23">
        <f t="shared" si="50"/>
        <v>4410</v>
      </c>
      <c r="I485" s="23"/>
      <c r="J485" s="23"/>
      <c r="K485" s="24"/>
      <c r="L485" s="23">
        <v>3438</v>
      </c>
      <c r="M485" s="22">
        <f t="shared" si="51"/>
        <v>972</v>
      </c>
      <c r="N485" s="22"/>
      <c r="O485" s="30">
        <f t="shared" si="52"/>
        <v>0.22040816326530613</v>
      </c>
    </row>
    <row r="486" spans="1:15" ht="15.75" x14ac:dyDescent="0.25">
      <c r="A486" s="33">
        <v>415</v>
      </c>
      <c r="B486" s="15">
        <v>42887</v>
      </c>
      <c r="C486" s="18" t="s">
        <v>265</v>
      </c>
      <c r="D486" s="11">
        <v>4885.79</v>
      </c>
      <c r="E486" s="15">
        <v>42906</v>
      </c>
      <c r="F486" s="15" t="s">
        <v>28</v>
      </c>
      <c r="G486" s="12">
        <v>42922</v>
      </c>
      <c r="H486" s="23">
        <f t="shared" si="50"/>
        <v>4885.79</v>
      </c>
      <c r="I486" s="23"/>
      <c r="J486" s="23"/>
      <c r="K486" s="24"/>
      <c r="L486" s="23">
        <v>3226</v>
      </c>
      <c r="M486" s="22">
        <f t="shared" si="51"/>
        <v>1659.79</v>
      </c>
      <c r="N486" s="22"/>
      <c r="O486" s="30">
        <f t="shared" si="52"/>
        <v>0.33971783478209255</v>
      </c>
    </row>
    <row r="487" spans="1:15" s="2" customFormat="1" ht="20.100000000000001" customHeight="1" x14ac:dyDescent="0.25">
      <c r="A487" s="33">
        <v>439</v>
      </c>
      <c r="B487" s="15">
        <v>42895</v>
      </c>
      <c r="C487" s="18" t="s">
        <v>137</v>
      </c>
      <c r="D487" s="11">
        <v>2675.3</v>
      </c>
      <c r="E487" s="15">
        <v>42906</v>
      </c>
      <c r="F487" s="15" t="s">
        <v>28</v>
      </c>
      <c r="G487" s="12">
        <v>42944</v>
      </c>
      <c r="H487" s="23">
        <f t="shared" si="50"/>
        <v>2675.3</v>
      </c>
      <c r="I487" s="23"/>
      <c r="J487" s="23"/>
      <c r="K487" s="24"/>
      <c r="L487" s="23">
        <v>2087</v>
      </c>
      <c r="M487" s="22">
        <f t="shared" si="51"/>
        <v>588.30000000000018</v>
      </c>
      <c r="N487" s="22"/>
      <c r="O487" s="30">
        <f t="shared" si="52"/>
        <v>0.21990057189847872</v>
      </c>
    </row>
    <row r="488" spans="1:15" ht="20.100000000000001" customHeight="1" x14ac:dyDescent="0.25">
      <c r="A488" s="33">
        <v>370</v>
      </c>
      <c r="B488" s="9">
        <v>42873</v>
      </c>
      <c r="C488" s="18" t="s">
        <v>56</v>
      </c>
      <c r="D488" s="11">
        <v>740.16</v>
      </c>
      <c r="E488" s="15">
        <v>42907</v>
      </c>
      <c r="F488" s="15" t="s">
        <v>28</v>
      </c>
      <c r="G488" s="12">
        <v>42892</v>
      </c>
      <c r="H488" s="23">
        <f t="shared" si="50"/>
        <v>740.16</v>
      </c>
      <c r="I488" s="23"/>
      <c r="J488" s="23"/>
      <c r="K488" s="24"/>
      <c r="L488" s="23">
        <v>488</v>
      </c>
      <c r="M488" s="22">
        <f t="shared" si="51"/>
        <v>252.15999999999997</v>
      </c>
      <c r="N488" s="22"/>
      <c r="O488" s="30">
        <f t="shared" si="52"/>
        <v>0.34068309554690873</v>
      </c>
    </row>
    <row r="489" spans="1:15" ht="20.100000000000001" customHeight="1" x14ac:dyDescent="0.25">
      <c r="A489" s="33">
        <v>402</v>
      </c>
      <c r="B489" s="9">
        <v>42887</v>
      </c>
      <c r="C489" s="18" t="s">
        <v>56</v>
      </c>
      <c r="D489" s="11">
        <v>42797.23</v>
      </c>
      <c r="E489" s="15">
        <v>42907</v>
      </c>
      <c r="F489" s="15" t="s">
        <v>28</v>
      </c>
      <c r="G489" s="12">
        <v>42892</v>
      </c>
      <c r="H489" s="23">
        <f t="shared" si="50"/>
        <v>42797.23</v>
      </c>
      <c r="I489" s="23"/>
      <c r="J489" s="23"/>
      <c r="K489" s="24"/>
      <c r="L489" s="23">
        <v>24813</v>
      </c>
      <c r="M489" s="22">
        <f t="shared" si="51"/>
        <v>17984.230000000003</v>
      </c>
      <c r="N489" s="22"/>
      <c r="O489" s="30">
        <f t="shared" si="52"/>
        <v>0.42021948616767957</v>
      </c>
    </row>
    <row r="490" spans="1:15" ht="20.100000000000001" customHeight="1" x14ac:dyDescent="0.25">
      <c r="A490" s="33">
        <v>463</v>
      </c>
      <c r="B490" s="15">
        <v>42905</v>
      </c>
      <c r="C490" s="18" t="s">
        <v>180</v>
      </c>
      <c r="D490" s="11">
        <v>1279.3599999999999</v>
      </c>
      <c r="E490" s="15">
        <v>42908</v>
      </c>
      <c r="F490" s="15" t="s">
        <v>28</v>
      </c>
      <c r="G490" s="12">
        <v>42914</v>
      </c>
      <c r="H490" s="23">
        <f t="shared" si="50"/>
        <v>1279.3599999999999</v>
      </c>
      <c r="I490" s="23"/>
      <c r="J490" s="23"/>
      <c r="K490" s="24"/>
      <c r="L490" s="23">
        <v>844</v>
      </c>
      <c r="M490" s="22">
        <f t="shared" si="51"/>
        <v>435.3599999999999</v>
      </c>
      <c r="N490" s="22"/>
      <c r="O490" s="30">
        <f t="shared" si="52"/>
        <v>0.34029514757378682</v>
      </c>
    </row>
    <row r="491" spans="1:15" ht="20.100000000000001" customHeight="1" x14ac:dyDescent="0.25">
      <c r="A491" s="33">
        <v>426</v>
      </c>
      <c r="B491" s="15">
        <v>42891</v>
      </c>
      <c r="C491" s="20" t="s">
        <v>268</v>
      </c>
      <c r="D491" s="11">
        <v>114880</v>
      </c>
      <c r="E491" s="15">
        <v>42912</v>
      </c>
      <c r="F491" s="15" t="s">
        <v>28</v>
      </c>
      <c r="G491" s="12">
        <v>42913</v>
      </c>
      <c r="H491" s="23">
        <f t="shared" si="50"/>
        <v>114880</v>
      </c>
      <c r="I491" s="23">
        <f>H491</f>
        <v>114880</v>
      </c>
      <c r="J491" s="23"/>
      <c r="K491" s="24"/>
      <c r="L491" s="23">
        <v>86850</v>
      </c>
      <c r="M491" s="22">
        <f t="shared" si="51"/>
        <v>28030</v>
      </c>
      <c r="N491" s="22">
        <f>M491</f>
        <v>28030</v>
      </c>
      <c r="O491" s="30">
        <f t="shared" si="52"/>
        <v>0.24399373259052926</v>
      </c>
    </row>
    <row r="492" spans="1:15" ht="19.5" customHeight="1" x14ac:dyDescent="0.25">
      <c r="A492" s="33">
        <v>480</v>
      </c>
      <c r="B492" s="9">
        <v>42912</v>
      </c>
      <c r="C492" s="20" t="s">
        <v>267</v>
      </c>
      <c r="D492" s="11">
        <v>37636</v>
      </c>
      <c r="E492" s="15">
        <v>42912</v>
      </c>
      <c r="F492" s="15" t="s">
        <v>28</v>
      </c>
      <c r="G492" s="12">
        <v>42913</v>
      </c>
      <c r="H492" s="23">
        <f t="shared" si="50"/>
        <v>37636</v>
      </c>
      <c r="I492" s="23">
        <f>H492</f>
        <v>37636</v>
      </c>
      <c r="J492" s="23"/>
      <c r="K492" s="24"/>
      <c r="L492" s="23">
        <v>28585</v>
      </c>
      <c r="M492" s="22">
        <f t="shared" si="51"/>
        <v>9051</v>
      </c>
      <c r="N492" s="22">
        <f>M492</f>
        <v>9051</v>
      </c>
      <c r="O492" s="30">
        <f t="shared" si="52"/>
        <v>0.24048783080029759</v>
      </c>
    </row>
    <row r="493" spans="1:15" ht="19.5" customHeight="1" x14ac:dyDescent="0.25">
      <c r="A493" s="33">
        <v>485</v>
      </c>
      <c r="B493" s="9">
        <v>42913</v>
      </c>
      <c r="C493" s="20" t="s">
        <v>269</v>
      </c>
      <c r="D493" s="11">
        <v>11990</v>
      </c>
      <c r="E493" s="15">
        <v>42914</v>
      </c>
      <c r="F493" s="15" t="s">
        <v>28</v>
      </c>
      <c r="G493" s="12">
        <v>42922</v>
      </c>
      <c r="H493" s="23">
        <f t="shared" si="50"/>
        <v>11990</v>
      </c>
      <c r="I493" s="23">
        <f>H493</f>
        <v>11990</v>
      </c>
      <c r="J493" s="23"/>
      <c r="K493" s="24"/>
      <c r="L493" s="23">
        <v>9064</v>
      </c>
      <c r="M493" s="22">
        <f t="shared" si="51"/>
        <v>2926</v>
      </c>
      <c r="N493" s="22">
        <f>M493</f>
        <v>2926</v>
      </c>
      <c r="O493" s="30">
        <f t="shared" si="52"/>
        <v>0.24403669724770644</v>
      </c>
    </row>
    <row r="494" spans="1:15" ht="20.100000000000001" customHeight="1" x14ac:dyDescent="0.25">
      <c r="A494" s="33">
        <v>460</v>
      </c>
      <c r="B494" s="9">
        <v>42905</v>
      </c>
      <c r="C494" s="18" t="s">
        <v>50</v>
      </c>
      <c r="D494" s="11">
        <v>4496.92</v>
      </c>
      <c r="E494" s="15">
        <v>42915</v>
      </c>
      <c r="F494" s="15" t="s">
        <v>28</v>
      </c>
      <c r="G494" s="12">
        <v>42919</v>
      </c>
      <c r="H494" s="23">
        <f t="shared" si="50"/>
        <v>4496.92</v>
      </c>
      <c r="I494" s="23"/>
      <c r="J494" s="23"/>
      <c r="K494" s="24"/>
      <c r="L494" s="23">
        <v>3463</v>
      </c>
      <c r="M494" s="22">
        <f t="shared" si="51"/>
        <v>1033.92</v>
      </c>
      <c r="N494" s="22"/>
      <c r="O494" s="30">
        <f t="shared" si="52"/>
        <v>0.22991736566360976</v>
      </c>
    </row>
    <row r="495" spans="1:15" ht="20.100000000000001" customHeight="1" x14ac:dyDescent="0.25">
      <c r="A495" s="33">
        <v>269</v>
      </c>
      <c r="B495" s="9">
        <v>42843</v>
      </c>
      <c r="C495" s="18" t="s">
        <v>99</v>
      </c>
      <c r="D495" s="11">
        <v>294927.26</v>
      </c>
      <c r="E495" s="15">
        <v>42915</v>
      </c>
      <c r="F495" s="15" t="s">
        <v>28</v>
      </c>
      <c r="G495" s="12">
        <v>42881</v>
      </c>
      <c r="H495" s="23">
        <f t="shared" si="50"/>
        <v>294927.26</v>
      </c>
      <c r="I495" s="23"/>
      <c r="J495" s="23">
        <v>45000</v>
      </c>
      <c r="K495" s="24"/>
      <c r="L495" s="23">
        <v>112724.15</v>
      </c>
      <c r="M495" s="22">
        <f t="shared" si="51"/>
        <v>137203.11000000002</v>
      </c>
      <c r="N495" s="22"/>
      <c r="O495" s="30">
        <f t="shared" si="52"/>
        <v>0.4652099978821897</v>
      </c>
    </row>
    <row r="496" spans="1:15" ht="20.100000000000001" customHeight="1" x14ac:dyDescent="0.25">
      <c r="A496" s="33">
        <v>355</v>
      </c>
      <c r="B496" s="9">
        <v>42872</v>
      </c>
      <c r="C496" s="18" t="s">
        <v>99</v>
      </c>
      <c r="D496" s="11">
        <v>212853.94</v>
      </c>
      <c r="E496" s="15">
        <v>42915</v>
      </c>
      <c r="F496" s="15" t="s">
        <v>28</v>
      </c>
      <c r="G496" s="12">
        <v>42881</v>
      </c>
      <c r="H496" s="23">
        <f t="shared" si="50"/>
        <v>212853.94</v>
      </c>
      <c r="I496" s="23"/>
      <c r="J496" s="23">
        <v>33000</v>
      </c>
      <c r="K496" s="24"/>
      <c r="L496" s="23">
        <v>77900.05</v>
      </c>
      <c r="M496" s="22">
        <f t="shared" si="51"/>
        <v>101953.89000000001</v>
      </c>
      <c r="N496" s="22"/>
      <c r="O496" s="30">
        <f t="shared" si="52"/>
        <v>0.47898521399228039</v>
      </c>
    </row>
    <row r="497" spans="1:15" ht="20.100000000000001" customHeight="1" x14ac:dyDescent="0.25">
      <c r="A497" s="33">
        <v>493</v>
      </c>
      <c r="B497" s="9">
        <v>42915</v>
      </c>
      <c r="C497" s="18" t="s">
        <v>270</v>
      </c>
      <c r="D497" s="11">
        <v>1529</v>
      </c>
      <c r="E497" s="15">
        <v>42915</v>
      </c>
      <c r="F497" s="15" t="s">
        <v>28</v>
      </c>
      <c r="G497" s="12">
        <v>42921</v>
      </c>
      <c r="H497" s="23">
        <f t="shared" si="50"/>
        <v>1529</v>
      </c>
      <c r="I497" s="23"/>
      <c r="J497" s="23"/>
      <c r="K497" s="24"/>
      <c r="L497" s="23">
        <v>1193</v>
      </c>
      <c r="M497" s="22">
        <f t="shared" si="51"/>
        <v>336</v>
      </c>
      <c r="N497" s="22"/>
      <c r="O497" s="30">
        <f t="shared" si="52"/>
        <v>0.21975147155003269</v>
      </c>
    </row>
    <row r="498" spans="1:15" ht="20.100000000000001" customHeight="1" x14ac:dyDescent="0.25">
      <c r="A498" s="33">
        <v>497</v>
      </c>
      <c r="B498" s="9">
        <v>42916</v>
      </c>
      <c r="C498" s="18" t="s">
        <v>209</v>
      </c>
      <c r="D498" s="11">
        <v>3083.8</v>
      </c>
      <c r="E498" s="15">
        <v>42916</v>
      </c>
      <c r="F498" s="15" t="s">
        <v>28</v>
      </c>
      <c r="G498" s="12">
        <v>42930</v>
      </c>
      <c r="H498" s="23">
        <f t="shared" si="50"/>
        <v>3083.8</v>
      </c>
      <c r="I498" s="23"/>
      <c r="J498" s="23"/>
      <c r="K498" s="24"/>
      <c r="L498" s="23">
        <v>2580</v>
      </c>
      <c r="M498" s="22">
        <f t="shared" si="51"/>
        <v>503.80000000000018</v>
      </c>
      <c r="N498" s="22"/>
      <c r="O498" s="30">
        <f t="shared" si="52"/>
        <v>0.16336986834425066</v>
      </c>
    </row>
    <row r="499" spans="1:15" ht="20.100000000000001" customHeight="1" x14ac:dyDescent="0.25">
      <c r="A499" s="33">
        <v>445</v>
      </c>
      <c r="B499" s="9">
        <v>42899</v>
      </c>
      <c r="C499" s="18" t="s">
        <v>202</v>
      </c>
      <c r="D499" s="11">
        <v>14730</v>
      </c>
      <c r="E499" s="15">
        <v>42916</v>
      </c>
      <c r="F499" s="15" t="s">
        <v>28</v>
      </c>
      <c r="G499" s="12">
        <v>42948</v>
      </c>
      <c r="H499" s="23">
        <f t="shared" si="50"/>
        <v>14730</v>
      </c>
      <c r="I499" s="23"/>
      <c r="J499" s="23"/>
      <c r="K499" s="24"/>
      <c r="L499" s="23">
        <v>13604</v>
      </c>
      <c r="M499" s="22">
        <f t="shared" si="51"/>
        <v>1126</v>
      </c>
      <c r="N499" s="22"/>
      <c r="O499" s="30">
        <f t="shared" si="52"/>
        <v>7.6442634080108623E-2</v>
      </c>
    </row>
    <row r="500" spans="1:15" ht="20.100000000000001" customHeight="1" x14ac:dyDescent="0.25">
      <c r="A500" s="35" t="s">
        <v>535</v>
      </c>
      <c r="B500" s="36"/>
      <c r="C500" s="42"/>
      <c r="D500" s="37"/>
      <c r="E500" s="46" t="s">
        <v>545</v>
      </c>
      <c r="F500" s="47">
        <f>M500*0.17+N500*0.06+8000</f>
        <v>73610.515600000013</v>
      </c>
      <c r="G500" s="21">
        <f>H500*0.05+I500*0.02</f>
        <v>55124.223600000005</v>
      </c>
      <c r="H500" s="49">
        <f>SUBTOTAL(109,Июнь2017[Продажа])</f>
        <v>986942.44</v>
      </c>
      <c r="I500" s="49">
        <f>SUBTOTAL(109,Июнь2017[Продажа НК])</f>
        <v>288855.07999999996</v>
      </c>
      <c r="J500" s="49">
        <f>SUBTOTAL(109,Июнь2017[отк])</f>
        <v>78000</v>
      </c>
      <c r="K500" s="49">
        <f>SUBTOTAL(109,Июнь2017[шланги])</f>
        <v>0</v>
      </c>
      <c r="L500" s="49">
        <f>SUBTOTAL(109,Июнь2017[Закупка])</f>
        <v>547519.20000000007</v>
      </c>
      <c r="M500" s="49">
        <f>SUBTOTAL(109,Июнь2017[Маржа])</f>
        <v>361423.24000000005</v>
      </c>
      <c r="N500" s="49">
        <f>SUBTOTAL(109,Июнь2017[Маржа НК])</f>
        <v>69476.08</v>
      </c>
      <c r="O500" s="44">
        <f t="shared" si="52"/>
        <v>0.36620498354493708</v>
      </c>
    </row>
    <row r="501" spans="1:15" ht="20.100000000000001" customHeight="1" x14ac:dyDescent="0.25">
      <c r="A501" s="41" t="s">
        <v>1</v>
      </c>
      <c r="B501" s="1" t="s">
        <v>0</v>
      </c>
      <c r="C501" s="1" t="s">
        <v>26</v>
      </c>
      <c r="D501" s="1" t="s">
        <v>2</v>
      </c>
      <c r="E501" s="1" t="s">
        <v>3</v>
      </c>
      <c r="F501" s="1" t="s">
        <v>27</v>
      </c>
      <c r="G501" s="1" t="s">
        <v>4</v>
      </c>
      <c r="H501" s="2" t="s">
        <v>132</v>
      </c>
      <c r="I501" s="2" t="s">
        <v>133</v>
      </c>
      <c r="J501" s="40" t="s">
        <v>187</v>
      </c>
      <c r="K501" s="40" t="s">
        <v>188</v>
      </c>
      <c r="L501" s="40" t="s">
        <v>129</v>
      </c>
      <c r="M501" s="40" t="s">
        <v>130</v>
      </c>
      <c r="N501" s="2" t="s">
        <v>131</v>
      </c>
      <c r="O501" s="2" t="s">
        <v>134</v>
      </c>
    </row>
    <row r="502" spans="1:15" ht="20.100000000000001" customHeight="1" x14ac:dyDescent="0.25">
      <c r="A502" s="33">
        <v>458</v>
      </c>
      <c r="B502" s="15">
        <v>42902</v>
      </c>
      <c r="C502" s="20" t="s">
        <v>266</v>
      </c>
      <c r="D502" s="11">
        <v>33940</v>
      </c>
      <c r="E502" s="15">
        <v>42919</v>
      </c>
      <c r="F502" s="15" t="s">
        <v>28</v>
      </c>
      <c r="G502" s="12">
        <v>42902</v>
      </c>
      <c r="H502" s="23">
        <f t="shared" ref="H502:H527" si="53">D502</f>
        <v>33940</v>
      </c>
      <c r="I502" s="23">
        <f>H502</f>
        <v>33940</v>
      </c>
      <c r="J502" s="23"/>
      <c r="K502" s="24"/>
      <c r="L502" s="23">
        <v>25726</v>
      </c>
      <c r="M502" s="22">
        <f t="shared" ref="M502:M527" si="54">H502-L502-J502-K502</f>
        <v>8214</v>
      </c>
      <c r="N502" s="22">
        <f>M502</f>
        <v>8214</v>
      </c>
      <c r="O502" s="30">
        <f t="shared" ref="O502:O528" si="55">M502/H502</f>
        <v>0.24201532115497937</v>
      </c>
    </row>
    <row r="503" spans="1:15" ht="20.100000000000001" customHeight="1" x14ac:dyDescent="0.25">
      <c r="A503" s="33">
        <v>330</v>
      </c>
      <c r="B503" s="9">
        <v>42868</v>
      </c>
      <c r="C503" s="18" t="s">
        <v>13</v>
      </c>
      <c r="D503" s="11">
        <v>5299.97</v>
      </c>
      <c r="E503" s="15">
        <v>42920</v>
      </c>
      <c r="F503" s="15" t="s">
        <v>28</v>
      </c>
      <c r="G503" s="12">
        <v>42907</v>
      </c>
      <c r="H503" s="23">
        <f t="shared" si="53"/>
        <v>5299.97</v>
      </c>
      <c r="I503" s="23"/>
      <c r="J503" s="23"/>
      <c r="K503" s="24"/>
      <c r="L503" s="23">
        <v>4229</v>
      </c>
      <c r="M503" s="22">
        <f t="shared" si="54"/>
        <v>1070.9700000000003</v>
      </c>
      <c r="N503" s="22"/>
      <c r="O503" s="30">
        <f t="shared" si="55"/>
        <v>0.20207095511861392</v>
      </c>
    </row>
    <row r="504" spans="1:15" ht="20.100000000000001" customHeight="1" x14ac:dyDescent="0.25">
      <c r="A504" s="33">
        <v>443</v>
      </c>
      <c r="B504" s="9">
        <v>42899</v>
      </c>
      <c r="C504" s="18" t="s">
        <v>13</v>
      </c>
      <c r="D504" s="11">
        <v>8346.5</v>
      </c>
      <c r="E504" s="15">
        <v>42920</v>
      </c>
      <c r="F504" s="15" t="s">
        <v>28</v>
      </c>
      <c r="G504" s="12">
        <v>42907</v>
      </c>
      <c r="H504" s="23">
        <f t="shared" si="53"/>
        <v>8346.5</v>
      </c>
      <c r="I504" s="23"/>
      <c r="J504" s="23"/>
      <c r="K504" s="24"/>
      <c r="L504" s="23">
        <v>6423</v>
      </c>
      <c r="M504" s="22">
        <f t="shared" si="54"/>
        <v>1923.5</v>
      </c>
      <c r="N504" s="22"/>
      <c r="O504" s="30">
        <f t="shared" si="55"/>
        <v>0.2304558797100581</v>
      </c>
    </row>
    <row r="505" spans="1:15" ht="20.100000000000001" customHeight="1" x14ac:dyDescent="0.25">
      <c r="A505" s="33">
        <v>489</v>
      </c>
      <c r="B505" s="9">
        <v>42919</v>
      </c>
      <c r="C505" s="18" t="s">
        <v>217</v>
      </c>
      <c r="D505" s="11">
        <v>34034</v>
      </c>
      <c r="E505" s="15">
        <v>42921</v>
      </c>
      <c r="F505" s="15" t="s">
        <v>28</v>
      </c>
      <c r="G505" s="12">
        <v>42922</v>
      </c>
      <c r="H505" s="23">
        <f t="shared" si="53"/>
        <v>34034</v>
      </c>
      <c r="I505" s="23"/>
      <c r="J505" s="23"/>
      <c r="K505" s="24"/>
      <c r="L505" s="23">
        <v>29869</v>
      </c>
      <c r="M505" s="22">
        <f t="shared" si="54"/>
        <v>4165</v>
      </c>
      <c r="N505" s="22"/>
      <c r="O505" s="30">
        <f t="shared" si="55"/>
        <v>0.12237762237762238</v>
      </c>
    </row>
    <row r="506" spans="1:15" ht="20.100000000000001" customHeight="1" x14ac:dyDescent="0.25">
      <c r="A506" s="33">
        <v>511</v>
      </c>
      <c r="B506" s="9">
        <v>42920</v>
      </c>
      <c r="C506" s="18" t="s">
        <v>71</v>
      </c>
      <c r="D506" s="11">
        <v>2870</v>
      </c>
      <c r="E506" s="15">
        <v>42921</v>
      </c>
      <c r="F506" s="15" t="s">
        <v>28</v>
      </c>
      <c r="G506" s="12">
        <v>42930</v>
      </c>
      <c r="H506" s="23">
        <f t="shared" si="53"/>
        <v>2870</v>
      </c>
      <c r="I506" s="23"/>
      <c r="J506" s="23"/>
      <c r="K506" s="24"/>
      <c r="L506" s="23">
        <v>2354</v>
      </c>
      <c r="M506" s="22">
        <f t="shared" si="54"/>
        <v>516</v>
      </c>
      <c r="N506" s="22"/>
      <c r="O506" s="30">
        <f t="shared" si="55"/>
        <v>0.17979094076655053</v>
      </c>
    </row>
    <row r="507" spans="1:15" ht="20.100000000000001" customHeight="1" x14ac:dyDescent="0.25">
      <c r="A507" s="33">
        <v>432</v>
      </c>
      <c r="B507" s="9">
        <v>42893</v>
      </c>
      <c r="C507" s="18" t="s">
        <v>180</v>
      </c>
      <c r="D507" s="11">
        <v>37690.639999999999</v>
      </c>
      <c r="E507" s="15">
        <v>42922</v>
      </c>
      <c r="F507" s="15" t="s">
        <v>28</v>
      </c>
      <c r="G507" s="12">
        <v>42914</v>
      </c>
      <c r="H507" s="23">
        <f t="shared" si="53"/>
        <v>37690.639999999999</v>
      </c>
      <c r="I507" s="23"/>
      <c r="J507" s="23"/>
      <c r="K507" s="24"/>
      <c r="L507" s="23">
        <v>20555.97</v>
      </c>
      <c r="M507" s="22">
        <f t="shared" si="54"/>
        <v>17134.669999999998</v>
      </c>
      <c r="N507" s="22"/>
      <c r="O507" s="30">
        <f t="shared" si="55"/>
        <v>0.45461340003778122</v>
      </c>
    </row>
    <row r="508" spans="1:15" ht="20.100000000000001" customHeight="1" x14ac:dyDescent="0.25">
      <c r="A508" s="33">
        <v>495</v>
      </c>
      <c r="B508" s="9">
        <v>42915</v>
      </c>
      <c r="C508" s="18" t="s">
        <v>175</v>
      </c>
      <c r="D508" s="11">
        <v>9764.1</v>
      </c>
      <c r="E508" s="15">
        <v>42923</v>
      </c>
      <c r="F508" s="15" t="s">
        <v>28</v>
      </c>
      <c r="G508" s="12">
        <v>42934</v>
      </c>
      <c r="H508" s="23">
        <f t="shared" si="53"/>
        <v>9764.1</v>
      </c>
      <c r="I508" s="23"/>
      <c r="J508" s="23"/>
      <c r="K508" s="24"/>
      <c r="L508" s="23">
        <v>8016</v>
      </c>
      <c r="M508" s="22">
        <f t="shared" si="54"/>
        <v>1748.1000000000004</v>
      </c>
      <c r="N508" s="22"/>
      <c r="O508" s="30">
        <f t="shared" si="55"/>
        <v>0.17903339785540914</v>
      </c>
    </row>
    <row r="509" spans="1:15" ht="20.100000000000001" customHeight="1" x14ac:dyDescent="0.25">
      <c r="A509" s="33">
        <v>378</v>
      </c>
      <c r="B509" s="9">
        <v>42921</v>
      </c>
      <c r="C509" s="20" t="s">
        <v>271</v>
      </c>
      <c r="D509" s="11">
        <v>52690</v>
      </c>
      <c r="E509" s="15">
        <v>42923</v>
      </c>
      <c r="F509" s="15" t="s">
        <v>28</v>
      </c>
      <c r="G509" s="12">
        <v>42921</v>
      </c>
      <c r="H509" s="23">
        <f t="shared" si="53"/>
        <v>52690</v>
      </c>
      <c r="I509" s="23">
        <f>H509</f>
        <v>52690</v>
      </c>
      <c r="J509" s="23"/>
      <c r="K509" s="24"/>
      <c r="L509" s="23">
        <v>39834</v>
      </c>
      <c r="M509" s="22">
        <f t="shared" si="54"/>
        <v>12856</v>
      </c>
      <c r="N509" s="22">
        <f>M509</f>
        <v>12856</v>
      </c>
      <c r="O509" s="30">
        <f t="shared" si="55"/>
        <v>0.24399316758398179</v>
      </c>
    </row>
    <row r="510" spans="1:15" ht="20.100000000000001" customHeight="1" x14ac:dyDescent="0.25">
      <c r="A510" s="33">
        <v>519</v>
      </c>
      <c r="B510" s="9">
        <v>42922</v>
      </c>
      <c r="C510" s="20" t="s">
        <v>272</v>
      </c>
      <c r="D510" s="11">
        <v>16744</v>
      </c>
      <c r="E510" s="15">
        <v>42926</v>
      </c>
      <c r="F510" s="15" t="s">
        <v>28</v>
      </c>
      <c r="G510" s="12">
        <v>42928</v>
      </c>
      <c r="H510" s="23">
        <f t="shared" si="53"/>
        <v>16744</v>
      </c>
      <c r="I510" s="23">
        <f>H510</f>
        <v>16744</v>
      </c>
      <c r="J510" s="23"/>
      <c r="K510" s="24"/>
      <c r="L510" s="23">
        <v>12635</v>
      </c>
      <c r="M510" s="22">
        <f t="shared" si="54"/>
        <v>4109</v>
      </c>
      <c r="N510" s="22">
        <f>M510</f>
        <v>4109</v>
      </c>
      <c r="O510" s="30">
        <f t="shared" si="55"/>
        <v>0.24540133779264214</v>
      </c>
    </row>
    <row r="511" spans="1:15" ht="20.100000000000001" customHeight="1" x14ac:dyDescent="0.25">
      <c r="A511" s="33">
        <v>441</v>
      </c>
      <c r="B511" s="9">
        <v>42895</v>
      </c>
      <c r="C511" s="18" t="s">
        <v>60</v>
      </c>
      <c r="D511" s="11">
        <v>928.05</v>
      </c>
      <c r="E511" s="15">
        <v>42926</v>
      </c>
      <c r="F511" s="15" t="s">
        <v>28</v>
      </c>
      <c r="G511" s="12">
        <v>42921</v>
      </c>
      <c r="H511" s="23">
        <f t="shared" si="53"/>
        <v>928.05</v>
      </c>
      <c r="I511" s="23"/>
      <c r="J511" s="23"/>
      <c r="K511" s="24"/>
      <c r="L511" s="23">
        <v>610</v>
      </c>
      <c r="M511" s="22">
        <f t="shared" si="54"/>
        <v>318.04999999999995</v>
      </c>
      <c r="N511" s="22"/>
      <c r="O511" s="30">
        <f t="shared" si="55"/>
        <v>0.34270782824201279</v>
      </c>
    </row>
    <row r="512" spans="1:15" ht="19.5" customHeight="1" x14ac:dyDescent="0.25">
      <c r="A512" s="33">
        <v>397</v>
      </c>
      <c r="B512" s="9">
        <v>42928</v>
      </c>
      <c r="C512" s="20" t="s">
        <v>273</v>
      </c>
      <c r="D512" s="11">
        <v>19651</v>
      </c>
      <c r="E512" s="15">
        <v>42928</v>
      </c>
      <c r="F512" s="15" t="s">
        <v>28</v>
      </c>
      <c r="G512" s="12">
        <v>42928</v>
      </c>
      <c r="H512" s="23">
        <f t="shared" si="53"/>
        <v>19651</v>
      </c>
      <c r="I512" s="23">
        <f>H512</f>
        <v>19651</v>
      </c>
      <c r="J512" s="23"/>
      <c r="K512" s="24"/>
      <c r="L512" s="23">
        <v>16099</v>
      </c>
      <c r="M512" s="22">
        <f t="shared" si="54"/>
        <v>3552</v>
      </c>
      <c r="N512" s="22">
        <f>M512</f>
        <v>3552</v>
      </c>
      <c r="O512" s="30">
        <f t="shared" si="55"/>
        <v>0.1807541600936339</v>
      </c>
    </row>
    <row r="513" spans="1:15" ht="15.75" x14ac:dyDescent="0.25">
      <c r="A513" s="33">
        <v>524</v>
      </c>
      <c r="B513" s="9">
        <v>42926</v>
      </c>
      <c r="C513" s="18" t="s">
        <v>274</v>
      </c>
      <c r="D513" s="11">
        <v>15990</v>
      </c>
      <c r="E513" s="15">
        <v>42928</v>
      </c>
      <c r="F513" s="15" t="s">
        <v>28</v>
      </c>
      <c r="G513" s="12">
        <v>42929</v>
      </c>
      <c r="H513" s="23">
        <f t="shared" si="53"/>
        <v>15990</v>
      </c>
      <c r="I513" s="23"/>
      <c r="J513" s="23"/>
      <c r="K513" s="24"/>
      <c r="L513" s="23">
        <v>12088</v>
      </c>
      <c r="M513" s="22">
        <f t="shared" si="54"/>
        <v>3902</v>
      </c>
      <c r="N513" s="22"/>
      <c r="O513" s="30">
        <f t="shared" si="55"/>
        <v>0.24402751719824892</v>
      </c>
    </row>
    <row r="514" spans="1:15" s="2" customFormat="1" ht="20.100000000000001" customHeight="1" x14ac:dyDescent="0.25">
      <c r="A514" s="33">
        <v>525</v>
      </c>
      <c r="B514" s="9">
        <v>42926</v>
      </c>
      <c r="C514" s="18" t="s">
        <v>60</v>
      </c>
      <c r="D514" s="11">
        <v>5068</v>
      </c>
      <c r="E514" s="15">
        <v>42933</v>
      </c>
      <c r="F514" s="15" t="s">
        <v>28</v>
      </c>
      <c r="G514" s="12">
        <v>42927</v>
      </c>
      <c r="H514" s="23">
        <f t="shared" si="53"/>
        <v>5068</v>
      </c>
      <c r="I514" s="23"/>
      <c r="J514" s="23"/>
      <c r="K514" s="24"/>
      <c r="L514" s="23">
        <v>3956</v>
      </c>
      <c r="M514" s="22">
        <f t="shared" si="54"/>
        <v>1112</v>
      </c>
      <c r="N514" s="22"/>
      <c r="O514" s="30">
        <f t="shared" si="55"/>
        <v>0.21941594317284924</v>
      </c>
    </row>
    <row r="515" spans="1:15" ht="20.100000000000001" customHeight="1" x14ac:dyDescent="0.25">
      <c r="A515" s="33">
        <v>528</v>
      </c>
      <c r="B515" s="9">
        <v>42927</v>
      </c>
      <c r="C515" s="18" t="s">
        <v>275</v>
      </c>
      <c r="D515" s="11">
        <v>32878.980000000003</v>
      </c>
      <c r="E515" s="15">
        <v>42935</v>
      </c>
      <c r="F515" s="15" t="s">
        <v>28</v>
      </c>
      <c r="G515" s="12">
        <v>43166</v>
      </c>
      <c r="H515" s="23">
        <f t="shared" si="53"/>
        <v>32878.980000000003</v>
      </c>
      <c r="I515" s="23"/>
      <c r="J515" s="23"/>
      <c r="K515" s="24"/>
      <c r="L515" s="23">
        <v>25644</v>
      </c>
      <c r="M515" s="22">
        <f t="shared" si="54"/>
        <v>7234.9800000000032</v>
      </c>
      <c r="N515" s="22"/>
      <c r="O515" s="30">
        <f t="shared" si="55"/>
        <v>0.22004879713421774</v>
      </c>
    </row>
    <row r="516" spans="1:15" ht="20.100000000000001" customHeight="1" x14ac:dyDescent="0.25">
      <c r="A516" s="33">
        <v>425</v>
      </c>
      <c r="B516" s="9">
        <v>42891</v>
      </c>
      <c r="C516" s="18" t="s">
        <v>56</v>
      </c>
      <c r="D516" s="11">
        <v>39483.43</v>
      </c>
      <c r="E516" s="15">
        <v>42935</v>
      </c>
      <c r="F516" s="15" t="s">
        <v>28</v>
      </c>
      <c r="G516" s="12">
        <v>42922</v>
      </c>
      <c r="H516" s="23">
        <f t="shared" si="53"/>
        <v>39483.43</v>
      </c>
      <c r="I516" s="23"/>
      <c r="J516" s="23"/>
      <c r="K516" s="24"/>
      <c r="L516" s="23">
        <v>25844</v>
      </c>
      <c r="M516" s="22">
        <f t="shared" si="54"/>
        <v>13639.43</v>
      </c>
      <c r="N516" s="22"/>
      <c r="O516" s="30">
        <f t="shared" si="55"/>
        <v>0.34544693812062427</v>
      </c>
    </row>
    <row r="517" spans="1:15" ht="20.100000000000001" customHeight="1" x14ac:dyDescent="0.25">
      <c r="A517" s="33">
        <v>554</v>
      </c>
      <c r="B517" s="9">
        <v>42930</v>
      </c>
      <c r="C517" s="18" t="s">
        <v>139</v>
      </c>
      <c r="D517" s="11">
        <v>10400</v>
      </c>
      <c r="E517" s="15">
        <v>42936</v>
      </c>
      <c r="F517" s="15" t="s">
        <v>28</v>
      </c>
      <c r="G517" s="12">
        <v>42942</v>
      </c>
      <c r="H517" s="23">
        <f t="shared" si="53"/>
        <v>10400</v>
      </c>
      <c r="I517" s="23"/>
      <c r="J517" s="23"/>
      <c r="K517" s="24"/>
      <c r="L517" s="23">
        <v>4192</v>
      </c>
      <c r="M517" s="22">
        <f t="shared" si="54"/>
        <v>6208</v>
      </c>
      <c r="N517" s="22"/>
      <c r="O517" s="30">
        <f t="shared" si="55"/>
        <v>0.59692307692307689</v>
      </c>
    </row>
    <row r="518" spans="1:15" ht="20.100000000000001" customHeight="1" x14ac:dyDescent="0.25">
      <c r="A518" s="33">
        <v>509</v>
      </c>
      <c r="B518" s="9">
        <v>42920</v>
      </c>
      <c r="C518" s="18" t="s">
        <v>11</v>
      </c>
      <c r="D518" s="11">
        <v>22199</v>
      </c>
      <c r="E518" s="15">
        <v>42936</v>
      </c>
      <c r="F518" s="15" t="s">
        <v>28</v>
      </c>
      <c r="G518" s="12">
        <v>42940</v>
      </c>
      <c r="H518" s="23">
        <f t="shared" si="53"/>
        <v>22199</v>
      </c>
      <c r="I518" s="23"/>
      <c r="J518" s="23"/>
      <c r="K518" s="24"/>
      <c r="L518" s="23">
        <v>16782</v>
      </c>
      <c r="M518" s="22">
        <f t="shared" si="54"/>
        <v>5417</v>
      </c>
      <c r="N518" s="22"/>
      <c r="O518" s="30">
        <f t="shared" si="55"/>
        <v>0.24402000090094147</v>
      </c>
    </row>
    <row r="519" spans="1:15" ht="20.100000000000001" customHeight="1" x14ac:dyDescent="0.25">
      <c r="A519" s="33">
        <v>521</v>
      </c>
      <c r="B519" s="9">
        <v>42923</v>
      </c>
      <c r="C519" s="18" t="s">
        <v>180</v>
      </c>
      <c r="D519" s="11">
        <v>10500</v>
      </c>
      <c r="E519" s="15">
        <v>42936</v>
      </c>
      <c r="F519" s="15" t="s">
        <v>28</v>
      </c>
      <c r="G519" s="12">
        <v>42942</v>
      </c>
      <c r="H519" s="23">
        <f t="shared" si="53"/>
        <v>10500</v>
      </c>
      <c r="I519" s="23"/>
      <c r="J519" s="23"/>
      <c r="K519" s="24"/>
      <c r="L519" s="23">
        <v>6300</v>
      </c>
      <c r="M519" s="22">
        <f t="shared" si="54"/>
        <v>4200</v>
      </c>
      <c r="N519" s="22"/>
      <c r="O519" s="30">
        <f t="shared" si="55"/>
        <v>0.4</v>
      </c>
    </row>
    <row r="520" spans="1:15" ht="20.100000000000001" customHeight="1" x14ac:dyDescent="0.25">
      <c r="A520" s="33">
        <v>443</v>
      </c>
      <c r="B520" s="9">
        <v>42899</v>
      </c>
      <c r="C520" s="18" t="s">
        <v>13</v>
      </c>
      <c r="D520" s="11">
        <v>2100.04</v>
      </c>
      <c r="E520" s="15">
        <v>42937</v>
      </c>
      <c r="F520" s="15" t="s">
        <v>28</v>
      </c>
      <c r="G520" s="12">
        <v>42927</v>
      </c>
      <c r="H520" s="23">
        <f t="shared" si="53"/>
        <v>2100.04</v>
      </c>
      <c r="I520" s="23"/>
      <c r="J520" s="23"/>
      <c r="K520" s="24"/>
      <c r="L520" s="23">
        <v>1638</v>
      </c>
      <c r="M520" s="22">
        <f t="shared" si="54"/>
        <v>462.03999999999996</v>
      </c>
      <c r="N520" s="22"/>
      <c r="O520" s="30">
        <f t="shared" si="55"/>
        <v>0.22001485685986932</v>
      </c>
    </row>
    <row r="521" spans="1:15" ht="20.100000000000001" customHeight="1" x14ac:dyDescent="0.25">
      <c r="A521" s="33">
        <v>453</v>
      </c>
      <c r="B521" s="9">
        <v>43000</v>
      </c>
      <c r="C521" s="18" t="s">
        <v>13</v>
      </c>
      <c r="D521" s="11">
        <v>2094.2600000000002</v>
      </c>
      <c r="E521" s="15">
        <v>42937</v>
      </c>
      <c r="F521" s="15" t="s">
        <v>28</v>
      </c>
      <c r="G521" s="12">
        <v>42927</v>
      </c>
      <c r="H521" s="23">
        <f t="shared" si="53"/>
        <v>2094.2600000000002</v>
      </c>
      <c r="I521" s="23"/>
      <c r="J521" s="23"/>
      <c r="K521" s="24"/>
      <c r="L521" s="23">
        <v>1507</v>
      </c>
      <c r="M521" s="22">
        <f t="shared" si="54"/>
        <v>587.26000000000022</v>
      </c>
      <c r="N521" s="22"/>
      <c r="O521" s="30">
        <f t="shared" si="55"/>
        <v>0.28041408421112957</v>
      </c>
    </row>
    <row r="522" spans="1:15" ht="20.100000000000001" customHeight="1" x14ac:dyDescent="0.25">
      <c r="A522" s="33">
        <v>330</v>
      </c>
      <c r="B522" s="9">
        <v>42868</v>
      </c>
      <c r="C522" s="18" t="s">
        <v>13</v>
      </c>
      <c r="D522" s="11">
        <v>3046.53</v>
      </c>
      <c r="E522" s="15">
        <v>42937</v>
      </c>
      <c r="F522" s="15" t="s">
        <v>28</v>
      </c>
      <c r="G522" s="12">
        <v>42927</v>
      </c>
      <c r="H522" s="23">
        <f t="shared" si="53"/>
        <v>3046.53</v>
      </c>
      <c r="I522" s="23"/>
      <c r="J522" s="23"/>
      <c r="K522" s="24"/>
      <c r="L522" s="23">
        <v>2194</v>
      </c>
      <c r="M522" s="22">
        <f t="shared" si="54"/>
        <v>852.5300000000002</v>
      </c>
      <c r="N522" s="22"/>
      <c r="O522" s="30">
        <f t="shared" si="55"/>
        <v>0.2798364040400062</v>
      </c>
    </row>
    <row r="523" spans="1:15" ht="20.100000000000001" customHeight="1" x14ac:dyDescent="0.25">
      <c r="A523" s="33">
        <v>346</v>
      </c>
      <c r="B523" s="9">
        <v>42894</v>
      </c>
      <c r="C523" s="18" t="s">
        <v>56</v>
      </c>
      <c r="D523" s="11">
        <v>120950</v>
      </c>
      <c r="E523" s="15">
        <v>42941</v>
      </c>
      <c r="F523" s="15" t="s">
        <v>28</v>
      </c>
      <c r="G523" s="12">
        <v>42922</v>
      </c>
      <c r="H523" s="23">
        <f t="shared" si="53"/>
        <v>120950</v>
      </c>
      <c r="I523" s="23"/>
      <c r="J523" s="23"/>
      <c r="K523" s="24"/>
      <c r="L523" s="23">
        <v>94266</v>
      </c>
      <c r="M523" s="22">
        <f t="shared" si="54"/>
        <v>26684</v>
      </c>
      <c r="N523" s="22"/>
      <c r="O523" s="30">
        <f t="shared" si="55"/>
        <v>0.22062009094667218</v>
      </c>
    </row>
    <row r="524" spans="1:15" ht="20.100000000000001" customHeight="1" x14ac:dyDescent="0.25">
      <c r="A524" s="33">
        <v>586</v>
      </c>
      <c r="B524" s="9">
        <v>42940</v>
      </c>
      <c r="C524" s="18" t="s">
        <v>236</v>
      </c>
      <c r="D524" s="11">
        <v>18490</v>
      </c>
      <c r="E524" s="15">
        <v>42941</v>
      </c>
      <c r="F524" s="15" t="s">
        <v>28</v>
      </c>
      <c r="G524" s="12">
        <v>42944</v>
      </c>
      <c r="H524" s="23">
        <f t="shared" si="53"/>
        <v>18490</v>
      </c>
      <c r="I524" s="23"/>
      <c r="J524" s="23"/>
      <c r="K524" s="24"/>
      <c r="L524" s="23">
        <v>13338</v>
      </c>
      <c r="M524" s="22">
        <f t="shared" si="54"/>
        <v>5152</v>
      </c>
      <c r="N524" s="22"/>
      <c r="O524" s="30">
        <f t="shared" si="55"/>
        <v>0.27863710113574908</v>
      </c>
    </row>
    <row r="525" spans="1:15" ht="20.100000000000001" customHeight="1" x14ac:dyDescent="0.25">
      <c r="A525" s="33">
        <v>345</v>
      </c>
      <c r="B525" s="9">
        <v>42887</v>
      </c>
      <c r="C525" s="18" t="s">
        <v>99</v>
      </c>
      <c r="D525" s="11">
        <v>604750</v>
      </c>
      <c r="E525" s="15">
        <v>42943</v>
      </c>
      <c r="F525" s="15" t="s">
        <v>28</v>
      </c>
      <c r="G525" s="12">
        <v>42920</v>
      </c>
      <c r="H525" s="23">
        <f t="shared" si="53"/>
        <v>604750</v>
      </c>
      <c r="I525" s="23"/>
      <c r="J525" s="23">
        <v>10000</v>
      </c>
      <c r="K525" s="24"/>
      <c r="L525" s="23">
        <v>471330</v>
      </c>
      <c r="M525" s="22">
        <f t="shared" si="54"/>
        <v>123420</v>
      </c>
      <c r="N525" s="22"/>
      <c r="O525" s="30">
        <f t="shared" si="55"/>
        <v>0.20408433236874743</v>
      </c>
    </row>
    <row r="526" spans="1:15" ht="20.100000000000001" customHeight="1" x14ac:dyDescent="0.25">
      <c r="A526" s="33">
        <v>575</v>
      </c>
      <c r="B526" s="9">
        <v>42937</v>
      </c>
      <c r="C526" s="18" t="s">
        <v>65</v>
      </c>
      <c r="D526" s="11">
        <v>99147</v>
      </c>
      <c r="E526" s="15">
        <v>42943</v>
      </c>
      <c r="F526" s="15" t="s">
        <v>28</v>
      </c>
      <c r="G526" s="12">
        <v>42944</v>
      </c>
      <c r="H526" s="23">
        <f t="shared" si="53"/>
        <v>99147</v>
      </c>
      <c r="I526" s="23"/>
      <c r="J526" s="23"/>
      <c r="K526" s="24">
        <f>600*3</f>
        <v>1800</v>
      </c>
      <c r="L526" s="23">
        <v>73096</v>
      </c>
      <c r="M526" s="22">
        <f t="shared" si="54"/>
        <v>24251</v>
      </c>
      <c r="N526" s="22"/>
      <c r="O526" s="30">
        <f t="shared" si="55"/>
        <v>0.2445964073547359</v>
      </c>
    </row>
    <row r="527" spans="1:15" ht="20.100000000000001" customHeight="1" x14ac:dyDescent="0.25">
      <c r="A527" s="33">
        <v>599</v>
      </c>
      <c r="B527" s="9">
        <v>42943</v>
      </c>
      <c r="C527" s="18" t="s">
        <v>276</v>
      </c>
      <c r="D527" s="11">
        <v>2286</v>
      </c>
      <c r="E527" s="15">
        <v>42943</v>
      </c>
      <c r="F527" s="15" t="s">
        <v>28</v>
      </c>
      <c r="G527" s="12">
        <v>42944</v>
      </c>
      <c r="H527" s="23">
        <f t="shared" si="53"/>
        <v>2286</v>
      </c>
      <c r="I527" s="23"/>
      <c r="J527" s="23"/>
      <c r="K527" s="24"/>
      <c r="L527" s="23">
        <v>1340</v>
      </c>
      <c r="M527" s="22">
        <f t="shared" si="54"/>
        <v>946</v>
      </c>
      <c r="N527" s="22"/>
      <c r="O527" s="30">
        <f t="shared" si="55"/>
        <v>0.41382327209098863</v>
      </c>
    </row>
    <row r="528" spans="1:15" ht="20.100000000000001" customHeight="1" x14ac:dyDescent="0.25">
      <c r="A528" s="35" t="s">
        <v>535</v>
      </c>
      <c r="B528" s="36"/>
      <c r="C528" s="42"/>
      <c r="D528" s="37"/>
      <c r="E528" s="46" t="s">
        <v>546</v>
      </c>
      <c r="F528" s="47">
        <f>M528*0.17+N528*0.06+8000</f>
        <v>57268.700100000009</v>
      </c>
      <c r="G528" s="21">
        <f>H528*0.05+I528*0.02</f>
        <v>63027.575000000004</v>
      </c>
      <c r="H528" s="49">
        <f>SUBTOTAL(109,Июль2017[Продажа])</f>
        <v>1211341.5</v>
      </c>
      <c r="I528" s="49">
        <f>SUBTOTAL(109,Июль2017[Продажа НК])</f>
        <v>123025</v>
      </c>
      <c r="J528" s="49">
        <f>SUBTOTAL(109,Июль2017[отк])</f>
        <v>10000</v>
      </c>
      <c r="K528" s="49">
        <f>SUBTOTAL(109,Июль2017[шланги])</f>
        <v>1800</v>
      </c>
      <c r="L528" s="49">
        <f>SUBTOTAL(109,Июль2017[Закупка])</f>
        <v>919865.97</v>
      </c>
      <c r="M528" s="49">
        <f>SUBTOTAL(109,Июль2017[Маржа])</f>
        <v>279675.53000000003</v>
      </c>
      <c r="N528" s="49">
        <f>SUBTOTAL(109,Июль2017[Маржа НК])</f>
        <v>28731</v>
      </c>
      <c r="O528" s="44">
        <f t="shared" si="55"/>
        <v>0.23088082922941222</v>
      </c>
    </row>
    <row r="529" spans="1:15" ht="20.100000000000001" customHeight="1" x14ac:dyDescent="0.25">
      <c r="A529" s="41" t="s">
        <v>1</v>
      </c>
      <c r="B529" s="1" t="s">
        <v>0</v>
      </c>
      <c r="C529" s="1" t="s">
        <v>26</v>
      </c>
      <c r="D529" s="1" t="s">
        <v>2</v>
      </c>
      <c r="E529" s="1" t="s">
        <v>3</v>
      </c>
      <c r="F529" s="1" t="s">
        <v>27</v>
      </c>
      <c r="G529" s="1" t="s">
        <v>4</v>
      </c>
      <c r="H529" s="2" t="s">
        <v>132</v>
      </c>
      <c r="I529" s="2" t="s">
        <v>133</v>
      </c>
      <c r="J529" s="40" t="s">
        <v>187</v>
      </c>
      <c r="K529" s="40" t="s">
        <v>188</v>
      </c>
      <c r="L529" s="40" t="s">
        <v>129</v>
      </c>
      <c r="M529" s="40" t="s">
        <v>130</v>
      </c>
      <c r="N529" s="2" t="s">
        <v>131</v>
      </c>
      <c r="O529" s="2" t="s">
        <v>134</v>
      </c>
    </row>
    <row r="530" spans="1:15" ht="20.100000000000001" customHeight="1" x14ac:dyDescent="0.25">
      <c r="A530" s="33">
        <v>594</v>
      </c>
      <c r="B530" s="9">
        <v>42942</v>
      </c>
      <c r="C530" s="18" t="s">
        <v>228</v>
      </c>
      <c r="D530" s="11">
        <v>14903.97</v>
      </c>
      <c r="E530" s="15">
        <v>42948</v>
      </c>
      <c r="F530" s="15" t="s">
        <v>28</v>
      </c>
      <c r="G530" s="12">
        <v>42956</v>
      </c>
      <c r="H530" s="23">
        <f t="shared" ref="H530:H569" si="56">D530</f>
        <v>14903.97</v>
      </c>
      <c r="I530" s="23"/>
      <c r="J530" s="23"/>
      <c r="K530" s="24"/>
      <c r="L530" s="23">
        <v>9837</v>
      </c>
      <c r="M530" s="22">
        <f t="shared" ref="M530:M569" si="57">H530-L530-J530-K530</f>
        <v>5066.9699999999993</v>
      </c>
      <c r="N530" s="22"/>
      <c r="O530" s="30">
        <f t="shared" ref="O530:O570" si="58">M530/H530</f>
        <v>0.33997451685691799</v>
      </c>
    </row>
    <row r="531" spans="1:15" ht="20.100000000000001" customHeight="1" x14ac:dyDescent="0.25">
      <c r="A531" s="33">
        <v>607</v>
      </c>
      <c r="B531" s="9">
        <v>42948</v>
      </c>
      <c r="C531" s="20" t="s">
        <v>277</v>
      </c>
      <c r="D531" s="11">
        <v>11799</v>
      </c>
      <c r="E531" s="15">
        <v>42948</v>
      </c>
      <c r="F531" s="15" t="s">
        <v>28</v>
      </c>
      <c r="G531" s="12">
        <v>42949</v>
      </c>
      <c r="H531" s="23">
        <f t="shared" si="56"/>
        <v>11799</v>
      </c>
      <c r="I531" s="23">
        <f>H531</f>
        <v>11799</v>
      </c>
      <c r="J531" s="23"/>
      <c r="K531" s="24"/>
      <c r="L531" s="23">
        <v>8920</v>
      </c>
      <c r="M531" s="22">
        <f t="shared" si="57"/>
        <v>2879</v>
      </c>
      <c r="N531" s="22">
        <f>M531</f>
        <v>2879</v>
      </c>
      <c r="O531" s="30">
        <f t="shared" si="58"/>
        <v>0.24400372912958726</v>
      </c>
    </row>
    <row r="532" spans="1:15" ht="20.100000000000001" customHeight="1" x14ac:dyDescent="0.25">
      <c r="A532" s="33">
        <v>503</v>
      </c>
      <c r="B532" s="9">
        <v>42920</v>
      </c>
      <c r="C532" s="18" t="s">
        <v>176</v>
      </c>
      <c r="D532" s="11">
        <v>9390</v>
      </c>
      <c r="E532" s="15">
        <v>42950</v>
      </c>
      <c r="F532" s="15" t="s">
        <v>28</v>
      </c>
      <c r="G532" s="12">
        <v>42933</v>
      </c>
      <c r="H532" s="23">
        <f t="shared" si="56"/>
        <v>9390</v>
      </c>
      <c r="I532" s="23"/>
      <c r="J532" s="23"/>
      <c r="K532" s="24"/>
      <c r="L532" s="23">
        <v>6902</v>
      </c>
      <c r="M532" s="22">
        <f t="shared" si="57"/>
        <v>2488</v>
      </c>
      <c r="N532" s="22"/>
      <c r="O532" s="30">
        <f t="shared" si="58"/>
        <v>0.26496272630457934</v>
      </c>
    </row>
    <row r="533" spans="1:15" ht="20.100000000000001" customHeight="1" x14ac:dyDescent="0.25">
      <c r="A533" s="33">
        <v>605</v>
      </c>
      <c r="B533" s="9">
        <v>42948</v>
      </c>
      <c r="C533" s="18" t="s">
        <v>278</v>
      </c>
      <c r="D533" s="11">
        <v>10344</v>
      </c>
      <c r="E533" s="15">
        <v>42950</v>
      </c>
      <c r="F533" s="15" t="s">
        <v>28</v>
      </c>
      <c r="G533" s="12">
        <v>42951</v>
      </c>
      <c r="H533" s="23">
        <f t="shared" si="56"/>
        <v>10344</v>
      </c>
      <c r="I533" s="23"/>
      <c r="J533" s="23"/>
      <c r="K533" s="24"/>
      <c r="L533" s="23">
        <v>8288</v>
      </c>
      <c r="M533" s="22">
        <f t="shared" si="57"/>
        <v>2056</v>
      </c>
      <c r="N533" s="22"/>
      <c r="O533" s="30">
        <f t="shared" si="58"/>
        <v>0.19876256767208042</v>
      </c>
    </row>
    <row r="534" spans="1:15" ht="20.100000000000001" customHeight="1" x14ac:dyDescent="0.25">
      <c r="A534" s="33">
        <v>622</v>
      </c>
      <c r="B534" s="9">
        <v>42950</v>
      </c>
      <c r="C534" s="18" t="s">
        <v>118</v>
      </c>
      <c r="D534" s="11">
        <v>10624.15</v>
      </c>
      <c r="E534" s="15">
        <v>42951</v>
      </c>
      <c r="F534" s="15" t="s">
        <v>28</v>
      </c>
      <c r="G534" s="12">
        <v>42954</v>
      </c>
      <c r="H534" s="23">
        <f t="shared" si="56"/>
        <v>10624.15</v>
      </c>
      <c r="I534" s="23"/>
      <c r="J534" s="23"/>
      <c r="K534" s="24"/>
      <c r="L534" s="23">
        <v>8920</v>
      </c>
      <c r="M534" s="22">
        <f t="shared" si="57"/>
        <v>1704.1499999999996</v>
      </c>
      <c r="N534" s="22"/>
      <c r="O534" s="30">
        <f t="shared" si="58"/>
        <v>0.1604034205089348</v>
      </c>
    </row>
    <row r="535" spans="1:15" ht="20.100000000000001" customHeight="1" x14ac:dyDescent="0.25">
      <c r="A535" s="33">
        <v>619</v>
      </c>
      <c r="B535" s="9">
        <v>42950</v>
      </c>
      <c r="C535" s="18" t="s">
        <v>279</v>
      </c>
      <c r="D535" s="11">
        <v>5790</v>
      </c>
      <c r="E535" s="15">
        <v>42951</v>
      </c>
      <c r="F535" s="15" t="s">
        <v>28</v>
      </c>
      <c r="G535" s="12">
        <v>42954</v>
      </c>
      <c r="H535" s="23">
        <f t="shared" si="56"/>
        <v>5790</v>
      </c>
      <c r="I535" s="23"/>
      <c r="J535" s="23"/>
      <c r="K535" s="24"/>
      <c r="L535" s="23">
        <v>4075</v>
      </c>
      <c r="M535" s="22">
        <f t="shared" si="57"/>
        <v>1715</v>
      </c>
      <c r="N535" s="22"/>
      <c r="O535" s="30">
        <f t="shared" si="58"/>
        <v>0.29620034542314333</v>
      </c>
    </row>
    <row r="536" spans="1:15" ht="20.100000000000001" customHeight="1" x14ac:dyDescent="0.25">
      <c r="A536" s="33">
        <v>612</v>
      </c>
      <c r="B536" s="9">
        <v>42949</v>
      </c>
      <c r="C536" s="18" t="s">
        <v>270</v>
      </c>
      <c r="D536" s="11">
        <v>2230</v>
      </c>
      <c r="E536" s="15">
        <v>42951</v>
      </c>
      <c r="F536" s="15" t="s">
        <v>28</v>
      </c>
      <c r="G536" s="12">
        <v>42955</v>
      </c>
      <c r="H536" s="23">
        <f t="shared" si="56"/>
        <v>2230</v>
      </c>
      <c r="I536" s="23"/>
      <c r="J536" s="23"/>
      <c r="K536" s="24"/>
      <c r="L536" s="23">
        <v>1615</v>
      </c>
      <c r="M536" s="22">
        <f t="shared" si="57"/>
        <v>615</v>
      </c>
      <c r="N536" s="22"/>
      <c r="O536" s="30">
        <f t="shared" si="58"/>
        <v>0.27578475336322872</v>
      </c>
    </row>
    <row r="537" spans="1:15" ht="20.100000000000001" customHeight="1" x14ac:dyDescent="0.25">
      <c r="A537" s="33">
        <v>610</v>
      </c>
      <c r="B537" s="9">
        <v>42949</v>
      </c>
      <c r="C537" s="18" t="s">
        <v>60</v>
      </c>
      <c r="D537" s="11">
        <v>22631.64</v>
      </c>
      <c r="E537" s="15">
        <v>42955</v>
      </c>
      <c r="F537" s="15" t="s">
        <v>28</v>
      </c>
      <c r="G537" s="12">
        <v>42950</v>
      </c>
      <c r="H537" s="23">
        <f t="shared" si="56"/>
        <v>22631.64</v>
      </c>
      <c r="I537" s="23"/>
      <c r="J537" s="23"/>
      <c r="K537" s="24"/>
      <c r="L537" s="23">
        <v>8634</v>
      </c>
      <c r="M537" s="22">
        <f t="shared" si="57"/>
        <v>13997.64</v>
      </c>
      <c r="N537" s="22"/>
      <c r="O537" s="30">
        <f t="shared" si="58"/>
        <v>0.61849870358489267</v>
      </c>
    </row>
    <row r="538" spans="1:15" ht="20.100000000000001" customHeight="1" x14ac:dyDescent="0.25">
      <c r="A538" s="33">
        <v>637</v>
      </c>
      <c r="B538" s="9">
        <v>42955</v>
      </c>
      <c r="C538" s="18" t="s">
        <v>236</v>
      </c>
      <c r="D538" s="11">
        <v>553</v>
      </c>
      <c r="E538" s="15">
        <v>42955</v>
      </c>
      <c r="F538" s="15" t="s">
        <v>28</v>
      </c>
      <c r="G538" s="12">
        <v>42958</v>
      </c>
      <c r="H538" s="23">
        <f t="shared" si="56"/>
        <v>553</v>
      </c>
      <c r="I538" s="23"/>
      <c r="J538" s="23"/>
      <c r="K538" s="24"/>
      <c r="L538" s="23">
        <v>400</v>
      </c>
      <c r="M538" s="22">
        <f t="shared" si="57"/>
        <v>153</v>
      </c>
      <c r="N538" s="22"/>
      <c r="O538" s="30">
        <f t="shared" si="58"/>
        <v>0.27667269439421338</v>
      </c>
    </row>
    <row r="539" spans="1:15" ht="20.100000000000001" customHeight="1" x14ac:dyDescent="0.25">
      <c r="A539" s="33">
        <v>522</v>
      </c>
      <c r="B539" s="9">
        <v>42923</v>
      </c>
      <c r="C539" s="18" t="s">
        <v>175</v>
      </c>
      <c r="D539" s="11">
        <v>18156.400000000001</v>
      </c>
      <c r="E539" s="15">
        <v>42956</v>
      </c>
      <c r="F539" s="15" t="s">
        <v>28</v>
      </c>
      <c r="G539" s="12">
        <v>42957</v>
      </c>
      <c r="H539" s="23">
        <f t="shared" si="56"/>
        <v>18156.400000000001</v>
      </c>
      <c r="I539" s="23"/>
      <c r="J539" s="23"/>
      <c r="K539" s="24"/>
      <c r="L539" s="23">
        <v>13752</v>
      </c>
      <c r="M539" s="22">
        <f t="shared" si="57"/>
        <v>4404.4000000000015</v>
      </c>
      <c r="N539" s="22"/>
      <c r="O539" s="30">
        <f t="shared" si="58"/>
        <v>0.24258112841752777</v>
      </c>
    </row>
    <row r="540" spans="1:15" ht="20.100000000000001" customHeight="1" x14ac:dyDescent="0.25">
      <c r="A540" s="33">
        <v>641</v>
      </c>
      <c r="B540" s="9">
        <v>42957</v>
      </c>
      <c r="C540" s="18" t="s">
        <v>46</v>
      </c>
      <c r="D540" s="11">
        <v>3555</v>
      </c>
      <c r="E540" s="15">
        <v>42958</v>
      </c>
      <c r="F540" s="15" t="s">
        <v>28</v>
      </c>
      <c r="G540" s="12">
        <v>42961</v>
      </c>
      <c r="H540" s="23">
        <f t="shared" si="56"/>
        <v>3555</v>
      </c>
      <c r="I540" s="23"/>
      <c r="J540" s="23"/>
      <c r="K540" s="24"/>
      <c r="L540" s="23">
        <v>2004</v>
      </c>
      <c r="M540" s="22">
        <f t="shared" si="57"/>
        <v>1551</v>
      </c>
      <c r="N540" s="22"/>
      <c r="O540" s="30">
        <f t="shared" si="58"/>
        <v>0.43628691983122364</v>
      </c>
    </row>
    <row r="541" spans="1:15" ht="20.100000000000001" customHeight="1" x14ac:dyDescent="0.25">
      <c r="A541" s="33">
        <v>651</v>
      </c>
      <c r="B541" s="9">
        <v>42961</v>
      </c>
      <c r="C541" s="18" t="s">
        <v>281</v>
      </c>
      <c r="D541" s="11">
        <v>1036</v>
      </c>
      <c r="E541" s="15">
        <v>42961</v>
      </c>
      <c r="F541" s="15" t="s">
        <v>28</v>
      </c>
      <c r="G541" s="12">
        <v>42961</v>
      </c>
      <c r="H541" s="23">
        <f t="shared" si="56"/>
        <v>1036</v>
      </c>
      <c r="I541" s="23"/>
      <c r="J541" s="23"/>
      <c r="K541" s="24"/>
      <c r="L541" s="23">
        <v>750</v>
      </c>
      <c r="M541" s="22">
        <f t="shared" si="57"/>
        <v>286</v>
      </c>
      <c r="N541" s="22"/>
      <c r="O541" s="30">
        <f t="shared" si="58"/>
        <v>0.27606177606177607</v>
      </c>
    </row>
    <row r="542" spans="1:15" ht="20.100000000000001" customHeight="1" x14ac:dyDescent="0.25">
      <c r="A542" s="33">
        <v>355</v>
      </c>
      <c r="B542" s="9">
        <v>42872</v>
      </c>
      <c r="C542" s="18" t="s">
        <v>99</v>
      </c>
      <c r="D542" s="11">
        <v>7820.34</v>
      </c>
      <c r="E542" s="15">
        <v>42961</v>
      </c>
      <c r="F542" s="15" t="s">
        <v>28</v>
      </c>
      <c r="G542" s="12">
        <v>42893</v>
      </c>
      <c r="H542" s="23">
        <f t="shared" si="56"/>
        <v>7820.34</v>
      </c>
      <c r="I542" s="23"/>
      <c r="J542" s="23"/>
      <c r="K542" s="24"/>
      <c r="L542" s="23">
        <v>6100</v>
      </c>
      <c r="M542" s="22">
        <f t="shared" si="57"/>
        <v>1720.3400000000001</v>
      </c>
      <c r="N542" s="22"/>
      <c r="O542" s="30">
        <f t="shared" si="58"/>
        <v>0.21998276289777685</v>
      </c>
    </row>
    <row r="543" spans="1:15" ht="20.100000000000001" customHeight="1" x14ac:dyDescent="0.25">
      <c r="A543" s="33">
        <v>525</v>
      </c>
      <c r="B543" s="9">
        <v>42926</v>
      </c>
      <c r="C543" s="18" t="s">
        <v>60</v>
      </c>
      <c r="D543" s="11">
        <v>1267</v>
      </c>
      <c r="E543" s="15">
        <v>42961</v>
      </c>
      <c r="F543" s="15" t="s">
        <v>28</v>
      </c>
      <c r="G543" s="12">
        <v>42956</v>
      </c>
      <c r="H543" s="23">
        <f t="shared" si="56"/>
        <v>1267</v>
      </c>
      <c r="I543" s="23"/>
      <c r="J543" s="23"/>
      <c r="K543" s="24"/>
      <c r="L543" s="23">
        <v>989</v>
      </c>
      <c r="M543" s="22">
        <f t="shared" si="57"/>
        <v>278</v>
      </c>
      <c r="N543" s="22"/>
      <c r="O543" s="30">
        <f t="shared" si="58"/>
        <v>0.21941594317284924</v>
      </c>
    </row>
    <row r="544" spans="1:15" ht="20.100000000000001" customHeight="1" x14ac:dyDescent="0.25">
      <c r="A544" s="33">
        <v>626</v>
      </c>
      <c r="B544" s="9">
        <v>42951</v>
      </c>
      <c r="C544" s="20" t="s">
        <v>282</v>
      </c>
      <c r="D544" s="11">
        <v>61580</v>
      </c>
      <c r="E544" s="15">
        <v>42961</v>
      </c>
      <c r="F544" s="15" t="s">
        <v>28</v>
      </c>
      <c r="G544" s="12">
        <v>42962</v>
      </c>
      <c r="H544" s="23">
        <f t="shared" si="56"/>
        <v>61580</v>
      </c>
      <c r="I544" s="23">
        <f>H544</f>
        <v>61580</v>
      </c>
      <c r="J544" s="23"/>
      <c r="K544" s="24"/>
      <c r="L544" s="23">
        <v>46554</v>
      </c>
      <c r="M544" s="22">
        <f t="shared" si="57"/>
        <v>15026</v>
      </c>
      <c r="N544" s="22">
        <f>M544</f>
        <v>15026</v>
      </c>
      <c r="O544" s="30">
        <f t="shared" si="58"/>
        <v>0.24400779473855147</v>
      </c>
    </row>
    <row r="545" spans="1:15" ht="20.100000000000001" customHeight="1" x14ac:dyDescent="0.25">
      <c r="A545" s="33">
        <v>623</v>
      </c>
      <c r="B545" s="9">
        <v>42951</v>
      </c>
      <c r="C545" s="18" t="s">
        <v>49</v>
      </c>
      <c r="D545" s="11">
        <v>3554</v>
      </c>
      <c r="E545" s="15">
        <v>42962</v>
      </c>
      <c r="F545" s="15" t="s">
        <v>28</v>
      </c>
      <c r="G545" s="12">
        <v>42990</v>
      </c>
      <c r="H545" s="23">
        <f t="shared" si="56"/>
        <v>3554</v>
      </c>
      <c r="I545" s="23"/>
      <c r="J545" s="23"/>
      <c r="K545" s="24"/>
      <c r="L545" s="23">
        <v>2346</v>
      </c>
      <c r="M545" s="22">
        <f t="shared" si="57"/>
        <v>1208</v>
      </c>
      <c r="N545" s="22"/>
      <c r="O545" s="30">
        <f t="shared" si="58"/>
        <v>0.33989870568373665</v>
      </c>
    </row>
    <row r="546" spans="1:15" ht="20.100000000000001" customHeight="1" x14ac:dyDescent="0.25">
      <c r="A546" s="33">
        <v>595</v>
      </c>
      <c r="B546" s="9">
        <v>42942</v>
      </c>
      <c r="C546" s="18" t="s">
        <v>50</v>
      </c>
      <c r="D546" s="11">
        <v>4496.92</v>
      </c>
      <c r="E546" s="15">
        <v>42962</v>
      </c>
      <c r="F546" s="15" t="s">
        <v>28</v>
      </c>
      <c r="G546" s="12">
        <v>42962</v>
      </c>
      <c r="H546" s="23">
        <f t="shared" si="56"/>
        <v>4496.92</v>
      </c>
      <c r="I546" s="23"/>
      <c r="J546" s="23"/>
      <c r="K546" s="24"/>
      <c r="L546" s="23">
        <v>3463</v>
      </c>
      <c r="M546" s="22">
        <f t="shared" si="57"/>
        <v>1033.92</v>
      </c>
      <c r="N546" s="22"/>
      <c r="O546" s="30">
        <f t="shared" si="58"/>
        <v>0.22991736566360976</v>
      </c>
    </row>
    <row r="547" spans="1:15" ht="20.100000000000001" customHeight="1" x14ac:dyDescent="0.25">
      <c r="A547" s="33">
        <v>630</v>
      </c>
      <c r="B547" s="9">
        <v>42954</v>
      </c>
      <c r="C547" s="20" t="s">
        <v>280</v>
      </c>
      <c r="D547" s="11">
        <v>17890</v>
      </c>
      <c r="E547" s="15">
        <v>42962</v>
      </c>
      <c r="F547" s="15" t="s">
        <v>28</v>
      </c>
      <c r="G547" s="12">
        <v>42954</v>
      </c>
      <c r="H547" s="23">
        <f t="shared" si="56"/>
        <v>17890</v>
      </c>
      <c r="I547" s="23">
        <f>H547</f>
        <v>17890</v>
      </c>
      <c r="J547" s="23"/>
      <c r="K547" s="24"/>
      <c r="L547" s="23">
        <v>13525</v>
      </c>
      <c r="M547" s="22">
        <f t="shared" si="57"/>
        <v>4365</v>
      </c>
      <c r="N547" s="22">
        <f>M547</f>
        <v>4365</v>
      </c>
      <c r="O547" s="30">
        <f t="shared" si="58"/>
        <v>0.24399105645612074</v>
      </c>
    </row>
    <row r="548" spans="1:15" ht="20.100000000000001" customHeight="1" x14ac:dyDescent="0.25">
      <c r="A548" s="33">
        <v>652</v>
      </c>
      <c r="B548" s="9">
        <v>42961</v>
      </c>
      <c r="C548" s="18" t="s">
        <v>77</v>
      </c>
      <c r="D548" s="11">
        <v>1466</v>
      </c>
      <c r="E548" s="15">
        <v>42962</v>
      </c>
      <c r="F548" s="15" t="s">
        <v>28</v>
      </c>
      <c r="G548" s="12">
        <v>42963</v>
      </c>
      <c r="H548" s="23">
        <f t="shared" si="56"/>
        <v>1466</v>
      </c>
      <c r="I548" s="23"/>
      <c r="J548" s="23"/>
      <c r="K548" s="24"/>
      <c r="L548" s="23">
        <v>1062</v>
      </c>
      <c r="M548" s="22">
        <f t="shared" si="57"/>
        <v>404</v>
      </c>
      <c r="N548" s="22"/>
      <c r="O548" s="30">
        <f t="shared" si="58"/>
        <v>0.27557980900409279</v>
      </c>
    </row>
    <row r="549" spans="1:15" ht="20.100000000000001" customHeight="1" x14ac:dyDescent="0.25">
      <c r="A549" s="33">
        <v>690</v>
      </c>
      <c r="B549" s="9">
        <v>42962</v>
      </c>
      <c r="C549" s="18" t="s">
        <v>250</v>
      </c>
      <c r="D549" s="11">
        <v>2500</v>
      </c>
      <c r="E549" s="15">
        <v>42963</v>
      </c>
      <c r="F549" s="15" t="s">
        <v>28</v>
      </c>
      <c r="G549" s="12">
        <v>42964</v>
      </c>
      <c r="H549" s="23">
        <f t="shared" si="56"/>
        <v>2500</v>
      </c>
      <c r="I549" s="23"/>
      <c r="J549" s="23"/>
      <c r="K549" s="24"/>
      <c r="L549" s="23">
        <v>1250</v>
      </c>
      <c r="M549" s="22">
        <f t="shared" si="57"/>
        <v>1250</v>
      </c>
      <c r="N549" s="22"/>
      <c r="O549" s="30">
        <f t="shared" si="58"/>
        <v>0.5</v>
      </c>
    </row>
    <row r="550" spans="1:15" ht="20.100000000000001" customHeight="1" x14ac:dyDescent="0.25">
      <c r="A550" s="33">
        <v>512</v>
      </c>
      <c r="B550" s="9">
        <v>42920</v>
      </c>
      <c r="C550" s="18" t="s">
        <v>56</v>
      </c>
      <c r="D550" s="11">
        <v>41845.07</v>
      </c>
      <c r="E550" s="15">
        <v>42963</v>
      </c>
      <c r="F550" s="15" t="s">
        <v>28</v>
      </c>
      <c r="G550" s="12">
        <v>42942</v>
      </c>
      <c r="H550" s="23">
        <f t="shared" si="56"/>
        <v>41845.07</v>
      </c>
      <c r="I550" s="23"/>
      <c r="J550" s="23"/>
      <c r="K550" s="24"/>
      <c r="L550" s="23">
        <v>27017</v>
      </c>
      <c r="M550" s="22">
        <f t="shared" si="57"/>
        <v>14828.07</v>
      </c>
      <c r="N550" s="22"/>
      <c r="O550" s="30">
        <f t="shared" si="58"/>
        <v>0.3543564391217412</v>
      </c>
    </row>
    <row r="551" spans="1:15" ht="20.100000000000001" customHeight="1" x14ac:dyDescent="0.25">
      <c r="A551" s="33">
        <v>603</v>
      </c>
      <c r="B551" s="9">
        <v>42947</v>
      </c>
      <c r="C551" s="18" t="s">
        <v>56</v>
      </c>
      <c r="D551" s="11">
        <v>8938</v>
      </c>
      <c r="E551" s="15">
        <v>42963</v>
      </c>
      <c r="F551" s="15" t="s">
        <v>28</v>
      </c>
      <c r="G551" s="12">
        <v>42947</v>
      </c>
      <c r="H551" s="23">
        <f t="shared" si="56"/>
        <v>8938</v>
      </c>
      <c r="I551" s="23"/>
      <c r="J551" s="23"/>
      <c r="K551" s="24"/>
      <c r="L551" s="23">
        <v>6970</v>
      </c>
      <c r="M551" s="22">
        <f t="shared" si="57"/>
        <v>1968</v>
      </c>
      <c r="N551" s="22"/>
      <c r="O551" s="30">
        <f t="shared" si="58"/>
        <v>0.22018348623853212</v>
      </c>
    </row>
    <row r="552" spans="1:15" ht="20.100000000000001" customHeight="1" x14ac:dyDescent="0.25">
      <c r="A552" s="33">
        <v>585</v>
      </c>
      <c r="B552" s="9">
        <v>42940</v>
      </c>
      <c r="C552" s="18" t="s">
        <v>180</v>
      </c>
      <c r="D552" s="11">
        <v>10500</v>
      </c>
      <c r="E552" s="15">
        <v>42964</v>
      </c>
      <c r="F552" s="15" t="s">
        <v>28</v>
      </c>
      <c r="G552" s="12">
        <v>42970</v>
      </c>
      <c r="H552" s="23">
        <f t="shared" si="56"/>
        <v>10500</v>
      </c>
      <c r="I552" s="23"/>
      <c r="J552" s="23"/>
      <c r="K552" s="24"/>
      <c r="L552" s="23">
        <v>6300</v>
      </c>
      <c r="M552" s="22">
        <f t="shared" si="57"/>
        <v>4200</v>
      </c>
      <c r="N552" s="22"/>
      <c r="O552" s="30">
        <f t="shared" si="58"/>
        <v>0.4</v>
      </c>
    </row>
    <row r="553" spans="1:15" ht="19.5" customHeight="1" x14ac:dyDescent="0.25">
      <c r="A553" s="33">
        <v>712</v>
      </c>
      <c r="B553" s="9">
        <v>42964</v>
      </c>
      <c r="C553" s="20" t="s">
        <v>283</v>
      </c>
      <c r="D553" s="11">
        <v>6199</v>
      </c>
      <c r="E553" s="15">
        <v>42964</v>
      </c>
      <c r="F553" s="15" t="s">
        <v>28</v>
      </c>
      <c r="G553" s="12">
        <v>42971</v>
      </c>
      <c r="H553" s="23">
        <f t="shared" si="56"/>
        <v>6199</v>
      </c>
      <c r="I553" s="23">
        <f>H553</f>
        <v>6199</v>
      </c>
      <c r="J553" s="23"/>
      <c r="K553" s="24"/>
      <c r="L553" s="23">
        <v>4627</v>
      </c>
      <c r="M553" s="22">
        <f t="shared" si="57"/>
        <v>1572</v>
      </c>
      <c r="N553" s="22">
        <f>M553</f>
        <v>1572</v>
      </c>
      <c r="O553" s="30">
        <f t="shared" si="58"/>
        <v>0.25358928859493468</v>
      </c>
    </row>
    <row r="554" spans="1:15" ht="15.75" x14ac:dyDescent="0.25">
      <c r="A554" s="33">
        <v>673</v>
      </c>
      <c r="B554" s="9">
        <v>42962</v>
      </c>
      <c r="C554" s="18" t="s">
        <v>209</v>
      </c>
      <c r="D554" s="11">
        <v>1769.7</v>
      </c>
      <c r="E554" s="15">
        <v>42964</v>
      </c>
      <c r="F554" s="15" t="s">
        <v>28</v>
      </c>
      <c r="G554" s="12">
        <v>42989</v>
      </c>
      <c r="H554" s="23">
        <f t="shared" si="56"/>
        <v>1769.7</v>
      </c>
      <c r="I554" s="23"/>
      <c r="J554" s="23"/>
      <c r="K554" s="24"/>
      <c r="L554" s="23">
        <v>1624</v>
      </c>
      <c r="M554" s="22">
        <f t="shared" si="57"/>
        <v>145.70000000000005</v>
      </c>
      <c r="N554" s="22"/>
      <c r="O554" s="30">
        <f t="shared" si="58"/>
        <v>8.2330338475447837E-2</v>
      </c>
    </row>
    <row r="555" spans="1:15" s="2" customFormat="1" ht="20.100000000000001" customHeight="1" x14ac:dyDescent="0.25">
      <c r="A555" s="33">
        <v>655</v>
      </c>
      <c r="B555" s="9">
        <v>42961</v>
      </c>
      <c r="C555" s="20" t="s">
        <v>284</v>
      </c>
      <c r="D555" s="11">
        <v>35890</v>
      </c>
      <c r="E555" s="15">
        <v>42965</v>
      </c>
      <c r="F555" s="15" t="s">
        <v>28</v>
      </c>
      <c r="G555" s="12">
        <v>42989</v>
      </c>
      <c r="H555" s="23">
        <f t="shared" si="56"/>
        <v>35890</v>
      </c>
      <c r="I555" s="23">
        <f>H555</f>
        <v>35890</v>
      </c>
      <c r="J555" s="23"/>
      <c r="K555" s="24"/>
      <c r="L555" s="23">
        <v>25621</v>
      </c>
      <c r="M555" s="22">
        <f t="shared" si="57"/>
        <v>10269</v>
      </c>
      <c r="N555" s="22">
        <f>M555</f>
        <v>10269</v>
      </c>
      <c r="O555" s="30">
        <f t="shared" si="58"/>
        <v>0.28612426859849538</v>
      </c>
    </row>
    <row r="556" spans="1:15" ht="20.100000000000001" customHeight="1" x14ac:dyDescent="0.25">
      <c r="A556" s="33">
        <v>687</v>
      </c>
      <c r="B556" s="9">
        <v>42962</v>
      </c>
      <c r="C556" s="18" t="s">
        <v>234</v>
      </c>
      <c r="D556" s="11">
        <v>31343</v>
      </c>
      <c r="E556" s="15">
        <v>42968</v>
      </c>
      <c r="F556" s="15" t="s">
        <v>28</v>
      </c>
      <c r="G556" s="12">
        <v>42989</v>
      </c>
      <c r="H556" s="23">
        <f t="shared" si="56"/>
        <v>31343</v>
      </c>
      <c r="I556" s="23"/>
      <c r="J556" s="23"/>
      <c r="K556" s="24"/>
      <c r="L556" s="23">
        <v>23677</v>
      </c>
      <c r="M556" s="22">
        <f t="shared" si="57"/>
        <v>7666</v>
      </c>
      <c r="N556" s="22"/>
      <c r="O556" s="30">
        <f t="shared" si="58"/>
        <v>0.24458411766582649</v>
      </c>
    </row>
    <row r="557" spans="1:15" ht="20.100000000000001" customHeight="1" x14ac:dyDescent="0.25">
      <c r="A557" s="33">
        <v>636</v>
      </c>
      <c r="B557" s="9">
        <v>42955</v>
      </c>
      <c r="C557" s="18" t="s">
        <v>13</v>
      </c>
      <c r="D557" s="11">
        <v>32186</v>
      </c>
      <c r="E557" s="15">
        <v>42969</v>
      </c>
      <c r="F557" s="15" t="s">
        <v>28</v>
      </c>
      <c r="G557" s="12">
        <v>42957</v>
      </c>
      <c r="H557" s="23">
        <f t="shared" si="56"/>
        <v>32186</v>
      </c>
      <c r="I557" s="23"/>
      <c r="J557" s="23"/>
      <c r="K557" s="24"/>
      <c r="L557" s="23">
        <v>22751</v>
      </c>
      <c r="M557" s="22">
        <f t="shared" si="57"/>
        <v>9435</v>
      </c>
      <c r="N557" s="22"/>
      <c r="O557" s="30">
        <f t="shared" si="58"/>
        <v>0.29313987447958739</v>
      </c>
    </row>
    <row r="558" spans="1:15" ht="20.100000000000001" customHeight="1" x14ac:dyDescent="0.25">
      <c r="A558" s="33">
        <v>713</v>
      </c>
      <c r="B558" s="9">
        <v>42964</v>
      </c>
      <c r="C558" s="18" t="s">
        <v>228</v>
      </c>
      <c r="D558" s="11">
        <v>16090</v>
      </c>
      <c r="E558" s="15">
        <v>42969</v>
      </c>
      <c r="F558" s="15" t="s">
        <v>28</v>
      </c>
      <c r="G558" s="12">
        <v>42992</v>
      </c>
      <c r="H558" s="23">
        <f t="shared" si="56"/>
        <v>16090</v>
      </c>
      <c r="I558" s="23"/>
      <c r="J558" s="23"/>
      <c r="K558" s="24"/>
      <c r="L558" s="23">
        <v>12069</v>
      </c>
      <c r="M558" s="22">
        <f t="shared" si="57"/>
        <v>4021</v>
      </c>
      <c r="N558" s="22"/>
      <c r="O558" s="30">
        <f t="shared" si="58"/>
        <v>0.24990677439403355</v>
      </c>
    </row>
    <row r="559" spans="1:15" ht="20.100000000000001" customHeight="1" x14ac:dyDescent="0.25">
      <c r="A559" s="33">
        <v>590</v>
      </c>
      <c r="B559" s="9">
        <v>42940</v>
      </c>
      <c r="C559" s="18" t="s">
        <v>56</v>
      </c>
      <c r="D559" s="11">
        <v>6837.59</v>
      </c>
      <c r="E559" s="15">
        <v>42970</v>
      </c>
      <c r="F559" s="15" t="s">
        <v>28</v>
      </c>
      <c r="G559" s="12">
        <v>42954</v>
      </c>
      <c r="H559" s="23">
        <f t="shared" si="56"/>
        <v>6837.59</v>
      </c>
      <c r="I559" s="23"/>
      <c r="J559" s="23"/>
      <c r="K559" s="24"/>
      <c r="L559" s="23">
        <v>4038</v>
      </c>
      <c r="M559" s="22">
        <f t="shared" si="57"/>
        <v>2799.59</v>
      </c>
      <c r="N559" s="22"/>
      <c r="O559" s="30">
        <f t="shared" si="58"/>
        <v>0.40944104574857515</v>
      </c>
    </row>
    <row r="560" spans="1:15" ht="20.100000000000001" customHeight="1" x14ac:dyDescent="0.25">
      <c r="A560" s="33">
        <v>598</v>
      </c>
      <c r="B560" s="9">
        <v>42943</v>
      </c>
      <c r="C560" s="18" t="s">
        <v>56</v>
      </c>
      <c r="D560" s="11">
        <v>10704.96</v>
      </c>
      <c r="E560" s="15">
        <v>42970</v>
      </c>
      <c r="F560" s="15" t="s">
        <v>28</v>
      </c>
      <c r="G560" s="12">
        <v>42954</v>
      </c>
      <c r="H560" s="23">
        <f t="shared" si="56"/>
        <v>10704.96</v>
      </c>
      <c r="I560" s="23"/>
      <c r="J560" s="23"/>
      <c r="K560" s="24"/>
      <c r="L560" s="23">
        <v>6834</v>
      </c>
      <c r="M560" s="22">
        <f t="shared" si="57"/>
        <v>3870.9599999999991</v>
      </c>
      <c r="N560" s="22"/>
      <c r="O560" s="30">
        <f t="shared" si="58"/>
        <v>0.36160434041789968</v>
      </c>
    </row>
    <row r="561" spans="1:15" ht="20.100000000000001" customHeight="1" x14ac:dyDescent="0.25">
      <c r="A561" s="33">
        <v>518</v>
      </c>
      <c r="B561" s="9">
        <v>42954</v>
      </c>
      <c r="C561" s="18" t="s">
        <v>56</v>
      </c>
      <c r="D561" s="11">
        <v>3436</v>
      </c>
      <c r="E561" s="15">
        <v>42970</v>
      </c>
      <c r="F561" s="15" t="s">
        <v>28</v>
      </c>
      <c r="G561" s="12">
        <v>42954</v>
      </c>
      <c r="H561" s="23">
        <f t="shared" si="56"/>
        <v>3436</v>
      </c>
      <c r="I561" s="23"/>
      <c r="J561" s="23"/>
      <c r="K561" s="24"/>
      <c r="L561" s="23">
        <v>2488</v>
      </c>
      <c r="M561" s="22">
        <f t="shared" si="57"/>
        <v>948</v>
      </c>
      <c r="N561" s="22"/>
      <c r="O561" s="30">
        <f t="shared" si="58"/>
        <v>0.27590221187427239</v>
      </c>
    </row>
    <row r="562" spans="1:15" ht="20.100000000000001" customHeight="1" x14ac:dyDescent="0.25">
      <c r="A562" s="33">
        <v>631</v>
      </c>
      <c r="B562" s="9">
        <v>42954</v>
      </c>
      <c r="C562" s="18" t="s">
        <v>56</v>
      </c>
      <c r="D562" s="11">
        <v>20919.8</v>
      </c>
      <c r="E562" s="15">
        <v>42970</v>
      </c>
      <c r="F562" s="15" t="s">
        <v>28</v>
      </c>
      <c r="G562" s="12">
        <v>42962</v>
      </c>
      <c r="H562" s="23">
        <f t="shared" si="56"/>
        <v>20919.8</v>
      </c>
      <c r="I562" s="23"/>
      <c r="J562" s="23"/>
      <c r="K562" s="24"/>
      <c r="L562" s="23">
        <v>16302</v>
      </c>
      <c r="M562" s="22">
        <f t="shared" si="57"/>
        <v>4617.7999999999993</v>
      </c>
      <c r="N562" s="22"/>
      <c r="O562" s="30">
        <f t="shared" si="58"/>
        <v>0.22073824797560204</v>
      </c>
    </row>
    <row r="563" spans="1:15" ht="20.100000000000001" customHeight="1" x14ac:dyDescent="0.25">
      <c r="A563" s="33">
        <v>644</v>
      </c>
      <c r="B563" s="9">
        <v>42970</v>
      </c>
      <c r="C563" s="20" t="s">
        <v>285</v>
      </c>
      <c r="D563" s="11">
        <v>999</v>
      </c>
      <c r="E563" s="15">
        <v>42970</v>
      </c>
      <c r="F563" s="15" t="s">
        <v>28</v>
      </c>
      <c r="G563" s="12">
        <v>42972</v>
      </c>
      <c r="H563" s="23">
        <f t="shared" si="56"/>
        <v>999</v>
      </c>
      <c r="I563" s="23">
        <f>H563</f>
        <v>999</v>
      </c>
      <c r="J563" s="23"/>
      <c r="K563" s="24"/>
      <c r="L563" s="23">
        <v>723</v>
      </c>
      <c r="M563" s="22">
        <f t="shared" si="57"/>
        <v>276</v>
      </c>
      <c r="N563" s="22">
        <f>M563</f>
        <v>276</v>
      </c>
      <c r="O563" s="30">
        <f t="shared" si="58"/>
        <v>0.27627627627627627</v>
      </c>
    </row>
    <row r="564" spans="1:15" ht="20.100000000000001" customHeight="1" x14ac:dyDescent="0.25">
      <c r="A564" s="33">
        <v>732</v>
      </c>
      <c r="B564" s="9">
        <v>42970</v>
      </c>
      <c r="C564" s="18" t="s">
        <v>286</v>
      </c>
      <c r="D564" s="11">
        <v>16999</v>
      </c>
      <c r="E564" s="15">
        <v>42971</v>
      </c>
      <c r="F564" s="15" t="s">
        <v>28</v>
      </c>
      <c r="G564" s="12">
        <v>42972</v>
      </c>
      <c r="H564" s="23">
        <f t="shared" si="56"/>
        <v>16999</v>
      </c>
      <c r="I564" s="23"/>
      <c r="J564" s="23"/>
      <c r="K564" s="24"/>
      <c r="L564" s="23">
        <v>13811</v>
      </c>
      <c r="M564" s="22">
        <f t="shared" si="57"/>
        <v>3188</v>
      </c>
      <c r="N564" s="22"/>
      <c r="O564" s="30">
        <f t="shared" si="58"/>
        <v>0.18754044355550326</v>
      </c>
    </row>
    <row r="565" spans="1:15" ht="20.100000000000001" customHeight="1" x14ac:dyDescent="0.25">
      <c r="A565" s="33">
        <v>737</v>
      </c>
      <c r="B565" s="9">
        <v>42975</v>
      </c>
      <c r="C565" s="20" t="s">
        <v>287</v>
      </c>
      <c r="D565" s="11">
        <v>6958</v>
      </c>
      <c r="E565" s="15">
        <v>42975</v>
      </c>
      <c r="F565" s="15" t="s">
        <v>28</v>
      </c>
      <c r="G565" s="12">
        <v>42990</v>
      </c>
      <c r="H565" s="23">
        <f t="shared" si="56"/>
        <v>6958</v>
      </c>
      <c r="I565" s="23">
        <f>H565</f>
        <v>6958</v>
      </c>
      <c r="J565" s="23"/>
      <c r="K565" s="24"/>
      <c r="L565" s="23">
        <v>5358</v>
      </c>
      <c r="M565" s="22">
        <f t="shared" si="57"/>
        <v>1600</v>
      </c>
      <c r="N565" s="22">
        <f>M565</f>
        <v>1600</v>
      </c>
      <c r="O565" s="30">
        <f t="shared" si="58"/>
        <v>0.22995113538373096</v>
      </c>
    </row>
    <row r="566" spans="1:15" ht="20.100000000000001" customHeight="1" x14ac:dyDescent="0.25">
      <c r="A566" s="33">
        <v>736</v>
      </c>
      <c r="B566" s="9">
        <v>42976</v>
      </c>
      <c r="C566" s="18" t="s">
        <v>77</v>
      </c>
      <c r="D566" s="11">
        <v>2932</v>
      </c>
      <c r="E566" s="15">
        <v>42976</v>
      </c>
      <c r="F566" s="15" t="s">
        <v>28</v>
      </c>
      <c r="G566" s="12">
        <v>42979</v>
      </c>
      <c r="H566" s="23">
        <f t="shared" si="56"/>
        <v>2932</v>
      </c>
      <c r="I566" s="23"/>
      <c r="J566" s="23"/>
      <c r="K566" s="24"/>
      <c r="L566" s="23">
        <v>2124</v>
      </c>
      <c r="M566" s="22">
        <f t="shared" si="57"/>
        <v>808</v>
      </c>
      <c r="N566" s="22"/>
      <c r="O566" s="30">
        <f t="shared" si="58"/>
        <v>0.27557980900409279</v>
      </c>
    </row>
    <row r="567" spans="1:15" ht="20.100000000000001" customHeight="1" x14ac:dyDescent="0.25">
      <c r="A567" s="33">
        <v>727</v>
      </c>
      <c r="B567" s="9">
        <v>42969</v>
      </c>
      <c r="C567" s="18" t="s">
        <v>281</v>
      </c>
      <c r="D567" s="11">
        <v>1279</v>
      </c>
      <c r="E567" s="15">
        <v>42977</v>
      </c>
      <c r="F567" s="15" t="s">
        <v>28</v>
      </c>
      <c r="G567" s="12">
        <v>42982</v>
      </c>
      <c r="H567" s="23">
        <f t="shared" si="56"/>
        <v>1279</v>
      </c>
      <c r="I567" s="23"/>
      <c r="J567" s="23"/>
      <c r="K567" s="24"/>
      <c r="L567" s="23">
        <v>1073</v>
      </c>
      <c r="M567" s="22">
        <f t="shared" si="57"/>
        <v>206</v>
      </c>
      <c r="N567" s="22"/>
      <c r="O567" s="30">
        <f t="shared" si="58"/>
        <v>0.16106333072713058</v>
      </c>
    </row>
    <row r="568" spans="1:15" ht="20.100000000000001" customHeight="1" x14ac:dyDescent="0.25">
      <c r="A568" s="33">
        <v>616</v>
      </c>
      <c r="B568" s="9">
        <v>42950</v>
      </c>
      <c r="C568" s="18" t="s">
        <v>277</v>
      </c>
      <c r="D568" s="11">
        <v>3350</v>
      </c>
      <c r="E568" s="15">
        <v>42978</v>
      </c>
      <c r="F568" s="15" t="s">
        <v>28</v>
      </c>
      <c r="G568" s="12">
        <v>42989</v>
      </c>
      <c r="H568" s="23">
        <f t="shared" si="56"/>
        <v>3350</v>
      </c>
      <c r="I568" s="23"/>
      <c r="J568" s="23"/>
      <c r="K568" s="24"/>
      <c r="L568" s="23">
        <v>2435</v>
      </c>
      <c r="M568" s="22">
        <f t="shared" si="57"/>
        <v>915</v>
      </c>
      <c r="N568" s="22"/>
      <c r="O568" s="30">
        <f t="shared" si="58"/>
        <v>0.27313432835820894</v>
      </c>
    </row>
    <row r="569" spans="1:15" ht="20.100000000000001" customHeight="1" x14ac:dyDescent="0.25">
      <c r="A569" s="33">
        <v>751</v>
      </c>
      <c r="B569" s="9">
        <v>42978</v>
      </c>
      <c r="C569" s="18" t="s">
        <v>118</v>
      </c>
      <c r="D569" s="11">
        <v>4708</v>
      </c>
      <c r="E569" s="15">
        <v>42978</v>
      </c>
      <c r="F569" s="15" t="s">
        <v>28</v>
      </c>
      <c r="G569" s="12">
        <v>43013</v>
      </c>
      <c r="H569" s="23">
        <f t="shared" si="56"/>
        <v>4708</v>
      </c>
      <c r="I569" s="23"/>
      <c r="J569" s="23"/>
      <c r="K569" s="24"/>
      <c r="L569" s="23">
        <v>3912</v>
      </c>
      <c r="M569" s="22">
        <f t="shared" si="57"/>
        <v>796</v>
      </c>
      <c r="N569" s="22"/>
      <c r="O569" s="30">
        <f t="shared" si="58"/>
        <v>0.16907391673746813</v>
      </c>
    </row>
    <row r="570" spans="1:15" ht="20.100000000000001" customHeight="1" x14ac:dyDescent="0.25">
      <c r="A570" s="35" t="s">
        <v>535</v>
      </c>
      <c r="B570" s="36"/>
      <c r="C570" s="42"/>
      <c r="D570" s="37"/>
      <c r="E570" s="46" t="s">
        <v>547</v>
      </c>
      <c r="F570" s="47">
        <f>M570*0.12+N570*0.06+8000</f>
        <v>26519.004799999999</v>
      </c>
      <c r="G570" s="21">
        <f>H570*0.05+I570*0.02</f>
        <v>26599.877000000004</v>
      </c>
      <c r="H570" s="49">
        <f>SUBTOTAL(109,Август2017[Продажа])</f>
        <v>475471.54000000004</v>
      </c>
      <c r="I570" s="49">
        <f>SUBTOTAL(109,Август2017[Продажа НК])</f>
        <v>141315</v>
      </c>
      <c r="J570" s="49">
        <f>SUBTOTAL(109,Август2017[отк])</f>
        <v>0</v>
      </c>
      <c r="K570" s="49">
        <f>SUBTOTAL(109,Август2017[шланги])</f>
        <v>0</v>
      </c>
      <c r="L570" s="49">
        <f>SUBTOTAL(109,Август2017[Закупка])</f>
        <v>339140</v>
      </c>
      <c r="M570" s="49">
        <f>SUBTOTAL(109,Август2017[Маржа])</f>
        <v>136331.53999999998</v>
      </c>
      <c r="N570" s="49">
        <f>SUBTOTAL(109,Август2017[Маржа НК])</f>
        <v>35987</v>
      </c>
      <c r="O570" s="44">
        <f t="shared" si="58"/>
        <v>0.28672912788849564</v>
      </c>
    </row>
    <row r="571" spans="1:15" ht="20.100000000000001" customHeight="1" x14ac:dyDescent="0.25">
      <c r="A571" s="41" t="s">
        <v>1</v>
      </c>
      <c r="B571" s="1" t="s">
        <v>0</v>
      </c>
      <c r="C571" s="1" t="s">
        <v>26</v>
      </c>
      <c r="D571" s="1" t="s">
        <v>2</v>
      </c>
      <c r="E571" s="1" t="s">
        <v>3</v>
      </c>
      <c r="F571" s="1" t="s">
        <v>27</v>
      </c>
      <c r="G571" s="1" t="s">
        <v>4</v>
      </c>
      <c r="H571" s="2" t="s">
        <v>132</v>
      </c>
      <c r="I571" s="2" t="s">
        <v>133</v>
      </c>
      <c r="J571" s="40" t="s">
        <v>187</v>
      </c>
      <c r="K571" s="40" t="s">
        <v>188</v>
      </c>
      <c r="L571" s="40" t="s">
        <v>129</v>
      </c>
      <c r="M571" s="40" t="s">
        <v>130</v>
      </c>
      <c r="N571" s="2" t="s">
        <v>131</v>
      </c>
      <c r="O571" s="2" t="s">
        <v>134</v>
      </c>
    </row>
    <row r="572" spans="1:15" ht="20.100000000000001" customHeight="1" x14ac:dyDescent="0.25">
      <c r="A572" s="33">
        <v>762</v>
      </c>
      <c r="B572" s="9">
        <v>42982</v>
      </c>
      <c r="C572" s="20" t="s">
        <v>288</v>
      </c>
      <c r="D572" s="11">
        <v>17980</v>
      </c>
      <c r="E572" s="15">
        <v>42983</v>
      </c>
      <c r="F572" s="15" t="s">
        <v>28</v>
      </c>
      <c r="G572" s="12">
        <v>42983</v>
      </c>
      <c r="H572" s="23">
        <f t="shared" ref="H572:H592" si="59">D572</f>
        <v>17980</v>
      </c>
      <c r="I572" s="23">
        <f>H572</f>
        <v>17980</v>
      </c>
      <c r="J572" s="23"/>
      <c r="K572" s="24"/>
      <c r="L572" s="23">
        <v>12686</v>
      </c>
      <c r="M572" s="22">
        <f t="shared" ref="M572:M592" si="60">H572-L572-J572-K572</f>
        <v>5294</v>
      </c>
      <c r="N572" s="22">
        <f>M572</f>
        <v>5294</v>
      </c>
      <c r="O572" s="30">
        <f t="shared" ref="O572:O593" si="61">M572/H572</f>
        <v>0.29443826473859847</v>
      </c>
    </row>
    <row r="573" spans="1:15" ht="20.100000000000001" customHeight="1" x14ac:dyDescent="0.25">
      <c r="A573" s="33">
        <v>759</v>
      </c>
      <c r="B573" s="9">
        <v>42982</v>
      </c>
      <c r="C573" s="20" t="s">
        <v>289</v>
      </c>
      <c r="D573" s="11">
        <v>20970</v>
      </c>
      <c r="E573" s="15">
        <v>42983</v>
      </c>
      <c r="F573" s="15" t="s">
        <v>28</v>
      </c>
      <c r="G573" s="12">
        <v>43010</v>
      </c>
      <c r="H573" s="23">
        <f t="shared" si="59"/>
        <v>20970</v>
      </c>
      <c r="I573" s="23">
        <f>H573</f>
        <v>20970</v>
      </c>
      <c r="J573" s="23"/>
      <c r="K573" s="24"/>
      <c r="L573" s="23">
        <v>15414</v>
      </c>
      <c r="M573" s="22">
        <f t="shared" si="60"/>
        <v>5556</v>
      </c>
      <c r="N573" s="22">
        <f>M573</f>
        <v>5556</v>
      </c>
      <c r="O573" s="30">
        <f t="shared" si="61"/>
        <v>0.26494992846924176</v>
      </c>
    </row>
    <row r="574" spans="1:15" ht="20.100000000000001" customHeight="1" x14ac:dyDescent="0.25">
      <c r="A574" s="33">
        <v>763</v>
      </c>
      <c r="B574" s="9">
        <v>42982</v>
      </c>
      <c r="C574" s="20" t="s">
        <v>290</v>
      </c>
      <c r="D574" s="11">
        <v>77990</v>
      </c>
      <c r="E574" s="15">
        <v>42983</v>
      </c>
      <c r="F574" s="15" t="s">
        <v>28</v>
      </c>
      <c r="G574" s="12">
        <v>42984</v>
      </c>
      <c r="H574" s="23">
        <f t="shared" si="59"/>
        <v>77990</v>
      </c>
      <c r="I574" s="23">
        <f>H574</f>
        <v>77990</v>
      </c>
      <c r="J574" s="23"/>
      <c r="K574" s="24"/>
      <c r="L574" s="23">
        <v>54960</v>
      </c>
      <c r="M574" s="22">
        <f t="shared" si="60"/>
        <v>23030</v>
      </c>
      <c r="N574" s="22">
        <f>M574</f>
        <v>23030</v>
      </c>
      <c r="O574" s="30">
        <f t="shared" si="61"/>
        <v>0.29529426849596102</v>
      </c>
    </row>
    <row r="575" spans="1:15" ht="19.5" customHeight="1" x14ac:dyDescent="0.25">
      <c r="A575" s="33">
        <v>775</v>
      </c>
      <c r="B575" s="9">
        <v>42985</v>
      </c>
      <c r="C575" s="20" t="s">
        <v>291</v>
      </c>
      <c r="D575" s="11">
        <v>33843</v>
      </c>
      <c r="E575" s="15">
        <v>42985</v>
      </c>
      <c r="F575" s="15" t="s">
        <v>28</v>
      </c>
      <c r="G575" s="12">
        <v>42990</v>
      </c>
      <c r="H575" s="23">
        <f t="shared" si="59"/>
        <v>33843</v>
      </c>
      <c r="I575" s="23">
        <f>H575</f>
        <v>33843</v>
      </c>
      <c r="J575" s="23"/>
      <c r="K575" s="24"/>
      <c r="L575" s="23">
        <v>24927</v>
      </c>
      <c r="M575" s="22">
        <f t="shared" si="60"/>
        <v>8916</v>
      </c>
      <c r="N575" s="22">
        <f>M575</f>
        <v>8916</v>
      </c>
      <c r="O575" s="30">
        <f t="shared" si="61"/>
        <v>0.26345182164701708</v>
      </c>
    </row>
    <row r="576" spans="1:15" ht="15.75" x14ac:dyDescent="0.25">
      <c r="A576" s="33">
        <v>778</v>
      </c>
      <c r="B576" s="9">
        <v>42986</v>
      </c>
      <c r="C576" s="18" t="s">
        <v>236</v>
      </c>
      <c r="D576" s="11">
        <v>134047</v>
      </c>
      <c r="E576" s="15">
        <v>42989</v>
      </c>
      <c r="F576" s="15" t="s">
        <v>28</v>
      </c>
      <c r="G576" s="12">
        <v>43012</v>
      </c>
      <c r="H576" s="23">
        <f t="shared" si="59"/>
        <v>134047</v>
      </c>
      <c r="I576" s="23"/>
      <c r="J576" s="23"/>
      <c r="K576" s="24">
        <f>300*7</f>
        <v>2100</v>
      </c>
      <c r="L576" s="23">
        <v>99439</v>
      </c>
      <c r="M576" s="22">
        <f t="shared" si="60"/>
        <v>32508</v>
      </c>
      <c r="N576" s="22"/>
      <c r="O576" s="30">
        <f t="shared" si="61"/>
        <v>0.24251195476213566</v>
      </c>
    </row>
    <row r="577" spans="1:15" s="2" customFormat="1" ht="20.100000000000001" customHeight="1" x14ac:dyDescent="0.25">
      <c r="A577" s="33">
        <v>502</v>
      </c>
      <c r="B577" s="9">
        <v>42920</v>
      </c>
      <c r="C577" s="18" t="s">
        <v>65</v>
      </c>
      <c r="D577" s="11">
        <v>97484</v>
      </c>
      <c r="E577" s="15">
        <v>42989</v>
      </c>
      <c r="F577" s="15" t="s">
        <v>28</v>
      </c>
      <c r="G577" s="12">
        <v>42992</v>
      </c>
      <c r="H577" s="23">
        <f t="shared" si="59"/>
        <v>97484</v>
      </c>
      <c r="I577" s="23"/>
      <c r="J577" s="23"/>
      <c r="K577" s="24"/>
      <c r="L577" s="23">
        <v>77105</v>
      </c>
      <c r="M577" s="22">
        <f t="shared" si="60"/>
        <v>20379</v>
      </c>
      <c r="N577" s="22"/>
      <c r="O577" s="30">
        <f t="shared" si="61"/>
        <v>0.20904969020557221</v>
      </c>
    </row>
    <row r="578" spans="1:15" ht="20.100000000000001" customHeight="1" x14ac:dyDescent="0.25">
      <c r="A578" s="33">
        <v>760</v>
      </c>
      <c r="B578" s="9">
        <v>42982</v>
      </c>
      <c r="C578" s="18" t="s">
        <v>72</v>
      </c>
      <c r="D578" s="11">
        <v>5769</v>
      </c>
      <c r="E578" s="15">
        <v>42989</v>
      </c>
      <c r="F578" s="15" t="s">
        <v>28</v>
      </c>
      <c r="G578" s="12">
        <v>42990</v>
      </c>
      <c r="H578" s="23">
        <f t="shared" si="59"/>
        <v>5769</v>
      </c>
      <c r="I578" s="23"/>
      <c r="J578" s="23"/>
      <c r="K578" s="24"/>
      <c r="L578" s="23">
        <v>4179</v>
      </c>
      <c r="M578" s="22">
        <f t="shared" si="60"/>
        <v>1590</v>
      </c>
      <c r="N578" s="22"/>
      <c r="O578" s="30">
        <f t="shared" si="61"/>
        <v>0.27561102444097763</v>
      </c>
    </row>
    <row r="579" spans="1:15" ht="20.100000000000001" customHeight="1" x14ac:dyDescent="0.25">
      <c r="A579" s="33">
        <v>786</v>
      </c>
      <c r="B579" s="9">
        <v>42990</v>
      </c>
      <c r="C579" s="20" t="s">
        <v>291</v>
      </c>
      <c r="D579" s="11">
        <v>3027</v>
      </c>
      <c r="E579" s="15">
        <v>42990</v>
      </c>
      <c r="F579" s="15" t="s">
        <v>28</v>
      </c>
      <c r="G579" s="12">
        <v>42990</v>
      </c>
      <c r="H579" s="23">
        <f t="shared" si="59"/>
        <v>3027</v>
      </c>
      <c r="I579" s="23">
        <f>H579</f>
        <v>3027</v>
      </c>
      <c r="J579" s="23"/>
      <c r="K579" s="24"/>
      <c r="L579" s="23">
        <v>2586</v>
      </c>
      <c r="M579" s="22">
        <f t="shared" si="60"/>
        <v>441</v>
      </c>
      <c r="N579" s="22">
        <f>M579</f>
        <v>441</v>
      </c>
      <c r="O579" s="30">
        <f t="shared" si="61"/>
        <v>0.14568880079286423</v>
      </c>
    </row>
    <row r="580" spans="1:15" ht="20.100000000000001" customHeight="1" x14ac:dyDescent="0.25">
      <c r="A580" s="33">
        <v>734</v>
      </c>
      <c r="B580" s="9">
        <v>42989</v>
      </c>
      <c r="C580" s="18" t="s">
        <v>161</v>
      </c>
      <c r="D580" s="11">
        <v>1467</v>
      </c>
      <c r="E580" s="15">
        <v>42990</v>
      </c>
      <c r="F580" s="15" t="s">
        <v>28</v>
      </c>
      <c r="G580" s="12">
        <v>43032</v>
      </c>
      <c r="H580" s="23">
        <f t="shared" si="59"/>
        <v>1467</v>
      </c>
      <c r="I580" s="23"/>
      <c r="J580" s="23"/>
      <c r="K580" s="24"/>
      <c r="L580" s="23">
        <v>968</v>
      </c>
      <c r="M580" s="22">
        <f t="shared" si="60"/>
        <v>499</v>
      </c>
      <c r="N580" s="22"/>
      <c r="O580" s="30">
        <f t="shared" si="61"/>
        <v>0.3401499659168371</v>
      </c>
    </row>
    <row r="581" spans="1:15" ht="20.100000000000001" customHeight="1" x14ac:dyDescent="0.25">
      <c r="A581" s="33">
        <v>769</v>
      </c>
      <c r="B581" s="9">
        <v>42984</v>
      </c>
      <c r="C581" s="18" t="s">
        <v>15</v>
      </c>
      <c r="D581" s="11">
        <v>24442</v>
      </c>
      <c r="E581" s="15">
        <v>42991</v>
      </c>
      <c r="F581" s="15" t="s">
        <v>28</v>
      </c>
      <c r="G581" s="12">
        <v>43021</v>
      </c>
      <c r="H581" s="23">
        <f t="shared" si="59"/>
        <v>24442</v>
      </c>
      <c r="I581" s="23"/>
      <c r="J581" s="23"/>
      <c r="K581" s="24"/>
      <c r="L581" s="23">
        <v>17863</v>
      </c>
      <c r="M581" s="22">
        <f t="shared" si="60"/>
        <v>6579</v>
      </c>
      <c r="N581" s="22"/>
      <c r="O581" s="30">
        <f t="shared" si="61"/>
        <v>0.26916782587349641</v>
      </c>
    </row>
    <row r="582" spans="1:15" ht="20.100000000000001" customHeight="1" x14ac:dyDescent="0.25">
      <c r="A582" s="33">
        <v>780</v>
      </c>
      <c r="B582" s="9">
        <v>42986</v>
      </c>
      <c r="C582" s="18" t="s">
        <v>292</v>
      </c>
      <c r="D582" s="11">
        <v>5200</v>
      </c>
      <c r="E582" s="15">
        <v>42993</v>
      </c>
      <c r="F582" s="15" t="s">
        <v>28</v>
      </c>
      <c r="G582" s="12">
        <v>43010</v>
      </c>
      <c r="H582" s="23">
        <f t="shared" si="59"/>
        <v>5200</v>
      </c>
      <c r="I582" s="23"/>
      <c r="J582" s="23"/>
      <c r="K582" s="24"/>
      <c r="L582" s="23">
        <v>3233</v>
      </c>
      <c r="M582" s="22">
        <f t="shared" si="60"/>
        <v>1967</v>
      </c>
      <c r="N582" s="22"/>
      <c r="O582" s="30">
        <f t="shared" si="61"/>
        <v>0.37826923076923075</v>
      </c>
    </row>
    <row r="583" spans="1:15" ht="20.100000000000001" customHeight="1" x14ac:dyDescent="0.25">
      <c r="A583" s="33">
        <v>785</v>
      </c>
      <c r="B583" s="9">
        <v>42990</v>
      </c>
      <c r="C583" s="18" t="s">
        <v>53</v>
      </c>
      <c r="D583" s="11">
        <v>18580</v>
      </c>
      <c r="E583" s="15">
        <v>42993</v>
      </c>
      <c r="F583" s="15" t="s">
        <v>28</v>
      </c>
      <c r="G583" s="12">
        <v>43007</v>
      </c>
      <c r="H583" s="23">
        <f t="shared" si="59"/>
        <v>18580</v>
      </c>
      <c r="I583" s="23"/>
      <c r="J583" s="23"/>
      <c r="K583" s="24"/>
      <c r="L583" s="23">
        <v>13517</v>
      </c>
      <c r="M583" s="22">
        <f t="shared" si="60"/>
        <v>5063</v>
      </c>
      <c r="N583" s="22"/>
      <c r="O583" s="30">
        <f t="shared" si="61"/>
        <v>0.27249730893433799</v>
      </c>
    </row>
    <row r="584" spans="1:15" ht="20.100000000000001" customHeight="1" x14ac:dyDescent="0.25">
      <c r="A584" s="33">
        <v>810</v>
      </c>
      <c r="B584" s="9">
        <v>42998</v>
      </c>
      <c r="C584" s="18" t="s">
        <v>65</v>
      </c>
      <c r="D584" s="11">
        <v>49916</v>
      </c>
      <c r="E584" s="15">
        <v>42998</v>
      </c>
      <c r="F584" s="15" t="s">
        <v>28</v>
      </c>
      <c r="G584" s="12">
        <v>42998</v>
      </c>
      <c r="H584" s="23">
        <f t="shared" si="59"/>
        <v>49916</v>
      </c>
      <c r="I584" s="23"/>
      <c r="J584" s="23"/>
      <c r="K584" s="24">
        <f>300*8</f>
        <v>2400</v>
      </c>
      <c r="L584" s="23">
        <v>15217</v>
      </c>
      <c r="M584" s="22">
        <f t="shared" si="60"/>
        <v>32299</v>
      </c>
      <c r="N584" s="22"/>
      <c r="O584" s="30">
        <f t="shared" si="61"/>
        <v>0.64706707268210595</v>
      </c>
    </row>
    <row r="585" spans="1:15" ht="20.100000000000001" customHeight="1" x14ac:dyDescent="0.25">
      <c r="A585" s="33">
        <v>782</v>
      </c>
      <c r="B585" s="9">
        <v>42989</v>
      </c>
      <c r="C585" s="18" t="s">
        <v>83</v>
      </c>
      <c r="D585" s="11">
        <v>8951</v>
      </c>
      <c r="E585" s="15">
        <v>42998</v>
      </c>
      <c r="F585" s="15" t="s">
        <v>28</v>
      </c>
      <c r="G585" s="12">
        <v>42999</v>
      </c>
      <c r="H585" s="23">
        <f t="shared" si="59"/>
        <v>8951</v>
      </c>
      <c r="I585" s="23"/>
      <c r="J585" s="23"/>
      <c r="K585" s="24"/>
      <c r="L585" s="23">
        <v>5914</v>
      </c>
      <c r="M585" s="22">
        <f t="shared" si="60"/>
        <v>3037</v>
      </c>
      <c r="N585" s="22"/>
      <c r="O585" s="30">
        <f t="shared" si="61"/>
        <v>0.33929169925148028</v>
      </c>
    </row>
    <row r="586" spans="1:15" ht="20.100000000000001" customHeight="1" x14ac:dyDescent="0.25">
      <c r="A586" s="33">
        <v>812</v>
      </c>
      <c r="B586" s="9">
        <v>42998</v>
      </c>
      <c r="C586" s="20" t="s">
        <v>294</v>
      </c>
      <c r="D586" s="11">
        <v>57043</v>
      </c>
      <c r="E586" s="15">
        <v>42998</v>
      </c>
      <c r="F586" s="15" t="s">
        <v>28</v>
      </c>
      <c r="G586" s="12">
        <v>42998</v>
      </c>
      <c r="H586" s="23">
        <f t="shared" si="59"/>
        <v>57043</v>
      </c>
      <c r="I586" s="23">
        <f>H586</f>
        <v>57043</v>
      </c>
      <c r="J586" s="23"/>
      <c r="K586" s="24"/>
      <c r="L586" s="23">
        <v>40234</v>
      </c>
      <c r="M586" s="22">
        <f t="shared" si="60"/>
        <v>16809</v>
      </c>
      <c r="N586" s="22">
        <f>M586</f>
        <v>16809</v>
      </c>
      <c r="O586" s="30">
        <f t="shared" si="61"/>
        <v>0.29467244008905563</v>
      </c>
    </row>
    <row r="587" spans="1:15" ht="20.100000000000001" customHeight="1" x14ac:dyDescent="0.25">
      <c r="A587" s="33">
        <v>818</v>
      </c>
      <c r="B587" s="9">
        <v>42998</v>
      </c>
      <c r="C587" s="20" t="s">
        <v>294</v>
      </c>
      <c r="D587" s="11">
        <v>1881</v>
      </c>
      <c r="E587" s="15">
        <v>42999</v>
      </c>
      <c r="F587" s="15" t="s">
        <v>28</v>
      </c>
      <c r="G587" s="12">
        <v>42999</v>
      </c>
      <c r="H587" s="23">
        <f t="shared" si="59"/>
        <v>1881</v>
      </c>
      <c r="I587" s="23">
        <f>H587</f>
        <v>1881</v>
      </c>
      <c r="J587" s="23"/>
      <c r="K587" s="24"/>
      <c r="L587" s="23">
        <v>1467</v>
      </c>
      <c r="M587" s="22">
        <f t="shared" si="60"/>
        <v>414</v>
      </c>
      <c r="N587" s="22">
        <f>M587</f>
        <v>414</v>
      </c>
      <c r="O587" s="30">
        <f t="shared" si="61"/>
        <v>0.22009569377990432</v>
      </c>
    </row>
    <row r="588" spans="1:15" ht="20.100000000000001" customHeight="1" x14ac:dyDescent="0.25">
      <c r="A588" s="33">
        <v>771</v>
      </c>
      <c r="B588" s="9">
        <v>42984</v>
      </c>
      <c r="C588" s="18" t="s">
        <v>14</v>
      </c>
      <c r="D588" s="11">
        <v>821.87</v>
      </c>
      <c r="E588" s="15">
        <v>43003</v>
      </c>
      <c r="F588" s="15" t="s">
        <v>28</v>
      </c>
      <c r="G588" s="12">
        <v>43006</v>
      </c>
      <c r="H588" s="23">
        <f t="shared" si="59"/>
        <v>821.87</v>
      </c>
      <c r="I588" s="23"/>
      <c r="J588" s="23"/>
      <c r="K588" s="24"/>
      <c r="L588" s="23">
        <v>542</v>
      </c>
      <c r="M588" s="22">
        <f t="shared" si="60"/>
        <v>279.87</v>
      </c>
      <c r="N588" s="22"/>
      <c r="O588" s="30">
        <f t="shared" si="61"/>
        <v>0.34052830739654688</v>
      </c>
    </row>
    <row r="589" spans="1:15" ht="20.100000000000001" customHeight="1" x14ac:dyDescent="0.25">
      <c r="A589" s="33">
        <v>820</v>
      </c>
      <c r="B589" s="9">
        <v>42999</v>
      </c>
      <c r="C589" s="18" t="s">
        <v>147</v>
      </c>
      <c r="D589" s="11">
        <v>13501</v>
      </c>
      <c r="E589" s="15">
        <v>43003</v>
      </c>
      <c r="F589" s="15" t="s">
        <v>28</v>
      </c>
      <c r="G589" s="12">
        <v>43017</v>
      </c>
      <c r="H589" s="23">
        <f t="shared" si="59"/>
        <v>13501</v>
      </c>
      <c r="I589" s="23"/>
      <c r="J589" s="23"/>
      <c r="K589" s="24"/>
      <c r="L589" s="23">
        <v>10308</v>
      </c>
      <c r="M589" s="22">
        <f t="shared" si="60"/>
        <v>3193</v>
      </c>
      <c r="N589" s="22"/>
      <c r="O589" s="30">
        <f t="shared" si="61"/>
        <v>0.2365009999259314</v>
      </c>
    </row>
    <row r="590" spans="1:15" ht="20.100000000000001" customHeight="1" x14ac:dyDescent="0.25">
      <c r="A590" s="33">
        <v>821</v>
      </c>
      <c r="B590" s="9">
        <v>43000</v>
      </c>
      <c r="C590" s="18" t="s">
        <v>287</v>
      </c>
      <c r="D590" s="11">
        <v>13535</v>
      </c>
      <c r="E590" s="15">
        <v>43003</v>
      </c>
      <c r="F590" s="15" t="s">
        <v>28</v>
      </c>
      <c r="G590" s="12">
        <v>43010</v>
      </c>
      <c r="H590" s="23">
        <f t="shared" si="59"/>
        <v>13535</v>
      </c>
      <c r="I590" s="23"/>
      <c r="J590" s="23"/>
      <c r="K590" s="24"/>
      <c r="L590" s="23">
        <v>10199</v>
      </c>
      <c r="M590" s="22">
        <f t="shared" si="60"/>
        <v>3336</v>
      </c>
      <c r="N590" s="22"/>
      <c r="O590" s="30">
        <f t="shared" si="61"/>
        <v>0.24647210934613964</v>
      </c>
    </row>
    <row r="591" spans="1:15" ht="20.100000000000001" customHeight="1" x14ac:dyDescent="0.25">
      <c r="A591" s="33">
        <v>824</v>
      </c>
      <c r="B591" s="9">
        <v>43003</v>
      </c>
      <c r="C591" s="20" t="s">
        <v>293</v>
      </c>
      <c r="D591" s="11">
        <v>7954</v>
      </c>
      <c r="E591" s="15">
        <v>43004</v>
      </c>
      <c r="F591" s="15" t="s">
        <v>28</v>
      </c>
      <c r="G591" s="12">
        <v>43011</v>
      </c>
      <c r="H591" s="23">
        <f t="shared" si="59"/>
        <v>7954</v>
      </c>
      <c r="I591" s="23">
        <f>H591</f>
        <v>7954</v>
      </c>
      <c r="J591" s="23"/>
      <c r="K591" s="24"/>
      <c r="L591" s="23">
        <v>6204</v>
      </c>
      <c r="M591" s="22">
        <f t="shared" si="60"/>
        <v>1750</v>
      </c>
      <c r="N591" s="22">
        <f>M591</f>
        <v>1750</v>
      </c>
      <c r="O591" s="30">
        <f t="shared" si="61"/>
        <v>0.22001508674880563</v>
      </c>
    </row>
    <row r="592" spans="1:15" ht="20.100000000000001" customHeight="1" x14ac:dyDescent="0.25">
      <c r="A592" s="33">
        <v>797</v>
      </c>
      <c r="B592" s="9">
        <v>42993</v>
      </c>
      <c r="C592" s="18" t="s">
        <v>11</v>
      </c>
      <c r="D592" s="11">
        <v>30914</v>
      </c>
      <c r="E592" s="15">
        <v>43005</v>
      </c>
      <c r="F592" s="15" t="s">
        <v>28</v>
      </c>
      <c r="G592" s="12">
        <v>43042</v>
      </c>
      <c r="H592" s="23">
        <f t="shared" si="59"/>
        <v>30914</v>
      </c>
      <c r="I592" s="23"/>
      <c r="J592" s="23"/>
      <c r="K592" s="24"/>
      <c r="L592" s="23">
        <v>20443</v>
      </c>
      <c r="M592" s="22">
        <f t="shared" si="60"/>
        <v>10471</v>
      </c>
      <c r="N592" s="22"/>
      <c r="O592" s="30">
        <f t="shared" si="61"/>
        <v>0.33871385132949472</v>
      </c>
    </row>
    <row r="593" spans="1:15" ht="20.100000000000001" customHeight="1" x14ac:dyDescent="0.25">
      <c r="A593" s="35" t="s">
        <v>535</v>
      </c>
      <c r="B593" s="36"/>
      <c r="C593" s="42"/>
      <c r="D593" s="37"/>
      <c r="E593" s="46" t="s">
        <v>548</v>
      </c>
      <c r="F593" s="47">
        <f>M593*0.12+N593*0.06+8000</f>
        <v>33741.904399999999</v>
      </c>
      <c r="G593" s="21">
        <f>H593*0.05+I593*0.02</f>
        <v>35679.553500000002</v>
      </c>
      <c r="H593" s="49">
        <f>SUBTOTAL(109,Сентябрь2017[Продажа])</f>
        <v>625315.87</v>
      </c>
      <c r="I593" s="49">
        <f>SUBTOTAL(109,Сентябрь2017[Продажа НК])</f>
        <v>220688</v>
      </c>
      <c r="J593" s="49">
        <f>SUBTOTAL(109,Сентябрь2017[отк])</f>
        <v>0</v>
      </c>
      <c r="K593" s="49">
        <f>SUBTOTAL(109,Сентябрь2017[шланги])</f>
        <v>4500</v>
      </c>
      <c r="L593" s="49">
        <f>SUBTOTAL(109,Сентябрь2017[Закупка])</f>
        <v>437405</v>
      </c>
      <c r="M593" s="49">
        <f>SUBTOTAL(109,Сентябрь2017[Маржа])</f>
        <v>183410.87</v>
      </c>
      <c r="N593" s="49">
        <f>SUBTOTAL(109,Сентябрь2017[Маржа НК])</f>
        <v>62210</v>
      </c>
      <c r="O593" s="44">
        <f t="shared" si="61"/>
        <v>0.29330915589908185</v>
      </c>
    </row>
    <row r="594" spans="1:15" ht="20.100000000000001" customHeight="1" x14ac:dyDescent="0.25">
      <c r="A594" s="41" t="s">
        <v>1</v>
      </c>
      <c r="B594" s="1" t="s">
        <v>0</v>
      </c>
      <c r="C594" s="1" t="s">
        <v>26</v>
      </c>
      <c r="D594" s="1" t="s">
        <v>2</v>
      </c>
      <c r="E594" s="1" t="s">
        <v>3</v>
      </c>
      <c r="F594" s="1" t="s">
        <v>27</v>
      </c>
      <c r="G594" s="1" t="s">
        <v>4</v>
      </c>
      <c r="H594" s="2" t="s">
        <v>132</v>
      </c>
      <c r="I594" s="2" t="s">
        <v>133</v>
      </c>
      <c r="J594" s="40" t="s">
        <v>187</v>
      </c>
      <c r="K594" s="40" t="s">
        <v>188</v>
      </c>
      <c r="L594" s="40" t="s">
        <v>129</v>
      </c>
      <c r="M594" s="40" t="s">
        <v>130</v>
      </c>
      <c r="N594" s="2" t="s">
        <v>131</v>
      </c>
      <c r="O594" s="2" t="s">
        <v>134</v>
      </c>
    </row>
    <row r="595" spans="1:15" ht="20.100000000000001" customHeight="1" x14ac:dyDescent="0.25">
      <c r="A595" s="33">
        <v>825</v>
      </c>
      <c r="B595" s="9">
        <v>43003</v>
      </c>
      <c r="C595" s="18" t="s">
        <v>60</v>
      </c>
      <c r="D595" s="11">
        <v>5460</v>
      </c>
      <c r="E595" s="15">
        <v>43010</v>
      </c>
      <c r="F595" s="15" t="s">
        <v>28</v>
      </c>
      <c r="G595" s="12">
        <v>43004</v>
      </c>
      <c r="H595" s="23">
        <f t="shared" ref="H595:H608" si="62">D595</f>
        <v>5460</v>
      </c>
      <c r="I595" s="23"/>
      <c r="J595" s="23"/>
      <c r="K595" s="24"/>
      <c r="L595" s="23">
        <v>4106</v>
      </c>
      <c r="M595" s="22">
        <f t="shared" ref="M595:M634" si="63">H595-L595-J595-K595</f>
        <v>1354</v>
      </c>
      <c r="N595" s="22"/>
      <c r="O595" s="30">
        <f t="shared" ref="O595:O635" si="64">M595/H595</f>
        <v>0.24798534798534799</v>
      </c>
    </row>
    <row r="596" spans="1:15" ht="20.100000000000001" customHeight="1" x14ac:dyDescent="0.25">
      <c r="A596" s="33">
        <v>836</v>
      </c>
      <c r="B596" s="9">
        <v>43007</v>
      </c>
      <c r="C596" s="18" t="s">
        <v>236</v>
      </c>
      <c r="D596" s="11">
        <v>4990</v>
      </c>
      <c r="E596" s="15">
        <v>43010</v>
      </c>
      <c r="F596" s="15" t="s">
        <v>28</v>
      </c>
      <c r="G596" s="12">
        <v>43012</v>
      </c>
      <c r="H596" s="23">
        <f t="shared" si="62"/>
        <v>4990</v>
      </c>
      <c r="I596" s="23"/>
      <c r="J596" s="23"/>
      <c r="K596" s="24"/>
      <c r="L596" s="23">
        <v>3374</v>
      </c>
      <c r="M596" s="22">
        <f t="shared" si="63"/>
        <v>1616</v>
      </c>
      <c r="N596" s="22"/>
      <c r="O596" s="30">
        <f t="shared" si="64"/>
        <v>0.32384769539078156</v>
      </c>
    </row>
    <row r="597" spans="1:15" ht="20.100000000000001" customHeight="1" x14ac:dyDescent="0.25">
      <c r="A597" s="33">
        <v>827</v>
      </c>
      <c r="B597" s="9">
        <v>43005</v>
      </c>
      <c r="C597" s="18" t="s">
        <v>66</v>
      </c>
      <c r="D597" s="11">
        <v>7633</v>
      </c>
      <c r="E597" s="15">
        <v>43011</v>
      </c>
      <c r="F597" s="15" t="s">
        <v>28</v>
      </c>
      <c r="G597" s="12">
        <v>43012</v>
      </c>
      <c r="H597" s="23">
        <f t="shared" si="62"/>
        <v>7633</v>
      </c>
      <c r="I597" s="23"/>
      <c r="J597" s="23"/>
      <c r="K597" s="24"/>
      <c r="L597" s="23">
        <v>5138</v>
      </c>
      <c r="M597" s="22">
        <f t="shared" si="63"/>
        <v>2495</v>
      </c>
      <c r="N597" s="22"/>
      <c r="O597" s="30">
        <f t="shared" si="64"/>
        <v>0.32687016900301324</v>
      </c>
    </row>
    <row r="598" spans="1:15" ht="20.100000000000001" customHeight="1" x14ac:dyDescent="0.25">
      <c r="A598" s="33">
        <v>843</v>
      </c>
      <c r="B598" s="9">
        <v>43010</v>
      </c>
      <c r="C598" s="20" t="s">
        <v>296</v>
      </c>
      <c r="D598" s="11">
        <v>16999</v>
      </c>
      <c r="E598" s="15">
        <v>43011</v>
      </c>
      <c r="F598" s="15" t="s">
        <v>28</v>
      </c>
      <c r="G598" s="12">
        <v>43014</v>
      </c>
      <c r="H598" s="23">
        <f t="shared" si="62"/>
        <v>16999</v>
      </c>
      <c r="I598" s="23">
        <f>H598</f>
        <v>16999</v>
      </c>
      <c r="J598" s="23"/>
      <c r="K598" s="24"/>
      <c r="L598" s="23">
        <v>12851</v>
      </c>
      <c r="M598" s="22">
        <f t="shared" si="63"/>
        <v>4148</v>
      </c>
      <c r="N598" s="22">
        <f>M598</f>
        <v>4148</v>
      </c>
      <c r="O598" s="30">
        <f t="shared" si="64"/>
        <v>0.24401435378551681</v>
      </c>
    </row>
    <row r="599" spans="1:15" ht="20.100000000000001" customHeight="1" x14ac:dyDescent="0.25">
      <c r="A599" s="33">
        <v>814</v>
      </c>
      <c r="B599" s="9">
        <v>42998</v>
      </c>
      <c r="C599" s="18" t="s">
        <v>50</v>
      </c>
      <c r="D599" s="11">
        <v>4843</v>
      </c>
      <c r="E599" s="15">
        <v>43011</v>
      </c>
      <c r="F599" s="15" t="s">
        <v>28</v>
      </c>
      <c r="G599" s="12">
        <v>43026</v>
      </c>
      <c r="H599" s="23">
        <f t="shared" si="62"/>
        <v>4843</v>
      </c>
      <c r="I599" s="23"/>
      <c r="J599" s="23"/>
      <c r="K599" s="24"/>
      <c r="L599" s="23">
        <v>3463</v>
      </c>
      <c r="M599" s="22">
        <f t="shared" si="63"/>
        <v>1380</v>
      </c>
      <c r="N599" s="22"/>
      <c r="O599" s="30">
        <f t="shared" si="64"/>
        <v>0.28494734668593846</v>
      </c>
    </row>
    <row r="600" spans="1:15" ht="20.100000000000001" customHeight="1" x14ac:dyDescent="0.25">
      <c r="A600" s="33">
        <v>839</v>
      </c>
      <c r="B600" s="9">
        <v>43010</v>
      </c>
      <c r="C600" s="26" t="s">
        <v>295</v>
      </c>
      <c r="D600" s="11">
        <v>92900</v>
      </c>
      <c r="E600" s="15">
        <v>43011</v>
      </c>
      <c r="F600" s="15" t="s">
        <v>28</v>
      </c>
      <c r="G600" s="12">
        <v>43056</v>
      </c>
      <c r="H600" s="23">
        <f t="shared" si="62"/>
        <v>92900</v>
      </c>
      <c r="I600" s="23"/>
      <c r="J600" s="23"/>
      <c r="K600" s="24">
        <f>2*600</f>
        <v>1200</v>
      </c>
      <c r="L600" s="23">
        <v>72126</v>
      </c>
      <c r="M600" s="22">
        <f t="shared" si="63"/>
        <v>19574</v>
      </c>
      <c r="N600" s="22"/>
      <c r="O600" s="30">
        <f t="shared" si="64"/>
        <v>0.21069967707212056</v>
      </c>
    </row>
    <row r="601" spans="1:15" ht="20.100000000000001" customHeight="1" x14ac:dyDescent="0.25">
      <c r="A601" s="33">
        <v>838</v>
      </c>
      <c r="B601" s="9">
        <v>43012</v>
      </c>
      <c r="C601" s="18" t="s">
        <v>216</v>
      </c>
      <c r="D601" s="11">
        <v>9972.0499999999993</v>
      </c>
      <c r="E601" s="15">
        <v>43013</v>
      </c>
      <c r="F601" s="15" t="s">
        <v>28</v>
      </c>
      <c r="G601" s="12">
        <v>43056</v>
      </c>
      <c r="H601" s="23">
        <f t="shared" si="62"/>
        <v>9972.0499999999993</v>
      </c>
      <c r="I601" s="23"/>
      <c r="J601" s="23"/>
      <c r="K601" s="24"/>
      <c r="L601" s="23">
        <v>9010</v>
      </c>
      <c r="M601" s="22">
        <f t="shared" si="63"/>
        <v>962.04999999999927</v>
      </c>
      <c r="N601" s="22"/>
      <c r="O601" s="30">
        <f t="shared" si="64"/>
        <v>9.6474646637351336E-2</v>
      </c>
    </row>
    <row r="602" spans="1:15" ht="20.100000000000001" customHeight="1" x14ac:dyDescent="0.25">
      <c r="A602" s="33">
        <v>835</v>
      </c>
      <c r="B602" s="9">
        <v>43007</v>
      </c>
      <c r="C602" s="18" t="s">
        <v>15</v>
      </c>
      <c r="D602" s="11">
        <v>1530</v>
      </c>
      <c r="E602" s="15">
        <v>43013</v>
      </c>
      <c r="F602" s="15" t="s">
        <v>28</v>
      </c>
      <c r="G602" s="12">
        <v>43035</v>
      </c>
      <c r="H602" s="23">
        <f t="shared" si="62"/>
        <v>1530</v>
      </c>
      <c r="I602" s="23"/>
      <c r="J602" s="23"/>
      <c r="K602" s="24"/>
      <c r="L602" s="23">
        <v>1193</v>
      </c>
      <c r="M602" s="22">
        <f t="shared" si="63"/>
        <v>337</v>
      </c>
      <c r="N602" s="22"/>
      <c r="O602" s="30">
        <f t="shared" si="64"/>
        <v>0.22026143790849673</v>
      </c>
    </row>
    <row r="603" spans="1:15" ht="20.100000000000001" customHeight="1" x14ac:dyDescent="0.25">
      <c r="A603" s="33">
        <v>864</v>
      </c>
      <c r="B603" s="9">
        <v>43014</v>
      </c>
      <c r="C603" s="20" t="s">
        <v>296</v>
      </c>
      <c r="D603" s="11">
        <v>553</v>
      </c>
      <c r="E603" s="15">
        <v>43014</v>
      </c>
      <c r="F603" s="15" t="s">
        <v>28</v>
      </c>
      <c r="G603" s="12">
        <v>43014</v>
      </c>
      <c r="H603" s="23">
        <f t="shared" si="62"/>
        <v>553</v>
      </c>
      <c r="I603" s="23">
        <f>H603</f>
        <v>553</v>
      </c>
      <c r="J603" s="23"/>
      <c r="K603" s="24"/>
      <c r="L603" s="23">
        <v>431</v>
      </c>
      <c r="M603" s="22">
        <f t="shared" si="63"/>
        <v>122</v>
      </c>
      <c r="N603" s="22">
        <f>M603</f>
        <v>122</v>
      </c>
      <c r="O603" s="30">
        <f t="shared" si="64"/>
        <v>0.22061482820976491</v>
      </c>
    </row>
    <row r="604" spans="1:15" ht="20.100000000000001" customHeight="1" x14ac:dyDescent="0.25">
      <c r="A604" s="33">
        <v>840</v>
      </c>
      <c r="B604" s="9">
        <v>43010</v>
      </c>
      <c r="C604" s="18" t="s">
        <v>139</v>
      </c>
      <c r="D604" s="11">
        <v>17528</v>
      </c>
      <c r="E604" s="15">
        <v>43014</v>
      </c>
      <c r="F604" s="15" t="s">
        <v>28</v>
      </c>
      <c r="G604" s="12">
        <v>43027</v>
      </c>
      <c r="H604" s="23">
        <f t="shared" si="62"/>
        <v>17528</v>
      </c>
      <c r="I604" s="23"/>
      <c r="J604" s="23"/>
      <c r="K604" s="24"/>
      <c r="L604" s="23">
        <v>13044</v>
      </c>
      <c r="M604" s="22">
        <f t="shared" si="63"/>
        <v>4484</v>
      </c>
      <c r="N604" s="22"/>
      <c r="O604" s="30">
        <f t="shared" si="64"/>
        <v>0.25581926061159288</v>
      </c>
    </row>
    <row r="605" spans="1:15" ht="20.100000000000001" customHeight="1" x14ac:dyDescent="0.25">
      <c r="A605" s="33">
        <v>776</v>
      </c>
      <c r="B605" s="9">
        <v>42985</v>
      </c>
      <c r="C605" s="18" t="s">
        <v>56</v>
      </c>
      <c r="D605" s="11">
        <v>5200</v>
      </c>
      <c r="E605" s="15">
        <v>43018</v>
      </c>
      <c r="F605" s="15" t="s">
        <v>28</v>
      </c>
      <c r="G605" s="12">
        <v>42986</v>
      </c>
      <c r="H605" s="23">
        <f t="shared" si="62"/>
        <v>5200</v>
      </c>
      <c r="I605" s="23"/>
      <c r="J605" s="23"/>
      <c r="K605" s="24"/>
      <c r="L605" s="23">
        <v>3233</v>
      </c>
      <c r="M605" s="22">
        <f t="shared" si="63"/>
        <v>1967</v>
      </c>
      <c r="N605" s="22"/>
      <c r="O605" s="30">
        <f t="shared" si="64"/>
        <v>0.37826923076923075</v>
      </c>
    </row>
    <row r="606" spans="1:15" ht="20.100000000000001" customHeight="1" x14ac:dyDescent="0.25">
      <c r="A606" s="33">
        <v>867</v>
      </c>
      <c r="B606" s="9">
        <v>43017</v>
      </c>
      <c r="C606" s="18" t="s">
        <v>101</v>
      </c>
      <c r="D606" s="11">
        <v>8102</v>
      </c>
      <c r="E606" s="15">
        <v>43018</v>
      </c>
      <c r="F606" s="15" t="s">
        <v>28</v>
      </c>
      <c r="G606" s="12">
        <v>43028</v>
      </c>
      <c r="H606" s="23">
        <f t="shared" si="62"/>
        <v>8102</v>
      </c>
      <c r="I606" s="23"/>
      <c r="J606" s="23"/>
      <c r="K606" s="24"/>
      <c r="L606" s="23">
        <v>5347</v>
      </c>
      <c r="M606" s="22">
        <f t="shared" si="63"/>
        <v>2755</v>
      </c>
      <c r="N606" s="22"/>
      <c r="O606" s="30">
        <f t="shared" si="64"/>
        <v>0.34003949642063686</v>
      </c>
    </row>
    <row r="607" spans="1:15" ht="20.100000000000001" customHeight="1" x14ac:dyDescent="0.25">
      <c r="A607" s="33">
        <v>874</v>
      </c>
      <c r="B607" s="15">
        <v>43018</v>
      </c>
      <c r="C607" s="18" t="s">
        <v>209</v>
      </c>
      <c r="D607" s="11">
        <v>5914.3</v>
      </c>
      <c r="E607" s="15">
        <v>43019</v>
      </c>
      <c r="F607" s="15" t="s">
        <v>28</v>
      </c>
      <c r="G607" s="12">
        <v>43018</v>
      </c>
      <c r="H607" s="23">
        <f t="shared" si="62"/>
        <v>5914.3</v>
      </c>
      <c r="I607" s="23"/>
      <c r="J607" s="23"/>
      <c r="K607" s="24"/>
      <c r="L607" s="23">
        <v>5358</v>
      </c>
      <c r="M607" s="22">
        <f t="shared" si="63"/>
        <v>556.30000000000018</v>
      </c>
      <c r="N607" s="22"/>
      <c r="O607" s="30">
        <f t="shared" si="64"/>
        <v>9.4060159274977628E-2</v>
      </c>
    </row>
    <row r="608" spans="1:15" ht="20.100000000000001" customHeight="1" x14ac:dyDescent="0.25">
      <c r="A608" s="33">
        <v>825</v>
      </c>
      <c r="B608" s="9">
        <v>43003</v>
      </c>
      <c r="C608" s="26" t="s">
        <v>60</v>
      </c>
      <c r="D608" s="11">
        <v>1365</v>
      </c>
      <c r="E608" s="15">
        <v>43019</v>
      </c>
      <c r="F608" s="15" t="s">
        <v>28</v>
      </c>
      <c r="G608" s="12">
        <v>43013</v>
      </c>
      <c r="H608" s="23">
        <f t="shared" si="62"/>
        <v>1365</v>
      </c>
      <c r="I608" s="23"/>
      <c r="J608" s="23"/>
      <c r="K608" s="24"/>
      <c r="L608" s="23">
        <v>1064</v>
      </c>
      <c r="M608" s="22">
        <f t="shared" si="63"/>
        <v>301</v>
      </c>
      <c r="N608" s="22"/>
      <c r="O608" s="30">
        <f t="shared" si="64"/>
        <v>0.22051282051282051</v>
      </c>
    </row>
    <row r="609" spans="1:15" ht="20.100000000000001" customHeight="1" x14ac:dyDescent="0.25">
      <c r="A609" s="33">
        <v>871</v>
      </c>
      <c r="B609" s="9">
        <v>43018</v>
      </c>
      <c r="C609" s="18" t="s">
        <v>147</v>
      </c>
      <c r="D609" s="11">
        <v>105076</v>
      </c>
      <c r="E609" s="15">
        <v>43020</v>
      </c>
      <c r="F609" s="15" t="s">
        <v>28</v>
      </c>
      <c r="G609" s="12">
        <v>43021</v>
      </c>
      <c r="H609" s="23">
        <f>D609/2</f>
        <v>52538</v>
      </c>
      <c r="I609" s="23"/>
      <c r="J609" s="23"/>
      <c r="K609" s="24"/>
      <c r="L609" s="23">
        <v>40146</v>
      </c>
      <c r="M609" s="22">
        <f t="shared" si="63"/>
        <v>12392</v>
      </c>
      <c r="N609" s="22"/>
      <c r="O609" s="30">
        <f t="shared" si="64"/>
        <v>0.23586737218774981</v>
      </c>
    </row>
    <row r="610" spans="1:15" ht="20.100000000000001" customHeight="1" x14ac:dyDescent="0.25">
      <c r="A610" s="33">
        <v>854</v>
      </c>
      <c r="B610" s="9">
        <v>43012</v>
      </c>
      <c r="C610" s="18" t="s">
        <v>186</v>
      </c>
      <c r="D610" s="11">
        <v>30790</v>
      </c>
      <c r="E610" s="15">
        <v>43020</v>
      </c>
      <c r="F610" s="15" t="s">
        <v>28</v>
      </c>
      <c r="G610" s="12">
        <v>43024</v>
      </c>
      <c r="H610" s="23">
        <f>D610</f>
        <v>30790</v>
      </c>
      <c r="I610" s="23"/>
      <c r="J610" s="23"/>
      <c r="K610" s="24"/>
      <c r="L610" s="23">
        <v>23277</v>
      </c>
      <c r="M610" s="22">
        <f t="shared" si="63"/>
        <v>7513</v>
      </c>
      <c r="N610" s="22"/>
      <c r="O610" s="30">
        <f t="shared" si="64"/>
        <v>0.24400779473855147</v>
      </c>
    </row>
    <row r="611" spans="1:15" ht="20.100000000000001" customHeight="1" x14ac:dyDescent="0.25">
      <c r="A611" s="33">
        <v>881</v>
      </c>
      <c r="B611" s="9">
        <v>43020</v>
      </c>
      <c r="C611" s="18" t="s">
        <v>276</v>
      </c>
      <c r="D611" s="11">
        <v>4812</v>
      </c>
      <c r="E611" s="15">
        <v>43020</v>
      </c>
      <c r="F611" s="15" t="s">
        <v>28</v>
      </c>
      <c r="G611" s="12">
        <v>43021</v>
      </c>
      <c r="H611" s="23">
        <f>D611</f>
        <v>4812</v>
      </c>
      <c r="I611" s="23"/>
      <c r="J611" s="23"/>
      <c r="K611" s="24"/>
      <c r="L611" s="23">
        <v>3485</v>
      </c>
      <c r="M611" s="22">
        <f t="shared" si="63"/>
        <v>1327</v>
      </c>
      <c r="N611" s="22"/>
      <c r="O611" s="30">
        <f t="shared" si="64"/>
        <v>0.27576891105569412</v>
      </c>
    </row>
    <row r="612" spans="1:15" ht="20.100000000000001" customHeight="1" x14ac:dyDescent="0.25">
      <c r="A612" s="33">
        <v>878</v>
      </c>
      <c r="B612" s="9">
        <v>43019</v>
      </c>
      <c r="C612" s="18" t="s">
        <v>16</v>
      </c>
      <c r="D612" s="11">
        <v>18299.2</v>
      </c>
      <c r="E612" s="15">
        <v>43021</v>
      </c>
      <c r="F612" s="15" t="s">
        <v>28</v>
      </c>
      <c r="G612" s="12">
        <v>43031</v>
      </c>
      <c r="H612" s="23">
        <f>D612</f>
        <v>18299.2</v>
      </c>
      <c r="I612" s="23"/>
      <c r="J612" s="23"/>
      <c r="K612" s="24"/>
      <c r="L612" s="23">
        <v>12872</v>
      </c>
      <c r="M612" s="22">
        <f t="shared" si="63"/>
        <v>5427.2000000000007</v>
      </c>
      <c r="N612" s="22"/>
      <c r="O612" s="30">
        <f t="shared" si="64"/>
        <v>0.29658127131240714</v>
      </c>
    </row>
    <row r="613" spans="1:15" ht="20.100000000000001" customHeight="1" x14ac:dyDescent="0.25">
      <c r="A613" s="33">
        <v>885</v>
      </c>
      <c r="B613" s="9">
        <v>43024</v>
      </c>
      <c r="C613" s="20" t="s">
        <v>297</v>
      </c>
      <c r="D613" s="11">
        <v>82637</v>
      </c>
      <c r="E613" s="15">
        <v>43024</v>
      </c>
      <c r="F613" s="15" t="s">
        <v>28</v>
      </c>
      <c r="G613" s="12">
        <v>43024</v>
      </c>
      <c r="H613" s="23">
        <f>D613</f>
        <v>82637</v>
      </c>
      <c r="I613" s="23">
        <f>H613</f>
        <v>82637</v>
      </c>
      <c r="J613" s="23"/>
      <c r="K613" s="24"/>
      <c r="L613" s="23">
        <v>62585</v>
      </c>
      <c r="M613" s="22">
        <f t="shared" si="63"/>
        <v>20052</v>
      </c>
      <c r="N613" s="22">
        <f>M613</f>
        <v>20052</v>
      </c>
      <c r="O613" s="30">
        <f t="shared" si="64"/>
        <v>0.24265159674237932</v>
      </c>
    </row>
    <row r="614" spans="1:15" ht="20.100000000000001" customHeight="1" x14ac:dyDescent="0.25">
      <c r="A614" s="33">
        <v>871</v>
      </c>
      <c r="B614" s="9">
        <v>43018</v>
      </c>
      <c r="C614" s="18" t="s">
        <v>147</v>
      </c>
      <c r="D614" s="11">
        <v>105076</v>
      </c>
      <c r="E614" s="15">
        <v>43025</v>
      </c>
      <c r="F614" s="15" t="s">
        <v>28</v>
      </c>
      <c r="G614" s="12">
        <v>43039</v>
      </c>
      <c r="H614" s="23">
        <f>D614/2</f>
        <v>52538</v>
      </c>
      <c r="I614" s="23"/>
      <c r="J614" s="23"/>
      <c r="K614" s="24"/>
      <c r="L614" s="23">
        <v>40146</v>
      </c>
      <c r="M614" s="22">
        <f t="shared" si="63"/>
        <v>12392</v>
      </c>
      <c r="N614" s="22"/>
      <c r="O614" s="30">
        <f t="shared" si="64"/>
        <v>0.23586737218774981</v>
      </c>
    </row>
    <row r="615" spans="1:15" ht="20.100000000000001" customHeight="1" x14ac:dyDescent="0.25">
      <c r="A615" s="33">
        <v>896</v>
      </c>
      <c r="B615" s="9">
        <v>43025</v>
      </c>
      <c r="C615" s="18" t="s">
        <v>295</v>
      </c>
      <c r="D615" s="11">
        <v>1949</v>
      </c>
      <c r="E615" s="15">
        <v>43027</v>
      </c>
      <c r="F615" s="15" t="s">
        <v>28</v>
      </c>
      <c r="G615" s="12">
        <v>43056</v>
      </c>
      <c r="H615" s="23">
        <f t="shared" ref="H615:H634" si="65">D615</f>
        <v>1949</v>
      </c>
      <c r="I615" s="23"/>
      <c r="J615" s="23"/>
      <c r="K615" s="24"/>
      <c r="L615" s="23">
        <v>1521</v>
      </c>
      <c r="M615" s="22">
        <f t="shared" si="63"/>
        <v>428</v>
      </c>
      <c r="N615" s="22"/>
      <c r="O615" s="30">
        <f t="shared" si="64"/>
        <v>0.21959979476654695</v>
      </c>
    </row>
    <row r="616" spans="1:15" ht="19.5" customHeight="1" x14ac:dyDescent="0.25">
      <c r="A616" s="33">
        <v>892</v>
      </c>
      <c r="B616" s="9">
        <v>43025</v>
      </c>
      <c r="C616" s="18" t="s">
        <v>118</v>
      </c>
      <c r="D616" s="11">
        <v>1769.7</v>
      </c>
      <c r="E616" s="15">
        <v>43027</v>
      </c>
      <c r="F616" s="15" t="s">
        <v>28</v>
      </c>
      <c r="G616" s="12">
        <v>43062</v>
      </c>
      <c r="H616" s="23">
        <f t="shared" si="65"/>
        <v>1769.7</v>
      </c>
      <c r="I616" s="23"/>
      <c r="J616" s="23"/>
      <c r="K616" s="24"/>
      <c r="L616" s="23">
        <v>1624</v>
      </c>
      <c r="M616" s="22">
        <f t="shared" si="63"/>
        <v>145.70000000000005</v>
      </c>
      <c r="N616" s="22"/>
      <c r="O616" s="30">
        <f t="shared" si="64"/>
        <v>8.2330338475447837E-2</v>
      </c>
    </row>
    <row r="617" spans="1:15" ht="15.75" x14ac:dyDescent="0.25">
      <c r="A617" s="33">
        <v>876</v>
      </c>
      <c r="B617" s="9">
        <v>43018</v>
      </c>
      <c r="C617" s="18" t="s">
        <v>11</v>
      </c>
      <c r="D617" s="11">
        <v>3242</v>
      </c>
      <c r="E617" s="15">
        <v>43028</v>
      </c>
      <c r="F617" s="15" t="s">
        <v>28</v>
      </c>
      <c r="G617" s="12">
        <v>43028</v>
      </c>
      <c r="H617" s="23">
        <f t="shared" si="65"/>
        <v>3242</v>
      </c>
      <c r="I617" s="23"/>
      <c r="J617" s="23"/>
      <c r="K617" s="24"/>
      <c r="L617" s="23">
        <v>2438</v>
      </c>
      <c r="M617" s="22">
        <f t="shared" si="63"/>
        <v>804</v>
      </c>
      <c r="N617" s="22"/>
      <c r="O617" s="30">
        <f t="shared" si="64"/>
        <v>0.24799506477483035</v>
      </c>
    </row>
    <row r="618" spans="1:15" s="2" customFormat="1" ht="20.100000000000001" customHeight="1" x14ac:dyDescent="0.25">
      <c r="A618" s="33">
        <v>904</v>
      </c>
      <c r="B618" s="9">
        <v>43027</v>
      </c>
      <c r="C618" s="18" t="s">
        <v>298</v>
      </c>
      <c r="D618" s="11">
        <v>5863</v>
      </c>
      <c r="E618" s="15">
        <v>43028</v>
      </c>
      <c r="F618" s="15" t="s">
        <v>28</v>
      </c>
      <c r="G618" s="12">
        <v>43032</v>
      </c>
      <c r="H618" s="23">
        <f t="shared" si="65"/>
        <v>5863</v>
      </c>
      <c r="I618" s="23"/>
      <c r="J618" s="23"/>
      <c r="K618" s="24"/>
      <c r="L618" s="23">
        <v>4573</v>
      </c>
      <c r="M618" s="22">
        <f t="shared" si="63"/>
        <v>1290</v>
      </c>
      <c r="N618" s="22"/>
      <c r="O618" s="30">
        <f t="shared" si="64"/>
        <v>0.22002387856046393</v>
      </c>
    </row>
    <row r="619" spans="1:15" ht="20.100000000000001" customHeight="1" x14ac:dyDescent="0.25">
      <c r="A619" s="33">
        <v>862</v>
      </c>
      <c r="B619" s="9">
        <v>43013</v>
      </c>
      <c r="C619" s="18" t="s">
        <v>56</v>
      </c>
      <c r="D619" s="11">
        <v>17696</v>
      </c>
      <c r="E619" s="15">
        <v>43031</v>
      </c>
      <c r="F619" s="15" t="s">
        <v>28</v>
      </c>
      <c r="G619" s="12">
        <v>43019</v>
      </c>
      <c r="H619" s="23">
        <f t="shared" si="65"/>
        <v>17696</v>
      </c>
      <c r="I619" s="23"/>
      <c r="J619" s="23"/>
      <c r="K619" s="24"/>
      <c r="L619" s="23">
        <v>13804</v>
      </c>
      <c r="M619" s="22">
        <f t="shared" si="63"/>
        <v>3892</v>
      </c>
      <c r="N619" s="22"/>
      <c r="O619" s="30">
        <f t="shared" si="64"/>
        <v>0.2199367088607595</v>
      </c>
    </row>
    <row r="620" spans="1:15" ht="20.100000000000001" customHeight="1" x14ac:dyDescent="0.25">
      <c r="A620" s="33">
        <v>888</v>
      </c>
      <c r="B620" s="9">
        <v>43024</v>
      </c>
      <c r="C620" s="18" t="s">
        <v>202</v>
      </c>
      <c r="D620" s="11">
        <v>9630</v>
      </c>
      <c r="E620" s="15">
        <v>43031</v>
      </c>
      <c r="F620" s="15" t="s">
        <v>28</v>
      </c>
      <c r="G620" s="12">
        <v>43055</v>
      </c>
      <c r="H620" s="23">
        <f t="shared" si="65"/>
        <v>9630</v>
      </c>
      <c r="I620" s="23"/>
      <c r="J620" s="23"/>
      <c r="K620" s="24"/>
      <c r="L620" s="23">
        <v>8894</v>
      </c>
      <c r="M620" s="22">
        <f t="shared" si="63"/>
        <v>736</v>
      </c>
      <c r="N620" s="22"/>
      <c r="O620" s="30">
        <f t="shared" si="64"/>
        <v>7.6427829698857738E-2</v>
      </c>
    </row>
    <row r="621" spans="1:15" ht="20.100000000000001" customHeight="1" x14ac:dyDescent="0.25">
      <c r="A621" s="33">
        <v>907</v>
      </c>
      <c r="B621" s="9">
        <v>43028</v>
      </c>
      <c r="C621" s="20" t="s">
        <v>299</v>
      </c>
      <c r="D621" s="11">
        <v>30790</v>
      </c>
      <c r="E621" s="15">
        <v>43032</v>
      </c>
      <c r="F621" s="15" t="s">
        <v>28</v>
      </c>
      <c r="G621" s="12">
        <v>43042</v>
      </c>
      <c r="H621" s="23">
        <f t="shared" si="65"/>
        <v>30790</v>
      </c>
      <c r="I621" s="23">
        <f>H621</f>
        <v>30790</v>
      </c>
      <c r="J621" s="23"/>
      <c r="K621" s="24"/>
      <c r="L621" s="23">
        <v>23277</v>
      </c>
      <c r="M621" s="22">
        <f t="shared" si="63"/>
        <v>7513</v>
      </c>
      <c r="N621" s="22">
        <f>M621</f>
        <v>7513</v>
      </c>
      <c r="O621" s="30">
        <f t="shared" si="64"/>
        <v>0.24400779473855147</v>
      </c>
    </row>
    <row r="622" spans="1:15" ht="20.100000000000001" customHeight="1" x14ac:dyDescent="0.25">
      <c r="A622" s="33">
        <v>910</v>
      </c>
      <c r="B622" s="9">
        <v>43031</v>
      </c>
      <c r="C622" s="18" t="s">
        <v>257</v>
      </c>
      <c r="D622" s="11">
        <v>4499</v>
      </c>
      <c r="E622" s="15">
        <v>43032</v>
      </c>
      <c r="F622" s="15" t="s">
        <v>28</v>
      </c>
      <c r="G622" s="12">
        <v>43033</v>
      </c>
      <c r="H622" s="23">
        <f t="shared" si="65"/>
        <v>4499</v>
      </c>
      <c r="I622" s="23"/>
      <c r="J622" s="23"/>
      <c r="K622" s="24"/>
      <c r="L622" s="23">
        <v>1500</v>
      </c>
      <c r="M622" s="22">
        <f t="shared" si="63"/>
        <v>2999</v>
      </c>
      <c r="N622" s="22"/>
      <c r="O622" s="30">
        <f t="shared" si="64"/>
        <v>0.66659257612802847</v>
      </c>
    </row>
    <row r="623" spans="1:15" ht="20.100000000000001" customHeight="1" x14ac:dyDescent="0.25">
      <c r="A623" s="33">
        <v>618</v>
      </c>
      <c r="B623" s="9">
        <v>42950</v>
      </c>
      <c r="C623" s="18" t="s">
        <v>99</v>
      </c>
      <c r="D623" s="11">
        <v>3436</v>
      </c>
      <c r="E623" s="15">
        <v>43033</v>
      </c>
      <c r="F623" s="15" t="s">
        <v>28</v>
      </c>
      <c r="G623" s="12">
        <v>42950</v>
      </c>
      <c r="H623" s="23">
        <f t="shared" si="65"/>
        <v>3436</v>
      </c>
      <c r="I623" s="23"/>
      <c r="J623" s="23"/>
      <c r="K623" s="24"/>
      <c r="L623" s="23">
        <v>2488</v>
      </c>
      <c r="M623" s="22">
        <f t="shared" si="63"/>
        <v>948</v>
      </c>
      <c r="N623" s="22"/>
      <c r="O623" s="30">
        <f t="shared" si="64"/>
        <v>0.27590221187427239</v>
      </c>
    </row>
    <row r="624" spans="1:15" ht="20.100000000000001" customHeight="1" x14ac:dyDescent="0.25">
      <c r="A624" s="33">
        <v>625</v>
      </c>
      <c r="B624" s="9">
        <v>42951</v>
      </c>
      <c r="C624" s="18" t="s">
        <v>99</v>
      </c>
      <c r="D624" s="11">
        <v>8590</v>
      </c>
      <c r="E624" s="15">
        <v>43033</v>
      </c>
      <c r="F624" s="15" t="s">
        <v>28</v>
      </c>
      <c r="G624" s="12">
        <v>42954</v>
      </c>
      <c r="H624" s="23">
        <f t="shared" si="65"/>
        <v>8590</v>
      </c>
      <c r="I624" s="23"/>
      <c r="J624" s="23"/>
      <c r="K624" s="24"/>
      <c r="L624" s="23">
        <v>6220</v>
      </c>
      <c r="M624" s="22">
        <f t="shared" si="63"/>
        <v>2370</v>
      </c>
      <c r="N624" s="22"/>
      <c r="O624" s="30">
        <f t="shared" si="64"/>
        <v>0.27590221187427239</v>
      </c>
    </row>
    <row r="625" spans="1:15" ht="20.100000000000001" customHeight="1" x14ac:dyDescent="0.25">
      <c r="A625" s="33">
        <v>761</v>
      </c>
      <c r="B625" s="9">
        <v>42982</v>
      </c>
      <c r="C625" s="18" t="s">
        <v>99</v>
      </c>
      <c r="D625" s="11">
        <v>93779</v>
      </c>
      <c r="E625" s="15">
        <v>43033</v>
      </c>
      <c r="F625" s="15" t="s">
        <v>28</v>
      </c>
      <c r="G625" s="12">
        <v>42984</v>
      </c>
      <c r="H625" s="23">
        <f t="shared" si="65"/>
        <v>93779</v>
      </c>
      <c r="I625" s="23"/>
      <c r="J625" s="23"/>
      <c r="K625" s="24"/>
      <c r="L625" s="23">
        <v>67750</v>
      </c>
      <c r="M625" s="22">
        <f t="shared" si="63"/>
        <v>26029</v>
      </c>
      <c r="N625" s="22"/>
      <c r="O625" s="30">
        <f t="shared" si="64"/>
        <v>0.27755680909372032</v>
      </c>
    </row>
    <row r="626" spans="1:15" ht="20.100000000000001" customHeight="1" x14ac:dyDescent="0.25">
      <c r="A626" s="33">
        <v>761</v>
      </c>
      <c r="B626" s="9">
        <v>42982</v>
      </c>
      <c r="C626" s="18" t="s">
        <v>99</v>
      </c>
      <c r="D626" s="11">
        <v>70992</v>
      </c>
      <c r="E626" s="15">
        <v>43033</v>
      </c>
      <c r="F626" s="15" t="s">
        <v>28</v>
      </c>
      <c r="G626" s="12">
        <v>42996</v>
      </c>
      <c r="H626" s="23">
        <f t="shared" si="65"/>
        <v>70992</v>
      </c>
      <c r="I626" s="23"/>
      <c r="J626" s="23">
        <v>18000</v>
      </c>
      <c r="K626" s="24">
        <f>600*12</f>
        <v>7200</v>
      </c>
      <c r="L626" s="23">
        <v>7368</v>
      </c>
      <c r="M626" s="22">
        <f t="shared" si="63"/>
        <v>38424</v>
      </c>
      <c r="N626" s="22"/>
      <c r="O626" s="30">
        <f t="shared" si="64"/>
        <v>0.54124408384043277</v>
      </c>
    </row>
    <row r="627" spans="1:15" ht="20.100000000000001" customHeight="1" x14ac:dyDescent="0.25">
      <c r="A627" s="33">
        <v>826</v>
      </c>
      <c r="B627" s="9">
        <v>43004</v>
      </c>
      <c r="C627" s="18" t="s">
        <v>99</v>
      </c>
      <c r="D627" s="11">
        <v>19708</v>
      </c>
      <c r="E627" s="15">
        <v>43033</v>
      </c>
      <c r="F627" s="15" t="s">
        <v>28</v>
      </c>
      <c r="G627" s="12">
        <v>43004</v>
      </c>
      <c r="H627" s="23">
        <f t="shared" si="65"/>
        <v>19708</v>
      </c>
      <c r="I627" s="23"/>
      <c r="J627" s="23"/>
      <c r="K627" s="24"/>
      <c r="L627" s="23">
        <v>15349</v>
      </c>
      <c r="M627" s="22">
        <f t="shared" si="63"/>
        <v>4359</v>
      </c>
      <c r="N627" s="22"/>
      <c r="O627" s="30">
        <f t="shared" si="64"/>
        <v>0.22117921656180231</v>
      </c>
    </row>
    <row r="628" spans="1:15" ht="20.100000000000001" customHeight="1" x14ac:dyDescent="0.25">
      <c r="A628" s="33">
        <v>796</v>
      </c>
      <c r="B628" s="9">
        <v>42975</v>
      </c>
      <c r="C628" s="18" t="s">
        <v>99</v>
      </c>
      <c r="D628" s="11">
        <v>394710</v>
      </c>
      <c r="E628" s="15">
        <v>43033</v>
      </c>
      <c r="F628" s="15" t="s">
        <v>28</v>
      </c>
      <c r="G628" s="12">
        <v>43006</v>
      </c>
      <c r="H628" s="23">
        <f t="shared" si="65"/>
        <v>394710</v>
      </c>
      <c r="I628" s="23"/>
      <c r="J628" s="23">
        <v>5000</v>
      </c>
      <c r="K628" s="24"/>
      <c r="L628" s="23">
        <v>304590</v>
      </c>
      <c r="M628" s="22">
        <f t="shared" si="63"/>
        <v>85120</v>
      </c>
      <c r="N628" s="22"/>
      <c r="O628" s="30">
        <f t="shared" si="64"/>
        <v>0.21565199766917484</v>
      </c>
    </row>
    <row r="629" spans="1:15" ht="20.100000000000001" customHeight="1" x14ac:dyDescent="0.25">
      <c r="A629" s="33">
        <v>832</v>
      </c>
      <c r="B629" s="9">
        <v>43006</v>
      </c>
      <c r="C629" s="18" t="s">
        <v>99</v>
      </c>
      <c r="D629" s="11">
        <v>11832</v>
      </c>
      <c r="E629" s="15">
        <v>43033</v>
      </c>
      <c r="F629" s="15" t="s">
        <v>28</v>
      </c>
      <c r="G629" s="12">
        <v>43006</v>
      </c>
      <c r="H629" s="23">
        <f t="shared" si="65"/>
        <v>11832</v>
      </c>
      <c r="I629" s="23"/>
      <c r="J629" s="23">
        <v>3000</v>
      </c>
      <c r="L629" s="23">
        <v>1301</v>
      </c>
      <c r="M629" s="22">
        <f t="shared" si="63"/>
        <v>7531</v>
      </c>
      <c r="N629" s="22"/>
      <c r="O629" s="30">
        <f t="shared" si="64"/>
        <v>0.6364942528735632</v>
      </c>
    </row>
    <row r="630" spans="1:15" ht="20.100000000000001" customHeight="1" x14ac:dyDescent="0.25">
      <c r="A630" s="33">
        <v>872</v>
      </c>
      <c r="B630" s="9">
        <v>43018</v>
      </c>
      <c r="C630" s="18" t="s">
        <v>270</v>
      </c>
      <c r="D630" s="11">
        <v>12499</v>
      </c>
      <c r="E630" s="15">
        <v>43033</v>
      </c>
      <c r="F630" s="15" t="s">
        <v>28</v>
      </c>
      <c r="G630" s="12">
        <v>43034</v>
      </c>
      <c r="H630" s="23">
        <f t="shared" si="65"/>
        <v>12499</v>
      </c>
      <c r="I630" s="23"/>
      <c r="J630" s="23"/>
      <c r="K630" s="24"/>
      <c r="L630" s="23">
        <v>9449</v>
      </c>
      <c r="M630" s="22">
        <f t="shared" si="63"/>
        <v>3050</v>
      </c>
      <c r="N630" s="22"/>
      <c r="O630" s="30">
        <f t="shared" si="64"/>
        <v>0.24401952156172493</v>
      </c>
    </row>
    <row r="631" spans="1:15" ht="20.100000000000001" customHeight="1" x14ac:dyDescent="0.25">
      <c r="A631" s="33">
        <v>937</v>
      </c>
      <c r="B631" s="15">
        <v>43038</v>
      </c>
      <c r="C631" s="18" t="s">
        <v>281</v>
      </c>
      <c r="D631" s="11">
        <v>1036</v>
      </c>
      <c r="E631" s="15">
        <v>43038</v>
      </c>
      <c r="F631" s="15" t="s">
        <v>28</v>
      </c>
      <c r="G631" s="12">
        <v>43038</v>
      </c>
      <c r="H631" s="23">
        <f t="shared" si="65"/>
        <v>1036</v>
      </c>
      <c r="I631" s="23"/>
      <c r="J631" s="23"/>
      <c r="K631" s="24"/>
      <c r="L631" s="23">
        <v>750</v>
      </c>
      <c r="M631" s="22">
        <f t="shared" si="63"/>
        <v>286</v>
      </c>
      <c r="N631" s="22"/>
      <c r="O631" s="30">
        <f t="shared" si="64"/>
        <v>0.27606177606177607</v>
      </c>
    </row>
    <row r="632" spans="1:15" ht="20.100000000000001" customHeight="1" x14ac:dyDescent="0.25">
      <c r="A632" s="33">
        <v>886</v>
      </c>
      <c r="B632" s="9">
        <v>43024</v>
      </c>
      <c r="C632" s="18" t="s">
        <v>60</v>
      </c>
      <c r="D632" s="11">
        <v>9420</v>
      </c>
      <c r="E632" s="15">
        <v>43038</v>
      </c>
      <c r="F632" s="15" t="s">
        <v>28</v>
      </c>
      <c r="G632" s="12">
        <v>43035</v>
      </c>
      <c r="H632" s="23">
        <f t="shared" si="65"/>
        <v>9420</v>
      </c>
      <c r="I632" s="23"/>
      <c r="J632" s="23"/>
      <c r="K632" s="24"/>
      <c r="L632" s="23">
        <v>7275</v>
      </c>
      <c r="M632" s="22">
        <f t="shared" si="63"/>
        <v>2145</v>
      </c>
      <c r="N632" s="22"/>
      <c r="O632" s="30">
        <f t="shared" si="64"/>
        <v>0.22770700636942676</v>
      </c>
    </row>
    <row r="633" spans="1:15" ht="20.100000000000001" customHeight="1" x14ac:dyDescent="0.25">
      <c r="A633" s="33">
        <v>934</v>
      </c>
      <c r="B633" s="9">
        <v>43038</v>
      </c>
      <c r="C633" s="18" t="s">
        <v>293</v>
      </c>
      <c r="D633" s="11">
        <v>34890</v>
      </c>
      <c r="E633" s="15">
        <v>43038</v>
      </c>
      <c r="F633" s="15" t="s">
        <v>28</v>
      </c>
      <c r="G633" s="12">
        <v>43054</v>
      </c>
      <c r="H633" s="23">
        <f t="shared" si="65"/>
        <v>34890</v>
      </c>
      <c r="I633" s="23"/>
      <c r="J633" s="23"/>
      <c r="K633" s="24"/>
      <c r="L633" s="23">
        <v>25644</v>
      </c>
      <c r="M633" s="22">
        <f t="shared" si="63"/>
        <v>9246</v>
      </c>
      <c r="N633" s="22"/>
      <c r="O633" s="30">
        <f t="shared" si="64"/>
        <v>0.26500429922613927</v>
      </c>
    </row>
    <row r="634" spans="1:15" ht="20.100000000000001" customHeight="1" x14ac:dyDescent="0.25">
      <c r="A634" s="33">
        <v>900</v>
      </c>
      <c r="B634" s="9">
        <v>43026</v>
      </c>
      <c r="C634" s="18" t="s">
        <v>11</v>
      </c>
      <c r="D634" s="11">
        <v>9290</v>
      </c>
      <c r="E634" s="15">
        <v>43039</v>
      </c>
      <c r="F634" s="15" t="s">
        <v>28</v>
      </c>
      <c r="G634" s="12">
        <v>43054</v>
      </c>
      <c r="H634" s="23">
        <f t="shared" si="65"/>
        <v>9290</v>
      </c>
      <c r="I634" s="23"/>
      <c r="J634" s="23"/>
      <c r="K634" s="24"/>
      <c r="L634" s="23">
        <v>7023</v>
      </c>
      <c r="M634" s="22">
        <f t="shared" si="63"/>
        <v>2267</v>
      </c>
      <c r="N634" s="22"/>
      <c r="O634" s="30">
        <f t="shared" si="64"/>
        <v>0.24402583423035523</v>
      </c>
    </row>
    <row r="635" spans="1:15" ht="20.100000000000001" customHeight="1" x14ac:dyDescent="0.25">
      <c r="A635" s="35" t="s">
        <v>535</v>
      </c>
      <c r="B635" s="36"/>
      <c r="C635" s="42"/>
      <c r="D635" s="37"/>
      <c r="E635" s="46" t="s">
        <v>549</v>
      </c>
      <c r="F635" s="47">
        <f>M635*0.17+N635*0.06+8000</f>
        <v>61035.432500000003</v>
      </c>
      <c r="G635" s="21">
        <f>H635*0.05+I635*0.02</f>
        <v>61130.792500000003</v>
      </c>
      <c r="H635" s="49">
        <f>SUBTOTAL(109,Октябрь2017[Продажа])</f>
        <v>1170224.25</v>
      </c>
      <c r="I635" s="49">
        <f>SUBTOTAL(109,Октябрь2017[Продажа НК])</f>
        <v>130979</v>
      </c>
      <c r="J635" s="49">
        <f>SUBTOTAL(109,Октябрь2017[отк])</f>
        <v>26000</v>
      </c>
      <c r="K635" s="49">
        <f>SUBTOTAL(109,Октябрь2017[шланги])</f>
        <v>8400</v>
      </c>
      <c r="L635" s="49">
        <f>SUBTOTAL(109,Октябрь2017[Закупка])</f>
        <v>835087</v>
      </c>
      <c r="M635" s="49">
        <f>SUBTOTAL(109,Октябрь2017[Маржа])</f>
        <v>300737.25</v>
      </c>
      <c r="N635" s="49">
        <f>SUBTOTAL(109,Октябрь2017[Маржа НК])</f>
        <v>31835</v>
      </c>
      <c r="O635" s="44">
        <f t="shared" si="64"/>
        <v>0.25699112798252127</v>
      </c>
    </row>
    <row r="636" spans="1:15" ht="20.100000000000001" customHeight="1" x14ac:dyDescent="0.25">
      <c r="A636" s="41" t="s">
        <v>1</v>
      </c>
      <c r="B636" s="1" t="s">
        <v>0</v>
      </c>
      <c r="C636" s="1" t="s">
        <v>26</v>
      </c>
      <c r="D636" s="1" t="s">
        <v>2</v>
      </c>
      <c r="E636" s="1" t="s">
        <v>3</v>
      </c>
      <c r="F636" s="1" t="s">
        <v>27</v>
      </c>
      <c r="G636" s="1" t="s">
        <v>4</v>
      </c>
      <c r="H636" s="2" t="s">
        <v>132</v>
      </c>
      <c r="I636" s="2" t="s">
        <v>133</v>
      </c>
      <c r="J636" s="40" t="s">
        <v>187</v>
      </c>
      <c r="K636" s="40" t="s">
        <v>188</v>
      </c>
      <c r="L636" s="40" t="s">
        <v>129</v>
      </c>
      <c r="M636" s="40" t="s">
        <v>130</v>
      </c>
      <c r="N636" s="2" t="s">
        <v>131</v>
      </c>
      <c r="O636" s="2" t="s">
        <v>134</v>
      </c>
    </row>
    <row r="637" spans="1:15" ht="20.100000000000001" customHeight="1" x14ac:dyDescent="0.25">
      <c r="A637" s="33">
        <v>823</v>
      </c>
      <c r="B637" s="9">
        <v>43020</v>
      </c>
      <c r="C637" s="18" t="s">
        <v>13</v>
      </c>
      <c r="D637" s="11">
        <v>27967</v>
      </c>
      <c r="E637" s="15">
        <v>43040</v>
      </c>
      <c r="F637" s="15" t="s">
        <v>28</v>
      </c>
      <c r="G637" s="12">
        <v>43026</v>
      </c>
      <c r="H637" s="23">
        <f t="shared" ref="H637:H668" si="66">D637</f>
        <v>27967</v>
      </c>
      <c r="I637" s="23"/>
      <c r="J637" s="23"/>
      <c r="K637" s="24"/>
      <c r="L637" s="23">
        <v>21622</v>
      </c>
      <c r="M637" s="22">
        <f t="shared" ref="M637:M668" si="67">H637-L637-J637-K637</f>
        <v>6345</v>
      </c>
      <c r="N637" s="22"/>
      <c r="O637" s="30">
        <f t="shared" ref="O637:O669" si="68">M637/H637</f>
        <v>0.22687453069689276</v>
      </c>
    </row>
    <row r="638" spans="1:15" ht="20.100000000000001" customHeight="1" x14ac:dyDescent="0.25">
      <c r="A638" s="33">
        <v>924</v>
      </c>
      <c r="B638" s="9">
        <v>43034</v>
      </c>
      <c r="C638" s="18" t="s">
        <v>301</v>
      </c>
      <c r="D638" s="11">
        <v>259208</v>
      </c>
      <c r="E638" s="15">
        <v>43040</v>
      </c>
      <c r="F638" s="15" t="s">
        <v>28</v>
      </c>
      <c r="G638" s="12">
        <v>43041</v>
      </c>
      <c r="H638" s="23">
        <f t="shared" si="66"/>
        <v>259208</v>
      </c>
      <c r="I638" s="23"/>
      <c r="J638" s="23"/>
      <c r="K638" s="24">
        <v>600</v>
      </c>
      <c r="L638" s="23">
        <v>166728</v>
      </c>
      <c r="M638" s="22">
        <f t="shared" si="67"/>
        <v>91880</v>
      </c>
      <c r="N638" s="22"/>
      <c r="O638" s="30">
        <f t="shared" si="68"/>
        <v>0.35446436838369189</v>
      </c>
    </row>
    <row r="639" spans="1:15" ht="20.100000000000001" customHeight="1" x14ac:dyDescent="0.25">
      <c r="A639" s="33">
        <v>801</v>
      </c>
      <c r="B639" s="9">
        <v>43024</v>
      </c>
      <c r="C639" s="20" t="s">
        <v>300</v>
      </c>
      <c r="D639" s="11">
        <v>134047</v>
      </c>
      <c r="E639" s="15">
        <v>43041</v>
      </c>
      <c r="F639" s="15" t="s">
        <v>28</v>
      </c>
      <c r="G639" s="12">
        <v>43056</v>
      </c>
      <c r="H639" s="23">
        <f t="shared" si="66"/>
        <v>134047</v>
      </c>
      <c r="I639" s="23">
        <f>H639</f>
        <v>134047</v>
      </c>
      <c r="J639" s="23"/>
      <c r="K639" s="24"/>
      <c r="L639" s="23">
        <v>101854</v>
      </c>
      <c r="M639" s="22">
        <f t="shared" si="67"/>
        <v>32193</v>
      </c>
      <c r="N639" s="22">
        <f>M639</f>
        <v>32193</v>
      </c>
      <c r="O639" s="30">
        <f t="shared" si="68"/>
        <v>0.24016203271986691</v>
      </c>
    </row>
    <row r="640" spans="1:15" ht="20.100000000000001" customHeight="1" x14ac:dyDescent="0.25">
      <c r="A640" s="33">
        <v>951</v>
      </c>
      <c r="B640" s="9">
        <v>43046</v>
      </c>
      <c r="C640" s="18" t="s">
        <v>51</v>
      </c>
      <c r="D640" s="11">
        <v>4812</v>
      </c>
      <c r="E640" s="15">
        <v>43046</v>
      </c>
      <c r="F640" s="15" t="s">
        <v>28</v>
      </c>
      <c r="G640" s="12">
        <v>43047</v>
      </c>
      <c r="H640" s="23">
        <f t="shared" si="66"/>
        <v>4812</v>
      </c>
      <c r="I640" s="23"/>
      <c r="J640" s="23"/>
      <c r="K640" s="24"/>
      <c r="L640" s="23">
        <v>3485</v>
      </c>
      <c r="M640" s="22">
        <f t="shared" si="67"/>
        <v>1327</v>
      </c>
      <c r="N640" s="22"/>
      <c r="O640" s="30">
        <f t="shared" si="68"/>
        <v>0.27576891105569412</v>
      </c>
    </row>
    <row r="641" spans="1:15" ht="20.100000000000001" customHeight="1" x14ac:dyDescent="0.25">
      <c r="A641" s="33">
        <v>955</v>
      </c>
      <c r="B641" s="9">
        <v>43046</v>
      </c>
      <c r="C641" s="18" t="s">
        <v>207</v>
      </c>
      <c r="D641" s="11">
        <v>1286</v>
      </c>
      <c r="E641" s="15">
        <v>43046</v>
      </c>
      <c r="F641" s="15" t="s">
        <v>28</v>
      </c>
      <c r="G641" s="12">
        <v>43048</v>
      </c>
      <c r="H641" s="23">
        <f t="shared" si="66"/>
        <v>1286</v>
      </c>
      <c r="I641" s="23"/>
      <c r="J641" s="23"/>
      <c r="K641" s="24"/>
      <c r="L641" s="23">
        <v>1002</v>
      </c>
      <c r="M641" s="22">
        <f t="shared" si="67"/>
        <v>284</v>
      </c>
      <c r="N641" s="22"/>
      <c r="O641" s="30">
        <f t="shared" si="68"/>
        <v>0.2208398133748056</v>
      </c>
    </row>
    <row r="642" spans="1:15" ht="20.100000000000001" customHeight="1" x14ac:dyDescent="0.25">
      <c r="A642" s="33">
        <v>936</v>
      </c>
      <c r="B642" s="9">
        <v>43038</v>
      </c>
      <c r="C642" s="18" t="s">
        <v>216</v>
      </c>
      <c r="D642" s="11">
        <v>2676</v>
      </c>
      <c r="E642" s="15">
        <v>43047</v>
      </c>
      <c r="F642" s="15" t="s">
        <v>28</v>
      </c>
      <c r="G642" s="12">
        <v>43062</v>
      </c>
      <c r="H642" s="23">
        <f t="shared" si="66"/>
        <v>2676</v>
      </c>
      <c r="I642" s="23"/>
      <c r="J642" s="23"/>
      <c r="K642" s="24"/>
      <c r="L642" s="23">
        <v>1767</v>
      </c>
      <c r="M642" s="22">
        <f t="shared" si="67"/>
        <v>909</v>
      </c>
      <c r="N642" s="22"/>
      <c r="O642" s="30">
        <f t="shared" si="68"/>
        <v>0.3396860986547085</v>
      </c>
    </row>
    <row r="643" spans="1:15" ht="20.100000000000001" customHeight="1" x14ac:dyDescent="0.25">
      <c r="A643" s="33">
        <v>965</v>
      </c>
      <c r="B643" s="15">
        <v>43047</v>
      </c>
      <c r="C643" s="18" t="s">
        <v>176</v>
      </c>
      <c r="D643" s="11">
        <v>5863</v>
      </c>
      <c r="E643" s="15">
        <v>43047</v>
      </c>
      <c r="F643" s="15" t="s">
        <v>28</v>
      </c>
      <c r="G643" s="12">
        <v>43047</v>
      </c>
      <c r="H643" s="23">
        <f t="shared" si="66"/>
        <v>5863</v>
      </c>
      <c r="I643" s="23"/>
      <c r="J643" s="23"/>
      <c r="K643" s="24"/>
      <c r="L643" s="23">
        <v>4573</v>
      </c>
      <c r="M643" s="22">
        <f t="shared" si="67"/>
        <v>1290</v>
      </c>
      <c r="N643" s="22"/>
      <c r="O643" s="30">
        <f t="shared" si="68"/>
        <v>0.22002387856046393</v>
      </c>
    </row>
    <row r="644" spans="1:15" ht="20.100000000000001" customHeight="1" x14ac:dyDescent="0.25">
      <c r="A644" s="33">
        <v>949</v>
      </c>
      <c r="B644" s="15">
        <v>43042</v>
      </c>
      <c r="C644" s="18" t="s">
        <v>200</v>
      </c>
      <c r="D644" s="11">
        <v>22690</v>
      </c>
      <c r="E644" s="15">
        <v>43048</v>
      </c>
      <c r="F644" s="15" t="s">
        <v>28</v>
      </c>
      <c r="G644" s="12">
        <v>43055</v>
      </c>
      <c r="H644" s="23">
        <f t="shared" si="66"/>
        <v>22690</v>
      </c>
      <c r="I644" s="23"/>
      <c r="J644" s="23"/>
      <c r="K644" s="24"/>
      <c r="L644" s="23">
        <v>17154</v>
      </c>
      <c r="M644" s="22">
        <f t="shared" si="67"/>
        <v>5536</v>
      </c>
      <c r="N644" s="22"/>
      <c r="O644" s="30">
        <f t="shared" si="68"/>
        <v>0.24398413397972676</v>
      </c>
    </row>
    <row r="645" spans="1:15" ht="20.100000000000001" customHeight="1" x14ac:dyDescent="0.25">
      <c r="A645" s="33">
        <v>952</v>
      </c>
      <c r="B645" s="15">
        <v>43046</v>
      </c>
      <c r="C645" s="18" t="s">
        <v>162</v>
      </c>
      <c r="D645" s="11">
        <v>2061</v>
      </c>
      <c r="E645" s="15">
        <v>43049</v>
      </c>
      <c r="F645" s="15" t="s">
        <v>28</v>
      </c>
      <c r="G645" s="12">
        <v>43050</v>
      </c>
      <c r="H645" s="23">
        <f t="shared" si="66"/>
        <v>2061</v>
      </c>
      <c r="I645" s="23"/>
      <c r="J645" s="23"/>
      <c r="K645" s="24"/>
      <c r="L645" s="23">
        <v>1360</v>
      </c>
      <c r="M645" s="22">
        <f t="shared" si="67"/>
        <v>701</v>
      </c>
      <c r="N645" s="22"/>
      <c r="O645" s="30">
        <f t="shared" si="68"/>
        <v>0.34012615235322657</v>
      </c>
    </row>
    <row r="646" spans="1:15" ht="20.100000000000001" customHeight="1" x14ac:dyDescent="0.25">
      <c r="A646" s="33">
        <v>975</v>
      </c>
      <c r="B646" s="15">
        <v>43049</v>
      </c>
      <c r="C646" s="18" t="s">
        <v>270</v>
      </c>
      <c r="D646" s="11">
        <v>1036</v>
      </c>
      <c r="E646" s="15">
        <v>43052</v>
      </c>
      <c r="F646" s="15" t="s">
        <v>28</v>
      </c>
      <c r="G646" s="12">
        <v>43053</v>
      </c>
      <c r="H646" s="23">
        <f t="shared" si="66"/>
        <v>1036</v>
      </c>
      <c r="I646" s="23"/>
      <c r="J646" s="23"/>
      <c r="K646" s="24"/>
      <c r="L646" s="23">
        <v>750</v>
      </c>
      <c r="M646" s="22">
        <f t="shared" si="67"/>
        <v>286</v>
      </c>
      <c r="N646" s="22"/>
      <c r="O646" s="30">
        <f t="shared" si="68"/>
        <v>0.27606177606177607</v>
      </c>
    </row>
    <row r="647" spans="1:15" ht="20.100000000000001" customHeight="1" x14ac:dyDescent="0.25">
      <c r="A647" s="33">
        <v>974</v>
      </c>
      <c r="B647" s="15">
        <v>43049</v>
      </c>
      <c r="C647" s="18" t="s">
        <v>270</v>
      </c>
      <c r="D647" s="11">
        <v>12499</v>
      </c>
      <c r="E647" s="15">
        <v>43052</v>
      </c>
      <c r="F647" s="15" t="s">
        <v>28</v>
      </c>
      <c r="G647" s="12">
        <v>43062</v>
      </c>
      <c r="H647" s="23">
        <f t="shared" si="66"/>
        <v>12499</v>
      </c>
      <c r="I647" s="23"/>
      <c r="J647" s="23"/>
      <c r="K647" s="24"/>
      <c r="L647" s="23">
        <v>9449</v>
      </c>
      <c r="M647" s="22">
        <f t="shared" si="67"/>
        <v>3050</v>
      </c>
      <c r="N647" s="22"/>
      <c r="O647" s="30">
        <f t="shared" si="68"/>
        <v>0.24401952156172493</v>
      </c>
    </row>
    <row r="648" spans="1:15" ht="20.100000000000001" customHeight="1" x14ac:dyDescent="0.25">
      <c r="A648" s="33">
        <v>853</v>
      </c>
      <c r="B648" s="9">
        <v>43026</v>
      </c>
      <c r="C648" s="18" t="s">
        <v>99</v>
      </c>
      <c r="D648" s="11">
        <v>268598.68</v>
      </c>
      <c r="E648" s="15">
        <v>43053</v>
      </c>
      <c r="F648" s="15" t="s">
        <v>28</v>
      </c>
      <c r="G648" s="12">
        <v>43035</v>
      </c>
      <c r="H648" s="23">
        <f t="shared" si="66"/>
        <v>268598.68</v>
      </c>
      <c r="I648" s="23"/>
      <c r="J648" s="23">
        <v>3500</v>
      </c>
      <c r="K648" s="24">
        <f>17*600</f>
        <v>10200</v>
      </c>
      <c r="L648" s="23">
        <v>203060</v>
      </c>
      <c r="M648" s="22">
        <f t="shared" si="67"/>
        <v>51838.679999999993</v>
      </c>
      <c r="N648" s="22"/>
      <c r="O648" s="30">
        <f t="shared" si="68"/>
        <v>0.19299677868856241</v>
      </c>
    </row>
    <row r="649" spans="1:15" ht="19.5" customHeight="1" x14ac:dyDescent="0.25">
      <c r="A649" s="33">
        <v>959</v>
      </c>
      <c r="B649" s="9">
        <v>43047</v>
      </c>
      <c r="C649" s="18" t="s">
        <v>228</v>
      </c>
      <c r="D649" s="11">
        <v>2445</v>
      </c>
      <c r="E649" s="15">
        <v>43053</v>
      </c>
      <c r="F649" s="15" t="s">
        <v>28</v>
      </c>
      <c r="G649" s="12">
        <v>43098</v>
      </c>
      <c r="H649" s="23">
        <f t="shared" si="66"/>
        <v>2445</v>
      </c>
      <c r="I649" s="23"/>
      <c r="J649" s="23"/>
      <c r="K649" s="24"/>
      <c r="L649" s="23">
        <v>1500</v>
      </c>
      <c r="M649" s="22">
        <f t="shared" si="67"/>
        <v>945</v>
      </c>
      <c r="N649" s="22"/>
      <c r="O649" s="30">
        <f t="shared" si="68"/>
        <v>0.38650306748466257</v>
      </c>
    </row>
    <row r="650" spans="1:15" ht="15.75" x14ac:dyDescent="0.25">
      <c r="A650" s="33">
        <v>989</v>
      </c>
      <c r="B650" s="9">
        <v>43054</v>
      </c>
      <c r="C650" s="20" t="s">
        <v>303</v>
      </c>
      <c r="D650" s="11">
        <v>37221.5</v>
      </c>
      <c r="E650" s="15">
        <v>43054</v>
      </c>
      <c r="F650" s="15" t="s">
        <v>28</v>
      </c>
      <c r="G650" s="12">
        <v>43054</v>
      </c>
      <c r="H650" s="23">
        <f t="shared" si="66"/>
        <v>37221.5</v>
      </c>
      <c r="I650" s="23">
        <f>H650</f>
        <v>37221.5</v>
      </c>
      <c r="J650" s="23"/>
      <c r="K650" s="24"/>
      <c r="L650" s="23">
        <v>30913</v>
      </c>
      <c r="M650" s="22">
        <f t="shared" si="67"/>
        <v>6308.5</v>
      </c>
      <c r="N650" s="22">
        <f>M650</f>
        <v>6308.5</v>
      </c>
      <c r="O650" s="30">
        <f t="shared" si="68"/>
        <v>0.16948537807449995</v>
      </c>
    </row>
    <row r="651" spans="1:15" s="2" customFormat="1" ht="20.100000000000001" customHeight="1" x14ac:dyDescent="0.25">
      <c r="A651" s="33">
        <v>957</v>
      </c>
      <c r="B651" s="15">
        <v>43047</v>
      </c>
      <c r="C651" s="18" t="s">
        <v>175</v>
      </c>
      <c r="D651" s="11">
        <v>18156.400000000001</v>
      </c>
      <c r="E651" s="15">
        <v>43055</v>
      </c>
      <c r="F651" s="15" t="s">
        <v>28</v>
      </c>
      <c r="G651" s="12">
        <v>43060</v>
      </c>
      <c r="H651" s="23">
        <f t="shared" si="66"/>
        <v>18156.400000000001</v>
      </c>
      <c r="I651" s="23"/>
      <c r="J651" s="23"/>
      <c r="K651" s="24"/>
      <c r="L651" s="23">
        <v>14816</v>
      </c>
      <c r="M651" s="22">
        <f t="shared" si="67"/>
        <v>3340.4000000000015</v>
      </c>
      <c r="N651" s="22"/>
      <c r="O651" s="30">
        <f t="shared" si="68"/>
        <v>0.18397920292569017</v>
      </c>
    </row>
    <row r="652" spans="1:15" ht="20.100000000000001" customHeight="1" x14ac:dyDescent="0.25">
      <c r="A652" s="33">
        <v>794</v>
      </c>
      <c r="B652" s="9">
        <v>43031</v>
      </c>
      <c r="C652" s="18" t="s">
        <v>65</v>
      </c>
      <c r="D652" s="11">
        <v>62895.5</v>
      </c>
      <c r="E652" s="15">
        <v>43055</v>
      </c>
      <c r="F652" s="15" t="s">
        <v>28</v>
      </c>
      <c r="G652" s="12">
        <v>43076</v>
      </c>
      <c r="H652" s="23">
        <f t="shared" si="66"/>
        <v>62895.5</v>
      </c>
      <c r="I652" s="23"/>
      <c r="J652" s="23"/>
      <c r="K652" s="24"/>
      <c r="L652" s="23">
        <v>49383</v>
      </c>
      <c r="M652" s="22">
        <f t="shared" si="67"/>
        <v>13512.5</v>
      </c>
      <c r="N652" s="22"/>
      <c r="O652" s="30">
        <f t="shared" si="68"/>
        <v>0.2148404893831832</v>
      </c>
    </row>
    <row r="653" spans="1:15" ht="20.100000000000001" customHeight="1" x14ac:dyDescent="0.25">
      <c r="A653" s="33">
        <v>969</v>
      </c>
      <c r="B653" s="9">
        <v>43048</v>
      </c>
      <c r="C653" s="18" t="s">
        <v>301</v>
      </c>
      <c r="D653" s="11">
        <v>1036</v>
      </c>
      <c r="E653" s="15">
        <v>43055</v>
      </c>
      <c r="F653" s="15" t="s">
        <v>28</v>
      </c>
      <c r="G653" s="12">
        <v>43056</v>
      </c>
      <c r="H653" s="23">
        <f t="shared" si="66"/>
        <v>1036</v>
      </c>
      <c r="I653" s="23"/>
      <c r="J653" s="23"/>
      <c r="K653" s="24"/>
      <c r="L653" s="23">
        <v>742</v>
      </c>
      <c r="M653" s="22">
        <f t="shared" si="67"/>
        <v>294</v>
      </c>
      <c r="N653" s="22"/>
      <c r="O653" s="30">
        <f t="shared" si="68"/>
        <v>0.28378378378378377</v>
      </c>
    </row>
    <row r="654" spans="1:15" ht="20.100000000000001" customHeight="1" x14ac:dyDescent="0.25">
      <c r="A654" s="33">
        <v>962</v>
      </c>
      <c r="B654" s="9">
        <v>43047</v>
      </c>
      <c r="C654" s="18" t="s">
        <v>66</v>
      </c>
      <c r="D654" s="11">
        <v>2450</v>
      </c>
      <c r="E654" s="15">
        <v>43055</v>
      </c>
      <c r="F654" s="15" t="s">
        <v>28</v>
      </c>
      <c r="G654" s="12">
        <v>43063</v>
      </c>
      <c r="H654" s="23">
        <f t="shared" si="66"/>
        <v>2450</v>
      </c>
      <c r="I654" s="23"/>
      <c r="J654" s="23"/>
      <c r="K654" s="24"/>
      <c r="L654" s="23">
        <v>2183</v>
      </c>
      <c r="M654" s="22">
        <f t="shared" si="67"/>
        <v>267</v>
      </c>
      <c r="N654" s="22"/>
      <c r="O654" s="30">
        <f t="shared" si="68"/>
        <v>0.1089795918367347</v>
      </c>
    </row>
    <row r="655" spans="1:15" ht="19.5" customHeight="1" x14ac:dyDescent="0.25">
      <c r="A655" s="33">
        <v>973</v>
      </c>
      <c r="B655" s="9">
        <v>43049</v>
      </c>
      <c r="C655" s="18" t="s">
        <v>45</v>
      </c>
      <c r="D655" s="11">
        <v>1445</v>
      </c>
      <c r="E655" s="15">
        <v>43056</v>
      </c>
      <c r="F655" s="15" t="s">
        <v>28</v>
      </c>
      <c r="G655" s="12">
        <v>43059</v>
      </c>
      <c r="H655" s="23">
        <f t="shared" si="66"/>
        <v>1445</v>
      </c>
      <c r="I655" s="23"/>
      <c r="J655" s="23"/>
      <c r="K655" s="24"/>
      <c r="L655" s="23">
        <v>991</v>
      </c>
      <c r="M655" s="22">
        <f t="shared" si="67"/>
        <v>454</v>
      </c>
      <c r="N655" s="22"/>
      <c r="O655" s="30">
        <f t="shared" si="68"/>
        <v>0.31418685121107265</v>
      </c>
    </row>
    <row r="656" spans="1:15" ht="20.100000000000001" customHeight="1" x14ac:dyDescent="0.25">
      <c r="A656" s="33">
        <v>996</v>
      </c>
      <c r="B656" s="15">
        <v>43056</v>
      </c>
      <c r="C656" s="18" t="s">
        <v>91</v>
      </c>
      <c r="D656" s="11">
        <v>4748</v>
      </c>
      <c r="E656" s="15">
        <v>43059</v>
      </c>
      <c r="F656" s="15" t="s">
        <v>28</v>
      </c>
      <c r="G656" s="12">
        <v>43066</v>
      </c>
      <c r="H656" s="23">
        <f t="shared" si="66"/>
        <v>4748</v>
      </c>
      <c r="I656" s="23"/>
      <c r="J656" s="23"/>
      <c r="K656" s="24"/>
      <c r="L656" s="23">
        <v>3704</v>
      </c>
      <c r="M656" s="22">
        <f t="shared" si="67"/>
        <v>1044</v>
      </c>
      <c r="N656" s="22"/>
      <c r="O656" s="30">
        <f t="shared" si="68"/>
        <v>0.21988205560235888</v>
      </c>
    </row>
    <row r="657" spans="1:15" ht="20.100000000000001" customHeight="1" x14ac:dyDescent="0.25">
      <c r="A657" s="33">
        <v>998</v>
      </c>
      <c r="B657" s="15">
        <v>43056</v>
      </c>
      <c r="C657" s="18" t="s">
        <v>77</v>
      </c>
      <c r="D657" s="11">
        <v>1002</v>
      </c>
      <c r="E657" s="15">
        <v>43060</v>
      </c>
      <c r="F657" s="15" t="s">
        <v>28</v>
      </c>
      <c r="G657" s="12">
        <v>43075</v>
      </c>
      <c r="H657" s="23">
        <f t="shared" si="66"/>
        <v>1002</v>
      </c>
      <c r="I657" s="23"/>
      <c r="J657" s="23"/>
      <c r="K657" s="24"/>
      <c r="L657" s="23">
        <v>684</v>
      </c>
      <c r="M657" s="22">
        <f t="shared" si="67"/>
        <v>318</v>
      </c>
      <c r="N657" s="22"/>
      <c r="O657" s="30">
        <f t="shared" si="68"/>
        <v>0.31736526946107785</v>
      </c>
    </row>
    <row r="658" spans="1:15" ht="20.100000000000001" customHeight="1" x14ac:dyDescent="0.25">
      <c r="A658" s="33">
        <v>1004</v>
      </c>
      <c r="B658" s="15">
        <v>43060</v>
      </c>
      <c r="C658" s="18" t="s">
        <v>216</v>
      </c>
      <c r="D658" s="11">
        <v>1399.95</v>
      </c>
      <c r="E658" s="15">
        <v>43061</v>
      </c>
      <c r="F658" s="15" t="s">
        <v>28</v>
      </c>
      <c r="G658" s="12">
        <v>43062</v>
      </c>
      <c r="H658" s="23">
        <f t="shared" si="66"/>
        <v>1399.95</v>
      </c>
      <c r="I658" s="23"/>
      <c r="J658" s="23"/>
      <c r="K658" s="24"/>
      <c r="L658" s="23">
        <v>1193</v>
      </c>
      <c r="M658" s="22">
        <f t="shared" si="67"/>
        <v>206.95000000000005</v>
      </c>
      <c r="N658" s="22"/>
      <c r="O658" s="30">
        <f t="shared" si="68"/>
        <v>0.14782670809671777</v>
      </c>
    </row>
    <row r="659" spans="1:15" ht="20.100000000000001" customHeight="1" x14ac:dyDescent="0.25">
      <c r="A659" s="33">
        <v>1003</v>
      </c>
      <c r="B659" s="15">
        <v>43060</v>
      </c>
      <c r="C659" s="18" t="s">
        <v>209</v>
      </c>
      <c r="D659" s="11">
        <v>3701.75</v>
      </c>
      <c r="E659" s="15">
        <v>43061</v>
      </c>
      <c r="F659" s="15" t="s">
        <v>28</v>
      </c>
      <c r="G659" s="12">
        <v>43061</v>
      </c>
      <c r="H659" s="23">
        <f t="shared" si="66"/>
        <v>3701.75</v>
      </c>
      <c r="I659" s="23"/>
      <c r="J659" s="23"/>
      <c r="K659" s="24"/>
      <c r="L659" s="23">
        <v>3314</v>
      </c>
      <c r="M659" s="22">
        <f t="shared" si="67"/>
        <v>387.75</v>
      </c>
      <c r="N659" s="22"/>
      <c r="O659" s="30">
        <f t="shared" si="68"/>
        <v>0.10474775444046734</v>
      </c>
    </row>
    <row r="660" spans="1:15" ht="20.100000000000001" customHeight="1" x14ac:dyDescent="0.25">
      <c r="A660" s="33">
        <v>995</v>
      </c>
      <c r="B660" s="15">
        <v>43055</v>
      </c>
      <c r="C660" s="18" t="s">
        <v>209</v>
      </c>
      <c r="D660" s="11">
        <v>1769.7</v>
      </c>
      <c r="E660" s="15">
        <v>43061</v>
      </c>
      <c r="F660" s="15" t="s">
        <v>28</v>
      </c>
      <c r="G660" s="12">
        <v>43061</v>
      </c>
      <c r="H660" s="23">
        <f t="shared" si="66"/>
        <v>1769.7</v>
      </c>
      <c r="I660" s="23"/>
      <c r="J660" s="23"/>
      <c r="K660" s="24"/>
      <c r="L660" s="23">
        <v>1624</v>
      </c>
      <c r="M660" s="22">
        <f t="shared" si="67"/>
        <v>145.70000000000005</v>
      </c>
      <c r="N660" s="22"/>
      <c r="O660" s="30">
        <f t="shared" si="68"/>
        <v>8.2330338475447837E-2</v>
      </c>
    </row>
    <row r="661" spans="1:15" ht="20.100000000000001" customHeight="1" x14ac:dyDescent="0.25">
      <c r="A661" s="33">
        <v>1009</v>
      </c>
      <c r="B661" s="15">
        <v>43061</v>
      </c>
      <c r="C661" s="18" t="s">
        <v>209</v>
      </c>
      <c r="D661" s="11">
        <v>6274.7</v>
      </c>
      <c r="E661" s="15">
        <v>43061</v>
      </c>
      <c r="F661" s="15" t="s">
        <v>28</v>
      </c>
      <c r="G661" s="12">
        <v>43061</v>
      </c>
      <c r="H661" s="23">
        <f t="shared" si="66"/>
        <v>6274.7</v>
      </c>
      <c r="I661" s="23"/>
      <c r="J661" s="23"/>
      <c r="K661" s="24"/>
      <c r="L661" s="23">
        <v>5615</v>
      </c>
      <c r="M661" s="22">
        <f t="shared" si="67"/>
        <v>659.69999999999982</v>
      </c>
      <c r="N661" s="22"/>
      <c r="O661" s="30">
        <f t="shared" si="68"/>
        <v>0.10513650054982705</v>
      </c>
    </row>
    <row r="662" spans="1:15" ht="20.100000000000001" customHeight="1" x14ac:dyDescent="0.25">
      <c r="A662" s="33">
        <v>982</v>
      </c>
      <c r="B662" s="15">
        <v>43054</v>
      </c>
      <c r="C662" s="18" t="s">
        <v>66</v>
      </c>
      <c r="D662" s="11">
        <v>71056</v>
      </c>
      <c r="E662" s="15">
        <v>43061</v>
      </c>
      <c r="F662" s="15" t="s">
        <v>28</v>
      </c>
      <c r="G662" s="12">
        <v>43084</v>
      </c>
      <c r="H662" s="23">
        <f t="shared" si="66"/>
        <v>71056</v>
      </c>
      <c r="I662" s="23"/>
      <c r="J662" s="23"/>
      <c r="K662" s="24"/>
      <c r="L662" s="23">
        <v>46897</v>
      </c>
      <c r="M662" s="22">
        <f t="shared" si="67"/>
        <v>24159</v>
      </c>
      <c r="N662" s="22"/>
      <c r="O662" s="30">
        <f t="shared" si="68"/>
        <v>0.33999943706372437</v>
      </c>
    </row>
    <row r="663" spans="1:15" ht="20.100000000000001" customHeight="1" x14ac:dyDescent="0.25">
      <c r="A663" s="33">
        <v>960</v>
      </c>
      <c r="B663" s="9">
        <v>43061</v>
      </c>
      <c r="C663" s="18" t="s">
        <v>302</v>
      </c>
      <c r="D663" s="11">
        <v>30882</v>
      </c>
      <c r="E663" s="15">
        <v>43062</v>
      </c>
      <c r="F663" s="15" t="s">
        <v>28</v>
      </c>
      <c r="G663" s="12">
        <v>43061</v>
      </c>
      <c r="H663" s="23">
        <f t="shared" si="66"/>
        <v>30882</v>
      </c>
      <c r="I663" s="23"/>
      <c r="J663" s="23"/>
      <c r="K663" s="24"/>
      <c r="L663" s="23">
        <v>23160</v>
      </c>
      <c r="M663" s="22">
        <f t="shared" si="67"/>
        <v>7722</v>
      </c>
      <c r="N663" s="22"/>
      <c r="O663" s="30">
        <f t="shared" si="68"/>
        <v>0.2500485719836798</v>
      </c>
    </row>
    <row r="664" spans="1:15" ht="20.100000000000001" customHeight="1" x14ac:dyDescent="0.25">
      <c r="A664" s="33">
        <v>978</v>
      </c>
      <c r="B664" s="9">
        <v>43053</v>
      </c>
      <c r="C664" s="18" t="s">
        <v>175</v>
      </c>
      <c r="D664" s="11">
        <v>19399</v>
      </c>
      <c r="E664" s="15">
        <v>43067</v>
      </c>
      <c r="F664" s="15" t="s">
        <v>28</v>
      </c>
      <c r="G664" s="12">
        <v>43069</v>
      </c>
      <c r="H664" s="23">
        <f t="shared" si="66"/>
        <v>19399</v>
      </c>
      <c r="I664" s="23"/>
      <c r="J664" s="23"/>
      <c r="K664" s="24"/>
      <c r="L664" s="23">
        <v>12753</v>
      </c>
      <c r="M664" s="22">
        <f t="shared" si="67"/>
        <v>6646</v>
      </c>
      <c r="N664" s="22"/>
      <c r="O664" s="30">
        <f t="shared" si="68"/>
        <v>0.3425949791226352</v>
      </c>
    </row>
    <row r="665" spans="1:15" ht="20.100000000000001" customHeight="1" x14ac:dyDescent="0.25">
      <c r="A665" s="33">
        <v>1020</v>
      </c>
      <c r="B665" s="9">
        <v>43066</v>
      </c>
      <c r="C665" s="26" t="s">
        <v>216</v>
      </c>
      <c r="D665" s="11">
        <v>1246.0999999999999</v>
      </c>
      <c r="E665" s="15">
        <v>43067</v>
      </c>
      <c r="F665" s="15" t="s">
        <v>28</v>
      </c>
      <c r="G665" s="12">
        <v>43069</v>
      </c>
      <c r="H665" s="23">
        <f t="shared" si="66"/>
        <v>1246.0999999999999</v>
      </c>
      <c r="I665" s="23"/>
      <c r="J665" s="23"/>
      <c r="K665" s="24"/>
      <c r="L665" s="23">
        <v>1062</v>
      </c>
      <c r="M665" s="22">
        <f t="shared" si="67"/>
        <v>184.09999999999991</v>
      </c>
      <c r="N665" s="22"/>
      <c r="O665" s="30">
        <f t="shared" si="68"/>
        <v>0.14774095176952085</v>
      </c>
    </row>
    <row r="666" spans="1:15" ht="20.100000000000001" customHeight="1" x14ac:dyDescent="0.25">
      <c r="A666" s="33">
        <v>897</v>
      </c>
      <c r="B666" s="9">
        <v>43054</v>
      </c>
      <c r="C666" s="18" t="s">
        <v>13</v>
      </c>
      <c r="D666" s="11">
        <v>9847</v>
      </c>
      <c r="E666" s="15">
        <v>43068</v>
      </c>
      <c r="F666" s="15" t="s">
        <v>28</v>
      </c>
      <c r="G666" s="12">
        <v>43055</v>
      </c>
      <c r="H666" s="23">
        <f t="shared" si="66"/>
        <v>9847</v>
      </c>
      <c r="I666" s="23"/>
      <c r="J666" s="23"/>
      <c r="K666" s="24"/>
      <c r="L666" s="23">
        <v>7682</v>
      </c>
      <c r="M666" s="22">
        <f t="shared" si="67"/>
        <v>2165</v>
      </c>
      <c r="N666" s="22"/>
      <c r="O666" s="30">
        <f t="shared" si="68"/>
        <v>0.21986391794455165</v>
      </c>
    </row>
    <row r="667" spans="1:15" ht="20.100000000000001" customHeight="1" x14ac:dyDescent="0.25">
      <c r="A667" s="33">
        <v>1016</v>
      </c>
      <c r="B667" s="9">
        <v>43066</v>
      </c>
      <c r="C667" s="18" t="s">
        <v>91</v>
      </c>
      <c r="D667" s="11">
        <v>6172</v>
      </c>
      <c r="E667" s="15">
        <v>43068</v>
      </c>
      <c r="F667" s="15" t="s">
        <v>28</v>
      </c>
      <c r="G667" s="12">
        <v>43083</v>
      </c>
      <c r="H667" s="23">
        <f t="shared" si="66"/>
        <v>6172</v>
      </c>
      <c r="I667" s="23"/>
      <c r="J667" s="23"/>
      <c r="K667" s="24"/>
      <c r="L667" s="23">
        <v>4315</v>
      </c>
      <c r="M667" s="22">
        <f t="shared" si="67"/>
        <v>1857</v>
      </c>
      <c r="N667" s="22"/>
      <c r="O667" s="30">
        <f t="shared" si="68"/>
        <v>0.3008749189889825</v>
      </c>
    </row>
    <row r="668" spans="1:15" ht="20.100000000000001" customHeight="1" x14ac:dyDescent="0.25">
      <c r="A668" s="33">
        <v>1023</v>
      </c>
      <c r="B668" s="9">
        <v>43068</v>
      </c>
      <c r="C668" s="26" t="s">
        <v>58</v>
      </c>
      <c r="D668" s="11">
        <v>4842.84</v>
      </c>
      <c r="E668" s="15">
        <v>43069</v>
      </c>
      <c r="F668" s="15" t="s">
        <v>28</v>
      </c>
      <c r="G668" s="12">
        <v>43077</v>
      </c>
      <c r="H668" s="23">
        <f t="shared" si="66"/>
        <v>4842.84</v>
      </c>
      <c r="I668" s="23"/>
      <c r="J668" s="23"/>
      <c r="K668" s="24"/>
      <c r="L668" s="23">
        <v>3463</v>
      </c>
      <c r="M668" s="22">
        <f t="shared" si="67"/>
        <v>1379.8400000000001</v>
      </c>
      <c r="N668" s="22"/>
      <c r="O668" s="30">
        <f t="shared" si="68"/>
        <v>0.28492372244385528</v>
      </c>
    </row>
    <row r="669" spans="1:15" ht="20.100000000000001" customHeight="1" x14ac:dyDescent="0.25">
      <c r="A669" s="35" t="s">
        <v>535</v>
      </c>
      <c r="B669" s="36"/>
      <c r="C669" s="42"/>
      <c r="D669" s="37"/>
      <c r="E669" s="46" t="s">
        <v>550</v>
      </c>
      <c r="F669" s="47">
        <f>M669*0.17+N669*0.06+8000</f>
        <v>55808.230400000008</v>
      </c>
      <c r="G669" s="21">
        <f>H669*0.05+I669*0.02</f>
        <v>54962.075999999994</v>
      </c>
      <c r="H669" s="49">
        <f>SUBTOTAL(109,Ноябрь2017[Продажа])</f>
        <v>1030734.1199999998</v>
      </c>
      <c r="I669" s="49">
        <f>SUBTOTAL(109,Ноябрь2017[Продажа НК])</f>
        <v>171268.5</v>
      </c>
      <c r="J669" s="49">
        <f>SUBTOTAL(109,Ноябрь2017[отк])</f>
        <v>3500</v>
      </c>
      <c r="K669" s="49">
        <f>SUBTOTAL(109,Ноябрь2017[шланги])</f>
        <v>10800</v>
      </c>
      <c r="L669" s="49">
        <f>SUBTOTAL(109,Ноябрь2017[Закупка])</f>
        <v>748798</v>
      </c>
      <c r="M669" s="49">
        <f>SUBTOTAL(109,Ноябрь2017[Маржа])</f>
        <v>267636.12000000005</v>
      </c>
      <c r="N669" s="49">
        <f>SUBTOTAL(109,Ноябрь2017[Маржа НК])</f>
        <v>38501.5</v>
      </c>
      <c r="O669" s="44">
        <f t="shared" si="68"/>
        <v>0.25965582666459136</v>
      </c>
    </row>
    <row r="670" spans="1:15" ht="20.100000000000001" customHeight="1" x14ac:dyDescent="0.25">
      <c r="A670" s="41" t="s">
        <v>1</v>
      </c>
      <c r="B670" s="1" t="s">
        <v>0</v>
      </c>
      <c r="C670" s="1" t="s">
        <v>26</v>
      </c>
      <c r="D670" s="1" t="s">
        <v>2</v>
      </c>
      <c r="E670" s="1" t="s">
        <v>3</v>
      </c>
      <c r="F670" s="1" t="s">
        <v>27</v>
      </c>
      <c r="G670" s="1" t="s">
        <v>4</v>
      </c>
      <c r="H670" s="2" t="s">
        <v>132</v>
      </c>
      <c r="I670" s="2" t="s">
        <v>133</v>
      </c>
      <c r="J670" s="40" t="s">
        <v>187</v>
      </c>
      <c r="K670" s="40" t="s">
        <v>188</v>
      </c>
      <c r="L670" s="40" t="s">
        <v>129</v>
      </c>
      <c r="M670" s="40" t="s">
        <v>130</v>
      </c>
      <c r="N670" s="2" t="s">
        <v>131</v>
      </c>
      <c r="O670" s="2" t="s">
        <v>134</v>
      </c>
    </row>
    <row r="671" spans="1:15" ht="20.100000000000001" customHeight="1" x14ac:dyDescent="0.25">
      <c r="A671" s="33">
        <v>1014</v>
      </c>
      <c r="B671" s="9">
        <v>43063</v>
      </c>
      <c r="C671" s="18" t="s">
        <v>60</v>
      </c>
      <c r="D671" s="11">
        <v>28091.64</v>
      </c>
      <c r="E671" s="15">
        <v>43070</v>
      </c>
      <c r="F671" s="15" t="s">
        <v>28</v>
      </c>
      <c r="G671" s="12">
        <v>43066</v>
      </c>
      <c r="H671" s="23">
        <f t="shared" ref="H671:H716" si="69">D671</f>
        <v>28091.64</v>
      </c>
      <c r="I671" s="23"/>
      <c r="J671" s="23"/>
      <c r="K671" s="24"/>
      <c r="L671" s="23">
        <v>12890</v>
      </c>
      <c r="M671" s="22">
        <f t="shared" ref="M671:M716" si="70">H671-L671-J671-K671</f>
        <v>15201.64</v>
      </c>
      <c r="N671" s="22"/>
      <c r="O671" s="30">
        <f t="shared" ref="O671:O717" si="71">M671/H671</f>
        <v>0.54114462523369944</v>
      </c>
    </row>
    <row r="672" spans="1:15" ht="20.100000000000001" customHeight="1" x14ac:dyDescent="0.25">
      <c r="A672" s="33">
        <v>761</v>
      </c>
      <c r="B672" s="9">
        <v>43013</v>
      </c>
      <c r="C672" s="18" t="s">
        <v>99</v>
      </c>
      <c r="D672" s="11">
        <v>71886</v>
      </c>
      <c r="E672" s="15">
        <v>43073</v>
      </c>
      <c r="F672" s="15" t="s">
        <v>28</v>
      </c>
      <c r="G672" s="12">
        <v>43013</v>
      </c>
      <c r="H672" s="23">
        <f t="shared" si="69"/>
        <v>71886</v>
      </c>
      <c r="I672" s="23"/>
      <c r="J672" s="23"/>
      <c r="K672" s="24"/>
      <c r="L672" s="23">
        <v>55264</v>
      </c>
      <c r="M672" s="22">
        <f t="shared" si="70"/>
        <v>16622</v>
      </c>
      <c r="N672" s="22"/>
      <c r="O672" s="30">
        <f t="shared" si="71"/>
        <v>0.2312272208775005</v>
      </c>
    </row>
    <row r="673" spans="1:15" ht="20.100000000000001" customHeight="1" x14ac:dyDescent="0.25">
      <c r="A673" s="33">
        <v>841</v>
      </c>
      <c r="B673" s="9">
        <v>43010</v>
      </c>
      <c r="C673" s="18" t="s">
        <v>99</v>
      </c>
      <c r="D673" s="11">
        <v>42547</v>
      </c>
      <c r="E673" s="15">
        <v>43073</v>
      </c>
      <c r="F673" s="15" t="s">
        <v>28</v>
      </c>
      <c r="G673" s="12">
        <v>43013</v>
      </c>
      <c r="H673" s="23">
        <f t="shared" si="69"/>
        <v>42547</v>
      </c>
      <c r="I673" s="23"/>
      <c r="J673" s="23"/>
      <c r="K673" s="24"/>
      <c r="L673" s="23">
        <v>31031</v>
      </c>
      <c r="M673" s="22">
        <f t="shared" si="70"/>
        <v>11516</v>
      </c>
      <c r="N673" s="22"/>
      <c r="O673" s="30">
        <f t="shared" si="71"/>
        <v>0.27066538181305377</v>
      </c>
    </row>
    <row r="674" spans="1:15" ht="20.100000000000001" customHeight="1" x14ac:dyDescent="0.25">
      <c r="A674" s="33">
        <v>859</v>
      </c>
      <c r="B674" s="9">
        <v>43013</v>
      </c>
      <c r="C674" s="18" t="s">
        <v>99</v>
      </c>
      <c r="D674" s="11">
        <v>2500</v>
      </c>
      <c r="E674" s="15">
        <v>43073</v>
      </c>
      <c r="F674" s="15" t="s">
        <v>28</v>
      </c>
      <c r="G674" s="12">
        <v>43013</v>
      </c>
      <c r="H674" s="23">
        <f t="shared" si="69"/>
        <v>2500</v>
      </c>
      <c r="I674" s="23"/>
      <c r="J674" s="23"/>
      <c r="K674" s="24"/>
      <c r="L674" s="23">
        <v>1250</v>
      </c>
      <c r="M674" s="22">
        <f t="shared" si="70"/>
        <v>1250</v>
      </c>
      <c r="N674" s="22"/>
      <c r="O674" s="30">
        <f t="shared" si="71"/>
        <v>0.5</v>
      </c>
    </row>
    <row r="675" spans="1:15" ht="20.100000000000001" customHeight="1" x14ac:dyDescent="0.25">
      <c r="A675" s="33">
        <v>841</v>
      </c>
      <c r="B675" s="9">
        <v>43010</v>
      </c>
      <c r="C675" s="18" t="s">
        <v>99</v>
      </c>
      <c r="D675" s="11">
        <v>229537</v>
      </c>
      <c r="E675" s="15">
        <v>43073</v>
      </c>
      <c r="F675" s="15" t="s">
        <v>28</v>
      </c>
      <c r="G675" s="12">
        <v>43026</v>
      </c>
      <c r="H675" s="23">
        <f t="shared" si="69"/>
        <v>229537</v>
      </c>
      <c r="I675" s="23"/>
      <c r="J675" s="23">
        <v>36000</v>
      </c>
      <c r="K675" s="24"/>
      <c r="L675" s="23">
        <v>83476</v>
      </c>
      <c r="M675" s="22">
        <f t="shared" si="70"/>
        <v>110061</v>
      </c>
      <c r="N675" s="22"/>
      <c r="O675" s="30">
        <f t="shared" si="71"/>
        <v>0.47949132383885823</v>
      </c>
    </row>
    <row r="676" spans="1:15" ht="20.100000000000001" customHeight="1" x14ac:dyDescent="0.25">
      <c r="A676" s="33">
        <v>1030</v>
      </c>
      <c r="B676" s="9">
        <v>43070</v>
      </c>
      <c r="C676" s="18" t="s">
        <v>278</v>
      </c>
      <c r="D676" s="11">
        <v>6193</v>
      </c>
      <c r="E676" s="15">
        <v>43073</v>
      </c>
      <c r="F676" s="15" t="s">
        <v>28</v>
      </c>
      <c r="G676" s="12">
        <v>43074</v>
      </c>
      <c r="H676" s="23">
        <f t="shared" si="69"/>
        <v>6193</v>
      </c>
      <c r="I676" s="23"/>
      <c r="J676" s="23"/>
      <c r="K676" s="24"/>
      <c r="L676" s="23">
        <v>4023</v>
      </c>
      <c r="M676" s="22">
        <f t="shared" si="70"/>
        <v>2170</v>
      </c>
      <c r="N676" s="22"/>
      <c r="O676" s="30">
        <f t="shared" si="71"/>
        <v>0.3503956079444534</v>
      </c>
    </row>
    <row r="677" spans="1:15" ht="20.100000000000001" customHeight="1" x14ac:dyDescent="0.25">
      <c r="A677" s="33">
        <v>1032</v>
      </c>
      <c r="B677" s="9">
        <v>43073</v>
      </c>
      <c r="C677" s="18" t="s">
        <v>209</v>
      </c>
      <c r="D677" s="11">
        <v>5915</v>
      </c>
      <c r="E677" s="15">
        <v>43074</v>
      </c>
      <c r="F677" s="15" t="s">
        <v>28</v>
      </c>
      <c r="G677" s="12">
        <v>43073</v>
      </c>
      <c r="H677" s="23">
        <f t="shared" si="69"/>
        <v>5915</v>
      </c>
      <c r="I677" s="23"/>
      <c r="J677" s="23"/>
      <c r="K677" s="24"/>
      <c r="L677" s="23">
        <v>5358</v>
      </c>
      <c r="M677" s="22">
        <f t="shared" si="70"/>
        <v>557</v>
      </c>
      <c r="N677" s="22"/>
      <c r="O677" s="30">
        <f t="shared" si="71"/>
        <v>9.416737109044801E-2</v>
      </c>
    </row>
    <row r="678" spans="1:15" ht="20.100000000000001" customHeight="1" x14ac:dyDescent="0.25">
      <c r="A678" s="33">
        <v>1034</v>
      </c>
      <c r="B678" s="9">
        <v>43073</v>
      </c>
      <c r="C678" s="18" t="s">
        <v>101</v>
      </c>
      <c r="D678" s="11">
        <v>8290</v>
      </c>
      <c r="E678" s="15">
        <v>43074</v>
      </c>
      <c r="F678" s="15" t="s">
        <v>28</v>
      </c>
      <c r="G678" s="12">
        <v>43075</v>
      </c>
      <c r="H678" s="23">
        <f t="shared" si="69"/>
        <v>8290</v>
      </c>
      <c r="I678" s="23"/>
      <c r="J678" s="23"/>
      <c r="K678" s="24"/>
      <c r="L678" s="23">
        <v>6093</v>
      </c>
      <c r="M678" s="22">
        <f t="shared" si="70"/>
        <v>2197</v>
      </c>
      <c r="N678" s="22"/>
      <c r="O678" s="30">
        <f t="shared" si="71"/>
        <v>0.26501809408926419</v>
      </c>
    </row>
    <row r="679" spans="1:15" ht="20.100000000000001" customHeight="1" x14ac:dyDescent="0.25">
      <c r="A679" s="33">
        <v>1007</v>
      </c>
      <c r="B679" s="9">
        <v>43061</v>
      </c>
      <c r="C679" s="18" t="s">
        <v>11</v>
      </c>
      <c r="D679" s="11">
        <v>7095</v>
      </c>
      <c r="E679" s="15">
        <v>43074</v>
      </c>
      <c r="F679" s="15" t="s">
        <v>28</v>
      </c>
      <c r="G679" s="12">
        <v>43076</v>
      </c>
      <c r="H679" s="23">
        <f t="shared" si="69"/>
        <v>7095</v>
      </c>
      <c r="I679" s="23"/>
      <c r="J679" s="23"/>
      <c r="K679" s="24"/>
      <c r="L679" s="23">
        <v>4311</v>
      </c>
      <c r="M679" s="22">
        <f t="shared" si="70"/>
        <v>2784</v>
      </c>
      <c r="N679" s="22"/>
      <c r="O679" s="30">
        <f t="shared" si="71"/>
        <v>0.39238900634249474</v>
      </c>
    </row>
    <row r="680" spans="1:15" ht="20.100000000000001" customHeight="1" x14ac:dyDescent="0.25">
      <c r="A680" s="33">
        <v>1046</v>
      </c>
      <c r="B680" s="15">
        <v>43075</v>
      </c>
      <c r="C680" s="18" t="s">
        <v>101</v>
      </c>
      <c r="D680" s="11">
        <v>1266</v>
      </c>
      <c r="E680" s="15">
        <v>43075</v>
      </c>
      <c r="F680" s="15" t="s">
        <v>28</v>
      </c>
      <c r="G680" s="12">
        <v>43075</v>
      </c>
      <c r="H680" s="23">
        <f t="shared" si="69"/>
        <v>1266</v>
      </c>
      <c r="I680" s="23"/>
      <c r="J680" s="23"/>
      <c r="K680" s="24"/>
      <c r="L680" s="23">
        <v>952</v>
      </c>
      <c r="M680" s="22">
        <f t="shared" si="70"/>
        <v>314</v>
      </c>
      <c r="N680" s="22"/>
      <c r="O680" s="30">
        <f t="shared" si="71"/>
        <v>0.24802527646129541</v>
      </c>
    </row>
    <row r="681" spans="1:15" ht="20.100000000000001" customHeight="1" x14ac:dyDescent="0.25">
      <c r="A681" s="33">
        <v>1041</v>
      </c>
      <c r="B681" s="15">
        <v>43074</v>
      </c>
      <c r="C681" s="20" t="s">
        <v>304</v>
      </c>
      <c r="D681" s="11">
        <v>47790</v>
      </c>
      <c r="E681" s="15">
        <v>43075</v>
      </c>
      <c r="F681" s="15" t="s">
        <v>28</v>
      </c>
      <c r="G681" s="12">
        <v>43076</v>
      </c>
      <c r="H681" s="23">
        <f t="shared" si="69"/>
        <v>47790</v>
      </c>
      <c r="I681" s="23">
        <f>H681</f>
        <v>47790</v>
      </c>
      <c r="J681" s="23"/>
      <c r="K681" s="24"/>
      <c r="L681" s="23">
        <v>36129</v>
      </c>
      <c r="M681" s="22">
        <f t="shared" si="70"/>
        <v>11661</v>
      </c>
      <c r="N681" s="22">
        <f>M681</f>
        <v>11661</v>
      </c>
      <c r="O681" s="30">
        <f t="shared" si="71"/>
        <v>0.24400502197112367</v>
      </c>
    </row>
    <row r="682" spans="1:15" ht="20.100000000000001" customHeight="1" x14ac:dyDescent="0.25">
      <c r="A682" s="33">
        <v>1057</v>
      </c>
      <c r="B682" s="15">
        <v>43077</v>
      </c>
      <c r="C682" s="20" t="s">
        <v>305</v>
      </c>
      <c r="D682" s="11">
        <v>14990</v>
      </c>
      <c r="E682" s="15">
        <v>43077</v>
      </c>
      <c r="F682" s="15" t="s">
        <v>28</v>
      </c>
      <c r="G682" s="12">
        <v>43080</v>
      </c>
      <c r="H682" s="23">
        <f t="shared" si="69"/>
        <v>14990</v>
      </c>
      <c r="I682" s="23">
        <f>H682</f>
        <v>14990</v>
      </c>
      <c r="J682" s="23"/>
      <c r="K682" s="24"/>
      <c r="L682" s="23">
        <v>14483</v>
      </c>
      <c r="M682" s="22">
        <f t="shared" si="70"/>
        <v>507</v>
      </c>
      <c r="N682" s="22">
        <f>M682</f>
        <v>507</v>
      </c>
      <c r="O682" s="30">
        <f t="shared" si="71"/>
        <v>3.3822548365577049E-2</v>
      </c>
    </row>
    <row r="683" spans="1:15" ht="20.100000000000001" customHeight="1" x14ac:dyDescent="0.25">
      <c r="A683" s="33">
        <v>845</v>
      </c>
      <c r="B683" s="15">
        <v>43074</v>
      </c>
      <c r="C683" s="18" t="s">
        <v>30</v>
      </c>
      <c r="D683" s="11">
        <v>4398</v>
      </c>
      <c r="E683" s="15">
        <v>43077</v>
      </c>
      <c r="F683" s="15" t="s">
        <v>28</v>
      </c>
      <c r="G683" s="12">
        <v>43080</v>
      </c>
      <c r="H683" s="23">
        <f t="shared" si="69"/>
        <v>4398</v>
      </c>
      <c r="I683" s="23"/>
      <c r="J683" s="23"/>
      <c r="K683" s="24"/>
      <c r="L683" s="23">
        <v>3186</v>
      </c>
      <c r="M683" s="22">
        <f t="shared" si="70"/>
        <v>1212</v>
      </c>
      <c r="N683" s="22"/>
      <c r="O683" s="30">
        <f t="shared" si="71"/>
        <v>0.27557980900409279</v>
      </c>
    </row>
    <row r="684" spans="1:15" ht="20.100000000000001" customHeight="1" x14ac:dyDescent="0.25">
      <c r="A684" s="33">
        <v>1027</v>
      </c>
      <c r="B684" s="15">
        <v>43069</v>
      </c>
      <c r="C684" s="18" t="s">
        <v>15</v>
      </c>
      <c r="D684" s="11">
        <v>4163.04</v>
      </c>
      <c r="E684" s="15">
        <v>43077</v>
      </c>
      <c r="F684" s="15" t="s">
        <v>28</v>
      </c>
      <c r="G684" s="12">
        <v>43084</v>
      </c>
      <c r="H684" s="23">
        <f t="shared" si="69"/>
        <v>4163.04</v>
      </c>
      <c r="I684" s="23"/>
      <c r="J684" s="23"/>
      <c r="K684" s="24"/>
      <c r="L684" s="23">
        <v>3248</v>
      </c>
      <c r="M684" s="22">
        <f t="shared" si="70"/>
        <v>915.04</v>
      </c>
      <c r="N684" s="22"/>
      <c r="O684" s="30">
        <f t="shared" si="71"/>
        <v>0.21980091471616894</v>
      </c>
    </row>
    <row r="685" spans="1:15" ht="20.100000000000001" customHeight="1" x14ac:dyDescent="0.25">
      <c r="A685" s="33">
        <v>1061</v>
      </c>
      <c r="B685" s="15">
        <v>43080</v>
      </c>
      <c r="C685" s="20" t="s">
        <v>305</v>
      </c>
      <c r="D685" s="11">
        <v>14990</v>
      </c>
      <c r="E685" s="15">
        <v>43080</v>
      </c>
      <c r="F685" s="15" t="s">
        <v>28</v>
      </c>
      <c r="G685" s="12">
        <v>43081</v>
      </c>
      <c r="H685" s="23">
        <f t="shared" si="69"/>
        <v>14990</v>
      </c>
      <c r="I685" s="23">
        <f>H685</f>
        <v>14990</v>
      </c>
      <c r="J685" s="23"/>
      <c r="K685" s="24"/>
      <c r="L685" s="23">
        <v>12592</v>
      </c>
      <c r="M685" s="22">
        <f t="shared" si="70"/>
        <v>2398</v>
      </c>
      <c r="N685" s="22">
        <f>M685</f>
        <v>2398</v>
      </c>
      <c r="O685" s="30">
        <f t="shared" si="71"/>
        <v>0.15997331554369579</v>
      </c>
    </row>
    <row r="686" spans="1:15" ht="20.100000000000001" customHeight="1" x14ac:dyDescent="0.25">
      <c r="A686" s="33">
        <v>1012</v>
      </c>
      <c r="B686" s="9">
        <v>43062</v>
      </c>
      <c r="C686" s="18" t="s">
        <v>209</v>
      </c>
      <c r="D686" s="11">
        <v>7701</v>
      </c>
      <c r="E686" s="15">
        <v>43080</v>
      </c>
      <c r="F686" s="15" t="s">
        <v>28</v>
      </c>
      <c r="G686" s="12">
        <v>43075</v>
      </c>
      <c r="H686" s="23">
        <f t="shared" si="69"/>
        <v>7701</v>
      </c>
      <c r="I686" s="23"/>
      <c r="J686" s="23"/>
      <c r="K686" s="24"/>
      <c r="L686" s="23">
        <v>3100</v>
      </c>
      <c r="M686" s="22">
        <f t="shared" si="70"/>
        <v>4601</v>
      </c>
      <c r="N686" s="22"/>
      <c r="O686" s="30">
        <f t="shared" si="71"/>
        <v>0.59745487599013114</v>
      </c>
    </row>
    <row r="687" spans="1:15" ht="20.100000000000001" customHeight="1" x14ac:dyDescent="0.25">
      <c r="A687" s="33">
        <v>1033</v>
      </c>
      <c r="B687" s="9">
        <v>43073</v>
      </c>
      <c r="C687" s="18" t="s">
        <v>209</v>
      </c>
      <c r="D687" s="11">
        <v>1575</v>
      </c>
      <c r="E687" s="15">
        <v>43080</v>
      </c>
      <c r="F687" s="15" t="s">
        <v>28</v>
      </c>
      <c r="G687" s="12">
        <v>43087</v>
      </c>
      <c r="H687" s="23">
        <f t="shared" si="69"/>
        <v>1575</v>
      </c>
      <c r="I687" s="23"/>
      <c r="J687" s="23"/>
      <c r="K687" s="24"/>
      <c r="L687" s="23">
        <v>1446</v>
      </c>
      <c r="M687" s="22">
        <f t="shared" si="70"/>
        <v>129</v>
      </c>
      <c r="N687" s="22"/>
      <c r="O687" s="30">
        <f t="shared" si="71"/>
        <v>8.1904761904761911E-2</v>
      </c>
    </row>
    <row r="688" spans="1:15" ht="20.100000000000001" customHeight="1" x14ac:dyDescent="0.25">
      <c r="A688" s="33">
        <v>1040</v>
      </c>
      <c r="B688" s="9">
        <v>43074</v>
      </c>
      <c r="C688" s="18" t="s">
        <v>175</v>
      </c>
      <c r="D688" s="11">
        <v>7307.4</v>
      </c>
      <c r="E688" s="15">
        <v>43081</v>
      </c>
      <c r="F688" s="15" t="s">
        <v>28</v>
      </c>
      <c r="G688" s="12">
        <v>43087</v>
      </c>
      <c r="H688" s="23">
        <f t="shared" si="69"/>
        <v>7307.4</v>
      </c>
      <c r="I688" s="23"/>
      <c r="J688" s="23"/>
      <c r="K688" s="24"/>
      <c r="L688" s="23">
        <v>5786</v>
      </c>
      <c r="M688" s="22">
        <f t="shared" si="70"/>
        <v>1521.3999999999996</v>
      </c>
      <c r="N688" s="22"/>
      <c r="O688" s="30">
        <f t="shared" si="71"/>
        <v>0.20819990694364612</v>
      </c>
    </row>
    <row r="689" spans="1:15" ht="20.100000000000001" customHeight="1" x14ac:dyDescent="0.25">
      <c r="A689" s="33">
        <v>1051</v>
      </c>
      <c r="B689" s="9">
        <v>43076</v>
      </c>
      <c r="C689" s="18" t="s">
        <v>77</v>
      </c>
      <c r="D689" s="11">
        <v>1466</v>
      </c>
      <c r="E689" s="15">
        <v>43081</v>
      </c>
      <c r="F689" s="15" t="s">
        <v>28</v>
      </c>
      <c r="G689" s="12">
        <v>43081</v>
      </c>
      <c r="H689" s="23">
        <f t="shared" si="69"/>
        <v>1466</v>
      </c>
      <c r="I689" s="23"/>
      <c r="J689" s="23"/>
      <c r="K689" s="24"/>
      <c r="L689" s="23">
        <v>1193</v>
      </c>
      <c r="M689" s="22">
        <f t="shared" si="70"/>
        <v>273</v>
      </c>
      <c r="N689" s="22"/>
      <c r="O689" s="30">
        <f t="shared" si="71"/>
        <v>0.18622100954979537</v>
      </c>
    </row>
    <row r="690" spans="1:15" ht="20.100000000000001" customHeight="1" x14ac:dyDescent="0.25">
      <c r="A690" s="33">
        <v>1064</v>
      </c>
      <c r="B690" s="9">
        <v>43080</v>
      </c>
      <c r="C690" s="18" t="s">
        <v>77</v>
      </c>
      <c r="D690" s="11">
        <v>1647</v>
      </c>
      <c r="E690" s="15">
        <v>43081</v>
      </c>
      <c r="F690" s="15" t="s">
        <v>28</v>
      </c>
      <c r="G690" s="12">
        <v>43082</v>
      </c>
      <c r="H690" s="23">
        <f t="shared" si="69"/>
        <v>1647</v>
      </c>
      <c r="I690" s="23"/>
      <c r="J690" s="23"/>
      <c r="K690" s="24"/>
      <c r="L690" s="23">
        <v>1062</v>
      </c>
      <c r="M690" s="22">
        <f t="shared" si="70"/>
        <v>585</v>
      </c>
      <c r="N690" s="22"/>
      <c r="O690" s="30">
        <f t="shared" si="71"/>
        <v>0.3551912568306011</v>
      </c>
    </row>
    <row r="691" spans="1:15" ht="20.100000000000001" customHeight="1" x14ac:dyDescent="0.25">
      <c r="A691" s="33">
        <v>1029</v>
      </c>
      <c r="B691" s="9">
        <v>43070</v>
      </c>
      <c r="C691" s="18" t="s">
        <v>228</v>
      </c>
      <c r="D691" s="11">
        <v>4552.92</v>
      </c>
      <c r="E691" s="15">
        <v>43081</v>
      </c>
      <c r="F691" s="15" t="s">
        <v>28</v>
      </c>
      <c r="G691" s="12">
        <v>43098</v>
      </c>
      <c r="H691" s="23">
        <f t="shared" si="69"/>
        <v>4552.92</v>
      </c>
      <c r="I691" s="23"/>
      <c r="J691" s="23"/>
      <c r="K691" s="24"/>
      <c r="L691" s="23">
        <v>3004</v>
      </c>
      <c r="M691" s="22">
        <f t="shared" si="70"/>
        <v>1548.92</v>
      </c>
      <c r="N691" s="22"/>
      <c r="O691" s="30">
        <f t="shared" si="71"/>
        <v>0.3402036495260185</v>
      </c>
    </row>
    <row r="692" spans="1:15" ht="20.100000000000001" customHeight="1" x14ac:dyDescent="0.25">
      <c r="A692" s="33">
        <v>1039</v>
      </c>
      <c r="B692" s="9">
        <v>43074</v>
      </c>
      <c r="C692" s="18" t="s">
        <v>175</v>
      </c>
      <c r="D692" s="11">
        <v>16497.7</v>
      </c>
      <c r="E692" s="15">
        <v>43082</v>
      </c>
      <c r="F692" s="15" t="s">
        <v>28</v>
      </c>
      <c r="G692" s="12">
        <v>43087</v>
      </c>
      <c r="H692" s="23">
        <f t="shared" si="69"/>
        <v>16497.7</v>
      </c>
      <c r="I692" s="23"/>
      <c r="J692" s="23"/>
      <c r="K692" s="24"/>
      <c r="L692" s="23">
        <v>13488</v>
      </c>
      <c r="M692" s="22">
        <f t="shared" si="70"/>
        <v>3009.7000000000007</v>
      </c>
      <c r="N692" s="22"/>
      <c r="O692" s="30">
        <f t="shared" si="71"/>
        <v>0.182431490450184</v>
      </c>
    </row>
    <row r="693" spans="1:15" ht="20.100000000000001" customHeight="1" x14ac:dyDescent="0.25">
      <c r="A693" s="33">
        <v>1065</v>
      </c>
      <c r="B693" s="9">
        <v>43080</v>
      </c>
      <c r="C693" s="20" t="s">
        <v>307</v>
      </c>
      <c r="D693" s="11">
        <v>19232</v>
      </c>
      <c r="E693" s="15">
        <v>43082</v>
      </c>
      <c r="F693" s="15" t="s">
        <v>28</v>
      </c>
      <c r="G693" s="12">
        <v>43083</v>
      </c>
      <c r="H693" s="23">
        <f t="shared" si="69"/>
        <v>19232</v>
      </c>
      <c r="I693" s="23">
        <f>H693</f>
        <v>19232</v>
      </c>
      <c r="J693" s="23"/>
      <c r="K693" s="24"/>
      <c r="L693" s="23">
        <v>14223</v>
      </c>
      <c r="M693" s="22">
        <f t="shared" si="70"/>
        <v>5009</v>
      </c>
      <c r="N693" s="22">
        <f>M693</f>
        <v>5009</v>
      </c>
      <c r="O693" s="30">
        <f t="shared" si="71"/>
        <v>0.26045133111480867</v>
      </c>
    </row>
    <row r="694" spans="1:15" ht="20.100000000000001" customHeight="1" x14ac:dyDescent="0.25">
      <c r="A694" s="33">
        <v>1083</v>
      </c>
      <c r="B694" s="9">
        <v>43083</v>
      </c>
      <c r="C694" s="18" t="s">
        <v>303</v>
      </c>
      <c r="D694" s="11">
        <v>25330</v>
      </c>
      <c r="E694" s="15">
        <v>43083</v>
      </c>
      <c r="F694" s="15" t="s">
        <v>28</v>
      </c>
      <c r="G694" s="12">
        <v>43083</v>
      </c>
      <c r="H694" s="23">
        <f t="shared" si="69"/>
        <v>25330</v>
      </c>
      <c r="I694" s="23"/>
      <c r="J694" s="23"/>
      <c r="K694" s="24"/>
      <c r="L694" s="23">
        <v>14800</v>
      </c>
      <c r="M694" s="22">
        <f t="shared" si="70"/>
        <v>10530</v>
      </c>
      <c r="N694" s="22"/>
      <c r="O694" s="30">
        <f t="shared" si="71"/>
        <v>0.41571259376233716</v>
      </c>
    </row>
    <row r="695" spans="1:15" ht="20.100000000000001" customHeight="1" x14ac:dyDescent="0.25">
      <c r="A695" s="33">
        <v>1050</v>
      </c>
      <c r="B695" s="9">
        <v>43076</v>
      </c>
      <c r="C695" s="18" t="s">
        <v>180</v>
      </c>
      <c r="D695" s="11">
        <v>40646</v>
      </c>
      <c r="E695" s="15">
        <v>43083</v>
      </c>
      <c r="F695" s="15" t="s">
        <v>28</v>
      </c>
      <c r="G695" s="12">
        <v>43098</v>
      </c>
      <c r="H695" s="23">
        <f t="shared" si="69"/>
        <v>40646</v>
      </c>
      <c r="I695" s="23"/>
      <c r="J695" s="23"/>
      <c r="K695" s="24">
        <f>2*1200</f>
        <v>2400</v>
      </c>
      <c r="L695" s="23">
        <v>20468</v>
      </c>
      <c r="M695" s="22">
        <f t="shared" si="70"/>
        <v>17778</v>
      </c>
      <c r="N695" s="22"/>
      <c r="O695" s="30">
        <f t="shared" si="71"/>
        <v>0.43738621266545291</v>
      </c>
    </row>
    <row r="696" spans="1:15" ht="19.5" customHeight="1" x14ac:dyDescent="0.25">
      <c r="A696" s="33">
        <v>1024</v>
      </c>
      <c r="B696" s="9">
        <v>43077</v>
      </c>
      <c r="C696" s="18" t="s">
        <v>65</v>
      </c>
      <c r="D696" s="11">
        <v>95140</v>
      </c>
      <c r="E696" s="15">
        <v>43083</v>
      </c>
      <c r="F696" s="15" t="s">
        <v>28</v>
      </c>
      <c r="G696" s="12">
        <v>43151</v>
      </c>
      <c r="H696" s="23">
        <f t="shared" si="69"/>
        <v>95140</v>
      </c>
      <c r="I696" s="23"/>
      <c r="J696" s="23"/>
      <c r="K696" s="24">
        <f>16*1200</f>
        <v>19200</v>
      </c>
      <c r="L696" s="23">
        <v>37174</v>
      </c>
      <c r="M696" s="22">
        <f t="shared" si="70"/>
        <v>38766</v>
      </c>
      <c r="N696" s="22"/>
      <c r="O696" s="30">
        <f t="shared" si="71"/>
        <v>0.40746268656716417</v>
      </c>
    </row>
    <row r="697" spans="1:15" ht="15.75" x14ac:dyDescent="0.25">
      <c r="A697" s="33">
        <v>1090</v>
      </c>
      <c r="B697" s="9">
        <v>43084</v>
      </c>
      <c r="C697" s="20" t="s">
        <v>308</v>
      </c>
      <c r="D697" s="11">
        <v>2215</v>
      </c>
      <c r="E697" s="15">
        <v>43087</v>
      </c>
      <c r="F697" s="15" t="s">
        <v>28</v>
      </c>
      <c r="G697" s="12">
        <v>43089</v>
      </c>
      <c r="H697" s="23">
        <f t="shared" si="69"/>
        <v>2215</v>
      </c>
      <c r="I697" s="23">
        <f>H697</f>
        <v>2215</v>
      </c>
      <c r="J697" s="23"/>
      <c r="K697" s="24"/>
      <c r="L697" s="23">
        <v>1728</v>
      </c>
      <c r="M697" s="22">
        <f t="shared" si="70"/>
        <v>487</v>
      </c>
      <c r="N697" s="22">
        <f>M697</f>
        <v>487</v>
      </c>
      <c r="O697" s="30">
        <f t="shared" si="71"/>
        <v>0.21986455981941308</v>
      </c>
    </row>
    <row r="698" spans="1:15" s="2" customFormat="1" ht="20.100000000000001" customHeight="1" x14ac:dyDescent="0.25">
      <c r="A698" s="33">
        <v>926</v>
      </c>
      <c r="B698" s="9">
        <v>43034</v>
      </c>
      <c r="C698" s="18" t="s">
        <v>56</v>
      </c>
      <c r="D698" s="11">
        <v>155542.17000000001</v>
      </c>
      <c r="E698" s="15">
        <v>43088</v>
      </c>
      <c r="F698" s="15" t="s">
        <v>28</v>
      </c>
      <c r="G698" s="12">
        <v>43074</v>
      </c>
      <c r="H698" s="23">
        <f t="shared" si="69"/>
        <v>155542.17000000001</v>
      </c>
      <c r="I698" s="23"/>
      <c r="J698" s="23"/>
      <c r="K698" s="24"/>
      <c r="L698" s="23">
        <v>114399</v>
      </c>
      <c r="M698" s="22">
        <f t="shared" si="70"/>
        <v>41143.170000000013</v>
      </c>
      <c r="N698" s="22"/>
      <c r="O698" s="30">
        <f t="shared" si="71"/>
        <v>0.26451456862148709</v>
      </c>
    </row>
    <row r="699" spans="1:15" ht="20.100000000000001" customHeight="1" x14ac:dyDescent="0.25">
      <c r="A699" s="33">
        <v>1089</v>
      </c>
      <c r="B699" s="9">
        <v>43084</v>
      </c>
      <c r="C699" s="18" t="s">
        <v>30</v>
      </c>
      <c r="D699" s="11">
        <v>2072</v>
      </c>
      <c r="E699" s="15">
        <v>43088</v>
      </c>
      <c r="F699" s="15" t="s">
        <v>28</v>
      </c>
      <c r="G699" s="12">
        <v>43089</v>
      </c>
      <c r="H699" s="23">
        <f t="shared" si="69"/>
        <v>2072</v>
      </c>
      <c r="I699" s="23"/>
      <c r="J699" s="23"/>
      <c r="K699" s="24"/>
      <c r="L699" s="23">
        <v>1500</v>
      </c>
      <c r="M699" s="22">
        <f t="shared" si="70"/>
        <v>572</v>
      </c>
      <c r="N699" s="22"/>
      <c r="O699" s="30">
        <f t="shared" si="71"/>
        <v>0.27606177606177607</v>
      </c>
    </row>
    <row r="700" spans="1:15" ht="20.100000000000001" customHeight="1" x14ac:dyDescent="0.25">
      <c r="A700" s="33">
        <v>1066</v>
      </c>
      <c r="B700" s="9">
        <v>43080</v>
      </c>
      <c r="C700" s="18" t="s">
        <v>50</v>
      </c>
      <c r="D700" s="11">
        <v>14246</v>
      </c>
      <c r="E700" s="15">
        <v>43089</v>
      </c>
      <c r="F700" s="15" t="s">
        <v>28</v>
      </c>
      <c r="G700" s="12">
        <v>43186</v>
      </c>
      <c r="H700" s="23">
        <f t="shared" si="69"/>
        <v>14246</v>
      </c>
      <c r="I700" s="23"/>
      <c r="J700" s="23"/>
      <c r="K700" s="24"/>
      <c r="L700" s="23">
        <v>11112</v>
      </c>
      <c r="M700" s="22">
        <f t="shared" si="70"/>
        <v>3134</v>
      </c>
      <c r="N700" s="22"/>
      <c r="O700" s="30">
        <f t="shared" si="71"/>
        <v>0.21999157658290047</v>
      </c>
    </row>
    <row r="701" spans="1:15" ht="20.100000000000001" customHeight="1" x14ac:dyDescent="0.25">
      <c r="A701" s="33">
        <v>1098</v>
      </c>
      <c r="B701" s="9">
        <v>43088</v>
      </c>
      <c r="C701" s="18" t="s">
        <v>278</v>
      </c>
      <c r="D701" s="11">
        <v>3083</v>
      </c>
      <c r="E701" s="15">
        <v>43089</v>
      </c>
      <c r="F701" s="15" t="s">
        <v>28</v>
      </c>
      <c r="G701" s="12">
        <v>43123</v>
      </c>
      <c r="H701" s="23">
        <f t="shared" si="69"/>
        <v>3083</v>
      </c>
      <c r="I701" s="23"/>
      <c r="J701" s="23"/>
      <c r="K701" s="24"/>
      <c r="L701" s="23">
        <v>2035</v>
      </c>
      <c r="M701" s="22">
        <f t="shared" si="70"/>
        <v>1048</v>
      </c>
      <c r="N701" s="22"/>
      <c r="O701" s="30">
        <f t="shared" si="71"/>
        <v>0.33992864093415504</v>
      </c>
    </row>
    <row r="702" spans="1:15" ht="20.100000000000001" customHeight="1" x14ac:dyDescent="0.25">
      <c r="A702" s="33">
        <v>1091</v>
      </c>
      <c r="B702" s="9">
        <v>43087</v>
      </c>
      <c r="C702" s="18" t="s">
        <v>216</v>
      </c>
      <c r="D702" s="11">
        <v>1197.6600000000001</v>
      </c>
      <c r="E702" s="15">
        <v>43089</v>
      </c>
      <c r="F702" s="15" t="s">
        <v>28</v>
      </c>
      <c r="G702" s="12">
        <v>43189</v>
      </c>
      <c r="H702" s="23">
        <f t="shared" si="69"/>
        <v>1197.6600000000001</v>
      </c>
      <c r="I702" s="23"/>
      <c r="J702" s="23"/>
      <c r="K702" s="24"/>
      <c r="L702" s="23">
        <v>930</v>
      </c>
      <c r="M702" s="22">
        <f t="shared" si="70"/>
        <v>267.66000000000008</v>
      </c>
      <c r="N702" s="22"/>
      <c r="O702" s="30">
        <f t="shared" si="71"/>
        <v>0.2234857973047443</v>
      </c>
    </row>
    <row r="703" spans="1:15" ht="20.100000000000001" customHeight="1" x14ac:dyDescent="0.25">
      <c r="A703" s="33">
        <v>911</v>
      </c>
      <c r="B703" s="9">
        <v>43031</v>
      </c>
      <c r="C703" s="20" t="s">
        <v>309</v>
      </c>
      <c r="D703" s="11">
        <v>5686</v>
      </c>
      <c r="E703" s="15">
        <v>43090</v>
      </c>
      <c r="F703" s="15" t="s">
        <v>28</v>
      </c>
      <c r="G703" s="12">
        <v>43091</v>
      </c>
      <c r="H703" s="23">
        <f t="shared" si="69"/>
        <v>5686</v>
      </c>
      <c r="I703" s="23">
        <f>H703</f>
        <v>5686</v>
      </c>
      <c r="J703" s="23"/>
      <c r="K703" s="24"/>
      <c r="L703" s="23">
        <v>4302</v>
      </c>
      <c r="M703" s="22">
        <f t="shared" si="70"/>
        <v>1384</v>
      </c>
      <c r="N703" s="22">
        <f>M703</f>
        <v>1384</v>
      </c>
      <c r="O703" s="30">
        <f t="shared" si="71"/>
        <v>0.24340485402743581</v>
      </c>
    </row>
    <row r="704" spans="1:15" ht="20.100000000000001" customHeight="1" x14ac:dyDescent="0.25">
      <c r="A704" s="33">
        <v>1076</v>
      </c>
      <c r="B704" s="9">
        <v>43082</v>
      </c>
      <c r="C704" s="18" t="s">
        <v>301</v>
      </c>
      <c r="D704" s="11">
        <v>1036</v>
      </c>
      <c r="E704" s="15">
        <v>43090</v>
      </c>
      <c r="F704" s="15" t="s">
        <v>28</v>
      </c>
      <c r="G704" s="12">
        <v>43091</v>
      </c>
      <c r="H704" s="23">
        <f t="shared" si="69"/>
        <v>1036</v>
      </c>
      <c r="I704" s="23"/>
      <c r="J704" s="23"/>
      <c r="K704" s="24"/>
      <c r="L704" s="23">
        <v>742</v>
      </c>
      <c r="M704" s="22">
        <f t="shared" si="70"/>
        <v>294</v>
      </c>
      <c r="N704" s="22"/>
      <c r="O704" s="30">
        <f t="shared" si="71"/>
        <v>0.28378378378378377</v>
      </c>
    </row>
    <row r="705" spans="1:15" ht="20.100000000000001" customHeight="1" x14ac:dyDescent="0.25">
      <c r="A705" s="33">
        <v>1099</v>
      </c>
      <c r="B705" s="9">
        <v>43089</v>
      </c>
      <c r="C705" s="18" t="s">
        <v>255</v>
      </c>
      <c r="D705" s="11">
        <v>2230</v>
      </c>
      <c r="E705" s="15">
        <v>43091</v>
      </c>
      <c r="F705" s="15" t="s">
        <v>28</v>
      </c>
      <c r="G705" s="12">
        <v>43095</v>
      </c>
      <c r="H705" s="23">
        <f t="shared" si="69"/>
        <v>2230</v>
      </c>
      <c r="I705" s="23"/>
      <c r="J705" s="23"/>
      <c r="K705" s="24"/>
      <c r="L705" s="23">
        <v>1615</v>
      </c>
      <c r="M705" s="22">
        <f t="shared" si="70"/>
        <v>615</v>
      </c>
      <c r="N705" s="22"/>
      <c r="O705" s="30">
        <f t="shared" si="71"/>
        <v>0.27578475336322872</v>
      </c>
    </row>
    <row r="706" spans="1:15" ht="20.100000000000001" customHeight="1" x14ac:dyDescent="0.25">
      <c r="A706" s="33">
        <v>841</v>
      </c>
      <c r="B706" s="9">
        <v>43026</v>
      </c>
      <c r="C706" s="18" t="s">
        <v>99</v>
      </c>
      <c r="D706" s="11">
        <v>13401</v>
      </c>
      <c r="E706" s="15">
        <v>43094</v>
      </c>
      <c r="F706" s="15" t="s">
        <v>28</v>
      </c>
      <c r="G706" s="12">
        <v>43047</v>
      </c>
      <c r="H706" s="23">
        <f t="shared" si="69"/>
        <v>13401</v>
      </c>
      <c r="I706" s="23"/>
      <c r="J706" s="23"/>
      <c r="K706" s="24"/>
      <c r="L706" s="23">
        <v>10452</v>
      </c>
      <c r="M706" s="22">
        <f t="shared" si="70"/>
        <v>2949</v>
      </c>
      <c r="N706" s="22"/>
      <c r="O706" s="30">
        <f t="shared" si="71"/>
        <v>0.22005820461159614</v>
      </c>
    </row>
    <row r="707" spans="1:15" ht="20.100000000000001" customHeight="1" x14ac:dyDescent="0.25">
      <c r="A707" s="33">
        <v>953</v>
      </c>
      <c r="B707" s="9">
        <v>43046</v>
      </c>
      <c r="C707" s="18" t="s">
        <v>99</v>
      </c>
      <c r="D707" s="11">
        <v>124562</v>
      </c>
      <c r="E707" s="15">
        <v>43094</v>
      </c>
      <c r="F707" s="15" t="s">
        <v>28</v>
      </c>
      <c r="G707" s="12">
        <v>43047</v>
      </c>
      <c r="H707" s="23">
        <f t="shared" si="69"/>
        <v>124562</v>
      </c>
      <c r="I707" s="23"/>
      <c r="J707" s="23"/>
      <c r="K707" s="24"/>
      <c r="L707" s="23">
        <v>93833</v>
      </c>
      <c r="M707" s="22">
        <f t="shared" si="70"/>
        <v>30729</v>
      </c>
      <c r="N707" s="22"/>
      <c r="O707" s="30">
        <f t="shared" si="71"/>
        <v>0.24669642427064434</v>
      </c>
    </row>
    <row r="708" spans="1:15" ht="20.100000000000001" customHeight="1" x14ac:dyDescent="0.25">
      <c r="A708" s="33">
        <v>848</v>
      </c>
      <c r="B708" s="9">
        <v>43011</v>
      </c>
      <c r="C708" s="18" t="s">
        <v>99</v>
      </c>
      <c r="D708" s="11">
        <v>20044</v>
      </c>
      <c r="E708" s="15">
        <v>43094</v>
      </c>
      <c r="F708" s="15" t="s">
        <v>28</v>
      </c>
      <c r="G708" s="12">
        <v>43056</v>
      </c>
      <c r="H708" s="23">
        <f t="shared" si="69"/>
        <v>20044</v>
      </c>
      <c r="I708" s="23"/>
      <c r="J708" s="23"/>
      <c r="K708" s="24"/>
      <c r="L708" s="23">
        <v>15634</v>
      </c>
      <c r="M708" s="22">
        <f t="shared" si="70"/>
        <v>4410</v>
      </c>
      <c r="N708" s="22"/>
      <c r="O708" s="30">
        <f t="shared" si="71"/>
        <v>0.22001596487727001</v>
      </c>
    </row>
    <row r="709" spans="1:15" ht="20.100000000000001" customHeight="1" x14ac:dyDescent="0.25">
      <c r="A709" s="33">
        <v>953</v>
      </c>
      <c r="B709" s="9">
        <v>43046</v>
      </c>
      <c r="C709" s="18" t="s">
        <v>99</v>
      </c>
      <c r="D709" s="11">
        <v>102898</v>
      </c>
      <c r="E709" s="15">
        <v>43094</v>
      </c>
      <c r="F709" s="15" t="s">
        <v>28</v>
      </c>
      <c r="G709" s="12">
        <v>43059</v>
      </c>
      <c r="H709" s="23">
        <f t="shared" si="69"/>
        <v>102898</v>
      </c>
      <c r="I709" s="23"/>
      <c r="J709" s="23"/>
      <c r="K709" s="24"/>
      <c r="L709" s="23">
        <v>80212</v>
      </c>
      <c r="M709" s="22">
        <f t="shared" si="70"/>
        <v>22686</v>
      </c>
      <c r="N709" s="22"/>
      <c r="O709" s="30">
        <f t="shared" si="71"/>
        <v>0.22047075744912437</v>
      </c>
    </row>
    <row r="710" spans="1:15" ht="20.100000000000001" customHeight="1" x14ac:dyDescent="0.25">
      <c r="A710" s="33">
        <v>953</v>
      </c>
      <c r="B710" s="9">
        <v>43046</v>
      </c>
      <c r="C710" s="18" t="s">
        <v>99</v>
      </c>
      <c r="D710" s="11">
        <v>201144</v>
      </c>
      <c r="E710" s="15">
        <v>43094</v>
      </c>
      <c r="F710" s="15" t="s">
        <v>28</v>
      </c>
      <c r="G710" s="12">
        <v>43067</v>
      </c>
      <c r="H710" s="23">
        <f t="shared" si="69"/>
        <v>201144</v>
      </c>
      <c r="I710" s="23"/>
      <c r="J710" s="23">
        <f>17*3000</f>
        <v>51000</v>
      </c>
      <c r="K710" s="24"/>
      <c r="L710" s="23">
        <v>21456.799999999999</v>
      </c>
      <c r="M710" s="22">
        <f t="shared" si="70"/>
        <v>128687.20000000001</v>
      </c>
      <c r="N710" s="22"/>
      <c r="O710" s="30">
        <f t="shared" si="71"/>
        <v>0.63977647854273556</v>
      </c>
    </row>
    <row r="711" spans="1:15" ht="20.100000000000001" customHeight="1" x14ac:dyDescent="0.25">
      <c r="A711" s="33">
        <v>1062</v>
      </c>
      <c r="B711" s="9">
        <v>43080</v>
      </c>
      <c r="C711" s="18" t="s">
        <v>11</v>
      </c>
      <c r="D711" s="11">
        <v>1906</v>
      </c>
      <c r="E711" s="15">
        <v>43095</v>
      </c>
      <c r="F711" s="15" t="s">
        <v>28</v>
      </c>
      <c r="G711" s="12">
        <v>43097</v>
      </c>
      <c r="H711" s="23">
        <f t="shared" si="69"/>
        <v>1906</v>
      </c>
      <c r="I711" s="23"/>
      <c r="J711" s="23"/>
      <c r="K711" s="24"/>
      <c r="L711" s="23">
        <v>1156</v>
      </c>
      <c r="M711" s="22">
        <f t="shared" si="70"/>
        <v>750</v>
      </c>
      <c r="N711" s="22"/>
      <c r="O711" s="30">
        <f t="shared" si="71"/>
        <v>0.39349422875131163</v>
      </c>
    </row>
    <row r="712" spans="1:15" ht="20.100000000000001" customHeight="1" x14ac:dyDescent="0.25">
      <c r="A712" s="33">
        <v>1108</v>
      </c>
      <c r="B712" s="9">
        <v>43095</v>
      </c>
      <c r="C712" s="18" t="s">
        <v>211</v>
      </c>
      <c r="D712" s="11">
        <v>14571</v>
      </c>
      <c r="E712" s="15">
        <v>43095</v>
      </c>
      <c r="F712" s="15" t="s">
        <v>28</v>
      </c>
      <c r="G712" s="12">
        <v>43096</v>
      </c>
      <c r="H712" s="23">
        <f t="shared" si="69"/>
        <v>14571</v>
      </c>
      <c r="I712" s="23"/>
      <c r="J712" s="23"/>
      <c r="K712" s="24"/>
      <c r="L712" s="23">
        <v>11065</v>
      </c>
      <c r="M712" s="22">
        <f t="shared" si="70"/>
        <v>3506</v>
      </c>
      <c r="N712" s="22"/>
      <c r="O712" s="30">
        <f t="shared" si="71"/>
        <v>0.24061492004666804</v>
      </c>
    </row>
    <row r="713" spans="1:15" ht="20.100000000000001" customHeight="1" x14ac:dyDescent="0.25">
      <c r="A713" s="33">
        <v>945</v>
      </c>
      <c r="B713" s="9">
        <v>43040</v>
      </c>
      <c r="C713" s="18" t="s">
        <v>13</v>
      </c>
      <c r="D713" s="11">
        <v>10210</v>
      </c>
      <c r="E713" s="15">
        <v>43095</v>
      </c>
      <c r="F713" s="15" t="s">
        <v>28</v>
      </c>
      <c r="G713" s="12">
        <v>43084</v>
      </c>
      <c r="H713" s="23">
        <f t="shared" si="69"/>
        <v>10210</v>
      </c>
      <c r="I713" s="23"/>
      <c r="J713" s="23"/>
      <c r="K713" s="24"/>
      <c r="L713" s="23">
        <v>6738</v>
      </c>
      <c r="M713" s="22">
        <f t="shared" si="70"/>
        <v>3472</v>
      </c>
      <c r="N713" s="22"/>
      <c r="O713" s="30">
        <f t="shared" si="71"/>
        <v>0.34005876591576883</v>
      </c>
    </row>
    <row r="714" spans="1:15" ht="20.100000000000001" customHeight="1" x14ac:dyDescent="0.25">
      <c r="A714" s="33">
        <v>1059</v>
      </c>
      <c r="B714" s="9">
        <v>43077</v>
      </c>
      <c r="C714" s="18" t="s">
        <v>213</v>
      </c>
      <c r="D714" s="11">
        <v>12999</v>
      </c>
      <c r="E714" s="15">
        <v>43096</v>
      </c>
      <c r="F714" s="15" t="s">
        <v>28</v>
      </c>
      <c r="G714" s="12">
        <v>43111</v>
      </c>
      <c r="H714" s="23">
        <f t="shared" si="69"/>
        <v>12999</v>
      </c>
      <c r="I714" s="23"/>
      <c r="J714" s="23"/>
      <c r="K714" s="24"/>
      <c r="L714" s="23">
        <v>8813</v>
      </c>
      <c r="M714" s="22">
        <f t="shared" si="70"/>
        <v>4186</v>
      </c>
      <c r="N714" s="22"/>
      <c r="O714" s="30">
        <f t="shared" si="71"/>
        <v>0.32202477113624123</v>
      </c>
    </row>
    <row r="715" spans="1:15" ht="20.100000000000001" customHeight="1" x14ac:dyDescent="0.25">
      <c r="A715" s="33">
        <v>1100</v>
      </c>
      <c r="B715" s="9">
        <v>43089</v>
      </c>
      <c r="C715" s="18" t="s">
        <v>228</v>
      </c>
      <c r="D715" s="11">
        <v>35913</v>
      </c>
      <c r="E715" s="15">
        <v>43096</v>
      </c>
      <c r="F715" s="15" t="s">
        <v>28</v>
      </c>
      <c r="G715" s="12">
        <v>43133</v>
      </c>
      <c r="H715" s="23">
        <f t="shared" si="69"/>
        <v>35913</v>
      </c>
      <c r="I715" s="23"/>
      <c r="J715" s="23"/>
      <c r="K715" s="24">
        <v>1200</v>
      </c>
      <c r="L715" s="23">
        <v>23732</v>
      </c>
      <c r="M715" s="22">
        <f t="shared" si="70"/>
        <v>10981</v>
      </c>
      <c r="N715" s="22"/>
      <c r="O715" s="30">
        <f t="shared" si="71"/>
        <v>0.3057667140032857</v>
      </c>
    </row>
    <row r="716" spans="1:15" ht="20.100000000000001" customHeight="1" x14ac:dyDescent="0.25">
      <c r="A716" s="33">
        <v>1087</v>
      </c>
      <c r="B716" s="9">
        <v>43084</v>
      </c>
      <c r="C716" s="18" t="s">
        <v>65</v>
      </c>
      <c r="D716" s="11">
        <v>25250</v>
      </c>
      <c r="E716" s="15">
        <v>43097</v>
      </c>
      <c r="F716" s="15" t="s">
        <v>28</v>
      </c>
      <c r="G716" s="12">
        <v>43151</v>
      </c>
      <c r="H716" s="23">
        <f t="shared" si="69"/>
        <v>25250</v>
      </c>
      <c r="I716" s="23"/>
      <c r="J716" s="23"/>
      <c r="K716" s="24">
        <f>5*1200</f>
        <v>6000</v>
      </c>
      <c r="L716" s="23">
        <v>8740</v>
      </c>
      <c r="M716" s="22">
        <f t="shared" si="70"/>
        <v>10510</v>
      </c>
      <c r="N716" s="22"/>
      <c r="O716" s="30">
        <f t="shared" si="71"/>
        <v>0.41623762376237622</v>
      </c>
    </row>
    <row r="717" spans="1:15" ht="20.100000000000001" customHeight="1" x14ac:dyDescent="0.25">
      <c r="A717" s="35" t="s">
        <v>535</v>
      </c>
      <c r="B717" s="36"/>
      <c r="C717" s="42"/>
      <c r="D717" s="37"/>
      <c r="E717" s="46" t="s">
        <v>551</v>
      </c>
      <c r="F717" s="47">
        <f>M717*0.17+N717*0.06+8000</f>
        <v>100224.47410000002</v>
      </c>
      <c r="G717" s="21">
        <f>H717*0.05+I717*0.02</f>
        <v>75145.686499999996</v>
      </c>
      <c r="H717" s="49">
        <f>SUBTOTAL(109,Декабрь2017[Продажа])</f>
        <v>1460952.53</v>
      </c>
      <c r="I717" s="49">
        <f>SUBTOTAL(109,Декабрь2017[Продажа НК])</f>
        <v>104903</v>
      </c>
      <c r="J717" s="49">
        <f>SUBTOTAL(109,Декабрь2017[отк])</f>
        <v>87000</v>
      </c>
      <c r="K717" s="49">
        <f>SUBTOTAL(109,Декабрь2017[шланги])</f>
        <v>28800</v>
      </c>
      <c r="L717" s="49">
        <f>SUBTOTAL(109,Декабрь2017[Закупка])</f>
        <v>810224.8</v>
      </c>
      <c r="M717" s="49">
        <f>SUBTOTAL(109,Декабрь2017[Маржа])</f>
        <v>534927.7300000001</v>
      </c>
      <c r="N717" s="49">
        <f>SUBTOTAL(109,Декабрь2017[Маржа НК])</f>
        <v>21446</v>
      </c>
      <c r="O717" s="44">
        <f t="shared" si="71"/>
        <v>0.36614997340125766</v>
      </c>
    </row>
    <row r="718" spans="1:15" ht="19.5" customHeight="1" x14ac:dyDescent="0.25">
      <c r="A718" s="41" t="s">
        <v>1</v>
      </c>
      <c r="B718" s="1" t="s">
        <v>0</v>
      </c>
      <c r="C718" s="1" t="s">
        <v>26</v>
      </c>
      <c r="D718" s="1" t="s">
        <v>2</v>
      </c>
      <c r="E718" s="1" t="s">
        <v>3</v>
      </c>
      <c r="F718" s="1" t="s">
        <v>27</v>
      </c>
      <c r="G718" s="1" t="s">
        <v>4</v>
      </c>
      <c r="H718" s="2" t="s">
        <v>132</v>
      </c>
      <c r="I718" s="2" t="s">
        <v>133</v>
      </c>
      <c r="J718" s="40" t="s">
        <v>187</v>
      </c>
      <c r="K718" s="40" t="s">
        <v>188</v>
      </c>
      <c r="L718" s="40" t="s">
        <v>129</v>
      </c>
      <c r="M718" s="40" t="s">
        <v>130</v>
      </c>
      <c r="N718" s="2" t="s">
        <v>131</v>
      </c>
      <c r="O718" s="2" t="s">
        <v>134</v>
      </c>
    </row>
    <row r="719" spans="1:15" ht="15.75" x14ac:dyDescent="0.25">
      <c r="A719" s="33">
        <v>1014</v>
      </c>
      <c r="B719" s="9">
        <v>43063</v>
      </c>
      <c r="C719" s="18" t="s">
        <v>60</v>
      </c>
      <c r="D719" s="11">
        <v>4095</v>
      </c>
      <c r="E719" s="15">
        <v>43109</v>
      </c>
      <c r="F719" s="15" t="s">
        <v>28</v>
      </c>
      <c r="G719" s="12">
        <v>43084</v>
      </c>
      <c r="H719" s="23">
        <f t="shared" ref="H719:H725" si="72">D719</f>
        <v>4095</v>
      </c>
      <c r="I719" s="23"/>
      <c r="J719" s="23"/>
      <c r="K719" s="24"/>
      <c r="L719" s="23">
        <v>3192</v>
      </c>
      <c r="M719" s="22">
        <f t="shared" ref="M719:M739" si="73">H719-L719-J719-K719</f>
        <v>903</v>
      </c>
      <c r="N719" s="22"/>
      <c r="O719" s="30">
        <f t="shared" ref="O719:O740" si="74">M719/H719</f>
        <v>0.22051282051282051</v>
      </c>
    </row>
    <row r="720" spans="1:15" s="2" customFormat="1" ht="20.100000000000001" customHeight="1" x14ac:dyDescent="0.25">
      <c r="A720" s="33">
        <v>4</v>
      </c>
      <c r="B720" s="9">
        <v>43110</v>
      </c>
      <c r="C720" s="18" t="s">
        <v>175</v>
      </c>
      <c r="D720" s="11">
        <v>25463.8</v>
      </c>
      <c r="E720" s="15">
        <v>43115</v>
      </c>
      <c r="F720" s="15" t="s">
        <v>28</v>
      </c>
      <c r="G720" s="12">
        <v>43115</v>
      </c>
      <c r="H720" s="23">
        <f t="shared" si="72"/>
        <v>25463.8</v>
      </c>
      <c r="I720" s="23"/>
      <c r="J720" s="23"/>
      <c r="K720" s="24"/>
      <c r="L720" s="23">
        <v>20816</v>
      </c>
      <c r="M720" s="22">
        <f t="shared" si="73"/>
        <v>4647.7999999999993</v>
      </c>
      <c r="N720" s="22"/>
      <c r="O720" s="30">
        <f t="shared" si="74"/>
        <v>0.18252578169793979</v>
      </c>
    </row>
    <row r="721" spans="1:15" ht="20.100000000000001" customHeight="1" x14ac:dyDescent="0.25">
      <c r="A721" s="33">
        <v>16</v>
      </c>
      <c r="B721" s="9">
        <v>43112</v>
      </c>
      <c r="C721" s="26" t="s">
        <v>236</v>
      </c>
      <c r="D721" s="11">
        <v>12250</v>
      </c>
      <c r="E721" s="15">
        <v>43115</v>
      </c>
      <c r="F721" s="15" t="s">
        <v>28</v>
      </c>
      <c r="G721" s="12">
        <v>43129</v>
      </c>
      <c r="H721" s="23">
        <f t="shared" si="72"/>
        <v>12250</v>
      </c>
      <c r="I721" s="23"/>
      <c r="J721" s="23"/>
      <c r="K721" s="24"/>
      <c r="L721" s="23">
        <v>10915</v>
      </c>
      <c r="M721" s="22">
        <f t="shared" si="73"/>
        <v>1335</v>
      </c>
      <c r="N721" s="22"/>
      <c r="O721" s="30">
        <f t="shared" si="74"/>
        <v>0.1089795918367347</v>
      </c>
    </row>
    <row r="722" spans="1:15" ht="20.100000000000001" customHeight="1" x14ac:dyDescent="0.25">
      <c r="A722" s="33">
        <v>10</v>
      </c>
      <c r="B722" s="9">
        <v>43111</v>
      </c>
      <c r="C722" s="18" t="s">
        <v>275</v>
      </c>
      <c r="D722" s="11">
        <v>13047</v>
      </c>
      <c r="E722" s="15">
        <v>43116</v>
      </c>
      <c r="F722" s="15" t="s">
        <v>28</v>
      </c>
      <c r="G722" s="12">
        <v>43131</v>
      </c>
      <c r="H722" s="23">
        <f t="shared" si="72"/>
        <v>13047</v>
      </c>
      <c r="I722" s="23"/>
      <c r="J722" s="23"/>
      <c r="K722" s="24"/>
      <c r="L722" s="23">
        <v>6884</v>
      </c>
      <c r="M722" s="22">
        <f t="shared" si="73"/>
        <v>6163</v>
      </c>
      <c r="N722" s="22"/>
      <c r="O722" s="30">
        <f t="shared" si="74"/>
        <v>0.47236912700237604</v>
      </c>
    </row>
    <row r="723" spans="1:15" ht="20.100000000000001" customHeight="1" x14ac:dyDescent="0.25">
      <c r="A723" s="33">
        <v>1082</v>
      </c>
      <c r="B723" s="9">
        <v>43082</v>
      </c>
      <c r="C723" s="18" t="s">
        <v>304</v>
      </c>
      <c r="D723" s="11">
        <v>24371</v>
      </c>
      <c r="E723" s="15">
        <v>43116</v>
      </c>
      <c r="F723" s="15" t="s">
        <v>28</v>
      </c>
      <c r="G723" s="12">
        <v>43186</v>
      </c>
      <c r="H723" s="23">
        <f t="shared" si="72"/>
        <v>24371</v>
      </c>
      <c r="I723" s="23"/>
      <c r="J723" s="23"/>
      <c r="K723" s="24"/>
      <c r="L723" s="23">
        <v>16757.3</v>
      </c>
      <c r="M723" s="22">
        <f t="shared" si="73"/>
        <v>7613.7000000000007</v>
      </c>
      <c r="N723" s="22"/>
      <c r="O723" s="30">
        <f t="shared" si="74"/>
        <v>0.31240819006195891</v>
      </c>
    </row>
    <row r="724" spans="1:15" ht="20.100000000000001" customHeight="1" x14ac:dyDescent="0.25">
      <c r="A724" s="33">
        <v>1086</v>
      </c>
      <c r="B724" s="9">
        <v>43083</v>
      </c>
      <c r="C724" s="18" t="s">
        <v>56</v>
      </c>
      <c r="D724" s="11">
        <v>5049</v>
      </c>
      <c r="E724" s="15">
        <v>43117</v>
      </c>
      <c r="F724" s="15" t="s">
        <v>28</v>
      </c>
      <c r="G724" s="12">
        <v>43094</v>
      </c>
      <c r="H724" s="23">
        <f t="shared" si="72"/>
        <v>5049</v>
      </c>
      <c r="I724" s="23"/>
      <c r="J724" s="23"/>
      <c r="K724" s="24"/>
      <c r="L724" s="23">
        <v>3332</v>
      </c>
      <c r="M724" s="22">
        <f t="shared" si="73"/>
        <v>1717</v>
      </c>
      <c r="N724" s="22"/>
      <c r="O724" s="30">
        <f t="shared" si="74"/>
        <v>0.34006734006734007</v>
      </c>
    </row>
    <row r="725" spans="1:15" ht="20.100000000000001" customHeight="1" x14ac:dyDescent="0.25">
      <c r="A725" s="33">
        <v>1107</v>
      </c>
      <c r="B725" s="9">
        <v>43097</v>
      </c>
      <c r="C725" s="18" t="s">
        <v>56</v>
      </c>
      <c r="D725" s="11">
        <v>10012</v>
      </c>
      <c r="E725" s="15">
        <v>43117</v>
      </c>
      <c r="F725" s="15" t="s">
        <v>28</v>
      </c>
      <c r="G725" s="12">
        <v>43097</v>
      </c>
      <c r="H725" s="23">
        <f t="shared" si="72"/>
        <v>10012</v>
      </c>
      <c r="I725" s="23"/>
      <c r="J725" s="23"/>
      <c r="K725" s="24"/>
      <c r="L725" s="23">
        <v>6987</v>
      </c>
      <c r="M725" s="22">
        <f t="shared" si="73"/>
        <v>3025</v>
      </c>
      <c r="N725" s="22"/>
      <c r="O725" s="30">
        <f t="shared" si="74"/>
        <v>0.30213743507790652</v>
      </c>
    </row>
    <row r="726" spans="1:15" ht="20.100000000000001" customHeight="1" x14ac:dyDescent="0.25">
      <c r="A726" s="33">
        <v>45</v>
      </c>
      <c r="B726" s="9">
        <v>43119</v>
      </c>
      <c r="C726" s="20" t="s">
        <v>312</v>
      </c>
      <c r="D726" s="11">
        <v>24752</v>
      </c>
      <c r="E726" s="15">
        <v>43117</v>
      </c>
      <c r="F726" s="15" t="s">
        <v>28</v>
      </c>
      <c r="G726" s="12">
        <v>43126</v>
      </c>
      <c r="H726" s="23">
        <v>20664</v>
      </c>
      <c r="I726" s="23">
        <f>H726</f>
        <v>20664</v>
      </c>
      <c r="J726" s="23"/>
      <c r="K726" s="24"/>
      <c r="L726" s="23">
        <v>12777</v>
      </c>
      <c r="M726" s="22">
        <f t="shared" si="73"/>
        <v>7887</v>
      </c>
      <c r="N726" s="22">
        <f>M726</f>
        <v>7887</v>
      </c>
      <c r="O726" s="30">
        <f t="shared" si="74"/>
        <v>0.38167828106852497</v>
      </c>
    </row>
    <row r="727" spans="1:15" ht="20.100000000000001" customHeight="1" x14ac:dyDescent="0.25">
      <c r="A727" s="33">
        <v>36</v>
      </c>
      <c r="B727" s="9">
        <v>43117</v>
      </c>
      <c r="C727" s="18" t="s">
        <v>216</v>
      </c>
      <c r="D727" s="11">
        <v>2492.1999999999998</v>
      </c>
      <c r="E727" s="15">
        <v>43118</v>
      </c>
      <c r="F727" s="15" t="s">
        <v>28</v>
      </c>
      <c r="G727" s="12">
        <v>43122</v>
      </c>
      <c r="H727" s="23">
        <f t="shared" ref="H727:H733" si="75">D727</f>
        <v>2492.1999999999998</v>
      </c>
      <c r="I727" s="23"/>
      <c r="J727" s="23"/>
      <c r="K727" s="24"/>
      <c r="L727" s="23">
        <v>2124</v>
      </c>
      <c r="M727" s="22">
        <f t="shared" si="73"/>
        <v>368.19999999999982</v>
      </c>
      <c r="N727" s="22"/>
      <c r="O727" s="30">
        <f t="shared" si="74"/>
        <v>0.14774095176952085</v>
      </c>
    </row>
    <row r="728" spans="1:15" ht="20.100000000000001" customHeight="1" x14ac:dyDescent="0.25">
      <c r="A728" s="33">
        <v>42</v>
      </c>
      <c r="B728" s="9">
        <v>43117</v>
      </c>
      <c r="C728" s="18" t="s">
        <v>16</v>
      </c>
      <c r="D728" s="11">
        <v>24460</v>
      </c>
      <c r="E728" s="15">
        <v>43119</v>
      </c>
      <c r="F728" s="15" t="s">
        <v>28</v>
      </c>
      <c r="G728" s="12">
        <v>43123</v>
      </c>
      <c r="H728" s="23">
        <f t="shared" si="75"/>
        <v>24460</v>
      </c>
      <c r="I728" s="23"/>
      <c r="J728" s="23"/>
      <c r="K728" s="24"/>
      <c r="L728" s="23">
        <v>17847</v>
      </c>
      <c r="M728" s="22">
        <f t="shared" si="73"/>
        <v>6613</v>
      </c>
      <c r="N728" s="22"/>
      <c r="O728" s="30">
        <f t="shared" si="74"/>
        <v>0.27035977105478332</v>
      </c>
    </row>
    <row r="729" spans="1:15" ht="20.100000000000001" customHeight="1" x14ac:dyDescent="0.25">
      <c r="A729" s="33">
        <v>46</v>
      </c>
      <c r="B729" s="9">
        <v>43119</v>
      </c>
      <c r="C729" s="20" t="s">
        <v>313</v>
      </c>
      <c r="D729" s="11">
        <v>110000</v>
      </c>
      <c r="E729" s="15">
        <v>43122</v>
      </c>
      <c r="F729" s="15" t="s">
        <v>28</v>
      </c>
      <c r="G729" s="12">
        <v>43122</v>
      </c>
      <c r="H729" s="23">
        <f t="shared" si="75"/>
        <v>110000</v>
      </c>
      <c r="I729" s="23">
        <f>H729</f>
        <v>110000</v>
      </c>
      <c r="J729" s="23"/>
      <c r="K729" s="24"/>
      <c r="L729" s="23">
        <v>80000</v>
      </c>
      <c r="M729" s="22">
        <f t="shared" si="73"/>
        <v>30000</v>
      </c>
      <c r="N729" s="22">
        <f>M729</f>
        <v>30000</v>
      </c>
      <c r="O729" s="30">
        <f t="shared" si="74"/>
        <v>0.27272727272727271</v>
      </c>
    </row>
    <row r="730" spans="1:15" ht="20.100000000000001" customHeight="1" x14ac:dyDescent="0.25">
      <c r="A730" s="33">
        <v>52</v>
      </c>
      <c r="B730" s="9">
        <v>43122</v>
      </c>
      <c r="C730" s="18" t="s">
        <v>301</v>
      </c>
      <c r="D730" s="11">
        <v>5180</v>
      </c>
      <c r="E730" s="15">
        <v>43123</v>
      </c>
      <c r="F730" s="15" t="s">
        <v>28</v>
      </c>
      <c r="G730" s="12">
        <v>43186</v>
      </c>
      <c r="H730" s="23">
        <f t="shared" si="75"/>
        <v>5180</v>
      </c>
      <c r="I730" s="23"/>
      <c r="J730" s="23"/>
      <c r="K730" s="24"/>
      <c r="L730" s="23">
        <v>3710</v>
      </c>
      <c r="M730" s="22">
        <f t="shared" si="73"/>
        <v>1470</v>
      </c>
      <c r="N730" s="22"/>
      <c r="O730" s="30">
        <f t="shared" si="74"/>
        <v>0.28378378378378377</v>
      </c>
    </row>
    <row r="731" spans="1:15" ht="20.100000000000001" customHeight="1" x14ac:dyDescent="0.25">
      <c r="A731" s="33">
        <v>1073</v>
      </c>
      <c r="B731" s="9">
        <v>43081</v>
      </c>
      <c r="C731" s="18" t="s">
        <v>66</v>
      </c>
      <c r="D731" s="11">
        <v>240815.5</v>
      </c>
      <c r="E731" s="15">
        <v>43123</v>
      </c>
      <c r="F731" s="15" t="s">
        <v>28</v>
      </c>
      <c r="G731" s="12">
        <v>43124</v>
      </c>
      <c r="H731" s="23">
        <f t="shared" si="75"/>
        <v>240815.5</v>
      </c>
      <c r="I731" s="23"/>
      <c r="J731" s="23"/>
      <c r="K731" s="24"/>
      <c r="L731" s="23">
        <v>191638</v>
      </c>
      <c r="M731" s="22">
        <f t="shared" si="73"/>
        <v>49177.5</v>
      </c>
      <c r="N731" s="22"/>
      <c r="O731" s="30">
        <f t="shared" si="74"/>
        <v>0.2042123534407046</v>
      </c>
    </row>
    <row r="732" spans="1:15" ht="20.100000000000001" customHeight="1" x14ac:dyDescent="0.25">
      <c r="A732" s="33">
        <v>35</v>
      </c>
      <c r="B732" s="9">
        <v>43117</v>
      </c>
      <c r="C732" s="18" t="s">
        <v>13</v>
      </c>
      <c r="D732" s="11">
        <v>7125</v>
      </c>
      <c r="E732" s="15">
        <v>43123</v>
      </c>
      <c r="F732" s="15" t="s">
        <v>28</v>
      </c>
      <c r="G732" s="12">
        <v>43118</v>
      </c>
      <c r="H732" s="23">
        <f t="shared" si="75"/>
        <v>7125</v>
      </c>
      <c r="I732" s="23"/>
      <c r="J732" s="23"/>
      <c r="K732" s="24"/>
      <c r="L732" s="23">
        <v>5556</v>
      </c>
      <c r="M732" s="22">
        <f t="shared" si="73"/>
        <v>1569</v>
      </c>
      <c r="N732" s="22"/>
      <c r="O732" s="30">
        <f t="shared" si="74"/>
        <v>0.22021052631578947</v>
      </c>
    </row>
    <row r="733" spans="1:15" ht="20.100000000000001" customHeight="1" x14ac:dyDescent="0.25">
      <c r="A733" s="33">
        <v>39</v>
      </c>
      <c r="B733" s="9">
        <v>43117</v>
      </c>
      <c r="C733" s="18" t="s">
        <v>217</v>
      </c>
      <c r="D733" s="11">
        <v>26212</v>
      </c>
      <c r="E733" s="15">
        <v>43124</v>
      </c>
      <c r="F733" s="15" t="s">
        <v>28</v>
      </c>
      <c r="G733" s="12">
        <v>43186</v>
      </c>
      <c r="H733" s="23">
        <f t="shared" si="75"/>
        <v>26212</v>
      </c>
      <c r="I733" s="23"/>
      <c r="J733" s="23"/>
      <c r="K733" s="24"/>
      <c r="L733" s="23">
        <v>20445.28</v>
      </c>
      <c r="M733" s="22">
        <f t="shared" si="73"/>
        <v>5766.7200000000012</v>
      </c>
      <c r="N733" s="22"/>
      <c r="O733" s="30">
        <f t="shared" si="74"/>
        <v>0.22000305203723489</v>
      </c>
    </row>
    <row r="734" spans="1:15" ht="20.100000000000001" customHeight="1" x14ac:dyDescent="0.25">
      <c r="A734" s="33">
        <v>45</v>
      </c>
      <c r="B734" s="9">
        <v>43119</v>
      </c>
      <c r="C734" s="20" t="s">
        <v>312</v>
      </c>
      <c r="D734" s="11">
        <v>24752</v>
      </c>
      <c r="E734" s="15">
        <v>43125</v>
      </c>
      <c r="F734" s="15" t="s">
        <v>28</v>
      </c>
      <c r="G734" s="12">
        <v>43126</v>
      </c>
      <c r="H734" s="23">
        <v>4088</v>
      </c>
      <c r="I734" s="23">
        <f>H734</f>
        <v>4088</v>
      </c>
      <c r="J734" s="23"/>
      <c r="K734" s="24">
        <v>600</v>
      </c>
      <c r="L734" s="23">
        <v>1249</v>
      </c>
      <c r="M734" s="22">
        <f t="shared" si="73"/>
        <v>2239</v>
      </c>
      <c r="N734" s="22">
        <f>M734</f>
        <v>2239</v>
      </c>
      <c r="O734" s="30">
        <f t="shared" si="74"/>
        <v>0.5477005870841487</v>
      </c>
    </row>
    <row r="735" spans="1:15" ht="20.100000000000001" customHeight="1" x14ac:dyDescent="0.25">
      <c r="A735" s="33">
        <v>997</v>
      </c>
      <c r="B735" s="9">
        <v>43420</v>
      </c>
      <c r="C735" s="20" t="s">
        <v>312</v>
      </c>
      <c r="D735" s="11">
        <v>777</v>
      </c>
      <c r="E735" s="15">
        <v>43125</v>
      </c>
      <c r="F735" s="15" t="s">
        <v>28</v>
      </c>
      <c r="G735" s="9"/>
      <c r="H735" s="23">
        <f>D735</f>
        <v>777</v>
      </c>
      <c r="I735" s="23">
        <f>H735</f>
        <v>777</v>
      </c>
      <c r="J735" s="23"/>
      <c r="K735" s="24"/>
      <c r="L735" s="23">
        <v>475</v>
      </c>
      <c r="M735" s="22">
        <f t="shared" si="73"/>
        <v>302</v>
      </c>
      <c r="N735" s="22">
        <f>M735</f>
        <v>302</v>
      </c>
      <c r="O735" s="30">
        <f t="shared" si="74"/>
        <v>0.38867438867438869</v>
      </c>
    </row>
    <row r="736" spans="1:15" ht="20.100000000000001" customHeight="1" x14ac:dyDescent="0.25">
      <c r="A736" s="33">
        <v>9</v>
      </c>
      <c r="B736" s="9">
        <v>43111</v>
      </c>
      <c r="C736" s="18" t="s">
        <v>175</v>
      </c>
      <c r="D736" s="11">
        <v>26908</v>
      </c>
      <c r="E736" s="15">
        <v>43126</v>
      </c>
      <c r="F736" s="15" t="s">
        <v>28</v>
      </c>
      <c r="G736" s="12">
        <v>43186</v>
      </c>
      <c r="H736" s="23">
        <f>D736</f>
        <v>26908</v>
      </c>
      <c r="I736" s="23"/>
      <c r="J736" s="23"/>
      <c r="K736" s="24"/>
      <c r="L736" s="23">
        <v>17722.7</v>
      </c>
      <c r="M736" s="22">
        <f t="shared" si="73"/>
        <v>9185.2999999999993</v>
      </c>
      <c r="N736" s="22"/>
      <c r="O736" s="30">
        <f t="shared" si="74"/>
        <v>0.34135944700460824</v>
      </c>
    </row>
    <row r="737" spans="1:15" ht="20.100000000000001" customHeight="1" x14ac:dyDescent="0.25">
      <c r="A737" s="33">
        <v>54</v>
      </c>
      <c r="B737" s="9">
        <v>43126</v>
      </c>
      <c r="C737" s="18" t="s">
        <v>71</v>
      </c>
      <c r="D737" s="11">
        <v>19968</v>
      </c>
      <c r="E737" s="15">
        <v>43130</v>
      </c>
      <c r="F737" s="15" t="s">
        <v>28</v>
      </c>
      <c r="G737" s="12">
        <v>43132</v>
      </c>
      <c r="H737" s="23">
        <f>D737</f>
        <v>19968</v>
      </c>
      <c r="I737" s="23"/>
      <c r="J737" s="23"/>
      <c r="K737" s="24"/>
      <c r="L737" s="23">
        <v>14509</v>
      </c>
      <c r="M737" s="22">
        <f t="shared" si="73"/>
        <v>5459</v>
      </c>
      <c r="N737" s="22"/>
      <c r="O737" s="30">
        <f t="shared" si="74"/>
        <v>0.27338741987179488</v>
      </c>
    </row>
    <row r="738" spans="1:15" ht="20.100000000000001" customHeight="1" x14ac:dyDescent="0.25">
      <c r="A738" s="33">
        <v>67</v>
      </c>
      <c r="B738" s="9">
        <v>43130</v>
      </c>
      <c r="C738" s="26" t="s">
        <v>236</v>
      </c>
      <c r="D738" s="11">
        <v>5643</v>
      </c>
      <c r="E738" s="15">
        <v>43130</v>
      </c>
      <c r="F738" s="15" t="s">
        <v>28</v>
      </c>
      <c r="G738" s="12">
        <v>43152</v>
      </c>
      <c r="H738" s="23">
        <f>D738</f>
        <v>5643</v>
      </c>
      <c r="I738" s="23"/>
      <c r="J738" s="23"/>
      <c r="K738" s="24"/>
      <c r="L738" s="23">
        <v>4402</v>
      </c>
      <c r="M738" s="22">
        <f t="shared" si="73"/>
        <v>1241</v>
      </c>
      <c r="N738" s="22"/>
      <c r="O738" s="30">
        <f t="shared" si="74"/>
        <v>0.21991848307637782</v>
      </c>
    </row>
    <row r="739" spans="1:15" ht="20.100000000000001" customHeight="1" x14ac:dyDescent="0.25">
      <c r="A739" s="33">
        <v>887</v>
      </c>
      <c r="B739" s="9">
        <v>43077</v>
      </c>
      <c r="C739" s="18" t="s">
        <v>38</v>
      </c>
      <c r="D739" s="11">
        <v>134299</v>
      </c>
      <c r="E739" s="15">
        <v>43131</v>
      </c>
      <c r="F739" s="15" t="s">
        <v>28</v>
      </c>
      <c r="G739" s="12">
        <v>43094</v>
      </c>
      <c r="H739" s="23">
        <f>D739</f>
        <v>134299</v>
      </c>
      <c r="I739" s="23"/>
      <c r="J739" s="23"/>
      <c r="K739" s="24"/>
      <c r="L739" s="23">
        <v>101530</v>
      </c>
      <c r="M739" s="22">
        <f t="shared" si="73"/>
        <v>32769</v>
      </c>
      <c r="N739" s="22"/>
      <c r="O739" s="30">
        <f t="shared" si="74"/>
        <v>0.24400032762716029</v>
      </c>
    </row>
    <row r="740" spans="1:15" ht="20.100000000000001" customHeight="1" x14ac:dyDescent="0.25">
      <c r="A740" s="35" t="s">
        <v>535</v>
      </c>
      <c r="B740" s="36"/>
      <c r="C740" s="42"/>
      <c r="D740" s="37"/>
      <c r="E740" s="46" t="s">
        <v>552</v>
      </c>
      <c r="F740" s="47">
        <f>M740*0.12+N740*0.06</f>
        <v>23959.826399999998</v>
      </c>
      <c r="G740" s="21">
        <f>H740*0.02+I740*0.02</f>
        <v>17168.97</v>
      </c>
      <c r="H740" s="49">
        <f>SUBTOTAL(109,Январь2018[Продажа])</f>
        <v>722919.5</v>
      </c>
      <c r="I740" s="49">
        <f>SUBTOTAL(109,Январь2018[Продажа НК])</f>
        <v>135529</v>
      </c>
      <c r="J740" s="49">
        <f>SUBTOTAL(109,Январь2018[отк])</f>
        <v>0</v>
      </c>
      <c r="K740" s="49">
        <f>SUBTOTAL(109,Январь2018[шланги])</f>
        <v>600</v>
      </c>
      <c r="L740" s="49">
        <f>SUBTOTAL(109,Январь2018[Закупка])</f>
        <v>542868.28</v>
      </c>
      <c r="M740" s="49">
        <f>SUBTOTAL(109,Январь2018[Маржа])</f>
        <v>179451.22</v>
      </c>
      <c r="N740" s="49">
        <f>SUBTOTAL(109,Январь2018[Маржа НК])</f>
        <v>40428</v>
      </c>
      <c r="O740" s="44">
        <f t="shared" si="74"/>
        <v>0.2482312622636407</v>
      </c>
    </row>
    <row r="741" spans="1:15" ht="20.100000000000001" customHeight="1" x14ac:dyDescent="0.25">
      <c r="A741" s="41" t="s">
        <v>1</v>
      </c>
      <c r="B741" s="1" t="s">
        <v>0</v>
      </c>
      <c r="C741" s="1" t="s">
        <v>26</v>
      </c>
      <c r="D741" s="1" t="s">
        <v>2</v>
      </c>
      <c r="E741" s="1" t="s">
        <v>3</v>
      </c>
      <c r="F741" s="1" t="s">
        <v>27</v>
      </c>
      <c r="G741" s="1" t="s">
        <v>4</v>
      </c>
      <c r="H741" s="2" t="s">
        <v>132</v>
      </c>
      <c r="I741" s="2" t="s">
        <v>133</v>
      </c>
      <c r="J741" s="40" t="s">
        <v>187</v>
      </c>
      <c r="K741" s="40" t="s">
        <v>188</v>
      </c>
      <c r="L741" s="40" t="s">
        <v>129</v>
      </c>
      <c r="M741" s="40" t="s">
        <v>130</v>
      </c>
      <c r="N741" s="2" t="s">
        <v>131</v>
      </c>
      <c r="O741" s="2" t="s">
        <v>134</v>
      </c>
    </row>
    <row r="742" spans="1:15" ht="20.100000000000001" customHeight="1" x14ac:dyDescent="0.25">
      <c r="A742" s="33">
        <v>80</v>
      </c>
      <c r="B742" s="9">
        <v>43132</v>
      </c>
      <c r="C742" s="18" t="s">
        <v>314</v>
      </c>
      <c r="D742" s="11">
        <v>12000</v>
      </c>
      <c r="E742" s="15">
        <v>43132</v>
      </c>
      <c r="F742" s="15" t="s">
        <v>28</v>
      </c>
      <c r="G742" s="12">
        <v>43133</v>
      </c>
      <c r="H742" s="23">
        <f t="shared" ref="H742:H770" si="76">D742</f>
        <v>12000</v>
      </c>
      <c r="I742" s="23"/>
      <c r="J742" s="23"/>
      <c r="K742" s="24">
        <f>600*3</f>
        <v>1800</v>
      </c>
      <c r="L742" s="23">
        <v>3921</v>
      </c>
      <c r="M742" s="22">
        <f t="shared" ref="M742:M770" si="77">H742-L742-J742-K742</f>
        <v>6279</v>
      </c>
      <c r="N742" s="22"/>
      <c r="O742" s="30">
        <f t="shared" ref="O742:O771" si="78">M742/H742</f>
        <v>0.52324999999999999</v>
      </c>
    </row>
    <row r="743" spans="1:15" ht="20.100000000000001" customHeight="1" x14ac:dyDescent="0.25">
      <c r="A743" s="33">
        <v>7</v>
      </c>
      <c r="B743" s="9">
        <v>43115</v>
      </c>
      <c r="C743" s="18" t="s">
        <v>56</v>
      </c>
      <c r="D743" s="11">
        <v>8848</v>
      </c>
      <c r="E743" s="15">
        <v>43136</v>
      </c>
      <c r="F743" s="15" t="s">
        <v>28</v>
      </c>
      <c r="G743" s="12">
        <v>43123</v>
      </c>
      <c r="H743" s="23">
        <f t="shared" si="76"/>
        <v>8848</v>
      </c>
      <c r="I743" s="23"/>
      <c r="J743" s="23"/>
      <c r="K743" s="24"/>
      <c r="L743" s="23">
        <v>6902</v>
      </c>
      <c r="M743" s="22">
        <f t="shared" si="77"/>
        <v>1946</v>
      </c>
      <c r="N743" s="22"/>
      <c r="O743" s="30">
        <f t="shared" si="78"/>
        <v>0.2199367088607595</v>
      </c>
    </row>
    <row r="744" spans="1:15" ht="20.100000000000001" customHeight="1" x14ac:dyDescent="0.25">
      <c r="A744" s="33">
        <v>89</v>
      </c>
      <c r="B744" s="9">
        <v>43136</v>
      </c>
      <c r="C744" s="18" t="s">
        <v>216</v>
      </c>
      <c r="D744" s="11">
        <v>112.2</v>
      </c>
      <c r="E744" s="15">
        <v>43138</v>
      </c>
      <c r="F744" s="15" t="s">
        <v>28</v>
      </c>
      <c r="G744" s="12">
        <v>43206</v>
      </c>
      <c r="H744" s="23">
        <f t="shared" si="76"/>
        <v>112.2</v>
      </c>
      <c r="I744" s="23"/>
      <c r="J744" s="23"/>
      <c r="K744" s="24"/>
      <c r="L744" s="23">
        <v>88</v>
      </c>
      <c r="M744" s="22">
        <f t="shared" si="77"/>
        <v>24.200000000000003</v>
      </c>
      <c r="N744" s="22"/>
      <c r="O744" s="30">
        <f t="shared" si="78"/>
        <v>0.21568627450980393</v>
      </c>
    </row>
    <row r="745" spans="1:15" ht="20.100000000000001" customHeight="1" x14ac:dyDescent="0.25">
      <c r="A745" s="33">
        <v>77</v>
      </c>
      <c r="B745" s="9">
        <v>43131</v>
      </c>
      <c r="C745" s="18" t="s">
        <v>66</v>
      </c>
      <c r="D745" s="11">
        <v>3890</v>
      </c>
      <c r="E745" s="15">
        <v>43139</v>
      </c>
      <c r="F745" s="15" t="s">
        <v>28</v>
      </c>
      <c r="G745" s="12">
        <v>43186</v>
      </c>
      <c r="H745" s="23">
        <f t="shared" si="76"/>
        <v>3890</v>
      </c>
      <c r="I745" s="23"/>
      <c r="J745" s="23"/>
      <c r="K745" s="24"/>
      <c r="L745" s="23">
        <v>2859</v>
      </c>
      <c r="M745" s="22">
        <f t="shared" si="77"/>
        <v>1031</v>
      </c>
      <c r="N745" s="22"/>
      <c r="O745" s="30">
        <f t="shared" si="78"/>
        <v>0.26503856041131107</v>
      </c>
    </row>
    <row r="746" spans="1:15" ht="20.100000000000001" customHeight="1" x14ac:dyDescent="0.25">
      <c r="A746" s="33">
        <v>21</v>
      </c>
      <c r="B746" s="9">
        <v>43112</v>
      </c>
      <c r="C746" s="20" t="s">
        <v>311</v>
      </c>
      <c r="D746" s="11">
        <v>23106</v>
      </c>
      <c r="E746" s="15">
        <v>43140</v>
      </c>
      <c r="F746" s="15" t="s">
        <v>28</v>
      </c>
      <c r="G746" s="12">
        <v>43129</v>
      </c>
      <c r="H746" s="23">
        <f t="shared" si="76"/>
        <v>23106</v>
      </c>
      <c r="I746" s="23">
        <f>H746</f>
        <v>23106</v>
      </c>
      <c r="J746" s="23"/>
      <c r="K746" s="24"/>
      <c r="L746" s="23">
        <v>18364</v>
      </c>
      <c r="M746" s="22">
        <f t="shared" si="77"/>
        <v>4742</v>
      </c>
      <c r="N746" s="22">
        <f>M746</f>
        <v>4742</v>
      </c>
      <c r="O746" s="30">
        <f t="shared" si="78"/>
        <v>0.20522807928676534</v>
      </c>
    </row>
    <row r="747" spans="1:15" ht="20.100000000000001" customHeight="1" x14ac:dyDescent="0.25">
      <c r="A747" s="33">
        <v>109</v>
      </c>
      <c r="B747" s="9">
        <v>43143</v>
      </c>
      <c r="C747" s="18" t="s">
        <v>118</v>
      </c>
      <c r="D747" s="11">
        <v>3170.5</v>
      </c>
      <c r="E747" s="15">
        <v>43143</v>
      </c>
      <c r="F747" s="15" t="s">
        <v>28</v>
      </c>
      <c r="G747" s="12">
        <v>43144</v>
      </c>
      <c r="H747" s="23">
        <f t="shared" si="76"/>
        <v>3170.5</v>
      </c>
      <c r="I747" s="23"/>
      <c r="J747" s="23"/>
      <c r="K747" s="24"/>
      <c r="L747" s="23">
        <v>2872</v>
      </c>
      <c r="M747" s="22">
        <f t="shared" si="77"/>
        <v>298.5</v>
      </c>
      <c r="N747" s="22"/>
      <c r="O747" s="30">
        <f t="shared" si="78"/>
        <v>9.4149187825264158E-2</v>
      </c>
    </row>
    <row r="748" spans="1:15" ht="19.5" customHeight="1" x14ac:dyDescent="0.25">
      <c r="A748" s="33">
        <v>106</v>
      </c>
      <c r="B748" s="9">
        <v>43143</v>
      </c>
      <c r="C748" s="18" t="s">
        <v>220</v>
      </c>
      <c r="D748" s="11">
        <v>2072</v>
      </c>
      <c r="E748" s="15">
        <v>43143</v>
      </c>
      <c r="F748" s="15" t="s">
        <v>28</v>
      </c>
      <c r="G748" s="12">
        <v>43186</v>
      </c>
      <c r="H748" s="23">
        <f t="shared" si="76"/>
        <v>2072</v>
      </c>
      <c r="I748" s="23"/>
      <c r="J748" s="23"/>
      <c r="K748" s="24"/>
      <c r="L748" s="23">
        <v>1596</v>
      </c>
      <c r="M748" s="22">
        <f t="shared" si="77"/>
        <v>476</v>
      </c>
      <c r="N748" s="22"/>
      <c r="O748" s="30">
        <f t="shared" si="78"/>
        <v>0.22972972972972974</v>
      </c>
    </row>
    <row r="749" spans="1:15" ht="15.75" x14ac:dyDescent="0.25">
      <c r="A749" s="33">
        <v>93</v>
      </c>
      <c r="B749" s="9">
        <v>43138</v>
      </c>
      <c r="C749" s="20" t="s">
        <v>306</v>
      </c>
      <c r="D749" s="11">
        <v>5513</v>
      </c>
      <c r="E749" s="15">
        <v>43144</v>
      </c>
      <c r="F749" s="15" t="s">
        <v>28</v>
      </c>
      <c r="G749" s="12">
        <v>43138</v>
      </c>
      <c r="H749" s="23">
        <f t="shared" si="76"/>
        <v>5513</v>
      </c>
      <c r="I749" s="23">
        <f>H749</f>
        <v>5513</v>
      </c>
      <c r="J749" s="23"/>
      <c r="K749" s="24"/>
      <c r="L749" s="23">
        <v>3133</v>
      </c>
      <c r="M749" s="22">
        <f t="shared" si="77"/>
        <v>2380</v>
      </c>
      <c r="N749" s="22">
        <f>M749</f>
        <v>2380</v>
      </c>
      <c r="O749" s="30">
        <f t="shared" si="78"/>
        <v>0.43170687465989477</v>
      </c>
    </row>
    <row r="750" spans="1:15" s="2" customFormat="1" ht="20.100000000000001" customHeight="1" x14ac:dyDescent="0.25">
      <c r="A750" s="33">
        <v>17</v>
      </c>
      <c r="B750" s="9">
        <v>43112</v>
      </c>
      <c r="C750" s="18" t="s">
        <v>60</v>
      </c>
      <c r="D750" s="11">
        <v>4440</v>
      </c>
      <c r="E750" s="15">
        <v>43144</v>
      </c>
      <c r="F750" s="15" t="s">
        <v>28</v>
      </c>
      <c r="G750" s="12">
        <v>43131</v>
      </c>
      <c r="H750" s="23">
        <f t="shared" si="76"/>
        <v>4440</v>
      </c>
      <c r="I750" s="23"/>
      <c r="J750" s="23"/>
      <c r="K750" s="24"/>
      <c r="L750" s="23">
        <v>2930</v>
      </c>
      <c r="M750" s="22">
        <f t="shared" si="77"/>
        <v>1510</v>
      </c>
      <c r="N750" s="22"/>
      <c r="O750" s="30">
        <f t="shared" si="78"/>
        <v>0.34009009009009011</v>
      </c>
    </row>
    <row r="751" spans="1:15" ht="20.100000000000001" customHeight="1" x14ac:dyDescent="0.25">
      <c r="A751" s="33">
        <v>83</v>
      </c>
      <c r="B751" s="9">
        <v>43145</v>
      </c>
      <c r="C751" s="20" t="s">
        <v>315</v>
      </c>
      <c r="D751" s="11">
        <v>11035</v>
      </c>
      <c r="E751" s="15">
        <v>43145</v>
      </c>
      <c r="F751" s="15" t="s">
        <v>28</v>
      </c>
      <c r="G751" s="12">
        <v>43147</v>
      </c>
      <c r="H751" s="23">
        <f t="shared" si="76"/>
        <v>11035</v>
      </c>
      <c r="I751" s="23">
        <f>H751</f>
        <v>11035</v>
      </c>
      <c r="J751" s="23"/>
      <c r="K751" s="24"/>
      <c r="L751" s="23">
        <v>7504</v>
      </c>
      <c r="M751" s="22">
        <f t="shared" si="77"/>
        <v>3531</v>
      </c>
      <c r="N751" s="22">
        <f>M751</f>
        <v>3531</v>
      </c>
      <c r="O751" s="30">
        <f t="shared" si="78"/>
        <v>0.31998187584956955</v>
      </c>
    </row>
    <row r="752" spans="1:15" ht="20.100000000000001" customHeight="1" x14ac:dyDescent="0.25">
      <c r="A752" s="33">
        <v>87</v>
      </c>
      <c r="B752" s="9">
        <v>43136</v>
      </c>
      <c r="C752" s="18" t="s">
        <v>65</v>
      </c>
      <c r="D752" s="11">
        <v>4900</v>
      </c>
      <c r="E752" s="15">
        <v>43146</v>
      </c>
      <c r="F752" s="15" t="s">
        <v>28</v>
      </c>
      <c r="G752" s="12">
        <v>43151</v>
      </c>
      <c r="H752" s="23">
        <f t="shared" si="76"/>
        <v>4900</v>
      </c>
      <c r="I752" s="23"/>
      <c r="J752" s="23"/>
      <c r="K752" s="24"/>
      <c r="L752" s="23">
        <v>4364</v>
      </c>
      <c r="M752" s="22">
        <f t="shared" si="77"/>
        <v>536</v>
      </c>
      <c r="N752" s="22"/>
      <c r="O752" s="30">
        <f t="shared" si="78"/>
        <v>0.10938775510204081</v>
      </c>
    </row>
    <row r="753" spans="1:15" ht="20.100000000000001" customHeight="1" x14ac:dyDescent="0.25">
      <c r="A753" s="33">
        <v>94</v>
      </c>
      <c r="B753" s="9">
        <v>43137</v>
      </c>
      <c r="C753" s="18" t="s">
        <v>65</v>
      </c>
      <c r="D753" s="11">
        <v>2450</v>
      </c>
      <c r="E753" s="15">
        <v>43146</v>
      </c>
      <c r="F753" s="15" t="s">
        <v>28</v>
      </c>
      <c r="G753" s="12">
        <v>43151</v>
      </c>
      <c r="H753" s="23">
        <f t="shared" si="76"/>
        <v>2450</v>
      </c>
      <c r="I753" s="23"/>
      <c r="J753" s="23"/>
      <c r="K753" s="24"/>
      <c r="L753" s="23">
        <v>2182</v>
      </c>
      <c r="M753" s="22">
        <f t="shared" si="77"/>
        <v>268</v>
      </c>
      <c r="N753" s="22"/>
      <c r="O753" s="30">
        <f t="shared" si="78"/>
        <v>0.10938775510204081</v>
      </c>
    </row>
    <row r="754" spans="1:15" ht="20.100000000000001" customHeight="1" x14ac:dyDescent="0.25">
      <c r="A754" s="33">
        <v>81</v>
      </c>
      <c r="B754" s="9">
        <v>43132</v>
      </c>
      <c r="C754" s="18" t="s">
        <v>66</v>
      </c>
      <c r="D754" s="11">
        <v>12340</v>
      </c>
      <c r="E754" s="15">
        <v>43147</v>
      </c>
      <c r="F754" s="15" t="s">
        <v>28</v>
      </c>
      <c r="G754" s="12">
        <v>43150</v>
      </c>
      <c r="H754" s="23">
        <f t="shared" si="76"/>
        <v>12340</v>
      </c>
      <c r="I754" s="23"/>
      <c r="J754" s="23"/>
      <c r="K754" s="24"/>
      <c r="L754" s="23">
        <v>8650</v>
      </c>
      <c r="M754" s="22">
        <f t="shared" si="77"/>
        <v>3690</v>
      </c>
      <c r="N754" s="22"/>
      <c r="O754" s="30">
        <f t="shared" si="78"/>
        <v>0.29902755267423015</v>
      </c>
    </row>
    <row r="755" spans="1:15" ht="20.100000000000001" customHeight="1" x14ac:dyDescent="0.25">
      <c r="A755" s="33">
        <v>114</v>
      </c>
      <c r="B755" s="9">
        <v>43144</v>
      </c>
      <c r="C755" s="26" t="s">
        <v>109</v>
      </c>
      <c r="D755" s="11">
        <v>4900</v>
      </c>
      <c r="E755" s="15">
        <v>43150</v>
      </c>
      <c r="F755" s="15" t="s">
        <v>28</v>
      </c>
      <c r="G755" s="12">
        <v>43144</v>
      </c>
      <c r="H755" s="23">
        <f t="shared" si="76"/>
        <v>4900</v>
      </c>
      <c r="I755" s="23"/>
      <c r="J755" s="23"/>
      <c r="K755" s="24"/>
      <c r="L755" s="23">
        <v>4364</v>
      </c>
      <c r="M755" s="22">
        <f t="shared" si="77"/>
        <v>536</v>
      </c>
      <c r="N755" s="22"/>
      <c r="O755" s="30">
        <f t="shared" si="78"/>
        <v>0.10938775510204081</v>
      </c>
    </row>
    <row r="756" spans="1:15" ht="20.100000000000001" customHeight="1" x14ac:dyDescent="0.25">
      <c r="A756" s="33">
        <v>1116</v>
      </c>
      <c r="B756" s="9">
        <v>43096</v>
      </c>
      <c r="C756" s="20" t="s">
        <v>310</v>
      </c>
      <c r="D756" s="11">
        <v>10000</v>
      </c>
      <c r="E756" s="15">
        <v>43150</v>
      </c>
      <c r="F756" s="15" t="s">
        <v>28</v>
      </c>
      <c r="G756" s="12">
        <v>43098</v>
      </c>
      <c r="H756" s="23">
        <f t="shared" si="76"/>
        <v>10000</v>
      </c>
      <c r="I756" s="23">
        <f>H756</f>
        <v>10000</v>
      </c>
      <c r="J756" s="23"/>
      <c r="K756" s="24"/>
      <c r="L756" s="23">
        <v>2287</v>
      </c>
      <c r="M756" s="22">
        <f t="shared" si="77"/>
        <v>7713</v>
      </c>
      <c r="N756" s="22">
        <f>M756</f>
        <v>7713</v>
      </c>
      <c r="O756" s="30">
        <f t="shared" si="78"/>
        <v>0.77129999999999999</v>
      </c>
    </row>
    <row r="757" spans="1:15" ht="20.100000000000001" customHeight="1" x14ac:dyDescent="0.25">
      <c r="A757" s="33">
        <v>100</v>
      </c>
      <c r="B757" s="9">
        <v>43140</v>
      </c>
      <c r="C757" s="18" t="s">
        <v>175</v>
      </c>
      <c r="D757" s="11">
        <v>16780.8</v>
      </c>
      <c r="E757" s="15">
        <v>43150</v>
      </c>
      <c r="F757" s="15" t="s">
        <v>28</v>
      </c>
      <c r="G757" s="12">
        <v>43186</v>
      </c>
      <c r="H757" s="23">
        <f t="shared" si="76"/>
        <v>16780.8</v>
      </c>
      <c r="I757" s="23"/>
      <c r="J757" s="23"/>
      <c r="K757" s="24"/>
      <c r="L757" s="23">
        <v>13584</v>
      </c>
      <c r="M757" s="22">
        <f t="shared" si="77"/>
        <v>3196.7999999999993</v>
      </c>
      <c r="N757" s="22"/>
      <c r="O757" s="30">
        <f t="shared" si="78"/>
        <v>0.19050343249427915</v>
      </c>
    </row>
    <row r="758" spans="1:15" ht="20.100000000000001" customHeight="1" x14ac:dyDescent="0.25">
      <c r="A758" s="33">
        <v>99</v>
      </c>
      <c r="B758" s="9">
        <v>43140</v>
      </c>
      <c r="C758" s="18" t="s">
        <v>175</v>
      </c>
      <c r="D758" s="11">
        <v>19984.2</v>
      </c>
      <c r="E758" s="15">
        <v>43152</v>
      </c>
      <c r="F758" s="15" t="s">
        <v>28</v>
      </c>
      <c r="G758" s="12">
        <v>43153</v>
      </c>
      <c r="H758" s="23">
        <f t="shared" si="76"/>
        <v>19984.2</v>
      </c>
      <c r="I758" s="23"/>
      <c r="J758" s="23"/>
      <c r="K758" s="24"/>
      <c r="L758" s="23">
        <v>13476</v>
      </c>
      <c r="M758" s="22">
        <f t="shared" si="77"/>
        <v>6508.2000000000007</v>
      </c>
      <c r="N758" s="22"/>
      <c r="O758" s="30">
        <f t="shared" si="78"/>
        <v>0.32566727714894772</v>
      </c>
    </row>
    <row r="759" spans="1:15" ht="20.100000000000001" customHeight="1" x14ac:dyDescent="0.25">
      <c r="A759" s="33">
        <v>63</v>
      </c>
      <c r="B759" s="9">
        <v>43129</v>
      </c>
      <c r="C759" s="18" t="s">
        <v>248</v>
      </c>
      <c r="D759" s="11">
        <v>10032</v>
      </c>
      <c r="E759" s="15">
        <v>43152</v>
      </c>
      <c r="F759" s="15" t="s">
        <v>28</v>
      </c>
      <c r="G759" s="12">
        <v>43129</v>
      </c>
      <c r="H759" s="23">
        <f t="shared" si="76"/>
        <v>10032</v>
      </c>
      <c r="I759" s="23"/>
      <c r="J759" s="23"/>
      <c r="K759" s="24"/>
      <c r="L759" s="23">
        <v>7769</v>
      </c>
      <c r="M759" s="22">
        <f t="shared" si="77"/>
        <v>2263</v>
      </c>
      <c r="N759" s="22"/>
      <c r="O759" s="30">
        <f t="shared" si="78"/>
        <v>0.22557814992025518</v>
      </c>
    </row>
    <row r="760" spans="1:15" ht="20.100000000000001" customHeight="1" x14ac:dyDescent="0.25">
      <c r="A760" s="33">
        <v>122</v>
      </c>
      <c r="B760" s="9">
        <v>43147</v>
      </c>
      <c r="C760" s="18" t="s">
        <v>275</v>
      </c>
      <c r="D760" s="11">
        <v>6881</v>
      </c>
      <c r="E760" s="15">
        <v>43152</v>
      </c>
      <c r="F760" s="15" t="s">
        <v>28</v>
      </c>
      <c r="G760" s="12">
        <v>43165</v>
      </c>
      <c r="H760" s="23">
        <f t="shared" si="76"/>
        <v>6881</v>
      </c>
      <c r="I760" s="23"/>
      <c r="J760" s="23"/>
      <c r="K760" s="24"/>
      <c r="L760" s="23">
        <v>4984</v>
      </c>
      <c r="M760" s="22">
        <f t="shared" si="77"/>
        <v>1897</v>
      </c>
      <c r="N760" s="22"/>
      <c r="O760" s="30">
        <f t="shared" si="78"/>
        <v>0.27568667344862663</v>
      </c>
    </row>
    <row r="761" spans="1:15" ht="20.100000000000001" customHeight="1" x14ac:dyDescent="0.25">
      <c r="A761" s="33">
        <v>125</v>
      </c>
      <c r="B761" s="9">
        <v>43150</v>
      </c>
      <c r="C761" s="26" t="s">
        <v>139</v>
      </c>
      <c r="D761" s="11">
        <v>18532</v>
      </c>
      <c r="E761" s="15">
        <v>43152</v>
      </c>
      <c r="F761" s="15" t="s">
        <v>28</v>
      </c>
      <c r="G761" s="12">
        <v>43187</v>
      </c>
      <c r="H761" s="23">
        <f t="shared" si="76"/>
        <v>18532</v>
      </c>
      <c r="I761" s="23"/>
      <c r="J761" s="23"/>
      <c r="K761" s="24"/>
      <c r="L761" s="23">
        <v>13778</v>
      </c>
      <c r="M761" s="22">
        <f t="shared" si="77"/>
        <v>4754</v>
      </c>
      <c r="N761" s="22"/>
      <c r="O761" s="30">
        <f t="shared" si="78"/>
        <v>0.25652924670839627</v>
      </c>
    </row>
    <row r="762" spans="1:15" ht="20.100000000000001" customHeight="1" x14ac:dyDescent="0.25">
      <c r="A762" s="33">
        <v>132</v>
      </c>
      <c r="B762" s="9">
        <v>43152</v>
      </c>
      <c r="C762" s="18" t="s">
        <v>16</v>
      </c>
      <c r="D762" s="11">
        <v>2728</v>
      </c>
      <c r="E762" s="15">
        <v>43152</v>
      </c>
      <c r="F762" s="15" t="s">
        <v>28</v>
      </c>
      <c r="G762" s="12">
        <v>43158</v>
      </c>
      <c r="H762" s="23">
        <f t="shared" si="76"/>
        <v>2728</v>
      </c>
      <c r="I762" s="23"/>
      <c r="J762" s="23"/>
      <c r="K762" s="24"/>
      <c r="L762" s="23">
        <v>1678</v>
      </c>
      <c r="M762" s="22">
        <f t="shared" si="77"/>
        <v>1050</v>
      </c>
      <c r="N762" s="22"/>
      <c r="O762" s="30">
        <f t="shared" si="78"/>
        <v>0.38489736070381231</v>
      </c>
    </row>
    <row r="763" spans="1:15" ht="20.100000000000001" customHeight="1" x14ac:dyDescent="0.25">
      <c r="A763" s="33">
        <v>129</v>
      </c>
      <c r="B763" s="9">
        <v>43151</v>
      </c>
      <c r="C763" s="18" t="s">
        <v>287</v>
      </c>
      <c r="D763" s="11">
        <v>3209</v>
      </c>
      <c r="E763" s="15">
        <v>43152</v>
      </c>
      <c r="F763" s="15" t="s">
        <v>28</v>
      </c>
      <c r="G763" s="12">
        <v>43186</v>
      </c>
      <c r="H763" s="23">
        <f t="shared" si="76"/>
        <v>3209</v>
      </c>
      <c r="I763" s="23"/>
      <c r="J763" s="23"/>
      <c r="K763" s="24"/>
      <c r="L763" s="23">
        <v>2503</v>
      </c>
      <c r="M763" s="22">
        <f t="shared" si="77"/>
        <v>706</v>
      </c>
      <c r="N763" s="22"/>
      <c r="O763" s="30">
        <f t="shared" si="78"/>
        <v>0.22000623247117482</v>
      </c>
    </row>
    <row r="764" spans="1:15" ht="20.100000000000001" customHeight="1" x14ac:dyDescent="0.25">
      <c r="A764" s="33">
        <v>101</v>
      </c>
      <c r="B764" s="9">
        <v>43140</v>
      </c>
      <c r="C764" s="18" t="s">
        <v>175</v>
      </c>
      <c r="D764" s="11">
        <v>29117.5</v>
      </c>
      <c r="E764" s="15">
        <v>43153</v>
      </c>
      <c r="F764" s="15" t="s">
        <v>28</v>
      </c>
      <c r="G764" s="12">
        <v>43186</v>
      </c>
      <c r="H764" s="23">
        <f t="shared" si="76"/>
        <v>29117.5</v>
      </c>
      <c r="I764" s="23"/>
      <c r="J764" s="23"/>
      <c r="K764" s="24"/>
      <c r="L764" s="23">
        <v>23816</v>
      </c>
      <c r="M764" s="22">
        <f t="shared" si="77"/>
        <v>5301.5</v>
      </c>
      <c r="N764" s="22"/>
      <c r="O764" s="30">
        <f t="shared" si="78"/>
        <v>0.18207263673048854</v>
      </c>
    </row>
    <row r="765" spans="1:15" ht="20.100000000000001" customHeight="1" x14ac:dyDescent="0.25">
      <c r="A765" s="33">
        <v>131</v>
      </c>
      <c r="B765" s="9">
        <v>43152</v>
      </c>
      <c r="C765" s="18" t="s">
        <v>177</v>
      </c>
      <c r="D765" s="11">
        <v>4090</v>
      </c>
      <c r="E765" s="15">
        <v>43153</v>
      </c>
      <c r="F765" s="15" t="s">
        <v>28</v>
      </c>
      <c r="G765" s="12">
        <v>43158</v>
      </c>
      <c r="H765" s="23">
        <f t="shared" si="76"/>
        <v>4090</v>
      </c>
      <c r="I765" s="23"/>
      <c r="J765" s="23"/>
      <c r="K765" s="24"/>
      <c r="L765" s="23">
        <v>2808</v>
      </c>
      <c r="M765" s="22">
        <f t="shared" si="77"/>
        <v>1282</v>
      </c>
      <c r="N765" s="22"/>
      <c r="O765" s="30">
        <f t="shared" si="78"/>
        <v>0.31344743276283621</v>
      </c>
    </row>
    <row r="766" spans="1:15" ht="20.100000000000001" customHeight="1" x14ac:dyDescent="0.25">
      <c r="A766" s="33">
        <v>120</v>
      </c>
      <c r="B766" s="9">
        <v>43147</v>
      </c>
      <c r="C766" s="18" t="s">
        <v>65</v>
      </c>
      <c r="D766" s="11">
        <v>65650</v>
      </c>
      <c r="E766" s="15">
        <v>43153</v>
      </c>
      <c r="F766" s="15" t="s">
        <v>28</v>
      </c>
      <c r="G766" s="12">
        <v>43186</v>
      </c>
      <c r="H766" s="23">
        <f t="shared" si="76"/>
        <v>65650</v>
      </c>
      <c r="I766" s="23"/>
      <c r="J766" s="23"/>
      <c r="K766" s="24">
        <v>15600</v>
      </c>
      <c r="L766" s="23">
        <v>22724</v>
      </c>
      <c r="M766" s="22">
        <f t="shared" si="77"/>
        <v>27326</v>
      </c>
      <c r="N766" s="22"/>
      <c r="O766" s="30">
        <f t="shared" si="78"/>
        <v>0.41623762376237622</v>
      </c>
    </row>
    <row r="767" spans="1:15" ht="20.100000000000001" customHeight="1" x14ac:dyDescent="0.25">
      <c r="A767" s="33">
        <v>124</v>
      </c>
      <c r="B767" s="9">
        <v>43150</v>
      </c>
      <c r="C767" s="18" t="s">
        <v>284</v>
      </c>
      <c r="D767" s="11">
        <v>5650</v>
      </c>
      <c r="E767" s="15">
        <v>43153</v>
      </c>
      <c r="F767" s="15" t="s">
        <v>28</v>
      </c>
      <c r="G767" s="12">
        <v>43165</v>
      </c>
      <c r="H767" s="23">
        <f t="shared" si="76"/>
        <v>5650</v>
      </c>
      <c r="I767" s="23"/>
      <c r="J767" s="23"/>
      <c r="K767" s="24"/>
      <c r="L767" s="23">
        <v>3630</v>
      </c>
      <c r="M767" s="22">
        <f t="shared" si="77"/>
        <v>2020</v>
      </c>
      <c r="N767" s="22"/>
      <c r="O767" s="30">
        <f t="shared" si="78"/>
        <v>0.35752212389380533</v>
      </c>
    </row>
    <row r="768" spans="1:15" ht="20.100000000000001" customHeight="1" x14ac:dyDescent="0.25">
      <c r="A768" s="33">
        <v>119</v>
      </c>
      <c r="B768" s="9">
        <v>43147</v>
      </c>
      <c r="C768" s="18" t="s">
        <v>11</v>
      </c>
      <c r="D768" s="11">
        <v>4847</v>
      </c>
      <c r="E768" s="15">
        <v>43157</v>
      </c>
      <c r="F768" s="15" t="s">
        <v>28</v>
      </c>
      <c r="G768" s="12">
        <v>43160</v>
      </c>
      <c r="H768" s="23">
        <f t="shared" si="76"/>
        <v>4847</v>
      </c>
      <c r="I768" s="23"/>
      <c r="J768" s="23"/>
      <c r="K768" s="24"/>
      <c r="L768" s="23">
        <v>2790</v>
      </c>
      <c r="M768" s="22">
        <f t="shared" si="77"/>
        <v>2057</v>
      </c>
      <c r="N768" s="22"/>
      <c r="O768" s="30">
        <f t="shared" si="78"/>
        <v>0.42438621827934803</v>
      </c>
    </row>
    <row r="769" spans="1:15" ht="20.100000000000001" customHeight="1" x14ac:dyDescent="0.25">
      <c r="A769" s="33">
        <v>60</v>
      </c>
      <c r="B769" s="9">
        <v>43132</v>
      </c>
      <c r="C769" s="18" t="s">
        <v>56</v>
      </c>
      <c r="D769" s="11">
        <v>10179</v>
      </c>
      <c r="E769" s="15">
        <v>43157</v>
      </c>
      <c r="F769" s="15" t="s">
        <v>28</v>
      </c>
      <c r="G769" s="12">
        <v>43146</v>
      </c>
      <c r="H769" s="23">
        <f t="shared" si="76"/>
        <v>10179</v>
      </c>
      <c r="I769" s="23"/>
      <c r="J769" s="23"/>
      <c r="K769" s="24"/>
      <c r="L769" s="23">
        <v>6926</v>
      </c>
      <c r="M769" s="22">
        <f t="shared" si="77"/>
        <v>3253</v>
      </c>
      <c r="N769" s="22"/>
      <c r="O769" s="30">
        <f t="shared" si="78"/>
        <v>0.31957952647607818</v>
      </c>
    </row>
    <row r="770" spans="1:15" ht="19.5" customHeight="1" x14ac:dyDescent="0.25">
      <c r="A770" s="33">
        <v>133</v>
      </c>
      <c r="B770" s="9">
        <v>43153</v>
      </c>
      <c r="C770" s="18" t="s">
        <v>91</v>
      </c>
      <c r="D770" s="11">
        <v>4750</v>
      </c>
      <c r="E770" s="15">
        <v>43158</v>
      </c>
      <c r="F770" s="15" t="s">
        <v>28</v>
      </c>
      <c r="G770" s="12">
        <v>43161</v>
      </c>
      <c r="H770" s="23">
        <f t="shared" si="76"/>
        <v>4750</v>
      </c>
      <c r="I770" s="23"/>
      <c r="J770" s="23"/>
      <c r="K770" s="24"/>
      <c r="L770" s="23">
        <v>3704</v>
      </c>
      <c r="M770" s="22">
        <f t="shared" si="77"/>
        <v>1046</v>
      </c>
      <c r="N770" s="22"/>
      <c r="O770" s="30">
        <f t="shared" si="78"/>
        <v>0.22021052631578947</v>
      </c>
    </row>
    <row r="771" spans="1:15" ht="15.75" x14ac:dyDescent="0.25">
      <c r="A771" s="35" t="s">
        <v>535</v>
      </c>
      <c r="B771" s="36"/>
      <c r="C771" s="42"/>
      <c r="D771" s="37"/>
      <c r="E771" s="46" t="s">
        <v>553</v>
      </c>
      <c r="F771" s="47">
        <f>M771*0.05+N771*0.06</f>
        <v>5983.02</v>
      </c>
      <c r="G771" s="21">
        <f>H771*0.02+I771*0.02</f>
        <v>7217.2240000000002</v>
      </c>
      <c r="H771" s="49">
        <f>SUBTOTAL(109,Февраль2018[Продажа])</f>
        <v>311207.2</v>
      </c>
      <c r="I771" s="49">
        <f>SUBTOTAL(109,Февраль2018[Продажа НК])</f>
        <v>49654</v>
      </c>
      <c r="J771" s="49">
        <f>SUBTOTAL(109,Февраль2018[отк])</f>
        <v>0</v>
      </c>
      <c r="K771" s="49">
        <f>SUBTOTAL(109,Февраль2018[шланги])</f>
        <v>17400</v>
      </c>
      <c r="L771" s="49">
        <f>SUBTOTAL(109,Февраль2018[Закупка])</f>
        <v>196186</v>
      </c>
      <c r="M771" s="49">
        <f>SUBTOTAL(109,Февраль2018[Маржа])</f>
        <v>97621.2</v>
      </c>
      <c r="N771" s="49">
        <f>SUBTOTAL(109,Февраль2018[Маржа НК])</f>
        <v>18366</v>
      </c>
      <c r="O771" s="44">
        <f t="shared" si="78"/>
        <v>0.31368554455038311</v>
      </c>
    </row>
    <row r="772" spans="1:15" ht="20.100000000000001" customHeight="1" x14ac:dyDescent="0.25">
      <c r="A772" s="41" t="s">
        <v>1</v>
      </c>
      <c r="B772" s="1" t="s">
        <v>0</v>
      </c>
      <c r="C772" s="1" t="s">
        <v>26</v>
      </c>
      <c r="D772" s="1" t="s">
        <v>2</v>
      </c>
      <c r="E772" s="1" t="s">
        <v>3</v>
      </c>
      <c r="F772" s="1" t="s">
        <v>27</v>
      </c>
      <c r="G772" s="1" t="s">
        <v>4</v>
      </c>
      <c r="H772" s="2" t="s">
        <v>132</v>
      </c>
      <c r="I772" s="2" t="s">
        <v>133</v>
      </c>
      <c r="J772" s="40" t="s">
        <v>187</v>
      </c>
      <c r="K772" s="40" t="s">
        <v>188</v>
      </c>
      <c r="L772" s="40" t="s">
        <v>129</v>
      </c>
      <c r="M772" s="40" t="s">
        <v>130</v>
      </c>
      <c r="N772" s="2" t="s">
        <v>131</v>
      </c>
      <c r="O772" s="2" t="s">
        <v>134</v>
      </c>
    </row>
    <row r="773" spans="1:15" ht="20.100000000000001" customHeight="1" x14ac:dyDescent="0.25">
      <c r="A773" s="33">
        <v>146</v>
      </c>
      <c r="B773" s="9">
        <v>43160</v>
      </c>
      <c r="C773" s="18" t="s">
        <v>281</v>
      </c>
      <c r="D773" s="3">
        <v>1036</v>
      </c>
      <c r="E773" s="9">
        <v>43160</v>
      </c>
      <c r="F773" s="15" t="s">
        <v>28</v>
      </c>
      <c r="G773" s="12">
        <v>43160</v>
      </c>
      <c r="H773" s="23">
        <f t="shared" ref="H773:H792" si="79">D773</f>
        <v>1036</v>
      </c>
      <c r="I773" s="23"/>
      <c r="J773" s="23"/>
      <c r="K773" s="24"/>
      <c r="L773" s="23">
        <v>808</v>
      </c>
      <c r="M773" s="22">
        <f t="shared" ref="M773:M792" si="80">H773-L773-J773-K773</f>
        <v>228</v>
      </c>
      <c r="N773" s="22"/>
      <c r="O773" s="30">
        <f t="shared" ref="O773:O793" si="81">M773/H773</f>
        <v>0.22007722007722008</v>
      </c>
    </row>
    <row r="774" spans="1:15" ht="20.100000000000001" customHeight="1" x14ac:dyDescent="0.25">
      <c r="A774" s="33">
        <v>118</v>
      </c>
      <c r="B774" s="9">
        <v>43147</v>
      </c>
      <c r="C774" s="18" t="s">
        <v>60</v>
      </c>
      <c r="D774" s="11">
        <v>6749</v>
      </c>
      <c r="E774" s="9">
        <v>43160</v>
      </c>
      <c r="F774" s="15" t="s">
        <v>28</v>
      </c>
      <c r="G774" s="12">
        <v>43152</v>
      </c>
      <c r="H774" s="23">
        <f t="shared" si="79"/>
        <v>6749</v>
      </c>
      <c r="I774" s="23"/>
      <c r="J774" s="23"/>
      <c r="K774" s="24"/>
      <c r="L774" s="23">
        <v>3452</v>
      </c>
      <c r="M774" s="22">
        <f t="shared" si="80"/>
        <v>3297</v>
      </c>
      <c r="N774" s="22"/>
      <c r="O774" s="30">
        <f t="shared" si="81"/>
        <v>0.48851681730626761</v>
      </c>
    </row>
    <row r="775" spans="1:15" ht="20.100000000000001" customHeight="1" x14ac:dyDescent="0.25">
      <c r="A775" s="33">
        <v>130</v>
      </c>
      <c r="B775" s="9">
        <v>43152</v>
      </c>
      <c r="C775" s="18" t="s">
        <v>91</v>
      </c>
      <c r="D775" s="3">
        <v>10502</v>
      </c>
      <c r="E775" s="9">
        <v>43160</v>
      </c>
      <c r="F775" s="15" t="s">
        <v>28</v>
      </c>
      <c r="G775" s="12">
        <v>43161</v>
      </c>
      <c r="H775" s="23">
        <f t="shared" si="79"/>
        <v>10502</v>
      </c>
      <c r="I775" s="23"/>
      <c r="J775" s="23"/>
      <c r="K775" s="24"/>
      <c r="L775" s="23">
        <v>5564</v>
      </c>
      <c r="M775" s="22">
        <f t="shared" si="80"/>
        <v>4938</v>
      </c>
      <c r="N775" s="22"/>
      <c r="O775" s="30">
        <f t="shared" si="81"/>
        <v>0.47019615311369262</v>
      </c>
    </row>
    <row r="776" spans="1:15" ht="20.100000000000001" customHeight="1" x14ac:dyDescent="0.25">
      <c r="A776" s="33">
        <v>107</v>
      </c>
      <c r="B776" s="9">
        <v>43143</v>
      </c>
      <c r="C776" s="18" t="s">
        <v>175</v>
      </c>
      <c r="D776" s="11">
        <v>44500</v>
      </c>
      <c r="E776" s="9">
        <v>43161</v>
      </c>
      <c r="F776" s="15" t="s">
        <v>28</v>
      </c>
      <c r="G776" s="12">
        <v>43161</v>
      </c>
      <c r="H776" s="23">
        <f t="shared" si="79"/>
        <v>44500</v>
      </c>
      <c r="I776" s="23"/>
      <c r="J776" s="23"/>
      <c r="K776" s="24">
        <f>600*10</f>
        <v>6000</v>
      </c>
      <c r="L776" s="23">
        <v>36129</v>
      </c>
      <c r="M776" s="22">
        <f t="shared" si="80"/>
        <v>2371</v>
      </c>
      <c r="N776" s="22"/>
      <c r="O776" s="30">
        <f t="shared" si="81"/>
        <v>5.3280898876404498E-2</v>
      </c>
    </row>
    <row r="777" spans="1:15" ht="20.100000000000001" customHeight="1" x14ac:dyDescent="0.25">
      <c r="A777" s="33">
        <v>156</v>
      </c>
      <c r="B777" s="9">
        <v>43164</v>
      </c>
      <c r="C777" s="18" t="s">
        <v>144</v>
      </c>
      <c r="D777" s="11">
        <v>12999</v>
      </c>
      <c r="E777" s="9">
        <v>43164</v>
      </c>
      <c r="F777" s="15" t="s">
        <v>28</v>
      </c>
      <c r="G777" s="12">
        <v>43165</v>
      </c>
      <c r="H777" s="23">
        <f t="shared" si="79"/>
        <v>12999</v>
      </c>
      <c r="I777" s="23"/>
      <c r="J777" s="23"/>
      <c r="K777" s="24"/>
      <c r="L777" s="23">
        <v>9554</v>
      </c>
      <c r="M777" s="22">
        <f t="shared" si="80"/>
        <v>3445</v>
      </c>
      <c r="N777" s="22"/>
      <c r="O777" s="30">
        <f t="shared" si="81"/>
        <v>0.26502038618355256</v>
      </c>
    </row>
    <row r="778" spans="1:15" ht="20.100000000000001" customHeight="1" x14ac:dyDescent="0.25">
      <c r="A778" s="33">
        <v>153</v>
      </c>
      <c r="B778" s="9">
        <v>43161</v>
      </c>
      <c r="C778" s="18" t="s">
        <v>16</v>
      </c>
      <c r="D778" s="11">
        <v>2565</v>
      </c>
      <c r="E778" s="9">
        <v>43164</v>
      </c>
      <c r="F778" s="15" t="s">
        <v>28</v>
      </c>
      <c r="G778" s="12">
        <v>43166</v>
      </c>
      <c r="H778" s="23">
        <f t="shared" si="79"/>
        <v>2565</v>
      </c>
      <c r="I778" s="23"/>
      <c r="J778" s="23"/>
      <c r="K778" s="24"/>
      <c r="L778" s="23">
        <v>2706</v>
      </c>
      <c r="M778" s="22">
        <f t="shared" si="80"/>
        <v>-141</v>
      </c>
      <c r="N778" s="22"/>
      <c r="O778" s="30">
        <f t="shared" si="81"/>
        <v>-5.4970760233918128E-2</v>
      </c>
    </row>
    <row r="779" spans="1:15" ht="20.100000000000001" customHeight="1" x14ac:dyDescent="0.25">
      <c r="A779" s="33">
        <v>91</v>
      </c>
      <c r="B779" s="9">
        <v>43136</v>
      </c>
      <c r="C779" s="26" t="s">
        <v>101</v>
      </c>
      <c r="D779" s="11">
        <v>6461</v>
      </c>
      <c r="E779" s="9">
        <v>43166</v>
      </c>
      <c r="F779" s="15" t="s">
        <v>28</v>
      </c>
      <c r="G779" s="12">
        <v>43188</v>
      </c>
      <c r="H779" s="23">
        <f t="shared" si="79"/>
        <v>6461</v>
      </c>
      <c r="I779" s="23"/>
      <c r="J779" s="23"/>
      <c r="K779" s="24"/>
      <c r="L779" s="23">
        <v>2558</v>
      </c>
      <c r="M779" s="22">
        <f t="shared" si="80"/>
        <v>3903</v>
      </c>
      <c r="N779" s="22"/>
      <c r="O779" s="30">
        <f t="shared" si="81"/>
        <v>0.6040860547902801</v>
      </c>
    </row>
    <row r="780" spans="1:15" ht="20.100000000000001" customHeight="1" x14ac:dyDescent="0.25">
      <c r="A780" s="33">
        <v>152</v>
      </c>
      <c r="B780" s="9">
        <v>43161</v>
      </c>
      <c r="C780" s="26" t="s">
        <v>209</v>
      </c>
      <c r="D780" s="11">
        <v>4515.5</v>
      </c>
      <c r="E780" s="9">
        <v>43172</v>
      </c>
      <c r="F780" s="15" t="s">
        <v>28</v>
      </c>
      <c r="G780" s="12">
        <v>43194</v>
      </c>
      <c r="H780" s="23">
        <f t="shared" si="79"/>
        <v>4515.5</v>
      </c>
      <c r="I780" s="23"/>
      <c r="J780" s="23"/>
      <c r="K780" s="24"/>
      <c r="L780" s="23">
        <v>3142</v>
      </c>
      <c r="M780" s="22">
        <f t="shared" si="80"/>
        <v>1373.5</v>
      </c>
      <c r="N780" s="22"/>
      <c r="O780" s="30">
        <f t="shared" si="81"/>
        <v>0.30417451002103862</v>
      </c>
    </row>
    <row r="781" spans="1:15" ht="20.100000000000001" customHeight="1" x14ac:dyDescent="0.25">
      <c r="A781" s="33">
        <v>145</v>
      </c>
      <c r="B781" s="9">
        <v>43159</v>
      </c>
      <c r="C781" s="18" t="s">
        <v>60</v>
      </c>
      <c r="D781" s="11">
        <v>9681</v>
      </c>
      <c r="E781" s="9">
        <v>43174</v>
      </c>
      <c r="F781" s="15" t="s">
        <v>28</v>
      </c>
      <c r="G781" s="12">
        <v>43164</v>
      </c>
      <c r="H781" s="23">
        <f t="shared" si="79"/>
        <v>9681</v>
      </c>
      <c r="I781" s="23"/>
      <c r="J781" s="23"/>
      <c r="K781" s="24"/>
      <c r="L781" s="23">
        <v>7448</v>
      </c>
      <c r="M781" s="22">
        <f t="shared" si="80"/>
        <v>2233</v>
      </c>
      <c r="N781" s="22"/>
      <c r="O781" s="30">
        <f t="shared" si="81"/>
        <v>0.23065798987707881</v>
      </c>
    </row>
    <row r="782" spans="1:15" ht="20.100000000000001" customHeight="1" x14ac:dyDescent="0.25">
      <c r="A782" s="33">
        <v>166</v>
      </c>
      <c r="B782" s="9">
        <v>43173</v>
      </c>
      <c r="C782" s="20" t="s">
        <v>316</v>
      </c>
      <c r="D782" s="11">
        <v>23790</v>
      </c>
      <c r="E782" s="9">
        <v>43178</v>
      </c>
      <c r="F782" s="15" t="s">
        <v>28</v>
      </c>
      <c r="G782" s="12">
        <v>43182</v>
      </c>
      <c r="H782" s="23">
        <f t="shared" si="79"/>
        <v>23790</v>
      </c>
      <c r="I782" s="23">
        <f>H782</f>
        <v>23790</v>
      </c>
      <c r="J782" s="23"/>
      <c r="K782" s="24"/>
      <c r="L782" s="23">
        <v>17154</v>
      </c>
      <c r="M782" s="22">
        <f t="shared" si="80"/>
        <v>6636</v>
      </c>
      <c r="N782" s="22">
        <f>M782</f>
        <v>6636</v>
      </c>
      <c r="O782" s="30">
        <f t="shared" si="81"/>
        <v>0.27894073139974779</v>
      </c>
    </row>
    <row r="783" spans="1:15" ht="20.100000000000001" customHeight="1" x14ac:dyDescent="0.25">
      <c r="A783" s="33">
        <v>177</v>
      </c>
      <c r="B783" s="9">
        <v>43179</v>
      </c>
      <c r="C783" s="20" t="s">
        <v>317</v>
      </c>
      <c r="D783" s="11">
        <v>13190</v>
      </c>
      <c r="E783" s="9">
        <v>43179</v>
      </c>
      <c r="F783" s="15" t="s">
        <v>28</v>
      </c>
      <c r="G783" s="12">
        <v>43185</v>
      </c>
      <c r="H783" s="23">
        <f t="shared" si="79"/>
        <v>13190</v>
      </c>
      <c r="I783" s="23">
        <f>H783</f>
        <v>13190</v>
      </c>
      <c r="J783" s="23"/>
      <c r="K783" s="24"/>
      <c r="L783" s="23">
        <v>9972</v>
      </c>
      <c r="M783" s="22">
        <f t="shared" si="80"/>
        <v>3218</v>
      </c>
      <c r="N783" s="22">
        <f>M783</f>
        <v>3218</v>
      </c>
      <c r="O783" s="30">
        <f t="shared" si="81"/>
        <v>0.243972706595906</v>
      </c>
    </row>
    <row r="784" spans="1:15" ht="20.100000000000001" customHeight="1" x14ac:dyDescent="0.25">
      <c r="A784" s="33">
        <v>180</v>
      </c>
      <c r="B784" s="9">
        <v>43179</v>
      </c>
      <c r="C784" s="20" t="s">
        <v>318</v>
      </c>
      <c r="D784" s="11">
        <v>35690</v>
      </c>
      <c r="E784" s="9">
        <v>43180</v>
      </c>
      <c r="F784" s="15" t="s">
        <v>28</v>
      </c>
      <c r="G784" s="12">
        <v>43186</v>
      </c>
      <c r="H784" s="23">
        <f t="shared" si="79"/>
        <v>35690</v>
      </c>
      <c r="I784" s="23">
        <f>H784</f>
        <v>35690</v>
      </c>
      <c r="J784" s="23"/>
      <c r="K784" s="24"/>
      <c r="L784" s="23">
        <v>26892</v>
      </c>
      <c r="M784" s="22">
        <f t="shared" si="80"/>
        <v>8798</v>
      </c>
      <c r="N784" s="22">
        <f>M784</f>
        <v>8798</v>
      </c>
      <c r="O784" s="30">
        <f t="shared" si="81"/>
        <v>0.24651162790697675</v>
      </c>
    </row>
    <row r="785" spans="1:15" ht="20.100000000000001" customHeight="1" x14ac:dyDescent="0.25">
      <c r="A785" s="33">
        <v>182</v>
      </c>
      <c r="B785" s="9">
        <v>43179</v>
      </c>
      <c r="C785" s="18" t="s">
        <v>319</v>
      </c>
      <c r="D785" s="11">
        <v>4936</v>
      </c>
      <c r="E785" s="9">
        <v>43180</v>
      </c>
      <c r="F785" s="15" t="s">
        <v>28</v>
      </c>
      <c r="G785" s="12">
        <v>43181</v>
      </c>
      <c r="H785" s="23">
        <f t="shared" si="79"/>
        <v>4936</v>
      </c>
      <c r="I785" s="23"/>
      <c r="J785" s="23"/>
      <c r="K785" s="24"/>
      <c r="L785" s="27">
        <v>3446</v>
      </c>
      <c r="M785" s="22">
        <f t="shared" si="80"/>
        <v>1490</v>
      </c>
      <c r="N785" s="22"/>
      <c r="O785" s="30">
        <f t="shared" si="81"/>
        <v>0.3018638573743922</v>
      </c>
    </row>
    <row r="786" spans="1:15" ht="20.100000000000001" customHeight="1" x14ac:dyDescent="0.25">
      <c r="A786" s="33">
        <v>173</v>
      </c>
      <c r="B786" s="9">
        <v>43178</v>
      </c>
      <c r="C786" s="18" t="s">
        <v>94</v>
      </c>
      <c r="D786" s="11">
        <v>2215</v>
      </c>
      <c r="E786" s="9">
        <v>43182</v>
      </c>
      <c r="F786" s="15" t="s">
        <v>28</v>
      </c>
      <c r="G786" s="12">
        <v>43178</v>
      </c>
      <c r="H786" s="23">
        <f t="shared" si="79"/>
        <v>2215</v>
      </c>
      <c r="I786" s="23"/>
      <c r="J786" s="23"/>
      <c r="K786" s="24"/>
      <c r="L786" s="23">
        <v>1728</v>
      </c>
      <c r="M786" s="22">
        <f t="shared" si="80"/>
        <v>487</v>
      </c>
      <c r="N786" s="22"/>
      <c r="O786" s="30">
        <f t="shared" si="81"/>
        <v>0.21986455981941308</v>
      </c>
    </row>
    <row r="787" spans="1:15" ht="20.100000000000001" customHeight="1" x14ac:dyDescent="0.25">
      <c r="A787" s="33">
        <v>187</v>
      </c>
      <c r="B787" s="9">
        <v>43181</v>
      </c>
      <c r="C787" s="18" t="s">
        <v>109</v>
      </c>
      <c r="D787" s="11">
        <v>4568</v>
      </c>
      <c r="E787" s="9">
        <v>43186</v>
      </c>
      <c r="F787" s="15" t="s">
        <v>28</v>
      </c>
      <c r="G787" s="12">
        <v>43181</v>
      </c>
      <c r="H787" s="23">
        <f t="shared" si="79"/>
        <v>4568</v>
      </c>
      <c r="I787" s="23"/>
      <c r="J787" s="23"/>
      <c r="K787" s="24">
        <v>600</v>
      </c>
      <c r="L787" s="23">
        <v>1729</v>
      </c>
      <c r="M787" s="22">
        <f t="shared" si="80"/>
        <v>2239</v>
      </c>
      <c r="N787" s="22"/>
      <c r="O787" s="30">
        <f t="shared" si="81"/>
        <v>0.49014886164623467</v>
      </c>
    </row>
    <row r="788" spans="1:15" ht="20.100000000000001" customHeight="1" x14ac:dyDescent="0.25">
      <c r="A788" s="33">
        <v>186</v>
      </c>
      <c r="B788" s="9">
        <v>43181</v>
      </c>
      <c r="C788" s="18" t="s">
        <v>77</v>
      </c>
      <c r="D788" s="11">
        <v>1466</v>
      </c>
      <c r="E788" s="9">
        <v>43186</v>
      </c>
      <c r="F788" s="15" t="s">
        <v>28</v>
      </c>
      <c r="G788" s="12">
        <v>43187</v>
      </c>
      <c r="H788" s="23">
        <f t="shared" si="79"/>
        <v>1466</v>
      </c>
      <c r="I788" s="23"/>
      <c r="J788" s="23"/>
      <c r="K788" s="24"/>
      <c r="L788" s="23">
        <v>1062</v>
      </c>
      <c r="M788" s="22">
        <f t="shared" si="80"/>
        <v>404</v>
      </c>
      <c r="N788" s="22"/>
      <c r="O788" s="30">
        <f t="shared" si="81"/>
        <v>0.27557980900409279</v>
      </c>
    </row>
    <row r="789" spans="1:15" ht="20.100000000000001" customHeight="1" x14ac:dyDescent="0.25">
      <c r="A789" s="33">
        <v>167</v>
      </c>
      <c r="B789" s="9">
        <v>43175</v>
      </c>
      <c r="C789" s="18" t="s">
        <v>13</v>
      </c>
      <c r="D789" s="11">
        <v>7125</v>
      </c>
      <c r="E789" s="9">
        <v>43187</v>
      </c>
      <c r="F789" s="15" t="s">
        <v>28</v>
      </c>
      <c r="G789" s="12">
        <v>43179</v>
      </c>
      <c r="H789" s="23">
        <f t="shared" si="79"/>
        <v>7125</v>
      </c>
      <c r="I789" s="23"/>
      <c r="J789" s="23"/>
      <c r="K789" s="24"/>
      <c r="L789" s="23">
        <v>5556</v>
      </c>
      <c r="M789" s="22">
        <f t="shared" si="80"/>
        <v>1569</v>
      </c>
      <c r="N789" s="22"/>
      <c r="O789" s="30">
        <f t="shared" si="81"/>
        <v>0.22021052631578947</v>
      </c>
    </row>
    <row r="790" spans="1:15" ht="20.100000000000001" customHeight="1" x14ac:dyDescent="0.25">
      <c r="A790" s="33">
        <v>181</v>
      </c>
      <c r="B790" s="9">
        <v>43179</v>
      </c>
      <c r="C790" s="18" t="s">
        <v>216</v>
      </c>
      <c r="D790" s="11">
        <v>2230</v>
      </c>
      <c r="E790" s="9">
        <v>43189</v>
      </c>
      <c r="F790" s="15" t="s">
        <v>28</v>
      </c>
      <c r="G790" s="12">
        <v>43189</v>
      </c>
      <c r="H790" s="23">
        <f t="shared" si="79"/>
        <v>2230</v>
      </c>
      <c r="I790" s="23"/>
      <c r="J790" s="23"/>
      <c r="K790" s="24"/>
      <c r="L790" s="23">
        <v>1740</v>
      </c>
      <c r="M790" s="22">
        <f t="shared" si="80"/>
        <v>490</v>
      </c>
      <c r="N790" s="22"/>
      <c r="O790" s="30">
        <f t="shared" si="81"/>
        <v>0.21973094170403587</v>
      </c>
    </row>
    <row r="791" spans="1:15" ht="20.100000000000001" customHeight="1" x14ac:dyDescent="0.25">
      <c r="A791" s="33">
        <v>40</v>
      </c>
      <c r="B791" s="9">
        <v>43186</v>
      </c>
      <c r="C791" s="18" t="s">
        <v>56</v>
      </c>
      <c r="D791" s="11">
        <v>138060</v>
      </c>
      <c r="E791" s="9">
        <v>43189</v>
      </c>
      <c r="F791" s="15" t="s">
        <v>28</v>
      </c>
      <c r="G791" s="12">
        <v>43186</v>
      </c>
      <c r="H791" s="23">
        <f t="shared" si="79"/>
        <v>138060</v>
      </c>
      <c r="I791" s="23"/>
      <c r="J791" s="23"/>
      <c r="K791" s="24"/>
      <c r="L791" s="23">
        <v>105832</v>
      </c>
      <c r="M791" s="22">
        <f t="shared" si="80"/>
        <v>32228</v>
      </c>
      <c r="N791" s="22"/>
      <c r="O791" s="30">
        <f t="shared" si="81"/>
        <v>0.23343473851948429</v>
      </c>
    </row>
    <row r="792" spans="1:15" ht="20.100000000000001" customHeight="1" x14ac:dyDescent="0.25">
      <c r="A792" s="33">
        <v>184</v>
      </c>
      <c r="B792" s="9">
        <v>43180</v>
      </c>
      <c r="C792" s="18" t="s">
        <v>66</v>
      </c>
      <c r="D792" s="11">
        <v>48891</v>
      </c>
      <c r="E792" s="9">
        <v>43189</v>
      </c>
      <c r="F792" s="15" t="s">
        <v>28</v>
      </c>
      <c r="G792" s="12">
        <v>43207</v>
      </c>
      <c r="H792" s="23">
        <f t="shared" si="79"/>
        <v>48891</v>
      </c>
      <c r="I792" s="23"/>
      <c r="J792" s="23"/>
      <c r="K792" s="24">
        <f>3*1200</f>
        <v>3600</v>
      </c>
      <c r="L792" s="23">
        <v>22904.639999999999</v>
      </c>
      <c r="M792" s="22">
        <f t="shared" si="80"/>
        <v>22386.36</v>
      </c>
      <c r="N792" s="22"/>
      <c r="O792" s="30">
        <f t="shared" si="81"/>
        <v>0.45788304595937906</v>
      </c>
    </row>
    <row r="793" spans="1:15" ht="20.100000000000001" customHeight="1" x14ac:dyDescent="0.25">
      <c r="A793" s="35" t="s">
        <v>535</v>
      </c>
      <c r="B793" s="36"/>
      <c r="C793" s="42"/>
      <c r="D793" s="37"/>
      <c r="E793" s="46" t="s">
        <v>554</v>
      </c>
      <c r="F793" s="47">
        <f>M793*0.12+N793*0.06</f>
        <v>13310.263200000001</v>
      </c>
      <c r="G793" s="21">
        <f>H793*0.02+I793*0.02</f>
        <v>9076.7900000000009</v>
      </c>
      <c r="H793" s="49">
        <f>SUBTOTAL(109,Март2018[Продажа])</f>
        <v>381169.5</v>
      </c>
      <c r="I793" s="49">
        <f>SUBTOTAL(109,Март2018[Продажа НК])</f>
        <v>72670</v>
      </c>
      <c r="J793" s="49">
        <f>SUBTOTAL(109,Март2018[отк])</f>
        <v>0</v>
      </c>
      <c r="K793" s="49">
        <f>SUBTOTAL(109,Март2018[шланги])</f>
        <v>10200</v>
      </c>
      <c r="L793" s="49">
        <f>SUBTOTAL(109,Март2018[Закупка])</f>
        <v>269376.64000000001</v>
      </c>
      <c r="M793" s="49">
        <f>SUBTOTAL(109,Март2018[Маржа])</f>
        <v>101592.86</v>
      </c>
      <c r="N793" s="49">
        <f>SUBTOTAL(109,Март2018[Маржа НК])</f>
        <v>18652</v>
      </c>
      <c r="O793" s="44">
        <f t="shared" si="81"/>
        <v>0.26652935242720105</v>
      </c>
    </row>
    <row r="794" spans="1:15" ht="20.100000000000001" customHeight="1" x14ac:dyDescent="0.25">
      <c r="A794" s="41" t="s">
        <v>1</v>
      </c>
      <c r="B794" s="1" t="s">
        <v>0</v>
      </c>
      <c r="C794" s="1" t="s">
        <v>26</v>
      </c>
      <c r="D794" s="1" t="s">
        <v>2</v>
      </c>
      <c r="E794" s="1" t="s">
        <v>3</v>
      </c>
      <c r="F794" s="1" t="s">
        <v>27</v>
      </c>
      <c r="G794" s="1" t="s">
        <v>4</v>
      </c>
      <c r="H794" s="2" t="s">
        <v>132</v>
      </c>
      <c r="I794" s="2" t="s">
        <v>133</v>
      </c>
      <c r="J794" s="40" t="s">
        <v>187</v>
      </c>
      <c r="K794" s="40" t="s">
        <v>188</v>
      </c>
      <c r="L794" s="40" t="s">
        <v>129</v>
      </c>
      <c r="M794" s="40" t="s">
        <v>130</v>
      </c>
      <c r="N794" s="2" t="s">
        <v>131</v>
      </c>
      <c r="O794" s="2" t="s">
        <v>134</v>
      </c>
    </row>
    <row r="795" spans="1:15" ht="20.100000000000001" customHeight="1" x14ac:dyDescent="0.25">
      <c r="A795" s="33">
        <v>188</v>
      </c>
      <c r="B795" s="9">
        <v>43181</v>
      </c>
      <c r="C795" s="18" t="s">
        <v>186</v>
      </c>
      <c r="D795" s="11">
        <v>31957</v>
      </c>
      <c r="E795" s="9">
        <v>43192</v>
      </c>
      <c r="F795" s="15" t="s">
        <v>28</v>
      </c>
      <c r="G795" s="12">
        <v>43236</v>
      </c>
      <c r="H795" s="23">
        <f t="shared" ref="H795:H822" si="82">D795</f>
        <v>31957</v>
      </c>
      <c r="I795" s="23"/>
      <c r="J795" s="23"/>
      <c r="K795" s="24"/>
      <c r="L795" s="23">
        <v>24503</v>
      </c>
      <c r="M795" s="22">
        <f t="shared" ref="M795:M826" si="83">H795-L795-J795-K795</f>
        <v>7454</v>
      </c>
      <c r="N795" s="22"/>
      <c r="O795" s="30">
        <f t="shared" ref="O795:O827" si="84">M795/H795</f>
        <v>0.23325093093844854</v>
      </c>
    </row>
    <row r="796" spans="1:15" ht="20.100000000000001" customHeight="1" x14ac:dyDescent="0.25">
      <c r="A796" s="33">
        <v>27</v>
      </c>
      <c r="B796" s="9">
        <v>43116</v>
      </c>
      <c r="C796" s="18" t="s">
        <v>228</v>
      </c>
      <c r="D796" s="11">
        <v>72790</v>
      </c>
      <c r="E796" s="9">
        <v>43193</v>
      </c>
      <c r="F796" s="15" t="s">
        <v>28</v>
      </c>
      <c r="G796" s="12">
        <v>43201</v>
      </c>
      <c r="H796" s="23">
        <f t="shared" si="82"/>
        <v>72790</v>
      </c>
      <c r="I796" s="23"/>
      <c r="J796" s="23"/>
      <c r="K796" s="24"/>
      <c r="L796" s="23">
        <v>47416</v>
      </c>
      <c r="M796" s="22">
        <f t="shared" si="83"/>
        <v>25374</v>
      </c>
      <c r="N796" s="22"/>
      <c r="O796" s="30">
        <f t="shared" si="84"/>
        <v>0.34859183953839812</v>
      </c>
    </row>
    <row r="797" spans="1:15" ht="20.100000000000001" customHeight="1" x14ac:dyDescent="0.25">
      <c r="A797" s="33">
        <v>175</v>
      </c>
      <c r="B797" s="9">
        <v>43178</v>
      </c>
      <c r="C797" s="18" t="s">
        <v>315</v>
      </c>
      <c r="D797" s="11">
        <v>7910</v>
      </c>
      <c r="E797" s="9">
        <v>43193</v>
      </c>
      <c r="F797" s="15" t="s">
        <v>28</v>
      </c>
      <c r="G797" s="12">
        <v>43235</v>
      </c>
      <c r="H797" s="23">
        <f t="shared" si="82"/>
        <v>7910</v>
      </c>
      <c r="I797" s="23"/>
      <c r="J797" s="23"/>
      <c r="K797" s="24"/>
      <c r="L797" s="23">
        <v>4862</v>
      </c>
      <c r="M797" s="22">
        <f t="shared" si="83"/>
        <v>3048</v>
      </c>
      <c r="N797" s="22"/>
      <c r="O797" s="30">
        <f t="shared" si="84"/>
        <v>0.38533501896333755</v>
      </c>
    </row>
    <row r="798" spans="1:15" ht="20.100000000000001" customHeight="1" x14ac:dyDescent="0.25">
      <c r="A798" s="33">
        <v>214</v>
      </c>
      <c r="B798" s="9">
        <v>43194</v>
      </c>
      <c r="C798" s="26" t="s">
        <v>320</v>
      </c>
      <c r="D798" s="11">
        <v>15185</v>
      </c>
      <c r="E798" s="9">
        <v>43194</v>
      </c>
      <c r="F798" s="15" t="s">
        <v>28</v>
      </c>
      <c r="G798" s="12">
        <v>43206</v>
      </c>
      <c r="H798" s="23">
        <f t="shared" si="82"/>
        <v>15185</v>
      </c>
      <c r="I798" s="23"/>
      <c r="J798" s="23"/>
      <c r="K798" s="24"/>
      <c r="L798" s="23">
        <v>10165</v>
      </c>
      <c r="M798" s="22">
        <f t="shared" si="83"/>
        <v>5020</v>
      </c>
      <c r="N798" s="22"/>
      <c r="O798" s="30">
        <f t="shared" si="84"/>
        <v>0.33058939743167598</v>
      </c>
    </row>
    <row r="799" spans="1:15" ht="20.100000000000001" customHeight="1" x14ac:dyDescent="0.25">
      <c r="A799" s="33">
        <v>221</v>
      </c>
      <c r="B799" s="9">
        <v>43192</v>
      </c>
      <c r="C799" s="26" t="s">
        <v>16</v>
      </c>
      <c r="D799" s="11">
        <v>1907</v>
      </c>
      <c r="E799" s="9">
        <v>43194</v>
      </c>
      <c r="F799" s="15" t="s">
        <v>28</v>
      </c>
      <c r="G799" s="12">
        <v>43209</v>
      </c>
      <c r="H799" s="23">
        <f t="shared" si="82"/>
        <v>1907</v>
      </c>
      <c r="I799" s="23"/>
      <c r="J799" s="23"/>
      <c r="K799" s="24"/>
      <c r="L799" s="23">
        <v>1509</v>
      </c>
      <c r="M799" s="22">
        <f t="shared" si="83"/>
        <v>398</v>
      </c>
      <c r="N799" s="22"/>
      <c r="O799" s="30">
        <f t="shared" si="84"/>
        <v>0.20870477189302569</v>
      </c>
    </row>
    <row r="800" spans="1:15" ht="20.100000000000001" customHeight="1" x14ac:dyDescent="0.25">
      <c r="A800" s="33">
        <v>162</v>
      </c>
      <c r="B800" s="9">
        <v>43172</v>
      </c>
      <c r="C800" s="18" t="s">
        <v>38</v>
      </c>
      <c r="D800" s="11">
        <v>859118</v>
      </c>
      <c r="E800" s="9">
        <v>43195</v>
      </c>
      <c r="F800" s="15" t="s">
        <v>28</v>
      </c>
      <c r="G800" s="12">
        <v>43173</v>
      </c>
      <c r="H800" s="23">
        <f t="shared" si="82"/>
        <v>859118</v>
      </c>
      <c r="I800" s="23"/>
      <c r="J800" s="23">
        <v>50000</v>
      </c>
      <c r="K800" s="24"/>
      <c r="L800" s="23">
        <v>647823</v>
      </c>
      <c r="M800" s="22">
        <f t="shared" si="83"/>
        <v>161295</v>
      </c>
      <c r="N800" s="22"/>
      <c r="O800" s="30">
        <f t="shared" si="84"/>
        <v>0.18774487323045264</v>
      </c>
    </row>
    <row r="801" spans="1:15" ht="20.100000000000001" customHeight="1" x14ac:dyDescent="0.25">
      <c r="A801" s="33">
        <v>197</v>
      </c>
      <c r="B801" s="9">
        <v>43185</v>
      </c>
      <c r="C801" s="18" t="s">
        <v>216</v>
      </c>
      <c r="D801" s="11">
        <v>5064.3</v>
      </c>
      <c r="E801" s="9">
        <v>43195</v>
      </c>
      <c r="F801" s="15" t="s">
        <v>28</v>
      </c>
      <c r="G801" s="12">
        <v>43248</v>
      </c>
      <c r="H801" s="23">
        <f t="shared" si="82"/>
        <v>5064.3</v>
      </c>
      <c r="I801" s="23"/>
      <c r="J801" s="23"/>
      <c r="K801" s="24"/>
      <c r="L801" s="23">
        <v>4122</v>
      </c>
      <c r="M801" s="22">
        <f t="shared" si="83"/>
        <v>942.30000000000018</v>
      </c>
      <c r="N801" s="22"/>
      <c r="O801" s="30">
        <f t="shared" si="84"/>
        <v>0.18606717611515908</v>
      </c>
    </row>
    <row r="802" spans="1:15" ht="19.5" customHeight="1" x14ac:dyDescent="0.25">
      <c r="A802" s="33">
        <v>228</v>
      </c>
      <c r="B802" s="9">
        <v>43195</v>
      </c>
      <c r="C802" s="18" t="s">
        <v>211</v>
      </c>
      <c r="D802" s="11">
        <v>3153</v>
      </c>
      <c r="E802" s="9">
        <v>43196</v>
      </c>
      <c r="F802" s="15" t="s">
        <v>28</v>
      </c>
      <c r="G802" s="12">
        <v>43199</v>
      </c>
      <c r="H802" s="23">
        <f t="shared" si="82"/>
        <v>3153</v>
      </c>
      <c r="I802" s="23"/>
      <c r="J802" s="23"/>
      <c r="K802" s="24"/>
      <c r="L802" s="23">
        <v>2424</v>
      </c>
      <c r="M802" s="22">
        <f t="shared" si="83"/>
        <v>729</v>
      </c>
      <c r="N802" s="22"/>
      <c r="O802" s="30">
        <f t="shared" si="84"/>
        <v>0.23120837297811608</v>
      </c>
    </row>
    <row r="803" spans="1:15" ht="15.75" x14ac:dyDescent="0.25">
      <c r="A803" s="33">
        <v>143</v>
      </c>
      <c r="B803" s="9">
        <v>43186</v>
      </c>
      <c r="C803" s="18" t="s">
        <v>56</v>
      </c>
      <c r="D803" s="11">
        <v>17694</v>
      </c>
      <c r="E803" s="9">
        <v>43199</v>
      </c>
      <c r="F803" s="15" t="s">
        <v>28</v>
      </c>
      <c r="G803" s="12">
        <v>43186</v>
      </c>
      <c r="H803" s="23">
        <f t="shared" si="82"/>
        <v>17694</v>
      </c>
      <c r="I803" s="23"/>
      <c r="J803" s="23"/>
      <c r="K803" s="24"/>
      <c r="L803" s="23">
        <v>13804</v>
      </c>
      <c r="M803" s="22">
        <f t="shared" si="83"/>
        <v>3890</v>
      </c>
      <c r="N803" s="22"/>
      <c r="O803" s="30">
        <f t="shared" si="84"/>
        <v>0.21984853622696959</v>
      </c>
    </row>
    <row r="804" spans="1:15" s="2" customFormat="1" ht="20.100000000000001" customHeight="1" x14ac:dyDescent="0.25">
      <c r="A804" s="33">
        <v>149</v>
      </c>
      <c r="B804" s="9">
        <v>43179</v>
      </c>
      <c r="C804" s="18" t="s">
        <v>56</v>
      </c>
      <c r="D804" s="11">
        <v>42939</v>
      </c>
      <c r="E804" s="9">
        <v>43199</v>
      </c>
      <c r="F804" s="15" t="s">
        <v>28</v>
      </c>
      <c r="G804" s="12">
        <v>43186</v>
      </c>
      <c r="H804" s="23">
        <f t="shared" si="82"/>
        <v>42939</v>
      </c>
      <c r="I804" s="23"/>
      <c r="J804" s="23"/>
      <c r="K804" s="24"/>
      <c r="L804" s="23">
        <v>29529</v>
      </c>
      <c r="M804" s="22">
        <f t="shared" si="83"/>
        <v>13410</v>
      </c>
      <c r="N804" s="22"/>
      <c r="O804" s="30">
        <f t="shared" si="84"/>
        <v>0.31230350031439952</v>
      </c>
    </row>
    <row r="805" spans="1:15" ht="20.100000000000001" customHeight="1" x14ac:dyDescent="0.25">
      <c r="A805" s="33">
        <v>217</v>
      </c>
      <c r="B805" s="9">
        <v>43192</v>
      </c>
      <c r="C805" s="18" t="s">
        <v>294</v>
      </c>
      <c r="D805" s="11">
        <v>2439</v>
      </c>
      <c r="E805" s="9">
        <v>43199</v>
      </c>
      <c r="F805" s="15" t="s">
        <v>28</v>
      </c>
      <c r="G805" s="12">
        <v>43203</v>
      </c>
      <c r="H805" s="23">
        <f t="shared" si="82"/>
        <v>2439</v>
      </c>
      <c r="I805" s="23"/>
      <c r="J805" s="23"/>
      <c r="K805" s="24"/>
      <c r="L805" s="23">
        <v>1898</v>
      </c>
      <c r="M805" s="22">
        <f t="shared" si="83"/>
        <v>541</v>
      </c>
      <c r="N805" s="22"/>
      <c r="O805" s="30">
        <f t="shared" si="84"/>
        <v>0.22181221812218122</v>
      </c>
    </row>
    <row r="806" spans="1:15" ht="20.100000000000001" customHeight="1" x14ac:dyDescent="0.25">
      <c r="A806" s="33">
        <v>157</v>
      </c>
      <c r="B806" s="9">
        <v>43165</v>
      </c>
      <c r="C806" s="26" t="s">
        <v>238</v>
      </c>
      <c r="D806" s="11">
        <v>12999</v>
      </c>
      <c r="E806" s="9">
        <v>43199</v>
      </c>
      <c r="F806" s="15" t="s">
        <v>28</v>
      </c>
      <c r="G806" s="12">
        <v>43201</v>
      </c>
      <c r="H806" s="23">
        <f t="shared" si="82"/>
        <v>12999</v>
      </c>
      <c r="I806" s="23"/>
      <c r="J806" s="23"/>
      <c r="K806" s="24"/>
      <c r="L806" s="23">
        <v>9554</v>
      </c>
      <c r="M806" s="22">
        <f t="shared" si="83"/>
        <v>3445</v>
      </c>
      <c r="N806" s="22"/>
      <c r="O806" s="30">
        <f t="shared" si="84"/>
        <v>0.26502038618355256</v>
      </c>
    </row>
    <row r="807" spans="1:15" ht="20.100000000000001" customHeight="1" x14ac:dyDescent="0.25">
      <c r="A807" s="33">
        <v>199</v>
      </c>
      <c r="B807" s="9">
        <v>43186</v>
      </c>
      <c r="C807" s="26" t="s">
        <v>238</v>
      </c>
      <c r="D807" s="11">
        <v>838</v>
      </c>
      <c r="E807" s="9">
        <v>43199</v>
      </c>
      <c r="F807" s="15" t="s">
        <v>28</v>
      </c>
      <c r="G807" s="12">
        <v>43201</v>
      </c>
      <c r="H807" s="23">
        <f t="shared" si="82"/>
        <v>838</v>
      </c>
      <c r="I807" s="23"/>
      <c r="J807" s="23"/>
      <c r="K807" s="24"/>
      <c r="L807" s="23">
        <v>653</v>
      </c>
      <c r="M807" s="22">
        <f t="shared" si="83"/>
        <v>185</v>
      </c>
      <c r="N807" s="22"/>
      <c r="O807" s="30">
        <f t="shared" si="84"/>
        <v>0.220763723150358</v>
      </c>
    </row>
    <row r="808" spans="1:15" ht="20.100000000000001" customHeight="1" x14ac:dyDescent="0.25">
      <c r="A808" s="33">
        <v>216</v>
      </c>
      <c r="B808" s="9">
        <v>43189</v>
      </c>
      <c r="C808" s="18" t="s">
        <v>60</v>
      </c>
      <c r="D808" s="11">
        <v>1065</v>
      </c>
      <c r="E808" s="9">
        <v>43201</v>
      </c>
      <c r="F808" s="15" t="s">
        <v>28</v>
      </c>
      <c r="G808" s="12">
        <v>43193</v>
      </c>
      <c r="H808" s="23">
        <f t="shared" si="82"/>
        <v>1065</v>
      </c>
      <c r="I808" s="23"/>
      <c r="J808" s="23"/>
      <c r="K808" s="24"/>
      <c r="L808" s="23">
        <v>620</v>
      </c>
      <c r="M808" s="22">
        <f t="shared" si="83"/>
        <v>445</v>
      </c>
      <c r="N808" s="22"/>
      <c r="O808" s="30">
        <f t="shared" si="84"/>
        <v>0.41784037558685444</v>
      </c>
    </row>
    <row r="809" spans="1:15" ht="20.100000000000001" customHeight="1" x14ac:dyDescent="0.25">
      <c r="A809" s="33">
        <v>239</v>
      </c>
      <c r="B809" s="9">
        <v>43196</v>
      </c>
      <c r="C809" s="18" t="s">
        <v>318</v>
      </c>
      <c r="D809" s="11">
        <v>22689</v>
      </c>
      <c r="E809" s="9">
        <v>43201</v>
      </c>
      <c r="F809" s="15" t="s">
        <v>28</v>
      </c>
      <c r="G809" s="12">
        <v>43211</v>
      </c>
      <c r="H809" s="23">
        <f t="shared" si="82"/>
        <v>22689</v>
      </c>
      <c r="I809" s="23"/>
      <c r="J809" s="23"/>
      <c r="K809" s="24"/>
      <c r="L809" s="23">
        <v>15614.11</v>
      </c>
      <c r="M809" s="22">
        <f t="shared" si="83"/>
        <v>7074.8899999999994</v>
      </c>
      <c r="N809" s="22"/>
      <c r="O809" s="30">
        <f t="shared" si="84"/>
        <v>0.31182026532681034</v>
      </c>
    </row>
    <row r="810" spans="1:15" ht="20.100000000000001" customHeight="1" x14ac:dyDescent="0.25">
      <c r="A810" s="33">
        <v>1070</v>
      </c>
      <c r="B810" s="9">
        <v>43081</v>
      </c>
      <c r="C810" s="18" t="s">
        <v>99</v>
      </c>
      <c r="D810" s="11">
        <v>12885</v>
      </c>
      <c r="E810" s="9">
        <v>43446</v>
      </c>
      <c r="F810" s="15" t="s">
        <v>28</v>
      </c>
      <c r="G810" s="12">
        <v>43088</v>
      </c>
      <c r="H810" s="23">
        <f t="shared" si="82"/>
        <v>12885</v>
      </c>
      <c r="I810" s="23"/>
      <c r="J810" s="23"/>
      <c r="K810" s="24"/>
      <c r="L810" s="23">
        <v>10050</v>
      </c>
      <c r="M810" s="22">
        <f t="shared" si="83"/>
        <v>2835</v>
      </c>
      <c r="N810" s="22"/>
      <c r="O810" s="30">
        <f t="shared" si="84"/>
        <v>0.22002328288707801</v>
      </c>
    </row>
    <row r="811" spans="1:15" ht="20.100000000000001" customHeight="1" x14ac:dyDescent="0.25">
      <c r="A811" s="33">
        <v>148</v>
      </c>
      <c r="B811" s="9">
        <v>43160</v>
      </c>
      <c r="C811" s="18" t="s">
        <v>99</v>
      </c>
      <c r="D811" s="11">
        <v>12396</v>
      </c>
      <c r="E811" s="9">
        <v>43446</v>
      </c>
      <c r="F811" s="15" t="s">
        <v>28</v>
      </c>
      <c r="G811" s="12">
        <v>43160</v>
      </c>
      <c r="H811" s="23">
        <f t="shared" si="82"/>
        <v>12396</v>
      </c>
      <c r="I811" s="23"/>
      <c r="J811" s="23"/>
      <c r="K811" s="24"/>
      <c r="L811" s="23">
        <v>9214</v>
      </c>
      <c r="M811" s="22">
        <f t="shared" si="83"/>
        <v>3182</v>
      </c>
      <c r="N811" s="22"/>
      <c r="O811" s="30">
        <f t="shared" si="84"/>
        <v>0.25669570829299776</v>
      </c>
    </row>
    <row r="812" spans="1:15" ht="20.100000000000001" customHeight="1" x14ac:dyDescent="0.25">
      <c r="A812" s="33">
        <v>76</v>
      </c>
      <c r="B812" s="9">
        <v>43158</v>
      </c>
      <c r="C812" s="18" t="s">
        <v>99</v>
      </c>
      <c r="D812" s="11">
        <v>123255</v>
      </c>
      <c r="E812" s="9">
        <v>43446</v>
      </c>
      <c r="F812" s="15" t="s">
        <v>28</v>
      </c>
      <c r="G812" s="12">
        <v>43158</v>
      </c>
      <c r="H812" s="23">
        <f t="shared" si="82"/>
        <v>123255</v>
      </c>
      <c r="I812" s="23"/>
      <c r="J812" s="23"/>
      <c r="K812" s="24">
        <v>12000</v>
      </c>
      <c r="L812" s="23">
        <v>89494</v>
      </c>
      <c r="M812" s="22">
        <f t="shared" si="83"/>
        <v>21761</v>
      </c>
      <c r="N812" s="22"/>
      <c r="O812" s="30">
        <f t="shared" si="84"/>
        <v>0.17655267534785607</v>
      </c>
    </row>
    <row r="813" spans="1:15" ht="20.100000000000001" customHeight="1" x14ac:dyDescent="0.25">
      <c r="A813" s="33">
        <v>172</v>
      </c>
      <c r="B813" s="9">
        <v>43202</v>
      </c>
      <c r="C813" s="18" t="s">
        <v>162</v>
      </c>
      <c r="D813" s="11">
        <v>45990</v>
      </c>
      <c r="E813" s="9">
        <v>43446</v>
      </c>
      <c r="F813" s="15" t="s">
        <v>28</v>
      </c>
      <c r="G813" s="12">
        <v>43203</v>
      </c>
      <c r="H813" s="23">
        <f t="shared" si="82"/>
        <v>45990</v>
      </c>
      <c r="I813" s="23"/>
      <c r="J813" s="23"/>
      <c r="K813" s="24"/>
      <c r="L813" s="23">
        <v>30006</v>
      </c>
      <c r="M813" s="22">
        <f t="shared" si="83"/>
        <v>15984</v>
      </c>
      <c r="N813" s="22"/>
      <c r="O813" s="30">
        <f t="shared" si="84"/>
        <v>0.34755381604696672</v>
      </c>
    </row>
    <row r="814" spans="1:15" ht="20.100000000000001" customHeight="1" x14ac:dyDescent="0.25">
      <c r="A814" s="33">
        <v>249</v>
      </c>
      <c r="B814" s="9">
        <v>43201</v>
      </c>
      <c r="C814" s="18" t="s">
        <v>321</v>
      </c>
      <c r="D814" s="11">
        <v>95068</v>
      </c>
      <c r="E814" s="9">
        <v>43447</v>
      </c>
      <c r="F814" s="15" t="s">
        <v>28</v>
      </c>
      <c r="G814" s="12">
        <v>43231</v>
      </c>
      <c r="H814" s="23">
        <f t="shared" si="82"/>
        <v>95068</v>
      </c>
      <c r="I814" s="23"/>
      <c r="J814" s="23"/>
      <c r="K814" s="24"/>
      <c r="L814" s="23">
        <v>65932</v>
      </c>
      <c r="M814" s="22">
        <f t="shared" si="83"/>
        <v>29136</v>
      </c>
      <c r="N814" s="22"/>
      <c r="O814" s="30">
        <f t="shared" si="84"/>
        <v>0.30647536500189337</v>
      </c>
    </row>
    <row r="815" spans="1:15" ht="20.100000000000001" customHeight="1" x14ac:dyDescent="0.25">
      <c r="A815" s="33">
        <v>235</v>
      </c>
      <c r="B815" s="9">
        <v>43195</v>
      </c>
      <c r="C815" s="18" t="s">
        <v>315</v>
      </c>
      <c r="D815" s="11">
        <v>108570</v>
      </c>
      <c r="E815" s="9">
        <v>43206</v>
      </c>
      <c r="F815" s="15" t="s">
        <v>28</v>
      </c>
      <c r="G815" s="12">
        <v>43235</v>
      </c>
      <c r="H815" s="23">
        <f t="shared" si="82"/>
        <v>108570</v>
      </c>
      <c r="I815" s="23"/>
      <c r="J815" s="23"/>
      <c r="K815" s="24"/>
      <c r="L815" s="23">
        <v>82077</v>
      </c>
      <c r="M815" s="22">
        <f t="shared" si="83"/>
        <v>26493</v>
      </c>
      <c r="N815" s="22"/>
      <c r="O815" s="30">
        <f t="shared" si="84"/>
        <v>0.24401768444321636</v>
      </c>
    </row>
    <row r="816" spans="1:15" ht="20.100000000000001" customHeight="1" x14ac:dyDescent="0.25">
      <c r="A816" s="33">
        <v>215</v>
      </c>
      <c r="B816" s="9">
        <v>43189</v>
      </c>
      <c r="C816" s="18" t="s">
        <v>49</v>
      </c>
      <c r="D816" s="11">
        <v>3176</v>
      </c>
      <c r="E816" s="9">
        <v>43208</v>
      </c>
      <c r="F816" s="15" t="s">
        <v>28</v>
      </c>
      <c r="G816" s="12">
        <v>43215</v>
      </c>
      <c r="H816" s="23">
        <f t="shared" si="82"/>
        <v>3176</v>
      </c>
      <c r="I816" s="23"/>
      <c r="J816" s="23"/>
      <c r="K816" s="24"/>
      <c r="L816" s="23">
        <v>2341</v>
      </c>
      <c r="M816" s="22">
        <f t="shared" si="83"/>
        <v>835</v>
      </c>
      <c r="N816" s="22"/>
      <c r="O816" s="30">
        <f t="shared" si="84"/>
        <v>0.26290931989924432</v>
      </c>
    </row>
    <row r="817" spans="1:15" ht="20.100000000000001" customHeight="1" x14ac:dyDescent="0.25">
      <c r="A817" s="33">
        <v>222</v>
      </c>
      <c r="B817" s="9">
        <v>43192</v>
      </c>
      <c r="C817" s="26" t="s">
        <v>217</v>
      </c>
      <c r="D817" s="11">
        <v>26212</v>
      </c>
      <c r="E817" s="9">
        <v>43209</v>
      </c>
      <c r="F817" s="15" t="s">
        <v>28</v>
      </c>
      <c r="G817" s="12">
        <v>43210</v>
      </c>
      <c r="H817" s="23">
        <f t="shared" si="82"/>
        <v>26212</v>
      </c>
      <c r="I817" s="23"/>
      <c r="J817" s="23"/>
      <c r="K817" s="24"/>
      <c r="L817" s="23">
        <v>20736</v>
      </c>
      <c r="M817" s="22">
        <f t="shared" si="83"/>
        <v>5476</v>
      </c>
      <c r="N817" s="22"/>
      <c r="O817" s="30">
        <f t="shared" si="84"/>
        <v>0.20891194872577445</v>
      </c>
    </row>
    <row r="818" spans="1:15" ht="20.100000000000001" customHeight="1" x14ac:dyDescent="0.25">
      <c r="A818" s="33">
        <v>198</v>
      </c>
      <c r="B818" s="9">
        <v>43186</v>
      </c>
      <c r="C818" s="18" t="s">
        <v>176</v>
      </c>
      <c r="D818" s="11">
        <v>17990</v>
      </c>
      <c r="E818" s="9">
        <v>43209</v>
      </c>
      <c r="F818" s="15" t="s">
        <v>28</v>
      </c>
      <c r="G818" s="12">
        <v>43193</v>
      </c>
      <c r="H818" s="23">
        <f t="shared" si="82"/>
        <v>17990</v>
      </c>
      <c r="I818" s="23"/>
      <c r="J818" s="23"/>
      <c r="K818" s="24"/>
      <c r="L818" s="23">
        <v>13600</v>
      </c>
      <c r="M818" s="22">
        <f t="shared" si="83"/>
        <v>4390</v>
      </c>
      <c r="N818" s="22"/>
      <c r="O818" s="30">
        <f t="shared" si="84"/>
        <v>0.24402445803224013</v>
      </c>
    </row>
    <row r="819" spans="1:15" ht="20.100000000000001" customHeight="1" x14ac:dyDescent="0.25">
      <c r="A819" s="33">
        <v>282</v>
      </c>
      <c r="B819" s="9">
        <v>43209</v>
      </c>
      <c r="C819" s="18" t="s">
        <v>317</v>
      </c>
      <c r="D819" s="11">
        <v>1051</v>
      </c>
      <c r="E819" s="9">
        <v>43209</v>
      </c>
      <c r="F819" s="15" t="s">
        <v>28</v>
      </c>
      <c r="G819" s="12">
        <v>43209</v>
      </c>
      <c r="H819" s="23">
        <f t="shared" si="82"/>
        <v>1051</v>
      </c>
      <c r="I819" s="23"/>
      <c r="J819" s="23"/>
      <c r="K819" s="24"/>
      <c r="L819" s="23">
        <v>808</v>
      </c>
      <c r="M819" s="22">
        <f t="shared" si="83"/>
        <v>243</v>
      </c>
      <c r="N819" s="22"/>
      <c r="O819" s="30">
        <f t="shared" si="84"/>
        <v>0.23120837297811608</v>
      </c>
    </row>
    <row r="820" spans="1:15" ht="20.100000000000001" customHeight="1" x14ac:dyDescent="0.25">
      <c r="A820" s="33">
        <v>281</v>
      </c>
      <c r="B820" s="9">
        <v>43209</v>
      </c>
      <c r="C820" s="18" t="s">
        <v>322</v>
      </c>
      <c r="D820" s="11">
        <v>2108</v>
      </c>
      <c r="E820" s="9">
        <v>43209</v>
      </c>
      <c r="F820" s="15" t="s">
        <v>28</v>
      </c>
      <c r="G820" s="12">
        <v>43210</v>
      </c>
      <c r="H820" s="23">
        <f t="shared" si="82"/>
        <v>2108</v>
      </c>
      <c r="I820" s="23"/>
      <c r="J820" s="23"/>
      <c r="K820" s="24"/>
      <c r="L820" s="23">
        <v>1265</v>
      </c>
      <c r="M820" s="22">
        <f t="shared" si="83"/>
        <v>843</v>
      </c>
      <c r="N820" s="22"/>
      <c r="O820" s="30">
        <f t="shared" si="84"/>
        <v>0.39990512333965844</v>
      </c>
    </row>
    <row r="821" spans="1:15" ht="20.100000000000001" customHeight="1" x14ac:dyDescent="0.25">
      <c r="A821" s="33">
        <v>256</v>
      </c>
      <c r="B821" s="9">
        <v>43203</v>
      </c>
      <c r="C821" s="18" t="s">
        <v>147</v>
      </c>
      <c r="D821" s="11">
        <v>11570</v>
      </c>
      <c r="E821" s="9">
        <v>43210</v>
      </c>
      <c r="F821" s="15" t="s">
        <v>28</v>
      </c>
      <c r="G821" s="12">
        <v>43217</v>
      </c>
      <c r="H821" s="23">
        <f t="shared" si="82"/>
        <v>11570</v>
      </c>
      <c r="I821" s="23"/>
      <c r="J821" s="23"/>
      <c r="K821" s="24"/>
      <c r="L821" s="23">
        <v>6738</v>
      </c>
      <c r="M821" s="22">
        <f t="shared" si="83"/>
        <v>4832</v>
      </c>
      <c r="N821" s="22"/>
      <c r="O821" s="30">
        <f t="shared" si="84"/>
        <v>0.41763180639585135</v>
      </c>
    </row>
    <row r="822" spans="1:15" ht="20.100000000000001" customHeight="1" x14ac:dyDescent="0.25">
      <c r="A822" s="33">
        <v>272</v>
      </c>
      <c r="B822" s="9">
        <v>43209</v>
      </c>
      <c r="C822" s="18" t="s">
        <v>14</v>
      </c>
      <c r="D822" s="11">
        <v>28170</v>
      </c>
      <c r="E822" s="9">
        <v>43213</v>
      </c>
      <c r="F822" s="15" t="s">
        <v>28</v>
      </c>
      <c r="G822" s="12">
        <v>43230</v>
      </c>
      <c r="H822" s="23">
        <f t="shared" si="82"/>
        <v>28170</v>
      </c>
      <c r="I822" s="23"/>
      <c r="J822" s="23"/>
      <c r="K822" s="24"/>
      <c r="L822" s="23">
        <v>21297</v>
      </c>
      <c r="M822" s="22">
        <f t="shared" si="83"/>
        <v>6873</v>
      </c>
      <c r="N822" s="22"/>
      <c r="O822" s="30">
        <f t="shared" si="84"/>
        <v>0.24398296059637914</v>
      </c>
    </row>
    <row r="823" spans="1:15" ht="20.100000000000001" customHeight="1" x14ac:dyDescent="0.25">
      <c r="A823" s="33">
        <v>155</v>
      </c>
      <c r="B823" s="9">
        <v>43164</v>
      </c>
      <c r="C823" s="18" t="s">
        <v>66</v>
      </c>
      <c r="D823" s="11">
        <v>24680</v>
      </c>
      <c r="E823" s="9">
        <v>43214</v>
      </c>
      <c r="F823" s="15" t="s">
        <v>28</v>
      </c>
      <c r="G823" s="12">
        <v>43201</v>
      </c>
      <c r="H823" s="23">
        <f>D823/2</f>
        <v>12340</v>
      </c>
      <c r="I823" s="23"/>
      <c r="J823" s="23"/>
      <c r="K823" s="24"/>
      <c r="L823" s="23">
        <v>8650</v>
      </c>
      <c r="M823" s="22">
        <f t="shared" si="83"/>
        <v>3690</v>
      </c>
      <c r="N823" s="22"/>
      <c r="O823" s="30">
        <f t="shared" si="84"/>
        <v>0.29902755267423015</v>
      </c>
    </row>
    <row r="824" spans="1:15" ht="20.100000000000001" customHeight="1" x14ac:dyDescent="0.25">
      <c r="A824" s="33">
        <v>299</v>
      </c>
      <c r="B824" s="9">
        <v>43214</v>
      </c>
      <c r="C824" s="18" t="s">
        <v>270</v>
      </c>
      <c r="D824" s="11">
        <v>1671</v>
      </c>
      <c r="E824" s="9">
        <v>43216</v>
      </c>
      <c r="F824" s="15" t="s">
        <v>28</v>
      </c>
      <c r="G824" s="12">
        <v>43217</v>
      </c>
      <c r="H824" s="23">
        <f>D824</f>
        <v>1671</v>
      </c>
      <c r="I824" s="23"/>
      <c r="J824" s="23"/>
      <c r="K824" s="24"/>
      <c r="L824" s="23">
        <v>1285</v>
      </c>
      <c r="M824" s="22">
        <f t="shared" si="83"/>
        <v>386</v>
      </c>
      <c r="N824" s="22"/>
      <c r="O824" s="30">
        <f t="shared" si="84"/>
        <v>0.23099940155595453</v>
      </c>
    </row>
    <row r="825" spans="1:15" ht="20.100000000000001" customHeight="1" x14ac:dyDescent="0.25">
      <c r="A825" s="33">
        <v>303</v>
      </c>
      <c r="B825" s="9">
        <v>43215</v>
      </c>
      <c r="C825" s="18" t="s">
        <v>149</v>
      </c>
      <c r="D825" s="11">
        <v>15761</v>
      </c>
      <c r="E825" s="9">
        <v>43218</v>
      </c>
      <c r="F825" s="15" t="s">
        <v>28</v>
      </c>
      <c r="G825" s="12">
        <v>43231</v>
      </c>
      <c r="H825" s="23">
        <f>D825</f>
        <v>15761</v>
      </c>
      <c r="I825" s="23"/>
      <c r="J825" s="23"/>
      <c r="K825" s="24"/>
      <c r="L825" s="23">
        <v>12150</v>
      </c>
      <c r="M825" s="22">
        <f t="shared" si="83"/>
        <v>3611</v>
      </c>
      <c r="N825" s="22"/>
      <c r="O825" s="30">
        <f t="shared" si="84"/>
        <v>0.22910982805659538</v>
      </c>
    </row>
    <row r="826" spans="1:15" ht="20.100000000000001" customHeight="1" x14ac:dyDescent="0.25">
      <c r="A826" s="33">
        <v>155</v>
      </c>
      <c r="B826" s="9">
        <v>43164</v>
      </c>
      <c r="C826" s="18" t="s">
        <v>66</v>
      </c>
      <c r="D826" s="11">
        <v>24680</v>
      </c>
      <c r="E826" s="9">
        <v>43218</v>
      </c>
      <c r="F826" s="15" t="s">
        <v>28</v>
      </c>
      <c r="G826" s="12">
        <v>43207</v>
      </c>
      <c r="H826" s="23">
        <f>D826/2</f>
        <v>12340</v>
      </c>
      <c r="I826" s="23"/>
      <c r="J826" s="23"/>
      <c r="K826" s="24"/>
      <c r="L826" s="23">
        <v>9637</v>
      </c>
      <c r="M826" s="22">
        <f t="shared" si="83"/>
        <v>2703</v>
      </c>
      <c r="N826" s="22"/>
      <c r="O826" s="30">
        <f t="shared" si="84"/>
        <v>0.21904376012965965</v>
      </c>
    </row>
    <row r="827" spans="1:15" ht="20.100000000000001" customHeight="1" x14ac:dyDescent="0.25">
      <c r="A827" s="35" t="s">
        <v>535</v>
      </c>
      <c r="B827" s="36"/>
      <c r="C827" s="42"/>
      <c r="D827" s="37"/>
      <c r="E827" s="46" t="s">
        <v>555</v>
      </c>
      <c r="F827" s="47">
        <f>M827*0.17+N827*0.06</f>
        <v>62309.112300000008</v>
      </c>
      <c r="G827" s="21">
        <f>H827*0.05+I827*0.02</f>
        <v>81415.015000000014</v>
      </c>
      <c r="H827" s="49">
        <f>SUBTOTAL(109,Апрель2018[Продажа])</f>
        <v>1628300.3</v>
      </c>
      <c r="I827" s="49">
        <f>SUBTOTAL(109,Апрель2018[Продажа НК])</f>
        <v>0</v>
      </c>
      <c r="J827" s="49">
        <f>SUBTOTAL(109,Апрель2018[отк])</f>
        <v>50000</v>
      </c>
      <c r="K827" s="49">
        <f>SUBTOTAL(109,Апрель2018[шланги])</f>
        <v>12000</v>
      </c>
      <c r="L827" s="49">
        <f>SUBTOTAL(109,Апрель2018[Закупка])</f>
        <v>1199776.1099999999</v>
      </c>
      <c r="M827" s="49">
        <f>SUBTOTAL(109,Апрель2018[Маржа])</f>
        <v>366524.19</v>
      </c>
      <c r="N827" s="49">
        <f>SUBTOTAL(109,Апрель2018[Маржа НК])</f>
        <v>0</v>
      </c>
      <c r="O827" s="44">
        <f t="shared" si="84"/>
        <v>0.22509618772409487</v>
      </c>
    </row>
    <row r="828" spans="1:15" ht="20.100000000000001" customHeight="1" x14ac:dyDescent="0.25">
      <c r="A828" s="41" t="s">
        <v>1</v>
      </c>
      <c r="B828" s="1" t="s">
        <v>0</v>
      </c>
      <c r="C828" s="1" t="s">
        <v>26</v>
      </c>
      <c r="D828" s="1" t="s">
        <v>2</v>
      </c>
      <c r="E828" s="1" t="s">
        <v>3</v>
      </c>
      <c r="F828" s="1" t="s">
        <v>27</v>
      </c>
      <c r="G828" s="1" t="s">
        <v>4</v>
      </c>
      <c r="H828" s="2" t="s">
        <v>132</v>
      </c>
      <c r="I828" s="2" t="s">
        <v>133</v>
      </c>
      <c r="J828" s="40" t="s">
        <v>187</v>
      </c>
      <c r="K828" s="40" t="s">
        <v>188</v>
      </c>
      <c r="L828" s="40" t="s">
        <v>129</v>
      </c>
      <c r="M828" s="40" t="s">
        <v>130</v>
      </c>
      <c r="N828" s="2" t="s">
        <v>131</v>
      </c>
      <c r="O828" s="2" t="s">
        <v>134</v>
      </c>
    </row>
    <row r="829" spans="1:15" ht="20.100000000000001" customHeight="1" x14ac:dyDescent="0.25">
      <c r="A829" s="33">
        <v>330</v>
      </c>
      <c r="B829" s="9">
        <v>43223</v>
      </c>
      <c r="C829" s="20" t="s">
        <v>324</v>
      </c>
      <c r="D829" s="11">
        <v>15241</v>
      </c>
      <c r="E829" s="9">
        <v>43223</v>
      </c>
      <c r="F829" s="15" t="s">
        <v>28</v>
      </c>
      <c r="G829" s="12">
        <v>43224</v>
      </c>
      <c r="H829" s="23">
        <f t="shared" ref="H829:H853" si="85">D829</f>
        <v>15241</v>
      </c>
      <c r="I829" s="23">
        <f>H829</f>
        <v>15241</v>
      </c>
      <c r="J829" s="23"/>
      <c r="K829" s="24"/>
      <c r="L829" s="23">
        <v>10941</v>
      </c>
      <c r="M829" s="22">
        <f t="shared" ref="M829:M865" si="86">H829-L829-J829-K829</f>
        <v>4300</v>
      </c>
      <c r="N829" s="22">
        <f>M829</f>
        <v>4300</v>
      </c>
      <c r="O829" s="30">
        <f t="shared" ref="O829:O866" si="87">M829/H829</f>
        <v>0.2821337182599567</v>
      </c>
    </row>
    <row r="830" spans="1:15" ht="20.100000000000001" customHeight="1" x14ac:dyDescent="0.25">
      <c r="A830" s="33">
        <v>321</v>
      </c>
      <c r="B830" s="9">
        <v>43217</v>
      </c>
      <c r="C830" s="18" t="s">
        <v>270</v>
      </c>
      <c r="D830" s="11">
        <v>1051</v>
      </c>
      <c r="E830" s="9">
        <v>43224</v>
      </c>
      <c r="F830" s="15" t="s">
        <v>28</v>
      </c>
      <c r="G830" s="12">
        <v>43217</v>
      </c>
      <c r="H830" s="23">
        <f t="shared" si="85"/>
        <v>1051</v>
      </c>
      <c r="I830" s="23"/>
      <c r="J830" s="23"/>
      <c r="K830" s="24"/>
      <c r="L830" s="23">
        <v>808</v>
      </c>
      <c r="M830" s="22">
        <f t="shared" si="86"/>
        <v>243</v>
      </c>
      <c r="N830" s="22"/>
      <c r="O830" s="30">
        <f t="shared" si="87"/>
        <v>0.23120837297811608</v>
      </c>
    </row>
    <row r="831" spans="1:15" ht="20.100000000000001" customHeight="1" x14ac:dyDescent="0.25">
      <c r="A831" s="33">
        <v>327</v>
      </c>
      <c r="B831" s="9">
        <v>43218</v>
      </c>
      <c r="C831" s="18" t="s">
        <v>270</v>
      </c>
      <c r="D831" s="11">
        <v>1051</v>
      </c>
      <c r="E831" s="9">
        <v>43224</v>
      </c>
      <c r="F831" s="15" t="s">
        <v>28</v>
      </c>
      <c r="G831" s="12">
        <v>43243</v>
      </c>
      <c r="H831" s="23">
        <f t="shared" si="85"/>
        <v>1051</v>
      </c>
      <c r="I831" s="23"/>
      <c r="J831" s="23"/>
      <c r="K831" s="24"/>
      <c r="L831" s="23">
        <v>808</v>
      </c>
      <c r="M831" s="22">
        <f t="shared" si="86"/>
        <v>243</v>
      </c>
      <c r="N831" s="22"/>
      <c r="O831" s="30">
        <f t="shared" si="87"/>
        <v>0.23120837297811608</v>
      </c>
    </row>
    <row r="832" spans="1:15" ht="20.100000000000001" customHeight="1" x14ac:dyDescent="0.25">
      <c r="A832" s="33">
        <v>335</v>
      </c>
      <c r="B832" s="9">
        <v>43224</v>
      </c>
      <c r="C832" s="20" t="s">
        <v>325</v>
      </c>
      <c r="D832" s="11">
        <v>15411</v>
      </c>
      <c r="E832" s="9">
        <v>43227</v>
      </c>
      <c r="F832" s="15" t="s">
        <v>28</v>
      </c>
      <c r="G832" s="12">
        <v>43248</v>
      </c>
      <c r="H832" s="23">
        <f t="shared" si="85"/>
        <v>15411</v>
      </c>
      <c r="I832" s="23">
        <f>H832</f>
        <v>15411</v>
      </c>
      <c r="J832" s="23"/>
      <c r="K832" s="24"/>
      <c r="L832" s="23">
        <v>11737</v>
      </c>
      <c r="M832" s="22">
        <f t="shared" si="86"/>
        <v>3674</v>
      </c>
      <c r="N832" s="22">
        <f>M832</f>
        <v>3674</v>
      </c>
      <c r="O832" s="30">
        <f t="shared" si="87"/>
        <v>0.23840114204139901</v>
      </c>
    </row>
    <row r="833" spans="1:15" ht="20.100000000000001" customHeight="1" x14ac:dyDescent="0.25">
      <c r="A833" s="33">
        <v>333</v>
      </c>
      <c r="B833" s="9">
        <v>43224</v>
      </c>
      <c r="C833" s="18" t="s">
        <v>118</v>
      </c>
      <c r="D833" s="11">
        <v>13798.05</v>
      </c>
      <c r="E833" s="9">
        <v>43227</v>
      </c>
      <c r="F833" s="15" t="s">
        <v>28</v>
      </c>
      <c r="G833" s="12">
        <v>43224</v>
      </c>
      <c r="H833" s="23">
        <f t="shared" si="85"/>
        <v>13798.05</v>
      </c>
      <c r="I833" s="23"/>
      <c r="J833" s="23"/>
      <c r="K833" s="24"/>
      <c r="L833" s="23">
        <v>11420</v>
      </c>
      <c r="M833" s="22">
        <f t="shared" si="86"/>
        <v>2378.0499999999993</v>
      </c>
      <c r="N833" s="22"/>
      <c r="O833" s="30">
        <f t="shared" si="87"/>
        <v>0.17234681712270933</v>
      </c>
    </row>
    <row r="834" spans="1:15" ht="20.100000000000001" customHeight="1" x14ac:dyDescent="0.25">
      <c r="A834" s="33">
        <v>258</v>
      </c>
      <c r="B834" s="9">
        <v>43206</v>
      </c>
      <c r="C834" s="18" t="s">
        <v>13</v>
      </c>
      <c r="D834" s="11">
        <v>7842</v>
      </c>
      <c r="E834" s="9">
        <v>43227</v>
      </c>
      <c r="F834" s="15" t="s">
        <v>28</v>
      </c>
      <c r="G834" s="12">
        <v>43208</v>
      </c>
      <c r="H834" s="23">
        <f t="shared" si="85"/>
        <v>7842</v>
      </c>
      <c r="I834" s="23"/>
      <c r="J834" s="23"/>
      <c r="K834" s="24"/>
      <c r="L834" s="23">
        <v>5556</v>
      </c>
      <c r="M834" s="22">
        <f t="shared" si="86"/>
        <v>2286</v>
      </c>
      <c r="N834" s="22"/>
      <c r="O834" s="30">
        <f t="shared" si="87"/>
        <v>0.29150726855394032</v>
      </c>
    </row>
    <row r="835" spans="1:15" ht="20.100000000000001" customHeight="1" x14ac:dyDescent="0.25">
      <c r="A835" s="33">
        <v>331</v>
      </c>
      <c r="B835" s="9">
        <v>43223</v>
      </c>
      <c r="C835" s="18" t="s">
        <v>33</v>
      </c>
      <c r="D835" s="11">
        <v>6065</v>
      </c>
      <c r="E835" s="9">
        <v>43228</v>
      </c>
      <c r="F835" s="15" t="s">
        <v>28</v>
      </c>
      <c r="G835" s="12">
        <v>43266</v>
      </c>
      <c r="H835" s="23">
        <f t="shared" si="85"/>
        <v>6065</v>
      </c>
      <c r="I835" s="23"/>
      <c r="J835" s="23"/>
      <c r="K835" s="24"/>
      <c r="L835" s="23">
        <v>4670</v>
      </c>
      <c r="M835" s="22">
        <f t="shared" si="86"/>
        <v>1395</v>
      </c>
      <c r="N835" s="22"/>
      <c r="O835" s="30">
        <f t="shared" si="87"/>
        <v>0.23000824402308326</v>
      </c>
    </row>
    <row r="836" spans="1:15" ht="20.100000000000001" customHeight="1" x14ac:dyDescent="0.25">
      <c r="A836" s="33">
        <v>154</v>
      </c>
      <c r="B836" s="9">
        <v>43164</v>
      </c>
      <c r="C836" s="18" t="s">
        <v>99</v>
      </c>
      <c r="D836" s="11">
        <v>217556</v>
      </c>
      <c r="E836" s="9">
        <v>43228</v>
      </c>
      <c r="F836" s="15" t="s">
        <v>28</v>
      </c>
      <c r="G836" s="12">
        <v>43192</v>
      </c>
      <c r="H836" s="23">
        <f t="shared" si="85"/>
        <v>217556</v>
      </c>
      <c r="I836" s="23"/>
      <c r="J836" s="23">
        <v>30000</v>
      </c>
      <c r="K836" s="24"/>
      <c r="L836" s="23">
        <v>84462</v>
      </c>
      <c r="M836" s="22">
        <f t="shared" si="86"/>
        <v>103094</v>
      </c>
      <c r="N836" s="22"/>
      <c r="O836" s="30">
        <f t="shared" si="87"/>
        <v>0.47387339351707147</v>
      </c>
    </row>
    <row r="837" spans="1:15" ht="20.100000000000001" customHeight="1" x14ac:dyDescent="0.25">
      <c r="A837" s="33">
        <v>315</v>
      </c>
      <c r="B837" s="9">
        <v>43228</v>
      </c>
      <c r="C837" s="20" t="s">
        <v>327</v>
      </c>
      <c r="D837" s="11">
        <v>19586</v>
      </c>
      <c r="E837" s="9">
        <v>43230</v>
      </c>
      <c r="F837" s="15" t="s">
        <v>28</v>
      </c>
      <c r="G837" s="12">
        <v>43231</v>
      </c>
      <c r="H837" s="23">
        <f t="shared" si="85"/>
        <v>19586</v>
      </c>
      <c r="I837" s="23">
        <f>H837</f>
        <v>19586</v>
      </c>
      <c r="J837" s="23"/>
      <c r="K837" s="24"/>
      <c r="L837" s="23">
        <v>13447</v>
      </c>
      <c r="M837" s="22">
        <f t="shared" si="86"/>
        <v>6139</v>
      </c>
      <c r="N837" s="22">
        <f>M837</f>
        <v>6139</v>
      </c>
      <c r="O837" s="30">
        <f t="shared" si="87"/>
        <v>0.31343817012151537</v>
      </c>
    </row>
    <row r="838" spans="1:15" ht="20.100000000000001" customHeight="1" x14ac:dyDescent="0.25">
      <c r="A838" s="33">
        <v>134</v>
      </c>
      <c r="B838" s="9">
        <v>43206</v>
      </c>
      <c r="C838" s="18" t="s">
        <v>56</v>
      </c>
      <c r="D838" s="11">
        <v>138500</v>
      </c>
      <c r="E838" s="9">
        <v>43231</v>
      </c>
      <c r="F838" s="15" t="s">
        <v>28</v>
      </c>
      <c r="G838" s="12">
        <v>43216</v>
      </c>
      <c r="H838" s="23">
        <f t="shared" si="85"/>
        <v>138500</v>
      </c>
      <c r="I838" s="23"/>
      <c r="J838" s="23"/>
      <c r="K838" s="24"/>
      <c r="L838" s="23">
        <v>105832</v>
      </c>
      <c r="M838" s="22">
        <f t="shared" si="86"/>
        <v>32668</v>
      </c>
      <c r="N838" s="22"/>
      <c r="O838" s="30">
        <f t="shared" si="87"/>
        <v>0.23587003610108304</v>
      </c>
    </row>
    <row r="839" spans="1:15" ht="20.100000000000001" customHeight="1" x14ac:dyDescent="0.25">
      <c r="A839" s="33">
        <v>338</v>
      </c>
      <c r="B839" s="9">
        <v>43227</v>
      </c>
      <c r="C839" s="20" t="s">
        <v>326</v>
      </c>
      <c r="D839" s="11">
        <v>1350</v>
      </c>
      <c r="E839" s="9">
        <v>43231</v>
      </c>
      <c r="F839" s="15" t="s">
        <v>28</v>
      </c>
      <c r="G839" s="12">
        <v>43238</v>
      </c>
      <c r="H839" s="23">
        <f t="shared" si="85"/>
        <v>1350</v>
      </c>
      <c r="I839" s="23">
        <f>H839</f>
        <v>1350</v>
      </c>
      <c r="J839" s="23"/>
      <c r="K839" s="24"/>
      <c r="L839" s="23">
        <v>1089</v>
      </c>
      <c r="M839" s="22">
        <f t="shared" si="86"/>
        <v>261</v>
      </c>
      <c r="N839" s="22">
        <f>M839</f>
        <v>261</v>
      </c>
      <c r="O839" s="30">
        <f t="shared" si="87"/>
        <v>0.19333333333333333</v>
      </c>
    </row>
    <row r="840" spans="1:15" ht="19.5" customHeight="1" x14ac:dyDescent="0.25">
      <c r="A840" s="33">
        <v>224</v>
      </c>
      <c r="B840" s="9">
        <v>43193</v>
      </c>
      <c r="C840" s="18" t="s">
        <v>175</v>
      </c>
      <c r="D840" s="11">
        <v>42484</v>
      </c>
      <c r="E840" s="9">
        <v>43234</v>
      </c>
      <c r="F840" s="15" t="s">
        <v>28</v>
      </c>
      <c r="G840" s="12">
        <v>43235</v>
      </c>
      <c r="H840" s="23">
        <f t="shared" si="85"/>
        <v>42484</v>
      </c>
      <c r="I840" s="23"/>
      <c r="J840" s="23"/>
      <c r="K840" s="24"/>
      <c r="L840" s="23">
        <v>34525</v>
      </c>
      <c r="M840" s="22">
        <f t="shared" si="86"/>
        <v>7959</v>
      </c>
      <c r="N840" s="22"/>
      <c r="O840" s="30">
        <f t="shared" si="87"/>
        <v>0.18734111665568215</v>
      </c>
    </row>
    <row r="841" spans="1:15" ht="15.75" x14ac:dyDescent="0.25">
      <c r="A841" s="33">
        <v>322</v>
      </c>
      <c r="B841" s="9">
        <v>43217</v>
      </c>
      <c r="C841" s="20" t="s">
        <v>323</v>
      </c>
      <c r="D841" s="11">
        <v>3342</v>
      </c>
      <c r="E841" s="9">
        <v>43235</v>
      </c>
      <c r="F841" s="15" t="s">
        <v>28</v>
      </c>
      <c r="G841" s="12">
        <v>43217</v>
      </c>
      <c r="H841" s="23">
        <f t="shared" si="85"/>
        <v>3342</v>
      </c>
      <c r="I841" s="23">
        <f>H841</f>
        <v>3342</v>
      </c>
      <c r="J841" s="23"/>
      <c r="K841" s="24"/>
      <c r="L841" s="23">
        <v>2570</v>
      </c>
      <c r="M841" s="22">
        <f t="shared" si="86"/>
        <v>772</v>
      </c>
      <c r="N841" s="22">
        <f>M841</f>
        <v>772</v>
      </c>
      <c r="O841" s="30">
        <f t="shared" si="87"/>
        <v>0.23099940155595453</v>
      </c>
    </row>
    <row r="842" spans="1:15" s="2" customFormat="1" ht="20.100000000000001" customHeight="1" x14ac:dyDescent="0.25">
      <c r="A842" s="33">
        <v>279</v>
      </c>
      <c r="B842" s="9">
        <v>43209</v>
      </c>
      <c r="C842" s="26" t="s">
        <v>50</v>
      </c>
      <c r="D842" s="11">
        <v>5946</v>
      </c>
      <c r="E842" s="9">
        <v>43235</v>
      </c>
      <c r="F842" s="15" t="s">
        <v>28</v>
      </c>
      <c r="G842" s="12">
        <v>43230</v>
      </c>
      <c r="H842" s="23">
        <f t="shared" si="85"/>
        <v>5946</v>
      </c>
      <c r="I842" s="23"/>
      <c r="J842" s="23"/>
      <c r="K842" s="24"/>
      <c r="L842" s="23">
        <v>5524</v>
      </c>
      <c r="M842" s="22">
        <f t="shared" si="86"/>
        <v>422</v>
      </c>
      <c r="N842" s="22"/>
      <c r="O842" s="30">
        <f t="shared" si="87"/>
        <v>7.0972082071981163E-2</v>
      </c>
    </row>
    <row r="843" spans="1:15" ht="20.100000000000001" customHeight="1" x14ac:dyDescent="0.25">
      <c r="A843" s="33">
        <v>351</v>
      </c>
      <c r="B843" s="9">
        <v>43234</v>
      </c>
      <c r="C843" s="26" t="s">
        <v>194</v>
      </c>
      <c r="D843" s="11">
        <v>48190</v>
      </c>
      <c r="E843" s="9">
        <v>43235</v>
      </c>
      <c r="F843" s="15" t="s">
        <v>28</v>
      </c>
      <c r="G843" s="12">
        <v>43237</v>
      </c>
      <c r="H843" s="23">
        <f t="shared" si="85"/>
        <v>48190</v>
      </c>
      <c r="I843" s="23"/>
      <c r="J843" s="23"/>
      <c r="K843" s="24"/>
      <c r="L843" s="23">
        <v>34466</v>
      </c>
      <c r="M843" s="22">
        <f t="shared" si="86"/>
        <v>13724</v>
      </c>
      <c r="N843" s="22"/>
      <c r="O843" s="30">
        <f t="shared" si="87"/>
        <v>0.28478937538908489</v>
      </c>
    </row>
    <row r="844" spans="1:15" ht="20.100000000000001" customHeight="1" x14ac:dyDescent="0.25">
      <c r="A844" s="33">
        <v>358</v>
      </c>
      <c r="B844" s="9">
        <v>43235</v>
      </c>
      <c r="C844" s="20" t="s">
        <v>328</v>
      </c>
      <c r="D844" s="11">
        <v>669</v>
      </c>
      <c r="E844" s="9">
        <v>43236</v>
      </c>
      <c r="F844" s="15" t="s">
        <v>28</v>
      </c>
      <c r="G844" s="12">
        <v>43238</v>
      </c>
      <c r="H844" s="23">
        <f t="shared" si="85"/>
        <v>669</v>
      </c>
      <c r="I844" s="23">
        <f>H844</f>
        <v>669</v>
      </c>
      <c r="J844" s="23"/>
      <c r="K844" s="24"/>
      <c r="L844" s="23">
        <v>439</v>
      </c>
      <c r="M844" s="22">
        <f t="shared" si="86"/>
        <v>230</v>
      </c>
      <c r="N844" s="22">
        <f>M844</f>
        <v>230</v>
      </c>
      <c r="O844" s="30">
        <f t="shared" si="87"/>
        <v>0.34379671150971597</v>
      </c>
    </row>
    <row r="845" spans="1:15" ht="20.100000000000001" customHeight="1" x14ac:dyDescent="0.25">
      <c r="A845" s="33">
        <v>337</v>
      </c>
      <c r="B845" s="9">
        <v>43227</v>
      </c>
      <c r="C845" s="20" t="s">
        <v>324</v>
      </c>
      <c r="D845" s="11">
        <v>1187</v>
      </c>
      <c r="E845" s="9">
        <v>43236</v>
      </c>
      <c r="F845" s="15" t="s">
        <v>28</v>
      </c>
      <c r="G845" s="12">
        <v>43236</v>
      </c>
      <c r="H845" s="23">
        <f t="shared" si="85"/>
        <v>1187</v>
      </c>
      <c r="I845" s="23">
        <f>H845</f>
        <v>1187</v>
      </c>
      <c r="J845" s="23"/>
      <c r="K845" s="24"/>
      <c r="L845" s="23">
        <v>832</v>
      </c>
      <c r="M845" s="22">
        <f t="shared" si="86"/>
        <v>355</v>
      </c>
      <c r="N845" s="22">
        <f>M845</f>
        <v>355</v>
      </c>
      <c r="O845" s="30">
        <f t="shared" si="87"/>
        <v>0.29907329401853411</v>
      </c>
    </row>
    <row r="846" spans="1:15" ht="20.100000000000001" customHeight="1" x14ac:dyDescent="0.25">
      <c r="A846" s="33">
        <v>344</v>
      </c>
      <c r="B846" s="9">
        <v>43228</v>
      </c>
      <c r="C846" s="18" t="s">
        <v>329</v>
      </c>
      <c r="D846" s="11">
        <v>5289</v>
      </c>
      <c r="E846" s="9">
        <v>43236</v>
      </c>
      <c r="F846" s="15" t="s">
        <v>28</v>
      </c>
      <c r="G846" s="12">
        <v>43250</v>
      </c>
      <c r="H846" s="23">
        <f t="shared" si="85"/>
        <v>5289</v>
      </c>
      <c r="I846" s="23"/>
      <c r="J846" s="23"/>
      <c r="K846" s="24"/>
      <c r="L846" s="23">
        <v>3490</v>
      </c>
      <c r="M846" s="22">
        <f t="shared" si="86"/>
        <v>1799</v>
      </c>
      <c r="N846" s="22"/>
      <c r="O846" s="30">
        <f t="shared" si="87"/>
        <v>0.34013991302703722</v>
      </c>
    </row>
    <row r="847" spans="1:15" ht="20.100000000000001" customHeight="1" x14ac:dyDescent="0.25">
      <c r="A847" s="33">
        <v>375</v>
      </c>
      <c r="B847" s="9">
        <v>43237</v>
      </c>
      <c r="C847" s="18" t="s">
        <v>216</v>
      </c>
      <c r="D847" s="11">
        <v>2815.2</v>
      </c>
      <c r="E847" s="9">
        <v>43237</v>
      </c>
      <c r="F847" s="15" t="s">
        <v>28</v>
      </c>
      <c r="G847" s="12">
        <v>43248</v>
      </c>
      <c r="H847" s="23">
        <f t="shared" si="85"/>
        <v>2815.2</v>
      </c>
      <c r="I847" s="23"/>
      <c r="J847" s="23"/>
      <c r="K847" s="24"/>
      <c r="L847" s="23">
        <v>2582</v>
      </c>
      <c r="M847" s="22">
        <f t="shared" si="86"/>
        <v>233.19999999999982</v>
      </c>
      <c r="N847" s="22"/>
      <c r="O847" s="30">
        <f t="shared" si="87"/>
        <v>8.2836032963910136E-2</v>
      </c>
    </row>
    <row r="848" spans="1:15" ht="20.100000000000001" customHeight="1" x14ac:dyDescent="0.25">
      <c r="A848" s="33">
        <v>362</v>
      </c>
      <c r="B848" s="9">
        <v>43235</v>
      </c>
      <c r="C848" s="18" t="s">
        <v>216</v>
      </c>
      <c r="D848" s="11">
        <v>5426.4</v>
      </c>
      <c r="E848" s="9">
        <v>43237</v>
      </c>
      <c r="F848" s="15" t="s">
        <v>28</v>
      </c>
      <c r="G848" s="12">
        <v>43248</v>
      </c>
      <c r="H848" s="23">
        <f t="shared" si="85"/>
        <v>5426.4</v>
      </c>
      <c r="I848" s="23"/>
      <c r="J848" s="23"/>
      <c r="K848" s="24"/>
      <c r="L848" s="23">
        <v>4213</v>
      </c>
      <c r="M848" s="22">
        <f t="shared" si="86"/>
        <v>1213.3999999999996</v>
      </c>
      <c r="N848" s="22"/>
      <c r="O848" s="30">
        <f t="shared" si="87"/>
        <v>0.22361049683031101</v>
      </c>
    </row>
    <row r="849" spans="1:15" ht="20.100000000000001" customHeight="1" x14ac:dyDescent="0.25">
      <c r="A849" s="33">
        <v>363</v>
      </c>
      <c r="B849" s="9">
        <v>43235</v>
      </c>
      <c r="C849" s="20" t="s">
        <v>327</v>
      </c>
      <c r="D849" s="11">
        <v>5549</v>
      </c>
      <c r="E849" s="9">
        <v>43237</v>
      </c>
      <c r="F849" s="15" t="s">
        <v>28</v>
      </c>
      <c r="G849" s="12">
        <v>43252</v>
      </c>
      <c r="H849" s="23">
        <f t="shared" si="85"/>
        <v>5549</v>
      </c>
      <c r="I849" s="23">
        <f>H849</f>
        <v>5549</v>
      </c>
      <c r="J849" s="23"/>
      <c r="K849" s="24"/>
      <c r="L849" s="23">
        <v>3607</v>
      </c>
      <c r="M849" s="22">
        <f t="shared" si="86"/>
        <v>1942</v>
      </c>
      <c r="N849" s="22">
        <f>M849</f>
        <v>1942</v>
      </c>
      <c r="O849" s="30">
        <f t="shared" si="87"/>
        <v>0.34997296810236078</v>
      </c>
    </row>
    <row r="850" spans="1:15" ht="20.100000000000001" customHeight="1" x14ac:dyDescent="0.25">
      <c r="A850" s="33">
        <v>263</v>
      </c>
      <c r="B850" s="9">
        <v>43207</v>
      </c>
      <c r="C850" s="18" t="s">
        <v>99</v>
      </c>
      <c r="D850" s="11">
        <v>234400</v>
      </c>
      <c r="E850" s="9">
        <v>43242</v>
      </c>
      <c r="F850" s="15" t="s">
        <v>28</v>
      </c>
      <c r="G850" s="12">
        <v>43216</v>
      </c>
      <c r="H850" s="23">
        <f t="shared" si="85"/>
        <v>234400</v>
      </c>
      <c r="I850" s="23"/>
      <c r="J850" s="23">
        <v>60000</v>
      </c>
      <c r="K850" s="24">
        <f>24*1200</f>
        <v>28800</v>
      </c>
      <c r="L850" s="23">
        <v>29200</v>
      </c>
      <c r="M850" s="22">
        <f t="shared" si="86"/>
        <v>116400</v>
      </c>
      <c r="N850" s="22"/>
      <c r="O850" s="30">
        <f t="shared" si="87"/>
        <v>0.49658703071672355</v>
      </c>
    </row>
    <row r="851" spans="1:15" ht="20.100000000000001" customHeight="1" x14ac:dyDescent="0.25">
      <c r="A851" s="33">
        <v>391</v>
      </c>
      <c r="B851" s="9">
        <v>43241</v>
      </c>
      <c r="C851" s="18" t="s">
        <v>209</v>
      </c>
      <c r="D851" s="11">
        <v>7211.4</v>
      </c>
      <c r="E851" s="9">
        <v>43242</v>
      </c>
      <c r="F851" s="15" t="s">
        <v>28</v>
      </c>
      <c r="G851" s="12">
        <v>43241</v>
      </c>
      <c r="H851" s="23">
        <f t="shared" si="85"/>
        <v>7211.4</v>
      </c>
      <c r="I851" s="23"/>
      <c r="J851" s="23"/>
      <c r="K851" s="24"/>
      <c r="L851" s="23">
        <v>5358</v>
      </c>
      <c r="M851" s="22">
        <f t="shared" si="86"/>
        <v>1853.3999999999996</v>
      </c>
      <c r="N851" s="22"/>
      <c r="O851" s="30">
        <f t="shared" si="87"/>
        <v>0.25700973458690402</v>
      </c>
    </row>
    <row r="852" spans="1:15" ht="19.5" customHeight="1" x14ac:dyDescent="0.25">
      <c r="A852" s="33">
        <v>280</v>
      </c>
      <c r="B852" s="9">
        <v>43209</v>
      </c>
      <c r="C852" s="18" t="s">
        <v>56</v>
      </c>
      <c r="D852" s="11">
        <v>14175</v>
      </c>
      <c r="E852" s="9">
        <v>43243</v>
      </c>
      <c r="F852" s="15" t="s">
        <v>28</v>
      </c>
      <c r="G852" s="12">
        <v>43237</v>
      </c>
      <c r="H852" s="23">
        <f t="shared" si="85"/>
        <v>14175</v>
      </c>
      <c r="I852" s="23"/>
      <c r="J852" s="23"/>
      <c r="K852" s="24"/>
      <c r="L852" s="23">
        <v>8917.9</v>
      </c>
      <c r="M852" s="22">
        <f t="shared" si="86"/>
        <v>5257.1</v>
      </c>
      <c r="N852" s="22"/>
      <c r="O852" s="30">
        <f t="shared" si="87"/>
        <v>0.37087125220458556</v>
      </c>
    </row>
    <row r="853" spans="1:15" ht="19.5" customHeight="1" x14ac:dyDescent="0.25">
      <c r="A853" s="33">
        <v>121</v>
      </c>
      <c r="B853" s="9">
        <v>43214</v>
      </c>
      <c r="C853" s="18" t="s">
        <v>65</v>
      </c>
      <c r="D853" s="11">
        <v>37199.919999999998</v>
      </c>
      <c r="E853" s="9">
        <v>43244</v>
      </c>
      <c r="F853" s="15" t="s">
        <v>28</v>
      </c>
      <c r="G853" s="12">
        <v>43228</v>
      </c>
      <c r="H853" s="23">
        <f t="shared" si="85"/>
        <v>37199.919999999998</v>
      </c>
      <c r="I853" s="23"/>
      <c r="J853" s="23"/>
      <c r="K853" s="24"/>
      <c r="L853" s="23">
        <v>30422</v>
      </c>
      <c r="M853" s="22">
        <f t="shared" si="86"/>
        <v>6777.9199999999983</v>
      </c>
      <c r="N853" s="22"/>
      <c r="O853" s="30">
        <f t="shared" si="87"/>
        <v>0.18220254237105882</v>
      </c>
    </row>
    <row r="854" spans="1:15" ht="19.5" customHeight="1" x14ac:dyDescent="0.25">
      <c r="A854" s="33">
        <v>287</v>
      </c>
      <c r="B854" s="9">
        <v>43213</v>
      </c>
      <c r="C854" s="18" t="s">
        <v>65</v>
      </c>
      <c r="D854" s="11">
        <v>121200</v>
      </c>
      <c r="E854" s="9">
        <v>43244</v>
      </c>
      <c r="F854" s="15" t="s">
        <v>28</v>
      </c>
      <c r="G854" s="12">
        <v>43242</v>
      </c>
      <c r="H854" s="23">
        <v>37199.919999999998</v>
      </c>
      <c r="I854" s="23"/>
      <c r="J854" s="23"/>
      <c r="K854" s="24"/>
      <c r="L854" s="23">
        <v>15000</v>
      </c>
      <c r="M854" s="22">
        <f t="shared" si="86"/>
        <v>22199.919999999998</v>
      </c>
      <c r="N854" s="22"/>
      <c r="O854" s="30">
        <f t="shared" si="87"/>
        <v>0.59677332639425029</v>
      </c>
    </row>
    <row r="855" spans="1:15" ht="19.5" customHeight="1" x14ac:dyDescent="0.25">
      <c r="A855" s="33">
        <v>408</v>
      </c>
      <c r="B855" s="9">
        <v>43243</v>
      </c>
      <c r="C855" s="18" t="s">
        <v>169</v>
      </c>
      <c r="D855" s="11">
        <v>99439</v>
      </c>
      <c r="E855" s="9">
        <v>43244</v>
      </c>
      <c r="F855" s="15" t="s">
        <v>28</v>
      </c>
      <c r="G855" s="12">
        <v>43257</v>
      </c>
      <c r="H855" s="23">
        <f t="shared" ref="H855:H865" si="88">D855</f>
        <v>99439</v>
      </c>
      <c r="I855" s="23"/>
      <c r="J855" s="23"/>
      <c r="K855" s="24">
        <v>600</v>
      </c>
      <c r="L855" s="23">
        <v>73269</v>
      </c>
      <c r="M855" s="22">
        <f t="shared" si="86"/>
        <v>25570</v>
      </c>
      <c r="N855" s="22"/>
      <c r="O855" s="30">
        <f t="shared" si="87"/>
        <v>0.25714256981667155</v>
      </c>
    </row>
    <row r="856" spans="1:15" ht="19.5" customHeight="1" x14ac:dyDescent="0.25">
      <c r="A856" s="33">
        <v>416</v>
      </c>
      <c r="B856" s="9">
        <v>43244</v>
      </c>
      <c r="C856" s="18" t="s">
        <v>292</v>
      </c>
      <c r="D856" s="11">
        <v>11035</v>
      </c>
      <c r="E856" s="9">
        <v>43245</v>
      </c>
      <c r="F856" s="15" t="s">
        <v>28</v>
      </c>
      <c r="G856" s="12">
        <v>43259</v>
      </c>
      <c r="H856" s="23">
        <f t="shared" si="88"/>
        <v>11035</v>
      </c>
      <c r="I856" s="23"/>
      <c r="J856" s="23"/>
      <c r="K856" s="24"/>
      <c r="L856" s="23">
        <v>7661</v>
      </c>
      <c r="M856" s="22">
        <f t="shared" si="86"/>
        <v>3374</v>
      </c>
      <c r="N856" s="22"/>
      <c r="O856" s="30">
        <f t="shared" si="87"/>
        <v>0.3057544177616674</v>
      </c>
    </row>
    <row r="857" spans="1:15" ht="20.100000000000001" customHeight="1" x14ac:dyDescent="0.25">
      <c r="A857" s="33">
        <v>247</v>
      </c>
      <c r="B857" s="9">
        <v>43200</v>
      </c>
      <c r="C857" s="18" t="s">
        <v>99</v>
      </c>
      <c r="D857" s="11">
        <v>46230</v>
      </c>
      <c r="E857" s="9">
        <v>43248</v>
      </c>
      <c r="F857" s="15" t="s">
        <v>28</v>
      </c>
      <c r="G857" s="12">
        <v>43209</v>
      </c>
      <c r="H857" s="23">
        <f t="shared" si="88"/>
        <v>46230</v>
      </c>
      <c r="I857" s="23"/>
      <c r="J857" s="23"/>
      <c r="K857" s="24"/>
      <c r="L857" s="23">
        <v>31157</v>
      </c>
      <c r="M857" s="22">
        <f t="shared" si="86"/>
        <v>15073</v>
      </c>
      <c r="N857" s="22"/>
      <c r="O857" s="30">
        <f t="shared" si="87"/>
        <v>0.32604369457062515</v>
      </c>
    </row>
    <row r="858" spans="1:15" ht="20.100000000000001" customHeight="1" x14ac:dyDescent="0.25">
      <c r="A858" s="33">
        <v>218</v>
      </c>
      <c r="B858" s="9">
        <v>43192</v>
      </c>
      <c r="C858" s="18" t="s">
        <v>99</v>
      </c>
      <c r="D858" s="11">
        <v>123596</v>
      </c>
      <c r="E858" s="9">
        <v>43248</v>
      </c>
      <c r="F858" s="15" t="s">
        <v>28</v>
      </c>
      <c r="G858" s="12">
        <v>43209</v>
      </c>
      <c r="H858" s="23">
        <f t="shared" si="88"/>
        <v>123596</v>
      </c>
      <c r="I858" s="23"/>
      <c r="J858" s="23"/>
      <c r="K858" s="24"/>
      <c r="L858" s="23">
        <v>92944</v>
      </c>
      <c r="M858" s="22">
        <f t="shared" si="86"/>
        <v>30652</v>
      </c>
      <c r="N858" s="22"/>
      <c r="O858" s="30">
        <f t="shared" si="87"/>
        <v>0.24800155344833166</v>
      </c>
    </row>
    <row r="859" spans="1:15" ht="20.100000000000001" customHeight="1" x14ac:dyDescent="0.25">
      <c r="A859" s="33">
        <v>135</v>
      </c>
      <c r="B859" s="9">
        <v>43217</v>
      </c>
      <c r="C859" s="18" t="s">
        <v>99</v>
      </c>
      <c r="D859" s="11">
        <v>425670</v>
      </c>
      <c r="E859" s="9">
        <v>43248</v>
      </c>
      <c r="F859" s="15" t="s">
        <v>28</v>
      </c>
      <c r="G859" s="12">
        <v>43223</v>
      </c>
      <c r="H859" s="23">
        <f t="shared" si="88"/>
        <v>425670</v>
      </c>
      <c r="I859" s="23"/>
      <c r="J859" s="23"/>
      <c r="K859" s="24"/>
      <c r="L859" s="23">
        <v>317496</v>
      </c>
      <c r="M859" s="22">
        <f t="shared" si="86"/>
        <v>108174</v>
      </c>
      <c r="N859" s="22"/>
      <c r="O859" s="30">
        <f t="shared" si="87"/>
        <v>0.25412643597152723</v>
      </c>
    </row>
    <row r="860" spans="1:15" ht="20.100000000000001" customHeight="1" x14ac:dyDescent="0.25">
      <c r="A860" s="33">
        <v>429</v>
      </c>
      <c r="B860" s="9">
        <v>43249</v>
      </c>
      <c r="C860" s="20" t="s">
        <v>330</v>
      </c>
      <c r="D860" s="11">
        <v>53490</v>
      </c>
      <c r="E860" s="9">
        <v>43249</v>
      </c>
      <c r="F860" s="15" t="s">
        <v>28</v>
      </c>
      <c r="G860" s="12">
        <v>43250</v>
      </c>
      <c r="H860" s="23">
        <f t="shared" si="88"/>
        <v>53490</v>
      </c>
      <c r="I860" s="23">
        <f>H860</f>
        <v>53490</v>
      </c>
      <c r="J860" s="23"/>
      <c r="K860" s="24"/>
      <c r="L860" s="23">
        <v>36129</v>
      </c>
      <c r="M860" s="22">
        <f t="shared" si="86"/>
        <v>17361</v>
      </c>
      <c r="N860" s="22">
        <f>M860</f>
        <v>17361</v>
      </c>
      <c r="O860" s="30">
        <f t="shared" si="87"/>
        <v>0.32456533931575998</v>
      </c>
    </row>
    <row r="861" spans="1:15" ht="20.100000000000001" customHeight="1" x14ac:dyDescent="0.25">
      <c r="A861" s="33">
        <v>403</v>
      </c>
      <c r="B861" s="9">
        <v>43243</v>
      </c>
      <c r="C861" s="18" t="s">
        <v>186</v>
      </c>
      <c r="D861" s="11">
        <v>9208</v>
      </c>
      <c r="E861" s="9">
        <v>43249</v>
      </c>
      <c r="F861" s="15" t="s">
        <v>28</v>
      </c>
      <c r="G861" s="12">
        <v>43250</v>
      </c>
      <c r="H861" s="23">
        <f t="shared" si="88"/>
        <v>9208</v>
      </c>
      <c r="I861" s="23"/>
      <c r="J861" s="23"/>
      <c r="K861" s="24"/>
      <c r="L861" s="23">
        <v>6754</v>
      </c>
      <c r="M861" s="22">
        <f t="shared" si="86"/>
        <v>2454</v>
      </c>
      <c r="N861" s="22"/>
      <c r="O861" s="30">
        <f t="shared" si="87"/>
        <v>0.2665073848827107</v>
      </c>
    </row>
    <row r="862" spans="1:15" ht="20.100000000000001" customHeight="1" x14ac:dyDescent="0.25">
      <c r="A862" s="33">
        <v>382</v>
      </c>
      <c r="B862" s="9">
        <v>43238</v>
      </c>
      <c r="C862" s="20" t="s">
        <v>328</v>
      </c>
      <c r="D862" s="11">
        <v>735</v>
      </c>
      <c r="E862" s="9">
        <v>43249</v>
      </c>
      <c r="F862" s="15" t="s">
        <v>28</v>
      </c>
      <c r="G862" s="12">
        <v>43256</v>
      </c>
      <c r="H862" s="23">
        <f t="shared" si="88"/>
        <v>735</v>
      </c>
      <c r="I862" s="23">
        <f>H862</f>
        <v>735</v>
      </c>
      <c r="J862" s="23"/>
      <c r="K862" s="24"/>
      <c r="L862" s="23">
        <v>573</v>
      </c>
      <c r="M862" s="22">
        <f t="shared" si="86"/>
        <v>162</v>
      </c>
      <c r="N862" s="22">
        <f>M862</f>
        <v>162</v>
      </c>
      <c r="O862" s="30">
        <f t="shared" si="87"/>
        <v>0.22040816326530613</v>
      </c>
    </row>
    <row r="863" spans="1:15" ht="20.100000000000001" customHeight="1" x14ac:dyDescent="0.25">
      <c r="A863" s="33">
        <v>301</v>
      </c>
      <c r="B863" s="9">
        <v>43214</v>
      </c>
      <c r="C863" s="18" t="s">
        <v>147</v>
      </c>
      <c r="D863" s="11">
        <v>9640</v>
      </c>
      <c r="E863" s="9">
        <v>43249</v>
      </c>
      <c r="F863" s="15" t="s">
        <v>28</v>
      </c>
      <c r="G863" s="12">
        <v>43250</v>
      </c>
      <c r="H863" s="23">
        <f t="shared" si="88"/>
        <v>9640</v>
      </c>
      <c r="I863" s="23"/>
      <c r="J863" s="23"/>
      <c r="K863" s="24"/>
      <c r="L863" s="23">
        <v>7512</v>
      </c>
      <c r="M863" s="22">
        <f t="shared" si="86"/>
        <v>2128</v>
      </c>
      <c r="N863" s="22"/>
      <c r="O863" s="30">
        <f t="shared" si="87"/>
        <v>0.22074688796680497</v>
      </c>
    </row>
    <row r="864" spans="1:15" ht="20.100000000000001" customHeight="1" x14ac:dyDescent="0.25">
      <c r="A864" s="33">
        <v>436</v>
      </c>
      <c r="B864" s="9">
        <v>43250</v>
      </c>
      <c r="C864" s="20" t="s">
        <v>330</v>
      </c>
      <c r="D864" s="11">
        <v>2544</v>
      </c>
      <c r="E864" s="9">
        <v>43250</v>
      </c>
      <c r="F864" s="15" t="s">
        <v>28</v>
      </c>
      <c r="G864" s="12">
        <v>43250</v>
      </c>
      <c r="H864" s="23">
        <f t="shared" si="88"/>
        <v>2544</v>
      </c>
      <c r="I864" s="23">
        <f>H864</f>
        <v>2544</v>
      </c>
      <c r="J864" s="23"/>
      <c r="K864" s="24"/>
      <c r="L864" s="23">
        <v>1878</v>
      </c>
      <c r="M864" s="22">
        <f t="shared" si="86"/>
        <v>666</v>
      </c>
      <c r="N864" s="22">
        <f>M864</f>
        <v>666</v>
      </c>
      <c r="O864" s="30">
        <f t="shared" si="87"/>
        <v>0.2617924528301887</v>
      </c>
    </row>
    <row r="865" spans="1:15" ht="20.100000000000001" customHeight="1" x14ac:dyDescent="0.25">
      <c r="A865" s="33">
        <v>417</v>
      </c>
      <c r="B865" s="9">
        <v>43245</v>
      </c>
      <c r="C865" s="18" t="s">
        <v>49</v>
      </c>
      <c r="D865" s="11">
        <v>7245</v>
      </c>
      <c r="E865" s="9">
        <v>43250</v>
      </c>
      <c r="F865" s="15" t="s">
        <v>28</v>
      </c>
      <c r="G865" s="12">
        <v>43258</v>
      </c>
      <c r="H865" s="23">
        <f t="shared" si="88"/>
        <v>7245</v>
      </c>
      <c r="I865" s="23"/>
      <c r="J865" s="23"/>
      <c r="K865" s="24"/>
      <c r="L865" s="23">
        <v>4705</v>
      </c>
      <c r="M865" s="22">
        <f t="shared" si="86"/>
        <v>2540</v>
      </c>
      <c r="N865" s="22"/>
      <c r="O865" s="30">
        <f t="shared" si="87"/>
        <v>0.3505866114561767</v>
      </c>
    </row>
    <row r="866" spans="1:15" ht="20.100000000000001" customHeight="1" x14ac:dyDescent="0.25">
      <c r="A866" s="35" t="s">
        <v>535</v>
      </c>
      <c r="B866" s="36"/>
      <c r="C866" s="42"/>
      <c r="D866" s="37"/>
      <c r="E866" s="46" t="s">
        <v>556</v>
      </c>
      <c r="F866" s="47">
        <f>M866*0.17+N866*0.06</f>
        <v>94967.128300000011</v>
      </c>
      <c r="G866" s="21">
        <f>H866*0.05+I866*0.02</f>
        <v>86250.424500000008</v>
      </c>
      <c r="H866" s="49">
        <f>SUBTOTAL(109,Май2018[Продажа])</f>
        <v>1677366.8900000001</v>
      </c>
      <c r="I866" s="49">
        <f>SUBTOTAL(109,Май2018[Продажа НК])</f>
        <v>119104</v>
      </c>
      <c r="J866" s="49">
        <f>SUBTOTAL(109,Май2018[отк])</f>
        <v>90000</v>
      </c>
      <c r="K866" s="49">
        <f>SUBTOTAL(109,Май2018[шланги])</f>
        <v>29400</v>
      </c>
      <c r="L866" s="49">
        <f>SUBTOTAL(109,Май2018[Закупка])</f>
        <v>1011993.9</v>
      </c>
      <c r="M866" s="49">
        <f>SUBTOTAL(109,Май2018[Маржа])</f>
        <v>545972.99</v>
      </c>
      <c r="N866" s="49">
        <f>SUBTOTAL(109,Май2018[Маржа НК])</f>
        <v>35862</v>
      </c>
      <c r="O866" s="44">
        <f t="shared" si="87"/>
        <v>0.32549407840046252</v>
      </c>
    </row>
    <row r="867" spans="1:15" ht="20.100000000000001" customHeight="1" x14ac:dyDescent="0.25">
      <c r="A867" s="41" t="s">
        <v>1</v>
      </c>
      <c r="B867" s="1" t="s">
        <v>0</v>
      </c>
      <c r="C867" s="1" t="s">
        <v>26</v>
      </c>
      <c r="D867" s="1" t="s">
        <v>2</v>
      </c>
      <c r="E867" s="1" t="s">
        <v>3</v>
      </c>
      <c r="F867" s="1" t="s">
        <v>27</v>
      </c>
      <c r="G867" s="1" t="s">
        <v>4</v>
      </c>
      <c r="H867" s="2" t="s">
        <v>132</v>
      </c>
      <c r="I867" s="2" t="s">
        <v>133</v>
      </c>
      <c r="J867" s="40" t="s">
        <v>187</v>
      </c>
      <c r="K867" s="40" t="s">
        <v>188</v>
      </c>
      <c r="L867" s="40" t="s">
        <v>129</v>
      </c>
      <c r="M867" s="40" t="s">
        <v>130</v>
      </c>
      <c r="N867" s="2" t="s">
        <v>131</v>
      </c>
      <c r="O867" s="2" t="s">
        <v>134</v>
      </c>
    </row>
    <row r="868" spans="1:15" ht="20.100000000000001" customHeight="1" x14ac:dyDescent="0.25">
      <c r="A868" s="33">
        <v>424</v>
      </c>
      <c r="B868" s="9">
        <v>43248</v>
      </c>
      <c r="C868" s="18" t="s">
        <v>216</v>
      </c>
      <c r="D868" s="11">
        <v>4435.3</v>
      </c>
      <c r="E868" s="9">
        <v>43252</v>
      </c>
      <c r="F868" s="15" t="s">
        <v>28</v>
      </c>
      <c r="G868" s="12">
        <v>43257</v>
      </c>
      <c r="H868" s="23">
        <f>D868</f>
        <v>4435.3</v>
      </c>
      <c r="I868" s="23"/>
      <c r="J868" s="23"/>
      <c r="K868" s="24"/>
      <c r="L868" s="23">
        <v>3839</v>
      </c>
      <c r="M868" s="22">
        <f t="shared" ref="M868:M907" si="89">H868-L868-J868-K868</f>
        <v>596.30000000000018</v>
      </c>
      <c r="N868" s="22"/>
      <c r="O868" s="30">
        <f t="shared" ref="O868:O908" si="90">M868/H868</f>
        <v>0.13444411877437831</v>
      </c>
    </row>
    <row r="869" spans="1:15" ht="20.100000000000001" customHeight="1" x14ac:dyDescent="0.25">
      <c r="A869" s="33">
        <v>446</v>
      </c>
      <c r="B869" s="9">
        <v>43252</v>
      </c>
      <c r="C869" s="20" t="s">
        <v>331</v>
      </c>
      <c r="D869" s="11">
        <v>38540</v>
      </c>
      <c r="E869" s="9">
        <v>43252</v>
      </c>
      <c r="F869" s="15" t="s">
        <v>28</v>
      </c>
      <c r="G869" s="12">
        <v>43253</v>
      </c>
      <c r="H869" s="23">
        <f>D869</f>
        <v>38540</v>
      </c>
      <c r="I869" s="23">
        <f>H869</f>
        <v>38540</v>
      </c>
      <c r="J869" s="23"/>
      <c r="K869" s="24"/>
      <c r="L869" s="23">
        <v>29506</v>
      </c>
      <c r="M869" s="22">
        <f t="shared" si="89"/>
        <v>9034</v>
      </c>
      <c r="N869" s="22">
        <f>M869</f>
        <v>9034</v>
      </c>
      <c r="O869" s="30">
        <f t="shared" si="90"/>
        <v>0.23440581214322781</v>
      </c>
    </row>
    <row r="870" spans="1:15" ht="19.5" customHeight="1" x14ac:dyDescent="0.25">
      <c r="A870" s="33">
        <v>401</v>
      </c>
      <c r="B870" s="9">
        <v>43243</v>
      </c>
      <c r="C870" s="18" t="s">
        <v>182</v>
      </c>
      <c r="D870" s="11">
        <v>16259</v>
      </c>
      <c r="E870" s="9">
        <v>43255</v>
      </c>
      <c r="F870" s="15" t="s">
        <v>28</v>
      </c>
      <c r="G870" s="12">
        <v>43258</v>
      </c>
      <c r="H870" s="23">
        <f>D870</f>
        <v>16259</v>
      </c>
      <c r="I870" s="23"/>
      <c r="J870" s="23"/>
      <c r="K870" s="24"/>
      <c r="L870" s="23">
        <v>9465.9</v>
      </c>
      <c r="M870" s="22">
        <f t="shared" si="89"/>
        <v>6793.1</v>
      </c>
      <c r="N870" s="22"/>
      <c r="O870" s="30">
        <f t="shared" si="90"/>
        <v>0.41780552309490132</v>
      </c>
    </row>
    <row r="871" spans="1:15" ht="19.5" customHeight="1" x14ac:dyDescent="0.25">
      <c r="A871" s="33">
        <v>441</v>
      </c>
      <c r="B871" s="9">
        <v>43250</v>
      </c>
      <c r="C871" s="18" t="s">
        <v>162</v>
      </c>
      <c r="D871" s="11">
        <v>63390</v>
      </c>
      <c r="E871" s="9">
        <v>43255</v>
      </c>
      <c r="F871" s="15" t="s">
        <v>28</v>
      </c>
      <c r="G871" s="12">
        <v>43258</v>
      </c>
      <c r="H871" s="23">
        <f>D871</f>
        <v>63390</v>
      </c>
      <c r="I871" s="23"/>
      <c r="J871" s="23"/>
      <c r="K871" s="24"/>
      <c r="L871" s="23">
        <v>47922</v>
      </c>
      <c r="M871" s="22">
        <f t="shared" si="89"/>
        <v>15468</v>
      </c>
      <c r="N871" s="22"/>
      <c r="O871" s="30">
        <f t="shared" si="90"/>
        <v>0.24401325130146712</v>
      </c>
    </row>
    <row r="872" spans="1:15" ht="19.5" customHeight="1" x14ac:dyDescent="0.25">
      <c r="A872" s="33">
        <v>455</v>
      </c>
      <c r="B872" s="9">
        <v>43256</v>
      </c>
      <c r="C872" s="18" t="s">
        <v>281</v>
      </c>
      <c r="D872" s="11">
        <v>2160</v>
      </c>
      <c r="E872" s="9">
        <v>43256</v>
      </c>
      <c r="F872" s="15" t="s">
        <v>28</v>
      </c>
      <c r="G872" s="12">
        <v>43256</v>
      </c>
      <c r="H872" s="23">
        <f>D872</f>
        <v>2160</v>
      </c>
      <c r="I872" s="23"/>
      <c r="J872" s="23"/>
      <c r="K872" s="24"/>
      <c r="L872" s="23">
        <v>1638</v>
      </c>
      <c r="M872" s="22">
        <f t="shared" si="89"/>
        <v>522</v>
      </c>
      <c r="N872" s="22"/>
      <c r="O872" s="30">
        <f t="shared" si="90"/>
        <v>0.24166666666666667</v>
      </c>
    </row>
    <row r="873" spans="1:15" ht="19.5" customHeight="1" x14ac:dyDescent="0.25">
      <c r="A873" s="33">
        <v>287</v>
      </c>
      <c r="B873" s="9">
        <v>43213</v>
      </c>
      <c r="C873" s="18" t="s">
        <v>65</v>
      </c>
      <c r="D873" s="11">
        <v>121200</v>
      </c>
      <c r="E873" s="9">
        <v>43256</v>
      </c>
      <c r="F873" s="15" t="s">
        <v>28</v>
      </c>
      <c r="G873" s="12">
        <v>43242</v>
      </c>
      <c r="H873" s="23">
        <v>84000.08</v>
      </c>
      <c r="I873" s="23"/>
      <c r="J873" s="23"/>
      <c r="K873" s="24">
        <f>600*8</f>
        <v>4800</v>
      </c>
      <c r="L873" s="23">
        <v>31152</v>
      </c>
      <c r="M873" s="22">
        <f t="shared" si="89"/>
        <v>48048.08</v>
      </c>
      <c r="N873" s="22"/>
      <c r="O873" s="30">
        <f t="shared" si="90"/>
        <v>0.57200040761865945</v>
      </c>
    </row>
    <row r="874" spans="1:15" ht="20.100000000000001" customHeight="1" x14ac:dyDescent="0.25">
      <c r="A874" s="33">
        <v>447</v>
      </c>
      <c r="B874" s="9">
        <v>43252</v>
      </c>
      <c r="C874" s="18" t="s">
        <v>216</v>
      </c>
      <c r="D874" s="11">
        <v>2953.75</v>
      </c>
      <c r="E874" s="9">
        <v>43256</v>
      </c>
      <c r="F874" s="15" t="s">
        <v>28</v>
      </c>
      <c r="G874" s="12">
        <v>43269</v>
      </c>
      <c r="H874" s="23">
        <f t="shared" ref="H874:H907" si="91">D874</f>
        <v>2953.75</v>
      </c>
      <c r="I874" s="23"/>
      <c r="J874" s="23"/>
      <c r="K874" s="24"/>
      <c r="L874" s="23">
        <v>2396</v>
      </c>
      <c r="M874" s="22">
        <f t="shared" si="89"/>
        <v>557.75</v>
      </c>
      <c r="N874" s="22"/>
      <c r="O874" s="30">
        <f t="shared" si="90"/>
        <v>0.18882776132035548</v>
      </c>
    </row>
    <row r="875" spans="1:15" ht="20.100000000000001" customHeight="1" x14ac:dyDescent="0.25">
      <c r="A875" s="33">
        <v>389</v>
      </c>
      <c r="B875" s="9">
        <v>43241</v>
      </c>
      <c r="C875" s="18" t="s">
        <v>33</v>
      </c>
      <c r="D875" s="11">
        <v>9600</v>
      </c>
      <c r="E875" s="9">
        <v>43256</v>
      </c>
      <c r="F875" s="15" t="s">
        <v>28</v>
      </c>
      <c r="G875" s="12">
        <v>43266</v>
      </c>
      <c r="H875" s="23">
        <f t="shared" si="91"/>
        <v>9600</v>
      </c>
      <c r="I875" s="23"/>
      <c r="J875" s="23"/>
      <c r="K875" s="24">
        <f>600*2</f>
        <v>1200</v>
      </c>
      <c r="L875" s="23">
        <v>2514</v>
      </c>
      <c r="M875" s="22">
        <f t="shared" si="89"/>
        <v>5886</v>
      </c>
      <c r="N875" s="22"/>
      <c r="O875" s="30">
        <f t="shared" si="90"/>
        <v>0.61312500000000003</v>
      </c>
    </row>
    <row r="876" spans="1:15" ht="20.100000000000001" customHeight="1" x14ac:dyDescent="0.25">
      <c r="A876" s="33">
        <v>378</v>
      </c>
      <c r="B876" s="9">
        <v>43237</v>
      </c>
      <c r="C876" s="18" t="s">
        <v>56</v>
      </c>
      <c r="D876" s="11">
        <v>2120</v>
      </c>
      <c r="E876" s="9">
        <v>43257</v>
      </c>
      <c r="F876" s="15" t="s">
        <v>28</v>
      </c>
      <c r="G876" s="12">
        <v>43249</v>
      </c>
      <c r="H876" s="23">
        <f t="shared" si="91"/>
        <v>2120</v>
      </c>
      <c r="I876" s="23"/>
      <c r="J876" s="23"/>
      <c r="K876" s="24"/>
      <c r="L876" s="23">
        <v>1476</v>
      </c>
      <c r="M876" s="22">
        <f t="shared" si="89"/>
        <v>644</v>
      </c>
      <c r="N876" s="22"/>
      <c r="O876" s="30">
        <f t="shared" si="90"/>
        <v>0.30377358490566037</v>
      </c>
    </row>
    <row r="877" spans="1:15" ht="20.100000000000001" customHeight="1" x14ac:dyDescent="0.25">
      <c r="A877" s="33">
        <v>460</v>
      </c>
      <c r="B877" s="9">
        <v>43257</v>
      </c>
      <c r="C877" s="20" t="s">
        <v>332</v>
      </c>
      <c r="D877" s="11">
        <v>13198</v>
      </c>
      <c r="E877" s="9">
        <v>43258</v>
      </c>
      <c r="F877" s="15" t="s">
        <v>28</v>
      </c>
      <c r="G877" s="12">
        <v>43264</v>
      </c>
      <c r="H877" s="23">
        <f t="shared" si="91"/>
        <v>13198</v>
      </c>
      <c r="I877" s="23">
        <f>H877</f>
        <v>13198</v>
      </c>
      <c r="J877" s="23"/>
      <c r="K877" s="24"/>
      <c r="L877" s="23">
        <v>9392</v>
      </c>
      <c r="M877" s="22">
        <f t="shared" si="89"/>
        <v>3806</v>
      </c>
      <c r="N877" s="22">
        <f>M877</f>
        <v>3806</v>
      </c>
      <c r="O877" s="30">
        <f t="shared" si="90"/>
        <v>0.28837702682224581</v>
      </c>
    </row>
    <row r="878" spans="1:15" ht="20.100000000000001" customHeight="1" x14ac:dyDescent="0.25">
      <c r="A878" s="33">
        <v>479</v>
      </c>
      <c r="B878" s="9">
        <v>43259</v>
      </c>
      <c r="C878" s="18" t="s">
        <v>292</v>
      </c>
      <c r="D878" s="11">
        <v>479</v>
      </c>
      <c r="E878" s="9">
        <v>43259</v>
      </c>
      <c r="F878" s="15" t="s">
        <v>28</v>
      </c>
      <c r="G878" s="12">
        <v>43259</v>
      </c>
      <c r="H878" s="23">
        <f t="shared" si="91"/>
        <v>479</v>
      </c>
      <c r="I878" s="23"/>
      <c r="J878" s="23"/>
      <c r="K878" s="24"/>
      <c r="L878" s="23">
        <v>286</v>
      </c>
      <c r="M878" s="22">
        <f t="shared" si="89"/>
        <v>193</v>
      </c>
      <c r="N878" s="22"/>
      <c r="O878" s="30">
        <f t="shared" si="90"/>
        <v>0.40292275574112735</v>
      </c>
    </row>
    <row r="879" spans="1:15" ht="20.100000000000001" customHeight="1" x14ac:dyDescent="0.25">
      <c r="A879" s="33">
        <v>483</v>
      </c>
      <c r="B879" s="9">
        <v>43260</v>
      </c>
      <c r="C879" s="18" t="s">
        <v>15</v>
      </c>
      <c r="D879" s="11">
        <v>25440</v>
      </c>
      <c r="E879" s="9">
        <v>43260</v>
      </c>
      <c r="F879" s="15" t="s">
        <v>28</v>
      </c>
      <c r="G879" s="12">
        <v>43266</v>
      </c>
      <c r="H879" s="23">
        <f t="shared" si="91"/>
        <v>25440</v>
      </c>
      <c r="I879" s="23"/>
      <c r="J879" s="23"/>
      <c r="K879" s="24"/>
      <c r="L879" s="23">
        <v>18780</v>
      </c>
      <c r="M879" s="22">
        <f t="shared" si="89"/>
        <v>6660</v>
      </c>
      <c r="N879" s="22"/>
      <c r="O879" s="30">
        <f t="shared" si="90"/>
        <v>0.2617924528301887</v>
      </c>
    </row>
    <row r="880" spans="1:15" ht="20.100000000000001" customHeight="1" x14ac:dyDescent="0.25">
      <c r="A880" s="33">
        <v>413</v>
      </c>
      <c r="B880" s="9">
        <v>43244</v>
      </c>
      <c r="C880" s="20" t="s">
        <v>333</v>
      </c>
      <c r="D880" s="11">
        <v>19990</v>
      </c>
      <c r="E880" s="9">
        <v>43260</v>
      </c>
      <c r="F880" s="15" t="s">
        <v>28</v>
      </c>
      <c r="G880" s="12">
        <v>43265</v>
      </c>
      <c r="H880" s="23">
        <f t="shared" si="91"/>
        <v>19990</v>
      </c>
      <c r="I880" s="23">
        <f>H880</f>
        <v>19990</v>
      </c>
      <c r="J880" s="23"/>
      <c r="K880" s="24"/>
      <c r="L880" s="23">
        <v>15742</v>
      </c>
      <c r="M880" s="22">
        <f t="shared" si="89"/>
        <v>4248</v>
      </c>
      <c r="N880" s="22">
        <f>M880</f>
        <v>4248</v>
      </c>
      <c r="O880" s="30">
        <f t="shared" si="90"/>
        <v>0.21250625312656329</v>
      </c>
    </row>
    <row r="881" spans="1:15" ht="19.5" customHeight="1" x14ac:dyDescent="0.25">
      <c r="A881" s="33">
        <v>487</v>
      </c>
      <c r="B881" s="15">
        <v>43264</v>
      </c>
      <c r="C881" s="18" t="s">
        <v>292</v>
      </c>
      <c r="D881" s="11">
        <v>6296</v>
      </c>
      <c r="E881" s="9">
        <v>43264</v>
      </c>
      <c r="F881" s="15" t="s">
        <v>28</v>
      </c>
      <c r="G881" s="12">
        <v>43277</v>
      </c>
      <c r="H881" s="23">
        <f t="shared" si="91"/>
        <v>6296</v>
      </c>
      <c r="I881" s="23"/>
      <c r="J881" s="23"/>
      <c r="K881" s="24"/>
      <c r="L881" s="23">
        <v>4131</v>
      </c>
      <c r="M881" s="22">
        <f t="shared" si="89"/>
        <v>2165</v>
      </c>
      <c r="N881" s="22"/>
      <c r="O881" s="30">
        <f t="shared" si="90"/>
        <v>0.34386912325285895</v>
      </c>
    </row>
    <row r="882" spans="1:15" ht="15.75" x14ac:dyDescent="0.25">
      <c r="A882" s="33">
        <v>446</v>
      </c>
      <c r="B882" s="9">
        <v>43257</v>
      </c>
      <c r="C882" s="20" t="s">
        <v>334</v>
      </c>
      <c r="D882" s="11">
        <v>1385</v>
      </c>
      <c r="E882" s="9">
        <v>43265</v>
      </c>
      <c r="F882" s="15" t="s">
        <v>28</v>
      </c>
      <c r="G882" s="12">
        <v>43276</v>
      </c>
      <c r="H882" s="23">
        <f t="shared" si="91"/>
        <v>1385</v>
      </c>
      <c r="I882" s="23">
        <f>H882</f>
        <v>1385</v>
      </c>
      <c r="J882" s="23"/>
      <c r="K882" s="24"/>
      <c r="L882" s="23">
        <v>1080</v>
      </c>
      <c r="M882" s="22">
        <f t="shared" si="89"/>
        <v>305</v>
      </c>
      <c r="N882" s="22">
        <f>M882</f>
        <v>305</v>
      </c>
      <c r="O882" s="30">
        <f t="shared" si="90"/>
        <v>0.22021660649819494</v>
      </c>
    </row>
    <row r="883" spans="1:15" s="2" customFormat="1" ht="20.100000000000001" customHeight="1" x14ac:dyDescent="0.25">
      <c r="A883" s="33">
        <v>415</v>
      </c>
      <c r="B883" s="9">
        <v>43244</v>
      </c>
      <c r="C883" s="18" t="s">
        <v>228</v>
      </c>
      <c r="D883" s="11">
        <v>87407</v>
      </c>
      <c r="E883" s="9">
        <v>43265</v>
      </c>
      <c r="F883" s="15" t="s">
        <v>28</v>
      </c>
      <c r="G883" s="12">
        <v>43327</v>
      </c>
      <c r="H883" s="23">
        <f t="shared" si="91"/>
        <v>87407</v>
      </c>
      <c r="I883" s="23"/>
      <c r="J883" s="23"/>
      <c r="K883" s="24">
        <f>600*2</f>
        <v>1200</v>
      </c>
      <c r="L883" s="23">
        <v>53116</v>
      </c>
      <c r="M883" s="22">
        <f t="shared" si="89"/>
        <v>33091</v>
      </c>
      <c r="N883" s="22"/>
      <c r="O883" s="30">
        <f t="shared" si="90"/>
        <v>0.37858523916848763</v>
      </c>
    </row>
    <row r="884" spans="1:15" ht="20.100000000000001" customHeight="1" x14ac:dyDescent="0.25">
      <c r="A884" s="33">
        <v>462</v>
      </c>
      <c r="B884" s="9">
        <v>43257</v>
      </c>
      <c r="C884" s="18" t="s">
        <v>228</v>
      </c>
      <c r="D884" s="11">
        <v>9044</v>
      </c>
      <c r="E884" s="9">
        <v>43265</v>
      </c>
      <c r="F884" s="15" t="s">
        <v>28</v>
      </c>
      <c r="G884" s="12">
        <v>43285</v>
      </c>
      <c r="H884" s="23">
        <f t="shared" si="91"/>
        <v>9044</v>
      </c>
      <c r="I884" s="23"/>
      <c r="J884" s="23"/>
      <c r="K884" s="24"/>
      <c r="L884" s="23">
        <v>5210</v>
      </c>
      <c r="M884" s="22">
        <f t="shared" si="89"/>
        <v>3834</v>
      </c>
      <c r="N884" s="22"/>
      <c r="O884" s="30">
        <f t="shared" si="90"/>
        <v>0.42392746572313134</v>
      </c>
    </row>
    <row r="885" spans="1:15" ht="20.100000000000001" customHeight="1" x14ac:dyDescent="0.25">
      <c r="A885" s="33">
        <v>467</v>
      </c>
      <c r="B885" s="9">
        <v>43258</v>
      </c>
      <c r="C885" s="18" t="s">
        <v>335</v>
      </c>
      <c r="D885" s="11">
        <v>2812</v>
      </c>
      <c r="E885" s="9">
        <v>43265</v>
      </c>
      <c r="F885" s="15" t="s">
        <v>28</v>
      </c>
      <c r="G885" s="12">
        <v>43279</v>
      </c>
      <c r="H885" s="23">
        <f t="shared" si="91"/>
        <v>2812</v>
      </c>
      <c r="I885" s="23"/>
      <c r="J885" s="23"/>
      <c r="K885" s="24"/>
      <c r="L885" s="23">
        <v>1254</v>
      </c>
      <c r="M885" s="22">
        <f t="shared" si="89"/>
        <v>1558</v>
      </c>
      <c r="N885" s="22"/>
      <c r="O885" s="30">
        <f t="shared" si="90"/>
        <v>0.55405405405405406</v>
      </c>
    </row>
    <row r="886" spans="1:15" ht="20.100000000000001" customHeight="1" x14ac:dyDescent="0.25">
      <c r="A886" s="33">
        <v>275</v>
      </c>
      <c r="B886" s="9">
        <v>43273</v>
      </c>
      <c r="C886" s="20" t="s">
        <v>336</v>
      </c>
      <c r="D886" s="11">
        <v>20305</v>
      </c>
      <c r="E886" s="9">
        <v>43266</v>
      </c>
      <c r="F886" s="15" t="s">
        <v>28</v>
      </c>
      <c r="G886" s="12">
        <v>43269</v>
      </c>
      <c r="H886" s="23">
        <f t="shared" si="91"/>
        <v>20305</v>
      </c>
      <c r="I886" s="23">
        <f>H886</f>
        <v>20305</v>
      </c>
      <c r="J886" s="23"/>
      <c r="K886" s="24"/>
      <c r="L886" s="23">
        <v>15398</v>
      </c>
      <c r="M886" s="22">
        <f t="shared" si="89"/>
        <v>4907</v>
      </c>
      <c r="N886" s="22">
        <f>M886</f>
        <v>4907</v>
      </c>
      <c r="O886" s="30">
        <f t="shared" si="90"/>
        <v>0.24166461462693917</v>
      </c>
    </row>
    <row r="887" spans="1:15" ht="20.100000000000001" customHeight="1" x14ac:dyDescent="0.25">
      <c r="A887" s="33">
        <v>465</v>
      </c>
      <c r="B887" s="9">
        <v>43257</v>
      </c>
      <c r="C887" s="20" t="s">
        <v>337</v>
      </c>
      <c r="D887" s="11">
        <v>33590</v>
      </c>
      <c r="E887" s="9">
        <v>43266</v>
      </c>
      <c r="F887" s="15" t="s">
        <v>28</v>
      </c>
      <c r="G887" s="12">
        <v>43269</v>
      </c>
      <c r="H887" s="23">
        <f t="shared" si="91"/>
        <v>33590</v>
      </c>
      <c r="I887" s="23">
        <f>H887</f>
        <v>33590</v>
      </c>
      <c r="J887" s="23"/>
      <c r="K887" s="24"/>
      <c r="L887" s="23">
        <v>26074</v>
      </c>
      <c r="M887" s="22">
        <f t="shared" si="89"/>
        <v>7516</v>
      </c>
      <c r="N887" s="22">
        <f>M887</f>
        <v>7516</v>
      </c>
      <c r="O887" s="30">
        <f t="shared" si="90"/>
        <v>0.22375707055671332</v>
      </c>
    </row>
    <row r="888" spans="1:15" ht="20.100000000000001" customHeight="1" x14ac:dyDescent="0.25">
      <c r="A888" s="33">
        <v>461</v>
      </c>
      <c r="B888" s="9">
        <v>43258</v>
      </c>
      <c r="C888" s="18" t="s">
        <v>45</v>
      </c>
      <c r="D888" s="11">
        <v>6301</v>
      </c>
      <c r="E888" s="9">
        <v>43266</v>
      </c>
      <c r="F888" s="15" t="s">
        <v>28</v>
      </c>
      <c r="G888" s="12">
        <v>43279</v>
      </c>
      <c r="H888" s="23">
        <f t="shared" si="91"/>
        <v>6301</v>
      </c>
      <c r="I888" s="23"/>
      <c r="J888" s="23"/>
      <c r="K888" s="24"/>
      <c r="L888" s="23">
        <v>4785</v>
      </c>
      <c r="M888" s="22">
        <f t="shared" si="89"/>
        <v>1516</v>
      </c>
      <c r="N888" s="22"/>
      <c r="O888" s="30">
        <f t="shared" si="90"/>
        <v>0.24059673067767021</v>
      </c>
    </row>
    <row r="889" spans="1:15" ht="20.100000000000001" customHeight="1" x14ac:dyDescent="0.25">
      <c r="A889" s="33">
        <v>502</v>
      </c>
      <c r="B889" s="9">
        <v>43269</v>
      </c>
      <c r="C889" s="18" t="s">
        <v>338</v>
      </c>
      <c r="D889" s="11">
        <v>5200</v>
      </c>
      <c r="E889" s="9">
        <v>43269</v>
      </c>
      <c r="F889" s="15" t="s">
        <v>28</v>
      </c>
      <c r="G889" s="12">
        <v>43270</v>
      </c>
      <c r="H889" s="23">
        <f t="shared" si="91"/>
        <v>5200</v>
      </c>
      <c r="I889" s="23"/>
      <c r="J889" s="23"/>
      <c r="K889" s="24"/>
      <c r="L889" s="23">
        <v>1524.9</v>
      </c>
      <c r="M889" s="22">
        <f t="shared" si="89"/>
        <v>3675.1</v>
      </c>
      <c r="N889" s="22"/>
      <c r="O889" s="30">
        <f t="shared" si="90"/>
        <v>0.70674999999999999</v>
      </c>
    </row>
    <row r="890" spans="1:15" ht="20.100000000000001" customHeight="1" x14ac:dyDescent="0.25">
      <c r="A890" s="33">
        <v>402</v>
      </c>
      <c r="B890" s="9">
        <v>43243</v>
      </c>
      <c r="C890" s="18" t="s">
        <v>60</v>
      </c>
      <c r="D890" s="11">
        <v>3915</v>
      </c>
      <c r="E890" s="9">
        <v>43270</v>
      </c>
      <c r="F890" s="15" t="s">
        <v>28</v>
      </c>
      <c r="G890" s="12">
        <v>43248</v>
      </c>
      <c r="H890" s="23">
        <f t="shared" si="91"/>
        <v>3915</v>
      </c>
      <c r="I890" s="23"/>
      <c r="J890" s="23"/>
      <c r="K890" s="24"/>
      <c r="L890" s="23">
        <v>2622</v>
      </c>
      <c r="M890" s="22">
        <f t="shared" si="89"/>
        <v>1293</v>
      </c>
      <c r="N890" s="22"/>
      <c r="O890" s="30">
        <f t="shared" si="90"/>
        <v>0.33026819923371648</v>
      </c>
    </row>
    <row r="891" spans="1:15" ht="20.100000000000001" customHeight="1" x14ac:dyDescent="0.25">
      <c r="A891" s="33">
        <v>422</v>
      </c>
      <c r="B891" s="9">
        <v>43248</v>
      </c>
      <c r="C891" s="18" t="s">
        <v>50</v>
      </c>
      <c r="D891" s="11">
        <v>11010</v>
      </c>
      <c r="E891" s="9">
        <v>43270</v>
      </c>
      <c r="F891" s="15" t="s">
        <v>28</v>
      </c>
      <c r="G891" s="12">
        <v>43273</v>
      </c>
      <c r="H891" s="23">
        <f t="shared" si="91"/>
        <v>11010</v>
      </c>
      <c r="I891" s="23"/>
      <c r="J891" s="23"/>
      <c r="K891" s="24"/>
      <c r="L891" s="23">
        <v>8080</v>
      </c>
      <c r="M891" s="22">
        <f t="shared" si="89"/>
        <v>2930</v>
      </c>
      <c r="N891" s="22"/>
      <c r="O891" s="30">
        <f t="shared" si="90"/>
        <v>0.26612170753860126</v>
      </c>
    </row>
    <row r="892" spans="1:15" ht="20.100000000000001" customHeight="1" x14ac:dyDescent="0.25">
      <c r="A892" s="33">
        <v>510</v>
      </c>
      <c r="B892" s="9">
        <v>43270</v>
      </c>
      <c r="C892" s="20" t="s">
        <v>339</v>
      </c>
      <c r="D892" s="11">
        <v>52190</v>
      </c>
      <c r="E892" s="9">
        <v>43270</v>
      </c>
      <c r="F892" s="15" t="s">
        <v>28</v>
      </c>
      <c r="G892" s="12">
        <v>43271</v>
      </c>
      <c r="H892" s="23">
        <f t="shared" si="91"/>
        <v>52190</v>
      </c>
      <c r="I892" s="23">
        <f>H892</f>
        <v>52190</v>
      </c>
      <c r="J892" s="23"/>
      <c r="K892" s="24"/>
      <c r="L892" s="23">
        <v>36129</v>
      </c>
      <c r="M892" s="22">
        <f t="shared" si="89"/>
        <v>16061</v>
      </c>
      <c r="N892" s="22">
        <f>M892</f>
        <v>16061</v>
      </c>
      <c r="O892" s="30">
        <f t="shared" si="90"/>
        <v>0.30774094654148304</v>
      </c>
    </row>
    <row r="893" spans="1:15" ht="20.100000000000001" customHeight="1" x14ac:dyDescent="0.25">
      <c r="A893" s="33">
        <v>512</v>
      </c>
      <c r="B893" s="9">
        <v>43270</v>
      </c>
      <c r="C893" s="20" t="s">
        <v>340</v>
      </c>
      <c r="D893" s="11">
        <v>4890</v>
      </c>
      <c r="E893" s="9">
        <v>43270</v>
      </c>
      <c r="F893" s="15" t="s">
        <v>28</v>
      </c>
      <c r="G893" s="12">
        <v>43271</v>
      </c>
      <c r="H893" s="23">
        <f t="shared" si="91"/>
        <v>4890</v>
      </c>
      <c r="I893" s="23">
        <f>H893</f>
        <v>4890</v>
      </c>
      <c r="J893" s="23"/>
      <c r="K893" s="24"/>
      <c r="L893" s="23">
        <v>3667</v>
      </c>
      <c r="M893" s="22">
        <f t="shared" si="89"/>
        <v>1223</v>
      </c>
      <c r="N893" s="22">
        <f>M893</f>
        <v>1223</v>
      </c>
      <c r="O893" s="30">
        <f t="shared" si="90"/>
        <v>0.25010224948875254</v>
      </c>
    </row>
    <row r="894" spans="1:15" ht="20.100000000000001" customHeight="1" x14ac:dyDescent="0.25">
      <c r="A894" s="33">
        <v>500</v>
      </c>
      <c r="B894" s="9">
        <v>43266</v>
      </c>
      <c r="C894" s="20" t="s">
        <v>341</v>
      </c>
      <c r="D894" s="11">
        <v>89360</v>
      </c>
      <c r="E894" s="9">
        <v>43273</v>
      </c>
      <c r="F894" s="15" t="s">
        <v>28</v>
      </c>
      <c r="G894" s="12">
        <v>43287</v>
      </c>
      <c r="H894" s="23">
        <f t="shared" si="91"/>
        <v>89360</v>
      </c>
      <c r="I894" s="23">
        <f>H894</f>
        <v>89360</v>
      </c>
      <c r="J894" s="23"/>
      <c r="K894" s="24"/>
      <c r="L894" s="23">
        <v>70260</v>
      </c>
      <c r="M894" s="22">
        <f t="shared" si="89"/>
        <v>19100</v>
      </c>
      <c r="N894" s="22">
        <f>M894</f>
        <v>19100</v>
      </c>
      <c r="O894" s="30">
        <f t="shared" si="90"/>
        <v>0.21374216651745748</v>
      </c>
    </row>
    <row r="895" spans="1:15" ht="20.100000000000001" customHeight="1" x14ac:dyDescent="0.25">
      <c r="A895" s="33">
        <v>521</v>
      </c>
      <c r="B895" s="9">
        <v>43272</v>
      </c>
      <c r="C895" s="20" t="s">
        <v>342</v>
      </c>
      <c r="D895" s="11">
        <v>24691</v>
      </c>
      <c r="E895" s="9">
        <v>43273</v>
      </c>
      <c r="F895" s="15" t="s">
        <v>28</v>
      </c>
      <c r="G895" s="12">
        <v>43305</v>
      </c>
      <c r="H895" s="23">
        <f t="shared" si="91"/>
        <v>24691</v>
      </c>
      <c r="I895" s="23">
        <f>H895</f>
        <v>24691</v>
      </c>
      <c r="J895" s="23"/>
      <c r="K895" s="24"/>
      <c r="L895" s="23">
        <v>19566</v>
      </c>
      <c r="M895" s="22">
        <f t="shared" si="89"/>
        <v>5125</v>
      </c>
      <c r="N895" s="22">
        <f>M895</f>
        <v>5125</v>
      </c>
      <c r="O895" s="30">
        <f t="shared" si="90"/>
        <v>0.20756550969989065</v>
      </c>
    </row>
    <row r="896" spans="1:15" ht="20.100000000000001" customHeight="1" x14ac:dyDescent="0.25">
      <c r="A896" s="33">
        <v>526</v>
      </c>
      <c r="B896" s="9">
        <v>43276</v>
      </c>
      <c r="C896" s="20" t="s">
        <v>343</v>
      </c>
      <c r="D896" s="11">
        <v>22533</v>
      </c>
      <c r="E896" s="9">
        <v>43276</v>
      </c>
      <c r="F896" s="15" t="s">
        <v>28</v>
      </c>
      <c r="G896" s="12">
        <v>43276</v>
      </c>
      <c r="H896" s="23">
        <f t="shared" si="91"/>
        <v>22533</v>
      </c>
      <c r="I896" s="23">
        <f>H896</f>
        <v>22533</v>
      </c>
      <c r="J896" s="23"/>
      <c r="K896" s="24"/>
      <c r="L896" s="23">
        <v>17778</v>
      </c>
      <c r="M896" s="22">
        <f t="shared" si="89"/>
        <v>4755</v>
      </c>
      <c r="N896" s="22">
        <f>M896</f>
        <v>4755</v>
      </c>
      <c r="O896" s="30">
        <f t="shared" si="90"/>
        <v>0.21102383171348688</v>
      </c>
    </row>
    <row r="897" spans="1:15" ht="20.100000000000001" customHeight="1" x14ac:dyDescent="0.25">
      <c r="A897" s="33">
        <v>491</v>
      </c>
      <c r="B897" s="15">
        <v>43265</v>
      </c>
      <c r="C897" s="18" t="s">
        <v>13</v>
      </c>
      <c r="D897" s="11">
        <v>1246</v>
      </c>
      <c r="E897" s="9">
        <v>43276</v>
      </c>
      <c r="F897" s="15" t="s">
        <v>28</v>
      </c>
      <c r="G897" s="12">
        <v>43270</v>
      </c>
      <c r="H897" s="23">
        <f t="shared" si="91"/>
        <v>1246</v>
      </c>
      <c r="I897" s="23"/>
      <c r="J897" s="23"/>
      <c r="K897" s="24"/>
      <c r="L897" s="23">
        <v>930</v>
      </c>
      <c r="M897" s="22">
        <f t="shared" si="89"/>
        <v>316</v>
      </c>
      <c r="N897" s="22"/>
      <c r="O897" s="30">
        <f t="shared" si="90"/>
        <v>0.2536115569823435</v>
      </c>
    </row>
    <row r="898" spans="1:15" ht="20.100000000000001" customHeight="1" x14ac:dyDescent="0.25">
      <c r="A898" s="33">
        <v>514</v>
      </c>
      <c r="B898" s="15">
        <v>43276</v>
      </c>
      <c r="C898" s="20" t="s">
        <v>344</v>
      </c>
      <c r="D898" s="11">
        <v>82640</v>
      </c>
      <c r="E898" s="9">
        <v>43277</v>
      </c>
      <c r="F898" s="15" t="s">
        <v>28</v>
      </c>
      <c r="G898" s="12">
        <v>43291</v>
      </c>
      <c r="H898" s="23">
        <f t="shared" si="91"/>
        <v>82640</v>
      </c>
      <c r="I898" s="23">
        <f>H898</f>
        <v>82640</v>
      </c>
      <c r="J898" s="23"/>
      <c r="K898" s="24"/>
      <c r="L898" s="23">
        <v>39650</v>
      </c>
      <c r="M898" s="22">
        <f t="shared" si="89"/>
        <v>42990</v>
      </c>
      <c r="N898" s="22">
        <f>M898</f>
        <v>42990</v>
      </c>
      <c r="O898" s="30">
        <f t="shared" si="90"/>
        <v>0.52020813165537272</v>
      </c>
    </row>
    <row r="899" spans="1:15" ht="20.100000000000001" customHeight="1" x14ac:dyDescent="0.25">
      <c r="A899" s="33">
        <v>530</v>
      </c>
      <c r="B899" s="15">
        <v>43276</v>
      </c>
      <c r="C899" s="20" t="s">
        <v>345</v>
      </c>
      <c r="D899" s="11">
        <v>9338</v>
      </c>
      <c r="E899" s="9">
        <v>43278</v>
      </c>
      <c r="F899" s="15" t="s">
        <v>28</v>
      </c>
      <c r="G899" s="12">
        <v>43305</v>
      </c>
      <c r="H899" s="23">
        <f t="shared" si="91"/>
        <v>9338</v>
      </c>
      <c r="I899" s="23">
        <f>H899</f>
        <v>9338</v>
      </c>
      <c r="J899" s="23"/>
      <c r="K899" s="24"/>
      <c r="L899" s="23">
        <v>7252</v>
      </c>
      <c r="M899" s="22">
        <f t="shared" si="89"/>
        <v>2086</v>
      </c>
      <c r="N899" s="22">
        <f>M899</f>
        <v>2086</v>
      </c>
      <c r="O899" s="30">
        <f t="shared" si="90"/>
        <v>0.22338830584707647</v>
      </c>
    </row>
    <row r="900" spans="1:15" ht="20.100000000000001" customHeight="1" x14ac:dyDescent="0.25">
      <c r="A900" s="33">
        <v>506</v>
      </c>
      <c r="B900" s="15">
        <v>43269</v>
      </c>
      <c r="C900" s="26" t="s">
        <v>217</v>
      </c>
      <c r="D900" s="11">
        <v>5664</v>
      </c>
      <c r="E900" s="9">
        <v>43279</v>
      </c>
      <c r="F900" s="15" t="s">
        <v>28</v>
      </c>
      <c r="G900" s="12">
        <v>43290</v>
      </c>
      <c r="H900" s="23">
        <f t="shared" si="91"/>
        <v>5664</v>
      </c>
      <c r="I900" s="23"/>
      <c r="J900" s="23"/>
      <c r="K900" s="24"/>
      <c r="L900" s="23">
        <v>4271</v>
      </c>
      <c r="M900" s="22">
        <f t="shared" si="89"/>
        <v>1393</v>
      </c>
      <c r="N900" s="22"/>
      <c r="O900" s="30">
        <f t="shared" si="90"/>
        <v>0.24593926553672316</v>
      </c>
    </row>
    <row r="901" spans="1:15" ht="20.100000000000001" customHeight="1" x14ac:dyDescent="0.25">
      <c r="A901" s="33">
        <v>470</v>
      </c>
      <c r="B901" s="9">
        <v>43266</v>
      </c>
      <c r="C901" s="18" t="s">
        <v>56</v>
      </c>
      <c r="D901" s="11">
        <v>19336</v>
      </c>
      <c r="E901" s="9">
        <v>43279</v>
      </c>
      <c r="F901" s="15" t="s">
        <v>28</v>
      </c>
      <c r="G901" s="12">
        <v>43266</v>
      </c>
      <c r="H901" s="23">
        <f t="shared" si="91"/>
        <v>19336</v>
      </c>
      <c r="I901" s="23"/>
      <c r="J901" s="23"/>
      <c r="K901" s="24"/>
      <c r="L901" s="23">
        <v>12851.9</v>
      </c>
      <c r="M901" s="22">
        <f t="shared" si="89"/>
        <v>6484.1</v>
      </c>
      <c r="N901" s="22"/>
      <c r="O901" s="30">
        <f t="shared" si="90"/>
        <v>0.33533822920976419</v>
      </c>
    </row>
    <row r="902" spans="1:15" ht="20.100000000000001" customHeight="1" x14ac:dyDescent="0.25">
      <c r="A902" s="33">
        <v>437</v>
      </c>
      <c r="B902" s="9">
        <v>43251</v>
      </c>
      <c r="C902" s="18" t="s">
        <v>65</v>
      </c>
      <c r="D902" s="11">
        <v>91674</v>
      </c>
      <c r="E902" s="9">
        <v>43279</v>
      </c>
      <c r="F902" s="15" t="s">
        <v>28</v>
      </c>
      <c r="G902" s="12">
        <v>43272</v>
      </c>
      <c r="H902" s="23">
        <f t="shared" si="91"/>
        <v>91674</v>
      </c>
      <c r="I902" s="23"/>
      <c r="J902" s="23"/>
      <c r="K902" s="24"/>
      <c r="L902" s="23">
        <v>68710</v>
      </c>
      <c r="M902" s="22">
        <f t="shared" si="89"/>
        <v>22964</v>
      </c>
      <c r="N902" s="22"/>
      <c r="O902" s="30">
        <f t="shared" si="90"/>
        <v>0.25049632393044918</v>
      </c>
    </row>
    <row r="903" spans="1:15" ht="20.100000000000001" customHeight="1" x14ac:dyDescent="0.25">
      <c r="A903" s="33">
        <v>534</v>
      </c>
      <c r="B903" s="9">
        <v>43276</v>
      </c>
      <c r="C903" s="18" t="s">
        <v>139</v>
      </c>
      <c r="D903" s="11">
        <v>10386</v>
      </c>
      <c r="E903" s="9">
        <v>43279</v>
      </c>
      <c r="F903" s="15" t="s">
        <v>28</v>
      </c>
      <c r="G903" s="12">
        <v>43283</v>
      </c>
      <c r="H903" s="23">
        <f t="shared" si="91"/>
        <v>10386</v>
      </c>
      <c r="I903" s="23"/>
      <c r="J903" s="23"/>
      <c r="K903" s="24"/>
      <c r="L903" s="23">
        <v>7508</v>
      </c>
      <c r="M903" s="22">
        <f t="shared" si="89"/>
        <v>2878</v>
      </c>
      <c r="N903" s="22"/>
      <c r="O903" s="30">
        <f t="shared" si="90"/>
        <v>0.27710379356826498</v>
      </c>
    </row>
    <row r="904" spans="1:15" ht="20.100000000000001" customHeight="1" x14ac:dyDescent="0.25">
      <c r="A904" s="33">
        <v>443</v>
      </c>
      <c r="B904" s="9">
        <v>43251</v>
      </c>
      <c r="C904" s="18" t="s">
        <v>175</v>
      </c>
      <c r="D904" s="11">
        <v>21413</v>
      </c>
      <c r="E904" s="9">
        <v>43280</v>
      </c>
      <c r="F904" s="15" t="s">
        <v>28</v>
      </c>
      <c r="G904" s="12">
        <v>43283</v>
      </c>
      <c r="H904" s="23">
        <f t="shared" si="91"/>
        <v>21413</v>
      </c>
      <c r="I904" s="23"/>
      <c r="J904" s="23"/>
      <c r="K904" s="24"/>
      <c r="L904" s="23">
        <v>13884</v>
      </c>
      <c r="M904" s="22">
        <f t="shared" si="89"/>
        <v>7529</v>
      </c>
      <c r="N904" s="22"/>
      <c r="O904" s="30">
        <f t="shared" si="90"/>
        <v>0.35160883575398122</v>
      </c>
    </row>
    <row r="905" spans="1:15" ht="20.100000000000001" customHeight="1" x14ac:dyDescent="0.25">
      <c r="A905" s="33">
        <v>433</v>
      </c>
      <c r="B905" s="9">
        <v>43250</v>
      </c>
      <c r="C905" s="18" t="s">
        <v>175</v>
      </c>
      <c r="D905" s="11">
        <v>19334.400000000001</v>
      </c>
      <c r="E905" s="9">
        <v>43280</v>
      </c>
      <c r="F905" s="15" t="s">
        <v>28</v>
      </c>
      <c r="G905" s="12">
        <v>43283</v>
      </c>
      <c r="H905" s="23">
        <f t="shared" si="91"/>
        <v>19334.400000000001</v>
      </c>
      <c r="I905" s="23"/>
      <c r="J905" s="23"/>
      <c r="K905" s="24"/>
      <c r="L905" s="23">
        <v>15294</v>
      </c>
      <c r="M905" s="22">
        <f t="shared" si="89"/>
        <v>4040.4000000000015</v>
      </c>
      <c r="N905" s="22"/>
      <c r="O905" s="30">
        <f t="shared" si="90"/>
        <v>0.20897467725918575</v>
      </c>
    </row>
    <row r="906" spans="1:15" ht="20.100000000000001" customHeight="1" x14ac:dyDescent="0.25">
      <c r="A906" s="33">
        <v>481</v>
      </c>
      <c r="B906" s="9">
        <v>43259</v>
      </c>
      <c r="C906" s="26" t="s">
        <v>66</v>
      </c>
      <c r="D906" s="11">
        <v>7350</v>
      </c>
      <c r="E906" s="9">
        <v>43280</v>
      </c>
      <c r="F906" s="15" t="s">
        <v>28</v>
      </c>
      <c r="G906" s="12">
        <v>43260</v>
      </c>
      <c r="H906" s="23">
        <f t="shared" si="91"/>
        <v>7350</v>
      </c>
      <c r="I906" s="23"/>
      <c r="J906" s="23"/>
      <c r="K906" s="24"/>
      <c r="L906" s="23">
        <v>6546</v>
      </c>
      <c r="M906" s="22">
        <f t="shared" si="89"/>
        <v>804</v>
      </c>
      <c r="N906" s="22"/>
      <c r="O906" s="30">
        <f t="shared" si="90"/>
        <v>0.10938775510204081</v>
      </c>
    </row>
    <row r="907" spans="1:15" ht="20.100000000000001" customHeight="1" x14ac:dyDescent="0.25">
      <c r="A907" s="33">
        <v>539</v>
      </c>
      <c r="B907" s="9">
        <v>43277</v>
      </c>
      <c r="C907" s="26" t="s">
        <v>16</v>
      </c>
      <c r="D907" s="11">
        <v>20400</v>
      </c>
      <c r="E907" s="9">
        <v>43280</v>
      </c>
      <c r="F907" s="15" t="s">
        <v>28</v>
      </c>
      <c r="G907" s="12">
        <v>43287</v>
      </c>
      <c r="H907" s="23">
        <f t="shared" si="91"/>
        <v>20400</v>
      </c>
      <c r="I907" s="23"/>
      <c r="J907" s="23"/>
      <c r="K907" s="24"/>
      <c r="L907" s="23">
        <v>15060</v>
      </c>
      <c r="M907" s="22">
        <f t="shared" si="89"/>
        <v>5340</v>
      </c>
      <c r="N907" s="22"/>
      <c r="O907" s="30">
        <f t="shared" si="90"/>
        <v>0.26176470588235295</v>
      </c>
    </row>
    <row r="908" spans="1:15" ht="20.100000000000001" customHeight="1" x14ac:dyDescent="0.25">
      <c r="A908" s="35" t="s">
        <v>535</v>
      </c>
      <c r="B908" s="36"/>
      <c r="C908" s="42"/>
      <c r="D908" s="37"/>
      <c r="E908" s="46" t="s">
        <v>557</v>
      </c>
      <c r="F908" s="47">
        <f>M908*0.17+N908*0.06</f>
        <v>59686.281100000007</v>
      </c>
      <c r="G908" s="21">
        <f>H908*0.05+I908*0.02</f>
        <v>55866.776500000007</v>
      </c>
      <c r="H908" s="49">
        <f>SUBTOTAL(109,Июнь2018[Продажа])</f>
        <v>952275.53</v>
      </c>
      <c r="I908" s="49">
        <f>SUBTOTAL(109,Июнь2018[Продажа НК])</f>
        <v>412650</v>
      </c>
      <c r="J908" s="49">
        <f>SUBTOTAL(109,Июнь2018[отк])</f>
        <v>0</v>
      </c>
      <c r="K908" s="49">
        <f>SUBTOTAL(109,Июнь2018[шланги])</f>
        <v>7200</v>
      </c>
      <c r="L908" s="49">
        <f>SUBTOTAL(109,Июнь2018[Закупка])</f>
        <v>636740.70000000007</v>
      </c>
      <c r="M908" s="49">
        <f>SUBTOTAL(109,Июнь2018[Маржа])</f>
        <v>308334.83</v>
      </c>
      <c r="N908" s="49">
        <f>SUBTOTAL(109,Июнь2018[Маржа НК])</f>
        <v>121156</v>
      </c>
      <c r="O908" s="44">
        <f t="shared" si="90"/>
        <v>0.32378741266196348</v>
      </c>
    </row>
    <row r="909" spans="1:15" ht="19.5" customHeight="1" x14ac:dyDescent="0.25">
      <c r="A909" s="41" t="s">
        <v>1</v>
      </c>
      <c r="B909" s="1" t="s">
        <v>0</v>
      </c>
      <c r="C909" s="1" t="s">
        <v>26</v>
      </c>
      <c r="D909" s="1" t="s">
        <v>2</v>
      </c>
      <c r="E909" s="1" t="s">
        <v>3</v>
      </c>
      <c r="F909" s="1" t="s">
        <v>27</v>
      </c>
      <c r="G909" s="1" t="s">
        <v>4</v>
      </c>
      <c r="H909" s="2" t="s">
        <v>132</v>
      </c>
      <c r="I909" s="2" t="s">
        <v>133</v>
      </c>
      <c r="J909" s="40" t="s">
        <v>187</v>
      </c>
      <c r="K909" s="40" t="s">
        <v>188</v>
      </c>
      <c r="L909" s="40" t="s">
        <v>129</v>
      </c>
      <c r="M909" s="40" t="s">
        <v>130</v>
      </c>
      <c r="N909" s="2" t="s">
        <v>131</v>
      </c>
      <c r="O909" s="2" t="s">
        <v>134</v>
      </c>
    </row>
    <row r="910" spans="1:15" ht="15.75" x14ac:dyDescent="0.25">
      <c r="A910" s="33">
        <v>540</v>
      </c>
      <c r="B910" s="9">
        <v>43280</v>
      </c>
      <c r="C910" s="20" t="s">
        <v>346</v>
      </c>
      <c r="D910" s="11">
        <v>6984</v>
      </c>
      <c r="E910" s="9">
        <v>43283</v>
      </c>
      <c r="F910" s="15" t="s">
        <v>28</v>
      </c>
      <c r="G910" s="12">
        <v>43287</v>
      </c>
      <c r="H910" s="23">
        <f t="shared" ref="H910:H936" si="92">D910</f>
        <v>6984</v>
      </c>
      <c r="I910" s="23">
        <f>H910</f>
        <v>6984</v>
      </c>
      <c r="J910" s="23"/>
      <c r="K910" s="24"/>
      <c r="L910" s="23">
        <v>5019</v>
      </c>
      <c r="M910" s="22">
        <f t="shared" ref="M910:M936" si="93">H910-L910-J910-K910</f>
        <v>1965</v>
      </c>
      <c r="N910" s="22">
        <f>M910</f>
        <v>1965</v>
      </c>
      <c r="O910" s="30">
        <f t="shared" ref="O910:O937" si="94">M910/H910</f>
        <v>0.2813573883161512</v>
      </c>
    </row>
    <row r="911" spans="1:15" s="2" customFormat="1" ht="20.100000000000001" customHeight="1" x14ac:dyDescent="0.25">
      <c r="A911" s="33">
        <v>531</v>
      </c>
      <c r="B911" s="9">
        <v>43276</v>
      </c>
      <c r="C911" s="18" t="s">
        <v>56</v>
      </c>
      <c r="D911" s="11">
        <v>416</v>
      </c>
      <c r="E911" s="9">
        <v>43285</v>
      </c>
      <c r="F911" s="15" t="s">
        <v>28</v>
      </c>
      <c r="G911" s="12">
        <v>43276</v>
      </c>
      <c r="H911" s="23">
        <f t="shared" si="92"/>
        <v>416</v>
      </c>
      <c r="I911" s="23"/>
      <c r="J911" s="23"/>
      <c r="K911" s="24"/>
      <c r="L911" s="23">
        <v>282</v>
      </c>
      <c r="M911" s="22">
        <f t="shared" si="93"/>
        <v>134</v>
      </c>
      <c r="N911" s="22"/>
      <c r="O911" s="30">
        <f t="shared" si="94"/>
        <v>0.32211538461538464</v>
      </c>
    </row>
    <row r="912" spans="1:15" ht="20.100000000000001" customHeight="1" x14ac:dyDescent="0.25">
      <c r="A912" s="33">
        <v>543</v>
      </c>
      <c r="B912" s="9">
        <v>43278</v>
      </c>
      <c r="C912" s="18" t="s">
        <v>228</v>
      </c>
      <c r="D912" s="11">
        <v>4344</v>
      </c>
      <c r="E912" s="9">
        <v>43285</v>
      </c>
      <c r="F912" s="15" t="s">
        <v>28</v>
      </c>
      <c r="G912" s="12">
        <v>43285</v>
      </c>
      <c r="H912" s="23">
        <f t="shared" si="92"/>
        <v>4344</v>
      </c>
      <c r="I912" s="23"/>
      <c r="J912" s="23"/>
      <c r="K912" s="24"/>
      <c r="L912" s="23">
        <v>3248</v>
      </c>
      <c r="M912" s="22">
        <f t="shared" si="93"/>
        <v>1096</v>
      </c>
      <c r="N912" s="22"/>
      <c r="O912" s="30">
        <f t="shared" si="94"/>
        <v>0.25230202578268879</v>
      </c>
    </row>
    <row r="913" spans="1:15" ht="20.100000000000001" customHeight="1" x14ac:dyDescent="0.25">
      <c r="A913" s="33">
        <v>565</v>
      </c>
      <c r="B913" s="9">
        <v>43284</v>
      </c>
      <c r="C913" s="18" t="s">
        <v>327</v>
      </c>
      <c r="D913" s="11">
        <v>3018</v>
      </c>
      <c r="E913" s="9">
        <v>43286</v>
      </c>
      <c r="F913" s="15" t="s">
        <v>28</v>
      </c>
      <c r="G913" s="12">
        <v>43299</v>
      </c>
      <c r="H913" s="23">
        <f t="shared" si="92"/>
        <v>3018</v>
      </c>
      <c r="I913" s="23"/>
      <c r="J913" s="23"/>
      <c r="K913" s="24"/>
      <c r="L913" s="23">
        <v>1856</v>
      </c>
      <c r="M913" s="22">
        <f t="shared" si="93"/>
        <v>1162</v>
      </c>
      <c r="N913" s="22"/>
      <c r="O913" s="30">
        <f t="shared" si="94"/>
        <v>0.38502319416832337</v>
      </c>
    </row>
    <row r="914" spans="1:15" ht="20.100000000000001" customHeight="1" x14ac:dyDescent="0.25">
      <c r="A914" s="33">
        <v>576</v>
      </c>
      <c r="B914" s="9">
        <v>43290</v>
      </c>
      <c r="C914" s="18" t="s">
        <v>16</v>
      </c>
      <c r="D914" s="11">
        <v>8585.4</v>
      </c>
      <c r="E914" s="9">
        <v>43290</v>
      </c>
      <c r="F914" s="15" t="s">
        <v>28</v>
      </c>
      <c r="G914" s="12">
        <v>43298</v>
      </c>
      <c r="H914" s="23">
        <f t="shared" si="92"/>
        <v>8585.4</v>
      </c>
      <c r="I914" s="23"/>
      <c r="J914" s="23"/>
      <c r="K914" s="24"/>
      <c r="L914" s="23">
        <v>6412.8</v>
      </c>
      <c r="M914" s="22">
        <f t="shared" si="93"/>
        <v>2172.5999999999995</v>
      </c>
      <c r="N914" s="22"/>
      <c r="O914" s="30">
        <f t="shared" si="94"/>
        <v>0.25305751624851486</v>
      </c>
    </row>
    <row r="915" spans="1:15" ht="20.100000000000001" customHeight="1" x14ac:dyDescent="0.25">
      <c r="A915" s="33">
        <v>572</v>
      </c>
      <c r="B915" s="9">
        <v>43287</v>
      </c>
      <c r="C915" s="18" t="s">
        <v>15</v>
      </c>
      <c r="D915" s="11">
        <v>7041</v>
      </c>
      <c r="E915" s="9">
        <v>43291</v>
      </c>
      <c r="F915" s="15" t="s">
        <v>28</v>
      </c>
      <c r="G915" s="12">
        <v>43308</v>
      </c>
      <c r="H915" s="23">
        <f t="shared" si="92"/>
        <v>7041</v>
      </c>
      <c r="I915" s="23"/>
      <c r="J915" s="23"/>
      <c r="K915" s="24"/>
      <c r="L915" s="23">
        <v>5365</v>
      </c>
      <c r="M915" s="22">
        <f t="shared" si="93"/>
        <v>1676</v>
      </c>
      <c r="N915" s="22"/>
      <c r="O915" s="30">
        <f t="shared" si="94"/>
        <v>0.23803437011788098</v>
      </c>
    </row>
    <row r="916" spans="1:15" ht="20.100000000000001" customHeight="1" x14ac:dyDescent="0.25">
      <c r="A916" s="33">
        <v>569</v>
      </c>
      <c r="B916" s="9">
        <v>43286</v>
      </c>
      <c r="C916" s="18" t="s">
        <v>139</v>
      </c>
      <c r="D916" s="11">
        <v>6690</v>
      </c>
      <c r="E916" s="9">
        <v>43291</v>
      </c>
      <c r="F916" s="15" t="s">
        <v>28</v>
      </c>
      <c r="G916" s="12">
        <v>43312</v>
      </c>
      <c r="H916" s="23">
        <f t="shared" si="92"/>
        <v>6690</v>
      </c>
      <c r="I916" s="23"/>
      <c r="J916" s="23"/>
      <c r="K916" s="24"/>
      <c r="L916" s="23">
        <v>5220</v>
      </c>
      <c r="M916" s="22">
        <f t="shared" si="93"/>
        <v>1470</v>
      </c>
      <c r="N916" s="22"/>
      <c r="O916" s="30">
        <f t="shared" si="94"/>
        <v>0.21973094170403587</v>
      </c>
    </row>
    <row r="917" spans="1:15" ht="20.100000000000001" customHeight="1" x14ac:dyDescent="0.25">
      <c r="A917" s="33">
        <v>434</v>
      </c>
      <c r="B917" s="9">
        <v>43252</v>
      </c>
      <c r="C917" s="18" t="s">
        <v>99</v>
      </c>
      <c r="D917" s="11">
        <v>58600</v>
      </c>
      <c r="E917" s="9">
        <v>43291</v>
      </c>
      <c r="F917" s="15" t="s">
        <v>28</v>
      </c>
      <c r="G917" s="12">
        <v>43260</v>
      </c>
      <c r="H917" s="23">
        <f t="shared" si="92"/>
        <v>58600</v>
      </c>
      <c r="I917" s="23"/>
      <c r="J917" s="23">
        <v>15000</v>
      </c>
      <c r="K917" s="24">
        <f>12*600</f>
        <v>7200</v>
      </c>
      <c r="L917" s="23">
        <v>6090</v>
      </c>
      <c r="M917" s="22">
        <f t="shared" si="93"/>
        <v>30310</v>
      </c>
      <c r="N917" s="22"/>
      <c r="O917" s="30">
        <f t="shared" si="94"/>
        <v>0.5172354948805461</v>
      </c>
    </row>
    <row r="918" spans="1:15" ht="20.100000000000001" customHeight="1" x14ac:dyDescent="0.25">
      <c r="A918" s="33">
        <v>410</v>
      </c>
      <c r="B918" s="9">
        <v>43252</v>
      </c>
      <c r="C918" s="18" t="s">
        <v>99</v>
      </c>
      <c r="D918" s="11">
        <v>296000</v>
      </c>
      <c r="E918" s="9">
        <v>43291</v>
      </c>
      <c r="F918" s="15" t="s">
        <v>28</v>
      </c>
      <c r="G918" s="12">
        <v>43277</v>
      </c>
      <c r="H918" s="23">
        <f t="shared" si="92"/>
        <v>296000</v>
      </c>
      <c r="I918" s="23"/>
      <c r="J918" s="23"/>
      <c r="K918" s="24"/>
      <c r="L918" s="23">
        <v>220736</v>
      </c>
      <c r="M918" s="22">
        <f t="shared" si="93"/>
        <v>75264</v>
      </c>
      <c r="N918" s="22"/>
      <c r="O918" s="30">
        <f t="shared" si="94"/>
        <v>0.25427027027027027</v>
      </c>
    </row>
    <row r="919" spans="1:15" ht="20.100000000000001" customHeight="1" x14ac:dyDescent="0.25">
      <c r="A919" s="33">
        <v>587</v>
      </c>
      <c r="B919" s="9">
        <v>43292</v>
      </c>
      <c r="C919" s="18" t="s">
        <v>227</v>
      </c>
      <c r="D919" s="11">
        <v>17790</v>
      </c>
      <c r="E919" s="9">
        <v>43293</v>
      </c>
      <c r="F919" s="15" t="s">
        <v>28</v>
      </c>
      <c r="G919" s="12">
        <v>43294</v>
      </c>
      <c r="H919" s="23">
        <f t="shared" si="92"/>
        <v>17790</v>
      </c>
      <c r="I919" s="23"/>
      <c r="J919" s="23"/>
      <c r="K919" s="24"/>
      <c r="L919" s="23">
        <v>12851</v>
      </c>
      <c r="M919" s="22">
        <f t="shared" si="93"/>
        <v>4939</v>
      </c>
      <c r="N919" s="22"/>
      <c r="O919" s="30">
        <f t="shared" si="94"/>
        <v>0.27762788083192808</v>
      </c>
    </row>
    <row r="920" spans="1:15" ht="20.100000000000001" customHeight="1" x14ac:dyDescent="0.25">
      <c r="A920" s="33">
        <v>583</v>
      </c>
      <c r="B920" s="9">
        <v>43292</v>
      </c>
      <c r="C920" s="18" t="s">
        <v>327</v>
      </c>
      <c r="D920" s="11">
        <v>18290</v>
      </c>
      <c r="E920" s="9">
        <v>43293</v>
      </c>
      <c r="F920" s="15" t="s">
        <v>28</v>
      </c>
      <c r="G920" s="12">
        <v>43299</v>
      </c>
      <c r="H920" s="23">
        <f t="shared" si="92"/>
        <v>18290</v>
      </c>
      <c r="I920" s="23"/>
      <c r="J920" s="23"/>
      <c r="K920" s="24"/>
      <c r="L920" s="23">
        <v>13827</v>
      </c>
      <c r="M920" s="22">
        <f t="shared" si="93"/>
        <v>4463</v>
      </c>
      <c r="N920" s="22"/>
      <c r="O920" s="30">
        <f t="shared" si="94"/>
        <v>0.24401312192454894</v>
      </c>
    </row>
    <row r="921" spans="1:15" ht="20.100000000000001" customHeight="1" x14ac:dyDescent="0.25">
      <c r="A921" s="33">
        <v>584</v>
      </c>
      <c r="B921" s="9">
        <v>43292</v>
      </c>
      <c r="C921" s="18" t="s">
        <v>236</v>
      </c>
      <c r="D921" s="11">
        <v>4000</v>
      </c>
      <c r="E921" s="9">
        <v>43294</v>
      </c>
      <c r="F921" s="15" t="s">
        <v>28</v>
      </c>
      <c r="G921" s="12">
        <v>43308</v>
      </c>
      <c r="H921" s="23">
        <f t="shared" si="92"/>
        <v>4000</v>
      </c>
      <c r="I921" s="23"/>
      <c r="J921" s="23"/>
      <c r="K921" s="24"/>
      <c r="L921" s="23">
        <v>2640</v>
      </c>
      <c r="M921" s="22">
        <f t="shared" si="93"/>
        <v>1360</v>
      </c>
      <c r="N921" s="22"/>
      <c r="O921" s="30">
        <f t="shared" si="94"/>
        <v>0.34</v>
      </c>
    </row>
    <row r="922" spans="1:15" ht="20.100000000000001" customHeight="1" x14ac:dyDescent="0.25">
      <c r="A922" s="33">
        <v>560</v>
      </c>
      <c r="B922" s="9">
        <v>43284</v>
      </c>
      <c r="C922" s="18" t="s">
        <v>56</v>
      </c>
      <c r="D922" s="11">
        <v>30642</v>
      </c>
      <c r="E922" s="9">
        <v>43297</v>
      </c>
      <c r="F922" s="15" t="s">
        <v>28</v>
      </c>
      <c r="G922" s="12">
        <v>43290</v>
      </c>
      <c r="H922" s="23">
        <f t="shared" si="92"/>
        <v>30642</v>
      </c>
      <c r="I922" s="23"/>
      <c r="J922" s="23"/>
      <c r="K922" s="24"/>
      <c r="L922" s="23">
        <v>21549.9</v>
      </c>
      <c r="M922" s="22">
        <f t="shared" si="93"/>
        <v>9092.0999999999985</v>
      </c>
      <c r="N922" s="22"/>
      <c r="O922" s="30">
        <f t="shared" si="94"/>
        <v>0.29672018797728605</v>
      </c>
    </row>
    <row r="923" spans="1:15" ht="20.100000000000001" customHeight="1" x14ac:dyDescent="0.25">
      <c r="A923" s="33">
        <v>592</v>
      </c>
      <c r="B923" s="9">
        <v>43293</v>
      </c>
      <c r="C923" s="18" t="s">
        <v>287</v>
      </c>
      <c r="D923" s="11">
        <v>7402</v>
      </c>
      <c r="E923" s="9">
        <v>43297</v>
      </c>
      <c r="F923" s="15" t="s">
        <v>28</v>
      </c>
      <c r="G923" s="12">
        <v>43306</v>
      </c>
      <c r="H923" s="23">
        <f t="shared" si="92"/>
        <v>7402</v>
      </c>
      <c r="I923" s="23"/>
      <c r="J923" s="23"/>
      <c r="K923" s="24"/>
      <c r="L923" s="23">
        <v>5699</v>
      </c>
      <c r="M923" s="22">
        <f t="shared" si="93"/>
        <v>1703</v>
      </c>
      <c r="N923" s="22"/>
      <c r="O923" s="30">
        <f t="shared" si="94"/>
        <v>0.23007295325587679</v>
      </c>
    </row>
    <row r="924" spans="1:15" ht="20.100000000000001" customHeight="1" x14ac:dyDescent="0.25">
      <c r="A924" s="33">
        <v>594</v>
      </c>
      <c r="B924" s="9">
        <v>43294</v>
      </c>
      <c r="C924" s="18" t="s">
        <v>209</v>
      </c>
      <c r="D924" s="11">
        <v>1922.7</v>
      </c>
      <c r="E924" s="9">
        <v>43297</v>
      </c>
      <c r="F924" s="15" t="s">
        <v>28</v>
      </c>
      <c r="G924" s="12">
        <v>43294</v>
      </c>
      <c r="H924" s="23">
        <f t="shared" si="92"/>
        <v>1922.7</v>
      </c>
      <c r="I924" s="23"/>
      <c r="J924" s="23"/>
      <c r="K924" s="24"/>
      <c r="L924" s="23">
        <v>1764</v>
      </c>
      <c r="M924" s="22">
        <f t="shared" si="93"/>
        <v>158.70000000000005</v>
      </c>
      <c r="N924" s="22"/>
      <c r="O924" s="30">
        <f t="shared" si="94"/>
        <v>8.2540177874863493E-2</v>
      </c>
    </row>
    <row r="925" spans="1:15" ht="20.100000000000001" customHeight="1" x14ac:dyDescent="0.25">
      <c r="A925" s="33">
        <v>588</v>
      </c>
      <c r="B925" s="9">
        <v>43293</v>
      </c>
      <c r="C925" s="18" t="s">
        <v>327</v>
      </c>
      <c r="D925" s="11">
        <v>2543</v>
      </c>
      <c r="E925" s="9">
        <v>43298</v>
      </c>
      <c r="F925" s="15" t="s">
        <v>28</v>
      </c>
      <c r="G925" s="12">
        <v>43299</v>
      </c>
      <c r="H925" s="23">
        <f t="shared" si="92"/>
        <v>2543</v>
      </c>
      <c r="I925" s="23"/>
      <c r="J925" s="23"/>
      <c r="K925" s="24"/>
      <c r="L925" s="23">
        <v>1995</v>
      </c>
      <c r="M925" s="22">
        <f t="shared" si="93"/>
        <v>548</v>
      </c>
      <c r="N925" s="22"/>
      <c r="O925" s="30">
        <f t="shared" si="94"/>
        <v>0.21549351160047189</v>
      </c>
    </row>
    <row r="926" spans="1:15" ht="20.100000000000001" customHeight="1" x14ac:dyDescent="0.25">
      <c r="A926" s="33">
        <v>595</v>
      </c>
      <c r="B926" s="9">
        <v>43294</v>
      </c>
      <c r="C926" s="18" t="s">
        <v>91</v>
      </c>
      <c r="D926" s="11">
        <v>4613</v>
      </c>
      <c r="E926" s="9">
        <v>43298</v>
      </c>
      <c r="F926" s="15" t="s">
        <v>28</v>
      </c>
      <c r="G926" s="12">
        <v>43301</v>
      </c>
      <c r="H926" s="23">
        <f t="shared" si="92"/>
        <v>4613</v>
      </c>
      <c r="I926" s="23"/>
      <c r="J926" s="23"/>
      <c r="K926" s="24"/>
      <c r="L926" s="23">
        <v>3696</v>
      </c>
      <c r="M926" s="22">
        <f t="shared" si="93"/>
        <v>917</v>
      </c>
      <c r="N926" s="22"/>
      <c r="O926" s="30">
        <f t="shared" si="94"/>
        <v>0.19878603945371776</v>
      </c>
    </row>
    <row r="927" spans="1:15" ht="20.100000000000001" customHeight="1" x14ac:dyDescent="0.25">
      <c r="A927" s="33">
        <v>590</v>
      </c>
      <c r="B927" s="9">
        <v>43293</v>
      </c>
      <c r="C927" s="18" t="s">
        <v>89</v>
      </c>
      <c r="D927" s="11">
        <v>9226</v>
      </c>
      <c r="E927" s="9">
        <v>43298</v>
      </c>
      <c r="F927" s="15" t="s">
        <v>28</v>
      </c>
      <c r="G927" s="12">
        <v>43319</v>
      </c>
      <c r="H927" s="23">
        <f t="shared" si="92"/>
        <v>9226</v>
      </c>
      <c r="I927" s="23"/>
      <c r="J927" s="23"/>
      <c r="K927" s="24"/>
      <c r="L927" s="23">
        <v>7393</v>
      </c>
      <c r="M927" s="22">
        <f t="shared" si="93"/>
        <v>1833</v>
      </c>
      <c r="N927" s="22"/>
      <c r="O927" s="30">
        <f t="shared" si="94"/>
        <v>0.19867765011922828</v>
      </c>
    </row>
    <row r="928" spans="1:15" ht="20.100000000000001" customHeight="1" x14ac:dyDescent="0.25">
      <c r="A928" s="33">
        <v>606</v>
      </c>
      <c r="B928" s="9">
        <v>43299</v>
      </c>
      <c r="C928" s="18" t="s">
        <v>118</v>
      </c>
      <c r="D928" s="11">
        <v>8490.65</v>
      </c>
      <c r="E928" s="9">
        <v>43299</v>
      </c>
      <c r="F928" s="15" t="s">
        <v>28</v>
      </c>
      <c r="G928" s="12">
        <v>43312</v>
      </c>
      <c r="H928" s="23">
        <f t="shared" si="92"/>
        <v>8490.65</v>
      </c>
      <c r="I928" s="23"/>
      <c r="J928" s="23"/>
      <c r="K928" s="24"/>
      <c r="L928" s="23">
        <v>7299</v>
      </c>
      <c r="M928" s="22">
        <f t="shared" si="93"/>
        <v>1191.6499999999996</v>
      </c>
      <c r="N928" s="22"/>
      <c r="O928" s="30">
        <f t="shared" si="94"/>
        <v>0.14034850099815677</v>
      </c>
    </row>
    <row r="929" spans="1:15" ht="20.100000000000001" customHeight="1" x14ac:dyDescent="0.25">
      <c r="A929" s="33">
        <v>608</v>
      </c>
      <c r="B929" s="9">
        <v>43299</v>
      </c>
      <c r="C929" s="18" t="s">
        <v>49</v>
      </c>
      <c r="D929" s="11">
        <v>4400</v>
      </c>
      <c r="E929" s="9">
        <v>43300</v>
      </c>
      <c r="F929" s="15" t="s">
        <v>28</v>
      </c>
      <c r="G929" s="12">
        <v>43305</v>
      </c>
      <c r="H929" s="23">
        <f t="shared" si="92"/>
        <v>4400</v>
      </c>
      <c r="I929" s="23"/>
      <c r="J929" s="23"/>
      <c r="K929" s="24"/>
      <c r="L929" s="23">
        <v>3080</v>
      </c>
      <c r="M929" s="22">
        <f t="shared" si="93"/>
        <v>1320</v>
      </c>
      <c r="N929" s="22"/>
      <c r="O929" s="30">
        <f t="shared" si="94"/>
        <v>0.3</v>
      </c>
    </row>
    <row r="930" spans="1:15" ht="20.100000000000001" customHeight="1" x14ac:dyDescent="0.25">
      <c r="A930" s="33">
        <v>581</v>
      </c>
      <c r="B930" s="9">
        <v>43292</v>
      </c>
      <c r="C930" s="18" t="s">
        <v>49</v>
      </c>
      <c r="D930" s="11">
        <v>1656</v>
      </c>
      <c r="E930" s="9">
        <v>43300</v>
      </c>
      <c r="F930" s="15" t="s">
        <v>28</v>
      </c>
      <c r="G930" s="12">
        <v>43305</v>
      </c>
      <c r="H930" s="23">
        <f t="shared" si="92"/>
        <v>1656</v>
      </c>
      <c r="I930" s="23"/>
      <c r="J930" s="23"/>
      <c r="K930" s="24"/>
      <c r="L930" s="23">
        <v>1106</v>
      </c>
      <c r="M930" s="22">
        <f t="shared" si="93"/>
        <v>550</v>
      </c>
      <c r="N930" s="22"/>
      <c r="O930" s="30">
        <f t="shared" si="94"/>
        <v>0.33212560386473428</v>
      </c>
    </row>
    <row r="931" spans="1:15" ht="20.100000000000001" customHeight="1" x14ac:dyDescent="0.25">
      <c r="A931" s="33">
        <v>621</v>
      </c>
      <c r="B931" s="9">
        <v>43304</v>
      </c>
      <c r="C931" s="20" t="s">
        <v>347</v>
      </c>
      <c r="D931" s="11">
        <v>21990</v>
      </c>
      <c r="E931" s="9">
        <v>43305</v>
      </c>
      <c r="F931" s="15" t="s">
        <v>28</v>
      </c>
      <c r="G931" s="12">
        <v>43306</v>
      </c>
      <c r="H931" s="23">
        <f t="shared" si="92"/>
        <v>21990</v>
      </c>
      <c r="I931" s="23">
        <f>H931</f>
        <v>21990</v>
      </c>
      <c r="J931" s="23"/>
      <c r="K931" s="24"/>
      <c r="L931" s="23">
        <v>16162</v>
      </c>
      <c r="M931" s="22">
        <f t="shared" si="93"/>
        <v>5828</v>
      </c>
      <c r="N931" s="22">
        <f>M931</f>
        <v>5828</v>
      </c>
      <c r="O931" s="30">
        <f t="shared" si="94"/>
        <v>0.26502955889040475</v>
      </c>
    </row>
    <row r="932" spans="1:15" ht="20.100000000000001" customHeight="1" x14ac:dyDescent="0.25">
      <c r="A932" s="33">
        <v>603</v>
      </c>
      <c r="B932" s="9">
        <v>43298</v>
      </c>
      <c r="C932" s="18" t="s">
        <v>175</v>
      </c>
      <c r="D932" s="3">
        <v>4010</v>
      </c>
      <c r="E932" s="9">
        <v>43306</v>
      </c>
      <c r="F932" s="15" t="s">
        <v>28</v>
      </c>
      <c r="G932" s="12">
        <v>43305</v>
      </c>
      <c r="H932" s="23">
        <f t="shared" si="92"/>
        <v>4010</v>
      </c>
      <c r="I932" s="23"/>
      <c r="J932" s="23"/>
      <c r="K932" s="24"/>
      <c r="L932" s="23">
        <v>3042</v>
      </c>
      <c r="M932" s="22">
        <f t="shared" si="93"/>
        <v>968</v>
      </c>
      <c r="N932" s="22"/>
      <c r="O932" s="30">
        <f t="shared" si="94"/>
        <v>0.24139650872817955</v>
      </c>
    </row>
    <row r="933" spans="1:15" ht="20.100000000000001" customHeight="1" x14ac:dyDescent="0.25">
      <c r="A933" s="33">
        <v>625</v>
      </c>
      <c r="B933" s="9">
        <v>43305</v>
      </c>
      <c r="C933" s="18" t="s">
        <v>319</v>
      </c>
      <c r="D933" s="3">
        <v>5148</v>
      </c>
      <c r="E933" s="9">
        <v>43306</v>
      </c>
      <c r="F933" s="15" t="s">
        <v>28</v>
      </c>
      <c r="G933" s="12">
        <v>43312</v>
      </c>
      <c r="H933" s="23">
        <f t="shared" si="92"/>
        <v>5148</v>
      </c>
      <c r="I933" s="23"/>
      <c r="J933" s="23"/>
      <c r="K933" s="24"/>
      <c r="L933" s="23">
        <v>3963</v>
      </c>
      <c r="M933" s="22">
        <f t="shared" si="93"/>
        <v>1185</v>
      </c>
      <c r="N933" s="22"/>
      <c r="O933" s="30">
        <f t="shared" si="94"/>
        <v>0.23018648018648019</v>
      </c>
    </row>
    <row r="934" spans="1:15" ht="20.100000000000001" customHeight="1" x14ac:dyDescent="0.25">
      <c r="A934" s="33">
        <v>612</v>
      </c>
      <c r="B934" s="9">
        <v>43300</v>
      </c>
      <c r="C934" s="18" t="s">
        <v>13</v>
      </c>
      <c r="D934" s="3">
        <v>9908</v>
      </c>
      <c r="E934" s="9">
        <v>43308</v>
      </c>
      <c r="F934" s="15" t="s">
        <v>28</v>
      </c>
      <c r="G934" s="12">
        <v>43300</v>
      </c>
      <c r="H934" s="23">
        <f t="shared" si="92"/>
        <v>9908</v>
      </c>
      <c r="I934" s="23"/>
      <c r="J934" s="23"/>
      <c r="K934" s="24"/>
      <c r="L934" s="23">
        <v>7728</v>
      </c>
      <c r="M934" s="22">
        <f t="shared" si="93"/>
        <v>2180</v>
      </c>
      <c r="N934" s="22"/>
      <c r="O934" s="30">
        <f t="shared" si="94"/>
        <v>0.22002422285022205</v>
      </c>
    </row>
    <row r="935" spans="1:15" ht="20.100000000000001" customHeight="1" x14ac:dyDescent="0.25">
      <c r="A935" s="33">
        <v>649</v>
      </c>
      <c r="B935" s="9">
        <v>43311</v>
      </c>
      <c r="C935" s="18" t="s">
        <v>91</v>
      </c>
      <c r="D935" s="3">
        <v>4954</v>
      </c>
      <c r="E935" s="9">
        <v>43312</v>
      </c>
      <c r="F935" s="15" t="s">
        <v>28</v>
      </c>
      <c r="G935" s="12">
        <v>43327</v>
      </c>
      <c r="H935" s="23">
        <f t="shared" si="92"/>
        <v>4954</v>
      </c>
      <c r="I935" s="23"/>
      <c r="J935" s="23"/>
      <c r="K935" s="24"/>
      <c r="L935" s="23">
        <v>3862</v>
      </c>
      <c r="M935" s="22">
        <f t="shared" si="93"/>
        <v>1092</v>
      </c>
      <c r="N935" s="22"/>
      <c r="O935" s="30">
        <f t="shared" si="94"/>
        <v>0.22042793702058941</v>
      </c>
    </row>
    <row r="936" spans="1:15" ht="20.100000000000001" customHeight="1" x14ac:dyDescent="0.25">
      <c r="A936" s="33">
        <v>575</v>
      </c>
      <c r="B936" s="9">
        <v>43305</v>
      </c>
      <c r="C936" s="20" t="s">
        <v>349</v>
      </c>
      <c r="D936" s="3">
        <v>13990</v>
      </c>
      <c r="E936" s="9">
        <v>43312</v>
      </c>
      <c r="F936" s="15" t="s">
        <v>28</v>
      </c>
      <c r="G936" s="12">
        <v>43312</v>
      </c>
      <c r="H936" s="23">
        <f t="shared" si="92"/>
        <v>13990</v>
      </c>
      <c r="I936" s="23">
        <f>H936</f>
        <v>13990</v>
      </c>
      <c r="J936" s="23"/>
      <c r="K936" s="24"/>
      <c r="L936" s="23">
        <v>10576</v>
      </c>
      <c r="M936" s="22">
        <f t="shared" si="93"/>
        <v>3414</v>
      </c>
      <c r="N936" s="22">
        <f>M936</f>
        <v>3414</v>
      </c>
      <c r="O936" s="30">
        <f t="shared" si="94"/>
        <v>0.2440314510364546</v>
      </c>
    </row>
    <row r="937" spans="1:15" ht="20.100000000000001" customHeight="1" x14ac:dyDescent="0.25">
      <c r="A937" s="35" t="s">
        <v>535</v>
      </c>
      <c r="B937" s="36"/>
      <c r="C937" s="42"/>
      <c r="D937" s="37"/>
      <c r="E937" s="46" t="s">
        <v>558</v>
      </c>
      <c r="F937" s="47">
        <f>M937*0.12+N937*0.06</f>
        <v>19631.466</v>
      </c>
      <c r="G937" s="21">
        <f>H937*0.05+I937*0.02</f>
        <v>28991.967499999999</v>
      </c>
      <c r="H937" s="49">
        <f>SUBTOTAL(109,Июль2018[Продажа])</f>
        <v>562653.75</v>
      </c>
      <c r="I937" s="49">
        <f>SUBTOTAL(109,Июль2018[Продажа НК])</f>
        <v>42964</v>
      </c>
      <c r="J937" s="49">
        <f>SUBTOTAL(109,Июль2018[отк])</f>
        <v>15000</v>
      </c>
      <c r="K937" s="49">
        <f>SUBTOTAL(109,Июль2018[шланги])</f>
        <v>7200</v>
      </c>
      <c r="L937" s="49">
        <f>SUBTOTAL(109,Июль2018[Закупка])</f>
        <v>382461.7</v>
      </c>
      <c r="M937" s="49">
        <f>SUBTOTAL(109,Июль2018[Маржа])</f>
        <v>157992.05000000002</v>
      </c>
      <c r="N937" s="49">
        <f>SUBTOTAL(109,Июль2018[Маржа НК])</f>
        <v>11207</v>
      </c>
      <c r="O937" s="44">
        <f t="shared" si="94"/>
        <v>0.28079800410110128</v>
      </c>
    </row>
    <row r="938" spans="1:15" ht="20.100000000000001" customHeight="1" x14ac:dyDescent="0.25">
      <c r="A938" s="41" t="s">
        <v>1</v>
      </c>
      <c r="B938" s="1" t="s">
        <v>0</v>
      </c>
      <c r="C938" s="1" t="s">
        <v>26</v>
      </c>
      <c r="D938" s="1" t="s">
        <v>2</v>
      </c>
      <c r="E938" s="1" t="s">
        <v>3</v>
      </c>
      <c r="F938" s="1" t="s">
        <v>27</v>
      </c>
      <c r="G938" s="1" t="s">
        <v>4</v>
      </c>
      <c r="H938" s="2" t="s">
        <v>132</v>
      </c>
      <c r="I938" s="2" t="s">
        <v>133</v>
      </c>
      <c r="J938" s="40" t="s">
        <v>187</v>
      </c>
      <c r="K938" s="40" t="s">
        <v>188</v>
      </c>
      <c r="L938" s="40" t="s">
        <v>129</v>
      </c>
      <c r="M938" s="40" t="s">
        <v>130</v>
      </c>
      <c r="N938" s="2" t="s">
        <v>131</v>
      </c>
      <c r="O938" s="2" t="s">
        <v>134</v>
      </c>
    </row>
    <row r="939" spans="1:15" ht="19.5" customHeight="1" x14ac:dyDescent="0.25">
      <c r="A939" s="33">
        <v>648</v>
      </c>
      <c r="B939" s="9">
        <v>43311</v>
      </c>
      <c r="C939" s="20" t="s">
        <v>348</v>
      </c>
      <c r="D939" s="3">
        <v>5314</v>
      </c>
      <c r="E939" s="9">
        <v>43313</v>
      </c>
      <c r="F939" s="15" t="s">
        <v>28</v>
      </c>
      <c r="G939" s="12">
        <v>43313</v>
      </c>
      <c r="H939" s="23">
        <f t="shared" ref="H939:H948" si="95">D939</f>
        <v>5314</v>
      </c>
      <c r="I939" s="23">
        <f>H939</f>
        <v>5314</v>
      </c>
      <c r="J939" s="23"/>
      <c r="K939" s="24"/>
      <c r="L939" s="23">
        <v>4257</v>
      </c>
      <c r="M939" s="22">
        <f t="shared" ref="M939:M967" si="96">H939-L939-J939-K939</f>
        <v>1057</v>
      </c>
      <c r="N939" s="22">
        <f>M939</f>
        <v>1057</v>
      </c>
      <c r="O939" s="30">
        <f t="shared" ref="O939:O968" si="97">M939/H939</f>
        <v>0.19890854347007902</v>
      </c>
    </row>
    <row r="940" spans="1:15" ht="15.75" x14ac:dyDescent="0.25">
      <c r="A940" s="33">
        <v>651</v>
      </c>
      <c r="B940" s="9">
        <v>43312</v>
      </c>
      <c r="C940" s="18" t="s">
        <v>83</v>
      </c>
      <c r="D940" s="3">
        <v>8910</v>
      </c>
      <c r="E940" s="9">
        <v>43314</v>
      </c>
      <c r="F940" s="15" t="s">
        <v>28</v>
      </c>
      <c r="G940" s="12">
        <v>43315</v>
      </c>
      <c r="H940" s="23">
        <f t="shared" si="95"/>
        <v>8910</v>
      </c>
      <c r="I940" s="23"/>
      <c r="J940" s="23"/>
      <c r="K940" s="24">
        <v>600</v>
      </c>
      <c r="L940" s="23">
        <v>5053</v>
      </c>
      <c r="M940" s="22">
        <f t="shared" si="96"/>
        <v>3257</v>
      </c>
      <c r="N940" s="22"/>
      <c r="O940" s="30">
        <f t="shared" si="97"/>
        <v>0.36554433221099886</v>
      </c>
    </row>
    <row r="941" spans="1:15" s="2" customFormat="1" ht="20.100000000000001" customHeight="1" x14ac:dyDescent="0.25">
      <c r="A941" s="33">
        <v>646</v>
      </c>
      <c r="B941" s="9">
        <v>43311</v>
      </c>
      <c r="C941" s="18" t="s">
        <v>231</v>
      </c>
      <c r="D941" s="3">
        <v>524</v>
      </c>
      <c r="E941" s="9">
        <v>43314</v>
      </c>
      <c r="F941" s="15" t="s">
        <v>28</v>
      </c>
      <c r="G941" s="12">
        <v>43314</v>
      </c>
      <c r="H941" s="23">
        <f t="shared" si="95"/>
        <v>524</v>
      </c>
      <c r="I941" s="23"/>
      <c r="J941" s="23"/>
      <c r="K941" s="24"/>
      <c r="L941" s="23">
        <v>348</v>
      </c>
      <c r="M941" s="22">
        <f t="shared" si="96"/>
        <v>176</v>
      </c>
      <c r="N941" s="22"/>
      <c r="O941" s="30">
        <f t="shared" si="97"/>
        <v>0.33587786259541985</v>
      </c>
    </row>
    <row r="942" spans="1:15" ht="20.100000000000001" customHeight="1" x14ac:dyDescent="0.25">
      <c r="A942" s="33">
        <v>657</v>
      </c>
      <c r="B942" s="9">
        <v>43312</v>
      </c>
      <c r="C942" s="18" t="s">
        <v>147</v>
      </c>
      <c r="D942" s="3">
        <v>19815.98</v>
      </c>
      <c r="E942" s="9">
        <v>43314</v>
      </c>
      <c r="F942" s="15" t="s">
        <v>28</v>
      </c>
      <c r="G942" s="12">
        <v>43315</v>
      </c>
      <c r="H942" s="23">
        <f t="shared" si="95"/>
        <v>19815.98</v>
      </c>
      <c r="I942" s="23"/>
      <c r="J942" s="23"/>
      <c r="K942" s="24"/>
      <c r="L942" s="23">
        <v>15449</v>
      </c>
      <c r="M942" s="22">
        <f t="shared" si="96"/>
        <v>4366.9799999999996</v>
      </c>
      <c r="N942" s="22"/>
      <c r="O942" s="30">
        <f t="shared" si="97"/>
        <v>0.22037668588684484</v>
      </c>
    </row>
    <row r="943" spans="1:15" ht="20.100000000000001" customHeight="1" x14ac:dyDescent="0.25">
      <c r="A943" s="33">
        <v>670</v>
      </c>
      <c r="B943" s="9">
        <v>43315</v>
      </c>
      <c r="C943" s="20" t="s">
        <v>350</v>
      </c>
      <c r="D943" s="3">
        <v>9290</v>
      </c>
      <c r="E943" s="9">
        <v>43315</v>
      </c>
      <c r="F943" s="15" t="s">
        <v>28</v>
      </c>
      <c r="G943" s="12">
        <v>43315</v>
      </c>
      <c r="H943" s="23">
        <f t="shared" si="95"/>
        <v>9290</v>
      </c>
      <c r="I943" s="23">
        <f>H943</f>
        <v>9290</v>
      </c>
      <c r="J943" s="23"/>
      <c r="K943" s="24"/>
      <c r="L943" s="23">
        <v>6607</v>
      </c>
      <c r="M943" s="22">
        <f t="shared" si="96"/>
        <v>2683</v>
      </c>
      <c r="N943" s="22">
        <f>M943</f>
        <v>2683</v>
      </c>
      <c r="O943" s="30">
        <f t="shared" si="97"/>
        <v>0.28880516684607105</v>
      </c>
    </row>
    <row r="944" spans="1:15" ht="20.100000000000001" customHeight="1" x14ac:dyDescent="0.25">
      <c r="A944" s="33">
        <v>674</v>
      </c>
      <c r="B944" s="9">
        <v>43318</v>
      </c>
      <c r="C944" s="20" t="s">
        <v>351</v>
      </c>
      <c r="D944" s="3">
        <v>5235</v>
      </c>
      <c r="E944" s="9">
        <v>43318</v>
      </c>
      <c r="F944" s="15" t="s">
        <v>28</v>
      </c>
      <c r="G944" s="12">
        <v>43318</v>
      </c>
      <c r="H944" s="23">
        <f t="shared" si="95"/>
        <v>5235</v>
      </c>
      <c r="I944" s="23">
        <f>H944</f>
        <v>5235</v>
      </c>
      <c r="J944" s="23"/>
      <c r="K944" s="24"/>
      <c r="L944" s="23">
        <v>4048</v>
      </c>
      <c r="M944" s="22">
        <f t="shared" si="96"/>
        <v>1187</v>
      </c>
      <c r="N944" s="22">
        <f>M944</f>
        <v>1187</v>
      </c>
      <c r="O944" s="30">
        <f t="shared" si="97"/>
        <v>0.22674307545367717</v>
      </c>
    </row>
    <row r="945" spans="1:15" ht="20.100000000000001" customHeight="1" x14ac:dyDescent="0.25">
      <c r="A945" s="33">
        <v>618</v>
      </c>
      <c r="B945" s="15">
        <v>43305</v>
      </c>
      <c r="C945" s="18" t="s">
        <v>228</v>
      </c>
      <c r="D945" s="11">
        <v>25487</v>
      </c>
      <c r="E945" s="9">
        <v>43319</v>
      </c>
      <c r="F945" s="15" t="s">
        <v>28</v>
      </c>
      <c r="G945" s="12">
        <v>43341</v>
      </c>
      <c r="H945" s="23">
        <f t="shared" si="95"/>
        <v>25487</v>
      </c>
      <c r="I945" s="23"/>
      <c r="J945" s="23"/>
      <c r="K945" s="24">
        <f>2*600</f>
        <v>1200</v>
      </c>
      <c r="L945" s="23">
        <v>13301</v>
      </c>
      <c r="M945" s="22">
        <f t="shared" si="96"/>
        <v>10986</v>
      </c>
      <c r="N945" s="22"/>
      <c r="O945" s="30">
        <f t="shared" si="97"/>
        <v>0.43104327696472711</v>
      </c>
    </row>
    <row r="946" spans="1:15" ht="20.100000000000001" customHeight="1" x14ac:dyDescent="0.25">
      <c r="A946" s="33">
        <v>638</v>
      </c>
      <c r="B946" s="15">
        <v>43350</v>
      </c>
      <c r="C946" s="18" t="s">
        <v>83</v>
      </c>
      <c r="D946" s="11">
        <v>11540</v>
      </c>
      <c r="E946" s="9">
        <v>43321</v>
      </c>
      <c r="F946" s="15" t="s">
        <v>28</v>
      </c>
      <c r="G946" s="12">
        <v>43325</v>
      </c>
      <c r="H946" s="23">
        <f t="shared" si="95"/>
        <v>11540</v>
      </c>
      <c r="I946" s="23"/>
      <c r="J946" s="23"/>
      <c r="K946" s="24"/>
      <c r="L946" s="23">
        <v>8975</v>
      </c>
      <c r="M946" s="22">
        <f t="shared" si="96"/>
        <v>2565</v>
      </c>
      <c r="N946" s="22"/>
      <c r="O946" s="30">
        <f t="shared" si="97"/>
        <v>0.22227036395147315</v>
      </c>
    </row>
    <row r="947" spans="1:15" ht="20.100000000000001" customHeight="1" x14ac:dyDescent="0.25">
      <c r="A947" s="33">
        <v>693</v>
      </c>
      <c r="B947" s="15">
        <v>43321</v>
      </c>
      <c r="C947" s="20" t="s">
        <v>352</v>
      </c>
      <c r="D947" s="11">
        <v>34171</v>
      </c>
      <c r="E947" s="9">
        <v>43322</v>
      </c>
      <c r="F947" s="15" t="s">
        <v>28</v>
      </c>
      <c r="G947" s="12">
        <v>43328</v>
      </c>
      <c r="H947" s="23">
        <f t="shared" si="95"/>
        <v>34171</v>
      </c>
      <c r="I947" s="23">
        <f>H947</f>
        <v>34171</v>
      </c>
      <c r="J947" s="23"/>
      <c r="K947" s="24"/>
      <c r="L947" s="23">
        <v>25848</v>
      </c>
      <c r="M947" s="22">
        <f t="shared" si="96"/>
        <v>8323</v>
      </c>
      <c r="N947" s="22">
        <f>M947</f>
        <v>8323</v>
      </c>
      <c r="O947" s="30">
        <f t="shared" si="97"/>
        <v>0.24356910830821457</v>
      </c>
    </row>
    <row r="948" spans="1:15" ht="20.100000000000001" customHeight="1" x14ac:dyDescent="0.25">
      <c r="A948" s="33">
        <v>964</v>
      </c>
      <c r="B948" s="15">
        <v>43321</v>
      </c>
      <c r="C948" s="18" t="s">
        <v>301</v>
      </c>
      <c r="D948" s="11">
        <v>4000</v>
      </c>
      <c r="E948" s="9">
        <v>43322</v>
      </c>
      <c r="F948" s="15" t="s">
        <v>28</v>
      </c>
      <c r="G948" s="12">
        <v>43333</v>
      </c>
      <c r="H948" s="23">
        <f t="shared" si="95"/>
        <v>4000</v>
      </c>
      <c r="I948" s="23"/>
      <c r="J948" s="23"/>
      <c r="K948" s="24">
        <v>600</v>
      </c>
      <c r="L948" s="23">
        <v>1224</v>
      </c>
      <c r="M948" s="22">
        <f t="shared" si="96"/>
        <v>2176</v>
      </c>
      <c r="N948" s="22"/>
      <c r="O948" s="30">
        <f t="shared" si="97"/>
        <v>0.54400000000000004</v>
      </c>
    </row>
    <row r="949" spans="1:15" ht="20.100000000000001" customHeight="1" x14ac:dyDescent="0.25">
      <c r="A949" s="33">
        <v>614</v>
      </c>
      <c r="B949" s="9">
        <v>43300</v>
      </c>
      <c r="C949" s="18" t="s">
        <v>60</v>
      </c>
      <c r="D949" s="11">
        <v>20249</v>
      </c>
      <c r="E949" s="9">
        <v>43325</v>
      </c>
      <c r="F949" s="15" t="s">
        <v>28</v>
      </c>
      <c r="G949" s="12">
        <v>43311</v>
      </c>
      <c r="H949" s="23">
        <v>10094</v>
      </c>
      <c r="I949" s="23"/>
      <c r="J949" s="23"/>
      <c r="K949" s="24"/>
      <c r="L949" s="23">
        <v>7868</v>
      </c>
      <c r="M949" s="22">
        <f t="shared" si="96"/>
        <v>2226</v>
      </c>
      <c r="N949" s="22"/>
      <c r="O949" s="30">
        <f t="shared" si="97"/>
        <v>0.22052704576976423</v>
      </c>
    </row>
    <row r="950" spans="1:15" ht="20.100000000000001" customHeight="1" x14ac:dyDescent="0.25">
      <c r="A950" s="33">
        <v>686</v>
      </c>
      <c r="B950" s="9">
        <v>43320</v>
      </c>
      <c r="C950" s="18" t="s">
        <v>314</v>
      </c>
      <c r="D950" s="11">
        <v>10000</v>
      </c>
      <c r="E950" s="9">
        <v>43326</v>
      </c>
      <c r="F950" s="15" t="s">
        <v>28</v>
      </c>
      <c r="G950" s="12">
        <v>43327</v>
      </c>
      <c r="H950" s="23">
        <f t="shared" ref="H950:H964" si="98">D950</f>
        <v>10000</v>
      </c>
      <c r="I950" s="23"/>
      <c r="J950" s="23"/>
      <c r="K950" s="24"/>
      <c r="L950" s="23">
        <v>5740</v>
      </c>
      <c r="M950" s="22">
        <f t="shared" si="96"/>
        <v>4260</v>
      </c>
      <c r="N950" s="22"/>
      <c r="O950" s="30">
        <f t="shared" si="97"/>
        <v>0.42599999999999999</v>
      </c>
    </row>
    <row r="951" spans="1:15" ht="20.100000000000001" customHeight="1" x14ac:dyDescent="0.25">
      <c r="A951" s="33">
        <v>676</v>
      </c>
      <c r="B951" s="9">
        <v>43318</v>
      </c>
      <c r="C951" s="18" t="s">
        <v>314</v>
      </c>
      <c r="D951" s="11">
        <v>10000</v>
      </c>
      <c r="E951" s="9">
        <v>43326</v>
      </c>
      <c r="F951" s="15" t="s">
        <v>28</v>
      </c>
      <c r="G951" s="12">
        <v>43327</v>
      </c>
      <c r="H951" s="23">
        <f t="shared" si="98"/>
        <v>10000</v>
      </c>
      <c r="I951" s="23"/>
      <c r="J951" s="23"/>
      <c r="K951" s="24">
        <v>1200</v>
      </c>
      <c r="L951" s="23">
        <v>2619</v>
      </c>
      <c r="M951" s="22">
        <f t="shared" si="96"/>
        <v>6181</v>
      </c>
      <c r="N951" s="22"/>
      <c r="O951" s="30">
        <f t="shared" si="97"/>
        <v>0.61809999999999998</v>
      </c>
    </row>
    <row r="952" spans="1:15" ht="20.100000000000001" customHeight="1" x14ac:dyDescent="0.25">
      <c r="A952" s="33">
        <v>671</v>
      </c>
      <c r="B952" s="9">
        <v>43315</v>
      </c>
      <c r="C952" s="18" t="s">
        <v>315</v>
      </c>
      <c r="D952" s="11">
        <v>2642</v>
      </c>
      <c r="E952" s="9">
        <v>43326</v>
      </c>
      <c r="F952" s="15" t="s">
        <v>28</v>
      </c>
      <c r="G952" s="12">
        <v>43368</v>
      </c>
      <c r="H952" s="23">
        <f t="shared" si="98"/>
        <v>2642</v>
      </c>
      <c r="I952" s="23"/>
      <c r="J952" s="23"/>
      <c r="K952" s="24"/>
      <c r="L952" s="23">
        <v>1592</v>
      </c>
      <c r="M952" s="22">
        <f t="shared" si="96"/>
        <v>1050</v>
      </c>
      <c r="N952" s="22"/>
      <c r="O952" s="30">
        <f t="shared" si="97"/>
        <v>0.39742619227857684</v>
      </c>
    </row>
    <row r="953" spans="1:15" ht="20.100000000000001" customHeight="1" x14ac:dyDescent="0.25">
      <c r="A953" s="33">
        <v>697</v>
      </c>
      <c r="B953" s="9">
        <v>43322</v>
      </c>
      <c r="C953" s="20" t="s">
        <v>348</v>
      </c>
      <c r="D953" s="11">
        <v>3810</v>
      </c>
      <c r="E953" s="9">
        <v>43326</v>
      </c>
      <c r="F953" s="15" t="s">
        <v>28</v>
      </c>
      <c r="G953" s="12">
        <v>43327</v>
      </c>
      <c r="H953" s="23">
        <f t="shared" si="98"/>
        <v>3810</v>
      </c>
      <c r="I953" s="23">
        <f>H953</f>
        <v>3810</v>
      </c>
      <c r="J953" s="23"/>
      <c r="K953" s="24"/>
      <c r="L953" s="23">
        <v>3053</v>
      </c>
      <c r="M953" s="22">
        <f t="shared" si="96"/>
        <v>757</v>
      </c>
      <c r="N953" s="22">
        <f>M953</f>
        <v>757</v>
      </c>
      <c r="O953" s="30">
        <f t="shared" si="97"/>
        <v>0.19868766404199475</v>
      </c>
    </row>
    <row r="954" spans="1:15" ht="20.100000000000001" customHeight="1" x14ac:dyDescent="0.25">
      <c r="A954" s="33">
        <v>698</v>
      </c>
      <c r="B954" s="9">
        <v>43322</v>
      </c>
      <c r="C954" s="18" t="s">
        <v>77</v>
      </c>
      <c r="D954" s="11">
        <v>1529</v>
      </c>
      <c r="E954" s="9">
        <v>43327</v>
      </c>
      <c r="F954" s="15" t="s">
        <v>28</v>
      </c>
      <c r="G954" s="12">
        <v>43334</v>
      </c>
      <c r="H954" s="23">
        <f t="shared" si="98"/>
        <v>1529</v>
      </c>
      <c r="I954" s="23"/>
      <c r="J954" s="23"/>
      <c r="K954" s="24"/>
      <c r="L954" s="23">
        <v>1062</v>
      </c>
      <c r="M954" s="22">
        <f t="shared" si="96"/>
        <v>467</v>
      </c>
      <c r="N954" s="22"/>
      <c r="O954" s="30">
        <f t="shared" si="97"/>
        <v>0.30542838456507521</v>
      </c>
    </row>
    <row r="955" spans="1:15" ht="20.100000000000001" customHeight="1" x14ac:dyDescent="0.25">
      <c r="A955" s="33">
        <v>700</v>
      </c>
      <c r="B955" s="9">
        <v>43325</v>
      </c>
      <c r="C955" s="18" t="s">
        <v>353</v>
      </c>
      <c r="D955" s="11">
        <v>974</v>
      </c>
      <c r="E955" s="9">
        <v>43327</v>
      </c>
      <c r="F955" s="15" t="s">
        <v>28</v>
      </c>
      <c r="G955" s="12">
        <v>43367</v>
      </c>
      <c r="H955" s="23">
        <f t="shared" si="98"/>
        <v>974</v>
      </c>
      <c r="I955" s="23"/>
      <c r="J955" s="23"/>
      <c r="K955" s="24"/>
      <c r="L955" s="23">
        <v>642</v>
      </c>
      <c r="M955" s="22">
        <f t="shared" si="96"/>
        <v>332</v>
      </c>
      <c r="N955" s="22"/>
      <c r="O955" s="30">
        <f t="shared" si="97"/>
        <v>0.34086242299794661</v>
      </c>
    </row>
    <row r="956" spans="1:15" ht="19.5" customHeight="1" x14ac:dyDescent="0.25">
      <c r="A956" s="33">
        <v>661</v>
      </c>
      <c r="B956" s="9">
        <v>43314</v>
      </c>
      <c r="C956" s="18" t="s">
        <v>270</v>
      </c>
      <c r="D956" s="11">
        <v>2160</v>
      </c>
      <c r="E956" s="9">
        <v>43328</v>
      </c>
      <c r="F956" s="15" t="s">
        <v>28</v>
      </c>
      <c r="G956" s="12">
        <v>43315</v>
      </c>
      <c r="H956" s="23">
        <f t="shared" si="98"/>
        <v>2160</v>
      </c>
      <c r="I956" s="23"/>
      <c r="J956" s="23"/>
      <c r="K956" s="24"/>
      <c r="L956" s="23">
        <v>1638</v>
      </c>
      <c r="M956" s="22">
        <f t="shared" si="96"/>
        <v>522</v>
      </c>
      <c r="N956" s="22"/>
      <c r="O956" s="30">
        <f t="shared" si="97"/>
        <v>0.24166666666666667</v>
      </c>
    </row>
    <row r="957" spans="1:15" ht="15.75" x14ac:dyDescent="0.25">
      <c r="A957" s="33">
        <v>662</v>
      </c>
      <c r="B957" s="9">
        <v>43314</v>
      </c>
      <c r="C957" s="18" t="s">
        <v>175</v>
      </c>
      <c r="D957" s="11">
        <v>22634.7</v>
      </c>
      <c r="E957" s="9">
        <v>43328</v>
      </c>
      <c r="F957" s="15" t="s">
        <v>28</v>
      </c>
      <c r="G957" s="12">
        <v>43332</v>
      </c>
      <c r="H957" s="23">
        <f t="shared" si="98"/>
        <v>22634.7</v>
      </c>
      <c r="I957" s="23"/>
      <c r="J957" s="23"/>
      <c r="K957" s="24"/>
      <c r="L957" s="23">
        <v>18490</v>
      </c>
      <c r="M957" s="22">
        <f t="shared" si="96"/>
        <v>4144.7000000000007</v>
      </c>
      <c r="N957" s="22"/>
      <c r="O957" s="30">
        <f t="shared" si="97"/>
        <v>0.18311265446416344</v>
      </c>
    </row>
    <row r="958" spans="1:15" s="2" customFormat="1" ht="20.100000000000001" customHeight="1" x14ac:dyDescent="0.25">
      <c r="A958" s="33">
        <v>699</v>
      </c>
      <c r="B958" s="9">
        <v>43322</v>
      </c>
      <c r="C958" s="18" t="s">
        <v>255</v>
      </c>
      <c r="D958" s="11">
        <v>39706</v>
      </c>
      <c r="E958" s="9">
        <v>43328</v>
      </c>
      <c r="F958" s="15" t="s">
        <v>28</v>
      </c>
      <c r="G958" s="12">
        <v>43329</v>
      </c>
      <c r="H958" s="23">
        <f t="shared" si="98"/>
        <v>39706</v>
      </c>
      <c r="I958" s="23"/>
      <c r="J958" s="23"/>
      <c r="K958" s="24"/>
      <c r="L958" s="23">
        <v>30164</v>
      </c>
      <c r="M958" s="22">
        <f t="shared" si="96"/>
        <v>9542</v>
      </c>
      <c r="N958" s="22"/>
      <c r="O958" s="30">
        <f t="shared" si="97"/>
        <v>0.2403163249886667</v>
      </c>
    </row>
    <row r="959" spans="1:15" ht="20.100000000000001" customHeight="1" x14ac:dyDescent="0.25">
      <c r="A959" s="33">
        <v>716</v>
      </c>
      <c r="B959" s="9">
        <v>43332</v>
      </c>
      <c r="C959" s="18" t="s">
        <v>71</v>
      </c>
      <c r="D959" s="11">
        <v>3978</v>
      </c>
      <c r="E959" s="9">
        <v>43334</v>
      </c>
      <c r="F959" s="15" t="s">
        <v>28</v>
      </c>
      <c r="G959" s="12">
        <v>43339</v>
      </c>
      <c r="H959" s="23">
        <f t="shared" si="98"/>
        <v>3978</v>
      </c>
      <c r="I959" s="23"/>
      <c r="J959" s="23"/>
      <c r="K959" s="24"/>
      <c r="L959" s="23">
        <v>2898</v>
      </c>
      <c r="M959" s="22">
        <f t="shared" si="96"/>
        <v>1080</v>
      </c>
      <c r="N959" s="22"/>
      <c r="O959" s="30">
        <f t="shared" si="97"/>
        <v>0.27149321266968324</v>
      </c>
    </row>
    <row r="960" spans="1:15" ht="20.100000000000001" customHeight="1" x14ac:dyDescent="0.25">
      <c r="A960" s="33">
        <v>619</v>
      </c>
      <c r="B960" s="9">
        <v>43304</v>
      </c>
      <c r="C960" s="18" t="s">
        <v>56</v>
      </c>
      <c r="D960" s="3">
        <v>53558</v>
      </c>
      <c r="E960" s="9">
        <v>43335</v>
      </c>
      <c r="F960" s="15" t="s">
        <v>28</v>
      </c>
      <c r="G960" s="12">
        <v>43326</v>
      </c>
      <c r="H960" s="23">
        <f t="shared" si="98"/>
        <v>53558</v>
      </c>
      <c r="I960" s="23"/>
      <c r="J960" s="23"/>
      <c r="K960" s="24"/>
      <c r="L960" s="23">
        <v>36491</v>
      </c>
      <c r="M960" s="22">
        <f t="shared" si="96"/>
        <v>17067</v>
      </c>
      <c r="N960" s="22"/>
      <c r="O960" s="30">
        <f t="shared" si="97"/>
        <v>0.31866387841218863</v>
      </c>
    </row>
    <row r="961" spans="1:15" ht="20.100000000000001" customHeight="1" x14ac:dyDescent="0.25">
      <c r="A961" s="33">
        <v>616</v>
      </c>
      <c r="B961" s="9">
        <v>43301</v>
      </c>
      <c r="C961" s="18" t="s">
        <v>13</v>
      </c>
      <c r="D961" s="11">
        <v>3670</v>
      </c>
      <c r="E961" s="9">
        <v>43335</v>
      </c>
      <c r="F961" s="15" t="s">
        <v>28</v>
      </c>
      <c r="G961" s="12">
        <v>43327</v>
      </c>
      <c r="H961" s="23">
        <f t="shared" si="98"/>
        <v>3670</v>
      </c>
      <c r="I961" s="23"/>
      <c r="J961" s="23"/>
      <c r="K961" s="24"/>
      <c r="L961" s="23">
        <v>2718</v>
      </c>
      <c r="M961" s="22">
        <f t="shared" si="96"/>
        <v>952</v>
      </c>
      <c r="N961" s="22"/>
      <c r="O961" s="30">
        <f t="shared" si="97"/>
        <v>0.25940054495912807</v>
      </c>
    </row>
    <row r="962" spans="1:15" ht="20.100000000000001" customHeight="1" x14ac:dyDescent="0.25">
      <c r="A962" s="33">
        <v>714</v>
      </c>
      <c r="B962" s="9">
        <v>43329</v>
      </c>
      <c r="C962" s="18" t="s">
        <v>342</v>
      </c>
      <c r="D962" s="11">
        <v>21444</v>
      </c>
      <c r="E962" s="9">
        <v>43336</v>
      </c>
      <c r="F962" s="15" t="s">
        <v>28</v>
      </c>
      <c r="G962" s="12">
        <v>43339</v>
      </c>
      <c r="H962" s="23">
        <f t="shared" si="98"/>
        <v>21444</v>
      </c>
      <c r="I962" s="23"/>
      <c r="J962" s="23"/>
      <c r="K962" s="24"/>
      <c r="L962" s="23">
        <v>17344</v>
      </c>
      <c r="M962" s="22">
        <f t="shared" si="96"/>
        <v>4100</v>
      </c>
      <c r="N962" s="22"/>
      <c r="O962" s="30">
        <f t="shared" si="97"/>
        <v>0.19119567244916993</v>
      </c>
    </row>
    <row r="963" spans="1:15" ht="20.100000000000001" customHeight="1" x14ac:dyDescent="0.25">
      <c r="A963" s="33">
        <v>611</v>
      </c>
      <c r="B963" s="9">
        <v>43299</v>
      </c>
      <c r="C963" s="18" t="s">
        <v>99</v>
      </c>
      <c r="D963" s="11">
        <v>151760</v>
      </c>
      <c r="E963" s="9">
        <v>43340</v>
      </c>
      <c r="F963" s="15" t="s">
        <v>28</v>
      </c>
      <c r="G963" s="12">
        <v>43308</v>
      </c>
      <c r="H963" s="23">
        <f t="shared" si="98"/>
        <v>151760</v>
      </c>
      <c r="I963" s="23"/>
      <c r="J963" s="23">
        <v>36000</v>
      </c>
      <c r="K963" s="24">
        <v>21600</v>
      </c>
      <c r="L963" s="23">
        <v>23948</v>
      </c>
      <c r="M963" s="22">
        <f t="shared" si="96"/>
        <v>70212</v>
      </c>
      <c r="N963" s="22"/>
      <c r="O963" s="30">
        <f t="shared" si="97"/>
        <v>0.46265155508697942</v>
      </c>
    </row>
    <row r="964" spans="1:15" ht="20.100000000000001" customHeight="1" x14ac:dyDescent="0.25">
      <c r="A964" s="33">
        <v>690</v>
      </c>
      <c r="B964" s="9">
        <v>43320</v>
      </c>
      <c r="C964" s="18" t="s">
        <v>99</v>
      </c>
      <c r="D964" s="11">
        <v>9613</v>
      </c>
      <c r="E964" s="9">
        <v>43340</v>
      </c>
      <c r="F964" s="15" t="s">
        <v>28</v>
      </c>
      <c r="G964" s="12">
        <v>43320</v>
      </c>
      <c r="H964" s="23">
        <f t="shared" si="98"/>
        <v>9613</v>
      </c>
      <c r="I964" s="23"/>
      <c r="J964" s="23"/>
      <c r="K964" s="24"/>
      <c r="L964" s="23">
        <v>6566</v>
      </c>
      <c r="M964" s="22">
        <f t="shared" si="96"/>
        <v>3047</v>
      </c>
      <c r="N964" s="22"/>
      <c r="O964" s="30">
        <f t="shared" si="97"/>
        <v>0.31696660771871427</v>
      </c>
    </row>
    <row r="965" spans="1:15" ht="20.100000000000001" customHeight="1" x14ac:dyDescent="0.25">
      <c r="A965" s="33">
        <v>614</v>
      </c>
      <c r="B965" s="9">
        <v>43300</v>
      </c>
      <c r="C965" s="18" t="s">
        <v>60</v>
      </c>
      <c r="D965" s="11">
        <v>20249</v>
      </c>
      <c r="E965" s="9">
        <v>43342</v>
      </c>
      <c r="F965" s="15" t="s">
        <v>28</v>
      </c>
      <c r="G965" s="12">
        <v>43328</v>
      </c>
      <c r="H965" s="23">
        <v>10155</v>
      </c>
      <c r="I965" s="23"/>
      <c r="J965" s="23"/>
      <c r="K965" s="24"/>
      <c r="L965" s="23">
        <v>7920</v>
      </c>
      <c r="M965" s="22">
        <f t="shared" si="96"/>
        <v>2235</v>
      </c>
      <c r="N965" s="22"/>
      <c r="O965" s="30">
        <f t="shared" si="97"/>
        <v>0.22008862629246675</v>
      </c>
    </row>
    <row r="966" spans="1:15" ht="20.100000000000001" customHeight="1" x14ac:dyDescent="0.25">
      <c r="A966" s="33">
        <v>734</v>
      </c>
      <c r="B966" s="9">
        <v>43340</v>
      </c>
      <c r="C966" s="18" t="s">
        <v>139</v>
      </c>
      <c r="D966" s="11">
        <v>6015</v>
      </c>
      <c r="E966" s="9">
        <v>43342</v>
      </c>
      <c r="F966" s="15" t="s">
        <v>28</v>
      </c>
      <c r="G966" s="12">
        <v>43347</v>
      </c>
      <c r="H966" s="23">
        <f>D966</f>
        <v>6015</v>
      </c>
      <c r="I966" s="23"/>
      <c r="J966" s="23"/>
      <c r="K966" s="24"/>
      <c r="L966" s="23">
        <v>4563</v>
      </c>
      <c r="M966" s="22">
        <f t="shared" si="96"/>
        <v>1452</v>
      </c>
      <c r="N966" s="22"/>
      <c r="O966" s="30">
        <f t="shared" si="97"/>
        <v>0.24139650872817955</v>
      </c>
    </row>
    <row r="967" spans="1:15" ht="20.100000000000001" customHeight="1" x14ac:dyDescent="0.25">
      <c r="A967" s="33">
        <v>736</v>
      </c>
      <c r="B967" s="9">
        <v>43341</v>
      </c>
      <c r="C967" s="18" t="s">
        <v>6</v>
      </c>
      <c r="D967" s="11">
        <v>9362.75</v>
      </c>
      <c r="E967" s="9">
        <v>43342</v>
      </c>
      <c r="F967" s="15" t="s">
        <v>28</v>
      </c>
      <c r="G967" s="12">
        <v>43370</v>
      </c>
      <c r="H967" s="23">
        <f>D967</f>
        <v>9362.75</v>
      </c>
      <c r="I967" s="23"/>
      <c r="J967" s="23"/>
      <c r="K967" s="24"/>
      <c r="L967" s="23">
        <v>8380</v>
      </c>
      <c r="M967" s="22">
        <f t="shared" si="96"/>
        <v>982.75</v>
      </c>
      <c r="N967" s="22"/>
      <c r="O967" s="30">
        <f t="shared" si="97"/>
        <v>0.10496381939067048</v>
      </c>
    </row>
    <row r="968" spans="1:15" ht="20.100000000000001" customHeight="1" x14ac:dyDescent="0.25">
      <c r="A968" s="35" t="s">
        <v>535</v>
      </c>
      <c r="B968" s="36"/>
      <c r="C968" s="42"/>
      <c r="D968" s="37"/>
      <c r="E968" s="46" t="s">
        <v>559</v>
      </c>
      <c r="F968" s="47">
        <f>M968*0.12+N968*0.06</f>
        <v>20926.791599999997</v>
      </c>
      <c r="G968" s="21">
        <f>H968*0.02+I968*0.02</f>
        <v>11104.248599999999</v>
      </c>
      <c r="H968" s="49">
        <f>SUBTOTAL(109,Август2018[Продажа])</f>
        <v>497392.43</v>
      </c>
      <c r="I968" s="49">
        <f>SUBTOTAL(109,Август2018[Продажа НК])</f>
        <v>57820</v>
      </c>
      <c r="J968" s="49">
        <f>SUBTOTAL(109,Август2018[отк])</f>
        <v>36000</v>
      </c>
      <c r="K968" s="49">
        <f>SUBTOTAL(109,Август2018[шланги])</f>
        <v>25200</v>
      </c>
      <c r="L968" s="49">
        <f>SUBTOTAL(109,Август2018[Закупка])</f>
        <v>268806</v>
      </c>
      <c r="M968" s="49">
        <f>SUBTOTAL(109,Август2018[Маржа])</f>
        <v>167386.43</v>
      </c>
      <c r="N968" s="49">
        <f>SUBTOTAL(109,Август2018[Маржа НК])</f>
        <v>14007</v>
      </c>
      <c r="O968" s="44">
        <f t="shared" si="97"/>
        <v>0.33652790011299527</v>
      </c>
    </row>
    <row r="969" spans="1:15" ht="20.100000000000001" customHeight="1" x14ac:dyDescent="0.25">
      <c r="A969" s="41" t="s">
        <v>1</v>
      </c>
      <c r="B969" s="1" t="s">
        <v>0</v>
      </c>
      <c r="C969" s="1" t="s">
        <v>26</v>
      </c>
      <c r="D969" s="1" t="s">
        <v>2</v>
      </c>
      <c r="E969" s="1" t="s">
        <v>3</v>
      </c>
      <c r="F969" s="1" t="s">
        <v>27</v>
      </c>
      <c r="G969" s="1" t="s">
        <v>4</v>
      </c>
      <c r="H969" s="2" t="s">
        <v>132</v>
      </c>
      <c r="I969" s="2" t="s">
        <v>133</v>
      </c>
      <c r="J969" s="40" t="s">
        <v>187</v>
      </c>
      <c r="K969" s="40" t="s">
        <v>188</v>
      </c>
      <c r="L969" s="40" t="s">
        <v>129</v>
      </c>
      <c r="M969" s="40" t="s">
        <v>130</v>
      </c>
      <c r="N969" s="2" t="s">
        <v>131</v>
      </c>
      <c r="O969" s="2" t="s">
        <v>134</v>
      </c>
    </row>
    <row r="970" spans="1:15" ht="20.100000000000001" customHeight="1" x14ac:dyDescent="0.25">
      <c r="A970" s="33">
        <v>747</v>
      </c>
      <c r="B970" s="9">
        <v>43343</v>
      </c>
      <c r="C970" s="18" t="s">
        <v>342</v>
      </c>
      <c r="D970" s="11">
        <v>6237</v>
      </c>
      <c r="E970" s="9">
        <v>43346</v>
      </c>
      <c r="F970" s="15" t="s">
        <v>28</v>
      </c>
      <c r="G970" s="12">
        <v>43361</v>
      </c>
      <c r="H970" s="23">
        <f t="shared" ref="H970:H984" si="99">D970</f>
        <v>6237</v>
      </c>
      <c r="I970" s="23"/>
      <c r="J970" s="23"/>
      <c r="K970" s="24"/>
      <c r="L970" s="23">
        <v>4802</v>
      </c>
      <c r="M970" s="22">
        <f t="shared" ref="M970:M984" si="100">H970-L970-J970-K970</f>
        <v>1435</v>
      </c>
      <c r="N970" s="22"/>
      <c r="O970" s="30">
        <f t="shared" ref="O970:O985" si="101">M970/H970</f>
        <v>0.23007856341189675</v>
      </c>
    </row>
    <row r="971" spans="1:15" ht="20.100000000000001" customHeight="1" x14ac:dyDescent="0.25">
      <c r="A971" s="33">
        <v>645</v>
      </c>
      <c r="B971" s="9">
        <v>43308</v>
      </c>
      <c r="C971" s="18" t="s">
        <v>228</v>
      </c>
      <c r="D971" s="11">
        <v>78122</v>
      </c>
      <c r="E971" s="9">
        <v>43347</v>
      </c>
      <c r="F971" s="15" t="s">
        <v>28</v>
      </c>
      <c r="G971" s="12">
        <v>43381</v>
      </c>
      <c r="H971" s="23">
        <f t="shared" si="99"/>
        <v>78122</v>
      </c>
      <c r="I971" s="23"/>
      <c r="J971" s="23"/>
      <c r="K971" s="24">
        <v>1200</v>
      </c>
      <c r="L971" s="23">
        <v>47977</v>
      </c>
      <c r="M971" s="22">
        <f t="shared" si="100"/>
        <v>28945</v>
      </c>
      <c r="N971" s="22"/>
      <c r="O971" s="30">
        <f t="shared" si="101"/>
        <v>0.37051022759273955</v>
      </c>
    </row>
    <row r="972" spans="1:15" ht="20.100000000000001" customHeight="1" x14ac:dyDescent="0.25">
      <c r="A972" s="33">
        <v>739</v>
      </c>
      <c r="B972" s="9">
        <v>43341</v>
      </c>
      <c r="C972" s="18" t="s">
        <v>175</v>
      </c>
      <c r="D972" s="11">
        <v>10706.5</v>
      </c>
      <c r="E972" s="9">
        <v>43348</v>
      </c>
      <c r="F972" s="15" t="s">
        <v>28</v>
      </c>
      <c r="G972" s="12">
        <v>43353</v>
      </c>
      <c r="H972" s="23">
        <f t="shared" si="99"/>
        <v>10706.5</v>
      </c>
      <c r="I972" s="23"/>
      <c r="J972" s="23"/>
      <c r="K972" s="24"/>
      <c r="L972" s="23">
        <v>6840</v>
      </c>
      <c r="M972" s="22">
        <f t="shared" si="100"/>
        <v>3866.5</v>
      </c>
      <c r="N972" s="22"/>
      <c r="O972" s="30">
        <f t="shared" si="101"/>
        <v>0.36113575865128661</v>
      </c>
    </row>
    <row r="973" spans="1:15" ht="20.100000000000001" customHeight="1" x14ac:dyDescent="0.25">
      <c r="A973" s="33">
        <v>755</v>
      </c>
      <c r="B973" s="9">
        <v>43348</v>
      </c>
      <c r="C973" s="18" t="s">
        <v>334</v>
      </c>
      <c r="D973" s="11">
        <v>1385</v>
      </c>
      <c r="E973" s="9">
        <v>43348</v>
      </c>
      <c r="F973" s="15" t="s">
        <v>28</v>
      </c>
      <c r="G973" s="12">
        <v>43360</v>
      </c>
      <c r="H973" s="23">
        <f t="shared" si="99"/>
        <v>1385</v>
      </c>
      <c r="I973" s="23"/>
      <c r="J973" s="23"/>
      <c r="K973" s="24"/>
      <c r="L973" s="23">
        <v>1080</v>
      </c>
      <c r="M973" s="22">
        <f t="shared" si="100"/>
        <v>305</v>
      </c>
      <c r="N973" s="22"/>
      <c r="O973" s="30">
        <f t="shared" si="101"/>
        <v>0.22021660649819494</v>
      </c>
    </row>
    <row r="974" spans="1:15" ht="20.100000000000001" customHeight="1" x14ac:dyDescent="0.25">
      <c r="A974" s="33">
        <v>759</v>
      </c>
      <c r="B974" s="9">
        <v>43349</v>
      </c>
      <c r="C974" s="18" t="s">
        <v>281</v>
      </c>
      <c r="D974" s="11">
        <v>2160</v>
      </c>
      <c r="E974" s="9">
        <v>43349</v>
      </c>
      <c r="F974" s="15" t="s">
        <v>28</v>
      </c>
      <c r="G974" s="12">
        <v>43349</v>
      </c>
      <c r="H974" s="23">
        <f t="shared" si="99"/>
        <v>2160</v>
      </c>
      <c r="I974" s="23"/>
      <c r="J974" s="23"/>
      <c r="K974" s="24"/>
      <c r="L974" s="23">
        <v>1684</v>
      </c>
      <c r="M974" s="22">
        <f t="shared" si="100"/>
        <v>476</v>
      </c>
      <c r="N974" s="22"/>
      <c r="O974" s="30">
        <f t="shared" si="101"/>
        <v>0.22037037037037038</v>
      </c>
    </row>
    <row r="975" spans="1:15" ht="20.100000000000001" customHeight="1" x14ac:dyDescent="0.25">
      <c r="A975" s="33">
        <v>760</v>
      </c>
      <c r="B975" s="9">
        <v>43350</v>
      </c>
      <c r="C975" s="18" t="s">
        <v>338</v>
      </c>
      <c r="D975" s="11">
        <v>6771</v>
      </c>
      <c r="E975" s="9">
        <v>43350</v>
      </c>
      <c r="F975" s="15" t="s">
        <v>28</v>
      </c>
      <c r="G975" s="12">
        <v>43354</v>
      </c>
      <c r="H975" s="23">
        <f t="shared" si="99"/>
        <v>6771</v>
      </c>
      <c r="I975" s="23"/>
      <c r="J975" s="23"/>
      <c r="K975" s="24"/>
      <c r="L975" s="23">
        <v>5030</v>
      </c>
      <c r="M975" s="22">
        <f t="shared" si="100"/>
        <v>1741</v>
      </c>
      <c r="N975" s="22"/>
      <c r="O975" s="30">
        <f t="shared" si="101"/>
        <v>0.25712597843745383</v>
      </c>
    </row>
    <row r="976" spans="1:15" ht="20.100000000000001" customHeight="1" x14ac:dyDescent="0.25">
      <c r="A976" s="33">
        <v>735</v>
      </c>
      <c r="B976" s="9">
        <v>43341</v>
      </c>
      <c r="C976" s="18" t="s">
        <v>175</v>
      </c>
      <c r="D976" s="11">
        <v>22634.7</v>
      </c>
      <c r="E976" s="9">
        <v>43354</v>
      </c>
      <c r="F976" s="15" t="s">
        <v>28</v>
      </c>
      <c r="G976" s="12">
        <v>43367</v>
      </c>
      <c r="H976" s="23">
        <f t="shared" si="99"/>
        <v>22634.7</v>
      </c>
      <c r="I976" s="23"/>
      <c r="J976" s="23"/>
      <c r="K976" s="24"/>
      <c r="L976" s="23">
        <v>18533</v>
      </c>
      <c r="M976" s="22">
        <f t="shared" si="100"/>
        <v>4101.7000000000007</v>
      </c>
      <c r="N976" s="22"/>
      <c r="O976" s="30">
        <f t="shared" si="101"/>
        <v>0.18121291645128942</v>
      </c>
    </row>
    <row r="977" spans="1:15" ht="20.100000000000001" customHeight="1" x14ac:dyDescent="0.25">
      <c r="A977" s="33">
        <v>754</v>
      </c>
      <c r="B977" s="9">
        <v>43347</v>
      </c>
      <c r="C977" s="18" t="s">
        <v>353</v>
      </c>
      <c r="D977" s="11">
        <v>7242</v>
      </c>
      <c r="E977" s="9">
        <v>43355</v>
      </c>
      <c r="F977" s="15" t="s">
        <v>28</v>
      </c>
      <c r="G977" s="12">
        <v>43367</v>
      </c>
      <c r="H977" s="23">
        <f t="shared" si="99"/>
        <v>7242</v>
      </c>
      <c r="I977" s="23"/>
      <c r="J977" s="23"/>
      <c r="K977" s="24"/>
      <c r="L977" s="23">
        <v>5646</v>
      </c>
      <c r="M977" s="22">
        <f t="shared" si="100"/>
        <v>1596</v>
      </c>
      <c r="N977" s="22"/>
      <c r="O977" s="30">
        <f t="shared" si="101"/>
        <v>0.22038111019055509</v>
      </c>
    </row>
    <row r="978" spans="1:15" ht="20.100000000000001" customHeight="1" x14ac:dyDescent="0.25">
      <c r="A978" s="33">
        <v>773</v>
      </c>
      <c r="B978" s="9">
        <v>43355</v>
      </c>
      <c r="C978" s="18" t="s">
        <v>354</v>
      </c>
      <c r="D978" s="11">
        <v>16264</v>
      </c>
      <c r="E978" s="9">
        <v>43355</v>
      </c>
      <c r="F978" s="15" t="s">
        <v>28</v>
      </c>
      <c r="G978" s="12">
        <v>43357</v>
      </c>
      <c r="H978" s="23">
        <f t="shared" si="99"/>
        <v>16264</v>
      </c>
      <c r="I978" s="23"/>
      <c r="J978" s="23"/>
      <c r="K978" s="24"/>
      <c r="L978" s="23">
        <v>12102</v>
      </c>
      <c r="M978" s="22">
        <f t="shared" si="100"/>
        <v>4162</v>
      </c>
      <c r="N978" s="22"/>
      <c r="O978" s="30">
        <f t="shared" si="101"/>
        <v>0.25590260698475159</v>
      </c>
    </row>
    <row r="979" spans="1:15" ht="20.100000000000001" customHeight="1" x14ac:dyDescent="0.25">
      <c r="A979" s="33">
        <v>641</v>
      </c>
      <c r="B979" s="9">
        <v>43318</v>
      </c>
      <c r="C979" s="18" t="s">
        <v>65</v>
      </c>
      <c r="D979" s="11">
        <v>157125.75</v>
      </c>
      <c r="E979" s="9">
        <v>43356</v>
      </c>
      <c r="F979" s="15" t="s">
        <v>28</v>
      </c>
      <c r="G979" s="12">
        <v>43336</v>
      </c>
      <c r="H979" s="23">
        <f t="shared" si="99"/>
        <v>157125.75</v>
      </c>
      <c r="I979" s="23"/>
      <c r="J979" s="23"/>
      <c r="K979" s="24"/>
      <c r="L979" s="23">
        <v>94067</v>
      </c>
      <c r="M979" s="22">
        <f t="shared" si="100"/>
        <v>63058.75</v>
      </c>
      <c r="N979" s="22"/>
      <c r="O979" s="30">
        <f t="shared" si="101"/>
        <v>0.4013266444233361</v>
      </c>
    </row>
    <row r="980" spans="1:15" ht="20.100000000000001" customHeight="1" x14ac:dyDescent="0.25">
      <c r="A980" s="33">
        <v>802</v>
      </c>
      <c r="B980" s="9">
        <v>43362</v>
      </c>
      <c r="C980" s="18" t="s">
        <v>342</v>
      </c>
      <c r="D980" s="11">
        <v>2450</v>
      </c>
      <c r="E980" s="9">
        <v>43363</v>
      </c>
      <c r="F980" s="15" t="s">
        <v>28</v>
      </c>
      <c r="G980" s="12">
        <v>43367</v>
      </c>
      <c r="H980" s="23">
        <f t="shared" si="99"/>
        <v>2450</v>
      </c>
      <c r="I980" s="23"/>
      <c r="J980" s="23"/>
      <c r="K980" s="24"/>
      <c r="L980" s="23">
        <v>2182</v>
      </c>
      <c r="M980" s="22">
        <f t="shared" si="100"/>
        <v>268</v>
      </c>
      <c r="N980" s="22"/>
      <c r="O980" s="30">
        <f t="shared" si="101"/>
        <v>0.10938775510204081</v>
      </c>
    </row>
    <row r="981" spans="1:15" ht="20.100000000000001" customHeight="1" x14ac:dyDescent="0.25">
      <c r="A981" s="33">
        <v>738</v>
      </c>
      <c r="B981" s="9">
        <v>43354</v>
      </c>
      <c r="C981" s="18" t="s">
        <v>56</v>
      </c>
      <c r="D981" s="11">
        <v>15700</v>
      </c>
      <c r="E981" s="9">
        <v>43367</v>
      </c>
      <c r="F981" s="15" t="s">
        <v>28</v>
      </c>
      <c r="G981" s="12">
        <v>43354</v>
      </c>
      <c r="H981" s="23">
        <f t="shared" si="99"/>
        <v>15700</v>
      </c>
      <c r="I981" s="23"/>
      <c r="J981" s="23"/>
      <c r="K981" s="24"/>
      <c r="L981" s="23">
        <v>11962</v>
      </c>
      <c r="M981" s="22">
        <f t="shared" si="100"/>
        <v>3738</v>
      </c>
      <c r="N981" s="22"/>
      <c r="O981" s="30">
        <f t="shared" si="101"/>
        <v>0.23808917197452228</v>
      </c>
    </row>
    <row r="982" spans="1:15" ht="20.100000000000001" customHeight="1" x14ac:dyDescent="0.25">
      <c r="A982" s="33">
        <v>591</v>
      </c>
      <c r="B982" s="9">
        <v>43293</v>
      </c>
      <c r="C982" s="18" t="s">
        <v>38</v>
      </c>
      <c r="D982" s="11">
        <v>128579.91</v>
      </c>
      <c r="E982" s="9">
        <v>43368</v>
      </c>
      <c r="F982" s="15" t="s">
        <v>28</v>
      </c>
      <c r="G982" s="12">
        <v>43321</v>
      </c>
      <c r="H982" s="23">
        <f t="shared" si="99"/>
        <v>128579.91</v>
      </c>
      <c r="I982" s="23"/>
      <c r="J982" s="23"/>
      <c r="K982" s="24"/>
      <c r="L982" s="23">
        <v>100088</v>
      </c>
      <c r="M982" s="22">
        <f t="shared" si="100"/>
        <v>28491.910000000003</v>
      </c>
      <c r="N982" s="22"/>
      <c r="O982" s="30">
        <f t="shared" si="101"/>
        <v>0.2215891269483701</v>
      </c>
    </row>
    <row r="983" spans="1:15" ht="20.100000000000001" customHeight="1" x14ac:dyDescent="0.25">
      <c r="A983" s="33">
        <v>814</v>
      </c>
      <c r="B983" s="9">
        <v>43364</v>
      </c>
      <c r="C983" s="18" t="s">
        <v>270</v>
      </c>
      <c r="D983" s="11">
        <v>3240</v>
      </c>
      <c r="E983" s="9">
        <v>43368</v>
      </c>
      <c r="F983" s="15" t="s">
        <v>28</v>
      </c>
      <c r="G983" s="12">
        <v>43368</v>
      </c>
      <c r="H983" s="23">
        <f t="shared" si="99"/>
        <v>3240</v>
      </c>
      <c r="I983" s="23"/>
      <c r="J983" s="23"/>
      <c r="K983" s="24"/>
      <c r="L983" s="23">
        <v>2595</v>
      </c>
      <c r="M983" s="22">
        <f t="shared" si="100"/>
        <v>645</v>
      </c>
      <c r="N983" s="22"/>
      <c r="O983" s="30">
        <f t="shared" si="101"/>
        <v>0.19907407407407407</v>
      </c>
    </row>
    <row r="984" spans="1:15" ht="20.100000000000001" customHeight="1" x14ac:dyDescent="0.25">
      <c r="A984" s="33">
        <v>495</v>
      </c>
      <c r="B984" s="9">
        <v>43265</v>
      </c>
      <c r="C984" s="18" t="s">
        <v>65</v>
      </c>
      <c r="D984" s="11">
        <v>10296</v>
      </c>
      <c r="E984" s="9">
        <v>43371</v>
      </c>
      <c r="F984" s="15" t="s">
        <v>28</v>
      </c>
      <c r="G984" s="12">
        <v>43285</v>
      </c>
      <c r="H984" s="23">
        <f t="shared" si="99"/>
        <v>10296</v>
      </c>
      <c r="I984" s="23"/>
      <c r="J984" s="23"/>
      <c r="K984" s="24"/>
      <c r="L984" s="23">
        <v>7926</v>
      </c>
      <c r="M984" s="22">
        <f t="shared" si="100"/>
        <v>2370</v>
      </c>
      <c r="N984" s="22"/>
      <c r="O984" s="30">
        <f t="shared" si="101"/>
        <v>0.23018648018648019</v>
      </c>
    </row>
    <row r="985" spans="1:15" ht="19.5" customHeight="1" x14ac:dyDescent="0.25">
      <c r="A985" s="35" t="s">
        <v>535</v>
      </c>
      <c r="B985" s="36"/>
      <c r="C985" s="42"/>
      <c r="D985" s="37"/>
      <c r="E985" s="46" t="s">
        <v>649</v>
      </c>
      <c r="F985" s="47">
        <f>M985*0.07+N985*0.06</f>
        <v>10163.9902</v>
      </c>
      <c r="G985" s="21">
        <f>H985*0.02+I985*0.02</f>
        <v>9378.2772000000004</v>
      </c>
      <c r="H985" s="49">
        <f>SUBTOTAL(109,Сентябрь2018[Продажа])</f>
        <v>468913.86</v>
      </c>
      <c r="I985" s="49">
        <f>SUBTOTAL(109,Сентябрь2018[Продажа НК])</f>
        <v>0</v>
      </c>
      <c r="J985" s="49">
        <f>SUBTOTAL(109,Сентябрь2018[отк])</f>
        <v>0</v>
      </c>
      <c r="K985" s="49">
        <f>SUBTOTAL(109,Сентябрь2018[шланги])</f>
        <v>1200</v>
      </c>
      <c r="L985" s="49">
        <f>SUBTOTAL(109,Сентябрь2018[Закупка])</f>
        <v>322514</v>
      </c>
      <c r="M985" s="49">
        <f>SUBTOTAL(109,Сентябрь2018[Маржа])</f>
        <v>145199.85999999999</v>
      </c>
      <c r="N985" s="49">
        <f>SUBTOTAL(109,Сентябрь2018[Маржа НК])</f>
        <v>0</v>
      </c>
      <c r="O985" s="44">
        <f t="shared" si="101"/>
        <v>0.3096514570927803</v>
      </c>
    </row>
    <row r="986" spans="1:15" s="2" customFormat="1" ht="20.100000000000001" customHeight="1" x14ac:dyDescent="0.25">
      <c r="A986" s="41" t="s">
        <v>1</v>
      </c>
      <c r="B986" s="1" t="s">
        <v>0</v>
      </c>
      <c r="C986" s="1" t="s">
        <v>26</v>
      </c>
      <c r="D986" s="1" t="s">
        <v>2</v>
      </c>
      <c r="E986" s="1" t="s">
        <v>3</v>
      </c>
      <c r="F986" s="1" t="s">
        <v>27</v>
      </c>
      <c r="G986" s="1" t="s">
        <v>4</v>
      </c>
      <c r="H986" s="2" t="s">
        <v>132</v>
      </c>
      <c r="I986" s="2" t="s">
        <v>133</v>
      </c>
      <c r="J986" s="40" t="s">
        <v>187</v>
      </c>
      <c r="K986" s="40" t="s">
        <v>188</v>
      </c>
      <c r="L986" s="40" t="s">
        <v>129</v>
      </c>
      <c r="M986" s="40" t="s">
        <v>130</v>
      </c>
      <c r="N986" s="2" t="s">
        <v>131</v>
      </c>
      <c r="O986" s="2" t="s">
        <v>134</v>
      </c>
    </row>
    <row r="987" spans="1:15" ht="20.100000000000001" customHeight="1" x14ac:dyDescent="0.25">
      <c r="A987" s="33">
        <v>650</v>
      </c>
      <c r="B987" s="9">
        <v>43374</v>
      </c>
      <c r="C987" s="18" t="s">
        <v>314</v>
      </c>
      <c r="D987" s="11">
        <v>4000</v>
      </c>
      <c r="E987" s="9">
        <v>43374</v>
      </c>
      <c r="F987" s="15" t="s">
        <v>28</v>
      </c>
      <c r="G987" s="12">
        <v>43381</v>
      </c>
      <c r="H987" s="23">
        <f t="shared" ref="H987:H1014" si="102">D987</f>
        <v>4000</v>
      </c>
      <c r="I987" s="23"/>
      <c r="J987" s="23"/>
      <c r="K987" s="24">
        <v>600</v>
      </c>
      <c r="L987" s="23">
        <v>2126</v>
      </c>
      <c r="M987" s="22">
        <f t="shared" ref="M987:M1014" si="103">H987-L987-J987-K987</f>
        <v>1274</v>
      </c>
      <c r="N987" s="22"/>
      <c r="O987" s="30">
        <f t="shared" ref="O987:O1015" si="104">M987/H987</f>
        <v>0.31850000000000001</v>
      </c>
    </row>
    <row r="988" spans="1:15" ht="20.100000000000001" customHeight="1" x14ac:dyDescent="0.25">
      <c r="A988" s="33">
        <v>840</v>
      </c>
      <c r="B988" s="9">
        <v>43375</v>
      </c>
      <c r="C988" s="20" t="s">
        <v>355</v>
      </c>
      <c r="D988" s="11">
        <v>17990</v>
      </c>
      <c r="E988" s="9">
        <v>43376</v>
      </c>
      <c r="F988" s="15" t="s">
        <v>28</v>
      </c>
      <c r="G988" s="12">
        <v>43377</v>
      </c>
      <c r="H988" s="23">
        <f t="shared" si="102"/>
        <v>17990</v>
      </c>
      <c r="I988" s="23">
        <f>H988</f>
        <v>17990</v>
      </c>
      <c r="J988" s="23"/>
      <c r="K988" s="24"/>
      <c r="L988" s="23">
        <v>13222</v>
      </c>
      <c r="M988" s="22">
        <f t="shared" si="103"/>
        <v>4768</v>
      </c>
      <c r="N988" s="22">
        <f>M988</f>
        <v>4768</v>
      </c>
      <c r="O988" s="30">
        <f t="shared" si="104"/>
        <v>0.26503613118399111</v>
      </c>
    </row>
    <row r="989" spans="1:15" ht="20.100000000000001" customHeight="1" x14ac:dyDescent="0.25">
      <c r="A989" s="33">
        <v>815</v>
      </c>
      <c r="B989" s="9">
        <v>43397</v>
      </c>
      <c r="C989" s="18" t="s">
        <v>335</v>
      </c>
      <c r="D989" s="11">
        <v>9232</v>
      </c>
      <c r="E989" s="9">
        <v>43377</v>
      </c>
      <c r="F989" s="15" t="s">
        <v>28</v>
      </c>
      <c r="G989" s="12">
        <v>43378</v>
      </c>
      <c r="H989" s="23">
        <f t="shared" si="102"/>
        <v>9232</v>
      </c>
      <c r="I989" s="23"/>
      <c r="J989" s="23"/>
      <c r="K989" s="24"/>
      <c r="L989" s="23">
        <v>6290</v>
      </c>
      <c r="M989" s="22">
        <f t="shared" si="103"/>
        <v>2942</v>
      </c>
      <c r="N989" s="22"/>
      <c r="O989" s="30">
        <f t="shared" si="104"/>
        <v>0.31867417677642979</v>
      </c>
    </row>
    <row r="990" spans="1:15" ht="20.100000000000001" customHeight="1" x14ac:dyDescent="0.25">
      <c r="A990" s="33">
        <v>847</v>
      </c>
      <c r="B990" s="9">
        <v>43377</v>
      </c>
      <c r="C990" s="20" t="s">
        <v>356</v>
      </c>
      <c r="D990" s="11">
        <v>1385</v>
      </c>
      <c r="E990" s="9">
        <v>43378</v>
      </c>
      <c r="F990" s="15" t="s">
        <v>28</v>
      </c>
      <c r="G990" s="12">
        <v>43377</v>
      </c>
      <c r="H990" s="23">
        <f t="shared" si="102"/>
        <v>1385</v>
      </c>
      <c r="I990" s="23">
        <f>H990</f>
        <v>1385</v>
      </c>
      <c r="J990" s="23"/>
      <c r="K990" s="24"/>
      <c r="L990" s="23">
        <v>1080</v>
      </c>
      <c r="M990" s="22">
        <f t="shared" si="103"/>
        <v>305</v>
      </c>
      <c r="N990" s="22">
        <f>M990</f>
        <v>305</v>
      </c>
      <c r="O990" s="30">
        <f t="shared" si="104"/>
        <v>0.22021660649819494</v>
      </c>
    </row>
    <row r="991" spans="1:15" ht="20.100000000000001" customHeight="1" x14ac:dyDescent="0.25">
      <c r="A991" s="33">
        <v>853</v>
      </c>
      <c r="B991" s="9">
        <v>43378</v>
      </c>
      <c r="C991" s="18" t="s">
        <v>101</v>
      </c>
      <c r="D991" s="11">
        <v>7402</v>
      </c>
      <c r="E991" s="9">
        <v>43378</v>
      </c>
      <c r="F991" s="15" t="s">
        <v>28</v>
      </c>
      <c r="G991" s="12">
        <v>43403</v>
      </c>
      <c r="H991" s="23">
        <f t="shared" si="102"/>
        <v>7402</v>
      </c>
      <c r="I991" s="23"/>
      <c r="J991" s="23"/>
      <c r="K991" s="24"/>
      <c r="L991" s="23">
        <v>5699</v>
      </c>
      <c r="M991" s="22">
        <f t="shared" si="103"/>
        <v>1703</v>
      </c>
      <c r="N991" s="22"/>
      <c r="O991" s="30">
        <f t="shared" si="104"/>
        <v>0.23007295325587679</v>
      </c>
    </row>
    <row r="992" spans="1:15" ht="20.100000000000001" customHeight="1" x14ac:dyDescent="0.25">
      <c r="A992" s="33">
        <v>846</v>
      </c>
      <c r="B992" s="9">
        <v>43377</v>
      </c>
      <c r="C992" s="18" t="s">
        <v>209</v>
      </c>
      <c r="D992" s="11">
        <v>30089.15</v>
      </c>
      <c r="E992" s="9">
        <v>43381</v>
      </c>
      <c r="F992" s="15" t="s">
        <v>28</v>
      </c>
      <c r="G992" s="12">
        <v>43377</v>
      </c>
      <c r="H992" s="23">
        <f t="shared" si="102"/>
        <v>30089.15</v>
      </c>
      <c r="I992" s="23"/>
      <c r="J992" s="23"/>
      <c r="K992" s="24"/>
      <c r="L992" s="23">
        <v>26762</v>
      </c>
      <c r="M992" s="22">
        <f t="shared" si="103"/>
        <v>3327.1500000000015</v>
      </c>
      <c r="N992" s="22"/>
      <c r="O992" s="30">
        <f t="shared" si="104"/>
        <v>0.11057640378674709</v>
      </c>
    </row>
    <row r="993" spans="1:15" ht="20.100000000000001" customHeight="1" x14ac:dyDescent="0.25">
      <c r="A993" s="33">
        <v>855</v>
      </c>
      <c r="B993" s="9">
        <v>43381</v>
      </c>
      <c r="C993" s="18" t="s">
        <v>238</v>
      </c>
      <c r="D993" s="11">
        <v>15596</v>
      </c>
      <c r="E993" s="9">
        <v>43381</v>
      </c>
      <c r="F993" s="15" t="s">
        <v>28</v>
      </c>
      <c r="G993" s="12">
        <v>43392</v>
      </c>
      <c r="H993" s="23">
        <f t="shared" si="102"/>
        <v>15596</v>
      </c>
      <c r="I993" s="23"/>
      <c r="J993" s="23"/>
      <c r="K993" s="24"/>
      <c r="L993" s="23">
        <v>10904</v>
      </c>
      <c r="M993" s="22">
        <f t="shared" si="103"/>
        <v>4692</v>
      </c>
      <c r="N993" s="22"/>
      <c r="O993" s="30">
        <f t="shared" si="104"/>
        <v>0.3008463708643242</v>
      </c>
    </row>
    <row r="994" spans="1:15" ht="20.100000000000001" customHeight="1" x14ac:dyDescent="0.25">
      <c r="A994" s="33">
        <v>695</v>
      </c>
      <c r="B994" s="9">
        <v>43371</v>
      </c>
      <c r="C994" s="18" t="s">
        <v>206</v>
      </c>
      <c r="D994" s="11">
        <v>111443</v>
      </c>
      <c r="E994" s="9">
        <v>43382</v>
      </c>
      <c r="F994" s="15" t="s">
        <v>28</v>
      </c>
      <c r="G994" s="12">
        <v>43371</v>
      </c>
      <c r="H994" s="23">
        <f t="shared" si="102"/>
        <v>111443</v>
      </c>
      <c r="I994" s="23"/>
      <c r="J994" s="23"/>
      <c r="K994" s="24"/>
      <c r="L994" s="23">
        <v>77301.259999999995</v>
      </c>
      <c r="M994" s="22">
        <f t="shared" si="103"/>
        <v>34141.740000000005</v>
      </c>
      <c r="N994" s="22"/>
      <c r="O994" s="30">
        <f t="shared" si="104"/>
        <v>0.30636056100428027</v>
      </c>
    </row>
    <row r="995" spans="1:15" ht="20.100000000000001" customHeight="1" x14ac:dyDescent="0.25">
      <c r="A995" s="33">
        <v>669</v>
      </c>
      <c r="B995" s="9">
        <v>43314</v>
      </c>
      <c r="C995" s="18" t="s">
        <v>228</v>
      </c>
      <c r="D995" s="11">
        <v>18621</v>
      </c>
      <c r="E995" s="9">
        <v>43382</v>
      </c>
      <c r="F995" s="15" t="s">
        <v>28</v>
      </c>
      <c r="G995" s="12">
        <v>43381</v>
      </c>
      <c r="H995" s="23">
        <f t="shared" si="102"/>
        <v>18621</v>
      </c>
      <c r="I995" s="23"/>
      <c r="J995" s="23"/>
      <c r="K995" s="24"/>
      <c r="L995" s="23">
        <v>12664</v>
      </c>
      <c r="M995" s="22">
        <f t="shared" si="103"/>
        <v>5957</v>
      </c>
      <c r="N995" s="22"/>
      <c r="O995" s="30">
        <f t="shared" si="104"/>
        <v>0.31990763116911014</v>
      </c>
    </row>
    <row r="996" spans="1:15" ht="20.100000000000001" customHeight="1" x14ac:dyDescent="0.25">
      <c r="A996" s="33">
        <v>859</v>
      </c>
      <c r="B996" s="9">
        <v>43381</v>
      </c>
      <c r="C996" s="20" t="s">
        <v>357</v>
      </c>
      <c r="D996" s="11">
        <v>9925</v>
      </c>
      <c r="E996" s="9">
        <v>43382</v>
      </c>
      <c r="F996" s="15" t="s">
        <v>28</v>
      </c>
      <c r="G996" s="12">
        <v>43397</v>
      </c>
      <c r="H996" s="23">
        <f t="shared" si="102"/>
        <v>9925</v>
      </c>
      <c r="I996" s="23">
        <f>H996</f>
        <v>9925</v>
      </c>
      <c r="J996" s="23"/>
      <c r="K996" s="24"/>
      <c r="L996" s="23">
        <v>7110</v>
      </c>
      <c r="M996" s="22">
        <f t="shared" si="103"/>
        <v>2815</v>
      </c>
      <c r="N996" s="22">
        <f>M996</f>
        <v>2815</v>
      </c>
      <c r="O996" s="30">
        <f t="shared" si="104"/>
        <v>0.28362720403022668</v>
      </c>
    </row>
    <row r="997" spans="1:15" ht="20.100000000000001" customHeight="1" x14ac:dyDescent="0.25">
      <c r="A997" s="33">
        <v>854</v>
      </c>
      <c r="B997" s="9">
        <v>43381</v>
      </c>
      <c r="C997" s="18" t="s">
        <v>175</v>
      </c>
      <c r="D997" s="11">
        <v>22634.7</v>
      </c>
      <c r="E997" s="9">
        <v>43384</v>
      </c>
      <c r="F997" s="15" t="s">
        <v>28</v>
      </c>
      <c r="G997" s="12">
        <v>43385</v>
      </c>
      <c r="H997" s="23">
        <f t="shared" si="102"/>
        <v>22634.7</v>
      </c>
      <c r="I997" s="23"/>
      <c r="J997" s="23"/>
      <c r="K997" s="24"/>
      <c r="L997" s="23">
        <v>18576</v>
      </c>
      <c r="M997" s="22">
        <f t="shared" si="103"/>
        <v>4058.7000000000007</v>
      </c>
      <c r="N997" s="22"/>
      <c r="O997" s="30">
        <f t="shared" si="104"/>
        <v>0.17931317843841538</v>
      </c>
    </row>
    <row r="998" spans="1:15" ht="20.100000000000001" customHeight="1" x14ac:dyDescent="0.25">
      <c r="A998" s="33">
        <v>771</v>
      </c>
      <c r="B998" s="9">
        <v>43384</v>
      </c>
      <c r="C998" s="18" t="s">
        <v>71</v>
      </c>
      <c r="D998" s="11">
        <v>6694</v>
      </c>
      <c r="E998" s="9">
        <v>43385</v>
      </c>
      <c r="F998" s="15" t="s">
        <v>28</v>
      </c>
      <c r="G998" s="12">
        <v>43399</v>
      </c>
      <c r="H998" s="23">
        <f t="shared" si="102"/>
        <v>6694</v>
      </c>
      <c r="I998" s="23"/>
      <c r="J998" s="23"/>
      <c r="K998" s="24"/>
      <c r="L998" s="23">
        <v>5006</v>
      </c>
      <c r="M998" s="22">
        <f t="shared" si="103"/>
        <v>1688</v>
      </c>
      <c r="N998" s="22"/>
      <c r="O998" s="30">
        <f t="shared" si="104"/>
        <v>0.25216611891245894</v>
      </c>
    </row>
    <row r="999" spans="1:15" ht="20.100000000000001" customHeight="1" x14ac:dyDescent="0.25">
      <c r="A999" s="33">
        <v>872</v>
      </c>
      <c r="B999" s="9">
        <v>43384</v>
      </c>
      <c r="C999" s="18" t="s">
        <v>58</v>
      </c>
      <c r="D999" s="11">
        <v>5100</v>
      </c>
      <c r="E999" s="9">
        <v>43388</v>
      </c>
      <c r="F999" s="15" t="s">
        <v>28</v>
      </c>
      <c r="G999" s="12">
        <v>43398</v>
      </c>
      <c r="H999" s="23">
        <f t="shared" si="102"/>
        <v>5100</v>
      </c>
      <c r="I999" s="23"/>
      <c r="J999" s="23"/>
      <c r="K999" s="24"/>
      <c r="L999" s="23">
        <v>3765</v>
      </c>
      <c r="M999" s="22">
        <f t="shared" si="103"/>
        <v>1335</v>
      </c>
      <c r="N999" s="22"/>
      <c r="O999" s="30">
        <f t="shared" si="104"/>
        <v>0.26176470588235295</v>
      </c>
    </row>
    <row r="1000" spans="1:15" ht="20.100000000000001" customHeight="1" x14ac:dyDescent="0.25">
      <c r="A1000" s="33">
        <v>875</v>
      </c>
      <c r="B1000" s="9">
        <v>43388</v>
      </c>
      <c r="C1000" s="20" t="s">
        <v>358</v>
      </c>
      <c r="D1000" s="11">
        <v>4613</v>
      </c>
      <c r="E1000" s="9">
        <v>43388</v>
      </c>
      <c r="F1000" s="15" t="s">
        <v>28</v>
      </c>
      <c r="G1000" s="12">
        <v>43389</v>
      </c>
      <c r="H1000" s="23">
        <f t="shared" si="102"/>
        <v>4613</v>
      </c>
      <c r="I1000" s="23">
        <f>H1000</f>
        <v>4613</v>
      </c>
      <c r="J1000" s="23"/>
      <c r="K1000" s="24"/>
      <c r="L1000" s="23">
        <v>3597</v>
      </c>
      <c r="M1000" s="22">
        <f t="shared" si="103"/>
        <v>1016</v>
      </c>
      <c r="N1000" s="22">
        <f>M1000</f>
        <v>1016</v>
      </c>
      <c r="O1000" s="30">
        <f t="shared" si="104"/>
        <v>0.22024712768263602</v>
      </c>
    </row>
    <row r="1001" spans="1:15" ht="20.100000000000001" customHeight="1" x14ac:dyDescent="0.25">
      <c r="A1001" s="33">
        <v>881</v>
      </c>
      <c r="B1001" s="9">
        <v>43388</v>
      </c>
      <c r="C1001" s="18" t="s">
        <v>147</v>
      </c>
      <c r="D1001" s="11">
        <v>3232</v>
      </c>
      <c r="E1001" s="9">
        <v>43389</v>
      </c>
      <c r="F1001" s="15" t="s">
        <v>28</v>
      </c>
      <c r="G1001" s="12">
        <v>43392</v>
      </c>
      <c r="H1001" s="23">
        <f t="shared" si="102"/>
        <v>3232</v>
      </c>
      <c r="I1001" s="23"/>
      <c r="J1001" s="23"/>
      <c r="K1001" s="24"/>
      <c r="L1001" s="23">
        <v>2416</v>
      </c>
      <c r="M1001" s="22">
        <f t="shared" si="103"/>
        <v>816</v>
      </c>
      <c r="N1001" s="22"/>
      <c r="O1001" s="30">
        <f t="shared" si="104"/>
        <v>0.25247524752475248</v>
      </c>
    </row>
    <row r="1002" spans="1:15" ht="20.100000000000001" customHeight="1" x14ac:dyDescent="0.25">
      <c r="A1002" s="33">
        <v>873</v>
      </c>
      <c r="B1002" s="9">
        <v>43385</v>
      </c>
      <c r="C1002" s="18" t="s">
        <v>338</v>
      </c>
      <c r="D1002" s="11">
        <v>1272</v>
      </c>
      <c r="E1002" s="9">
        <v>43389</v>
      </c>
      <c r="F1002" s="15" t="s">
        <v>28</v>
      </c>
      <c r="G1002" s="12">
        <v>43390</v>
      </c>
      <c r="H1002" s="23">
        <f t="shared" si="102"/>
        <v>1272</v>
      </c>
      <c r="I1002" s="23"/>
      <c r="J1002" s="23"/>
      <c r="K1002" s="24"/>
      <c r="L1002" s="23">
        <v>990</v>
      </c>
      <c r="M1002" s="22">
        <f t="shared" si="103"/>
        <v>282</v>
      </c>
      <c r="N1002" s="22"/>
      <c r="O1002" s="30">
        <f t="shared" si="104"/>
        <v>0.22169811320754718</v>
      </c>
    </row>
    <row r="1003" spans="1:15" ht="20.100000000000001" customHeight="1" x14ac:dyDescent="0.25">
      <c r="A1003" s="33">
        <v>876</v>
      </c>
      <c r="B1003" s="9">
        <v>43388</v>
      </c>
      <c r="C1003" s="18" t="s">
        <v>238</v>
      </c>
      <c r="D1003" s="11">
        <v>1748</v>
      </c>
      <c r="E1003" s="9">
        <v>43390</v>
      </c>
      <c r="F1003" s="15" t="s">
        <v>28</v>
      </c>
      <c r="G1003" s="12">
        <v>43392</v>
      </c>
      <c r="H1003" s="23">
        <f t="shared" si="102"/>
        <v>1748</v>
      </c>
      <c r="I1003" s="23"/>
      <c r="J1003" s="23"/>
      <c r="K1003" s="24"/>
      <c r="L1003" s="23">
        <v>1362</v>
      </c>
      <c r="M1003" s="22">
        <f t="shared" si="103"/>
        <v>386</v>
      </c>
      <c r="N1003" s="22"/>
      <c r="O1003" s="30">
        <f t="shared" si="104"/>
        <v>0.2208237986270023</v>
      </c>
    </row>
    <row r="1004" spans="1:15" ht="20.100000000000001" customHeight="1" x14ac:dyDescent="0.25">
      <c r="A1004" s="33">
        <v>856</v>
      </c>
      <c r="B1004" s="9">
        <v>43392</v>
      </c>
      <c r="C1004" s="18" t="s">
        <v>303</v>
      </c>
      <c r="D1004" s="11">
        <v>60781.5</v>
      </c>
      <c r="E1004" s="9">
        <v>43392</v>
      </c>
      <c r="F1004" s="15" t="s">
        <v>28</v>
      </c>
      <c r="G1004" s="12">
        <v>43392</v>
      </c>
      <c r="H1004" s="23">
        <f t="shared" si="102"/>
        <v>60781.5</v>
      </c>
      <c r="I1004" s="23"/>
      <c r="J1004" s="23"/>
      <c r="K1004" s="24"/>
      <c r="L1004" s="23">
        <v>51391</v>
      </c>
      <c r="M1004" s="22">
        <f t="shared" si="103"/>
        <v>9390.5</v>
      </c>
      <c r="N1004" s="22"/>
      <c r="O1004" s="30">
        <f t="shared" si="104"/>
        <v>0.15449602263846729</v>
      </c>
    </row>
    <row r="1005" spans="1:15" ht="20.100000000000001" customHeight="1" x14ac:dyDescent="0.25">
      <c r="A1005" s="33">
        <v>828</v>
      </c>
      <c r="B1005" s="9">
        <v>43374</v>
      </c>
      <c r="C1005" s="18" t="s">
        <v>56</v>
      </c>
      <c r="D1005" s="11">
        <v>5000</v>
      </c>
      <c r="E1005" s="9">
        <v>43392</v>
      </c>
      <c r="F1005" s="15" t="s">
        <v>28</v>
      </c>
      <c r="G1005" s="12">
        <v>43382</v>
      </c>
      <c r="H1005" s="23">
        <f t="shared" si="102"/>
        <v>5000</v>
      </c>
      <c r="I1005" s="23"/>
      <c r="J1005" s="23"/>
      <c r="K1005" s="24"/>
      <c r="L1005" s="23">
        <v>2870</v>
      </c>
      <c r="M1005" s="22">
        <f t="shared" si="103"/>
        <v>2130</v>
      </c>
      <c r="N1005" s="22"/>
      <c r="O1005" s="30">
        <f t="shared" si="104"/>
        <v>0.42599999999999999</v>
      </c>
    </row>
    <row r="1006" spans="1:15" ht="20.100000000000001" customHeight="1" x14ac:dyDescent="0.25">
      <c r="A1006" s="33">
        <v>867</v>
      </c>
      <c r="B1006" s="9">
        <v>43384</v>
      </c>
      <c r="C1006" s="18" t="s">
        <v>228</v>
      </c>
      <c r="D1006" s="11">
        <v>12412</v>
      </c>
      <c r="E1006" s="9">
        <v>43396</v>
      </c>
      <c r="F1006" s="15" t="s">
        <v>28</v>
      </c>
      <c r="G1006" s="12">
        <v>43418</v>
      </c>
      <c r="H1006" s="23">
        <f t="shared" si="102"/>
        <v>12412</v>
      </c>
      <c r="I1006" s="23"/>
      <c r="J1006" s="23"/>
      <c r="K1006" s="24"/>
      <c r="L1006" s="23">
        <v>8040</v>
      </c>
      <c r="M1006" s="22">
        <f t="shared" si="103"/>
        <v>4372</v>
      </c>
      <c r="N1006" s="22"/>
      <c r="O1006" s="30">
        <f t="shared" si="104"/>
        <v>0.35223976796648404</v>
      </c>
    </row>
    <row r="1007" spans="1:15" ht="20.100000000000001" customHeight="1" x14ac:dyDescent="0.25">
      <c r="A1007" s="33">
        <v>866</v>
      </c>
      <c r="B1007" s="9">
        <v>43388</v>
      </c>
      <c r="C1007" s="18" t="s">
        <v>228</v>
      </c>
      <c r="D1007" s="11">
        <v>49361</v>
      </c>
      <c r="E1007" s="9">
        <v>43396</v>
      </c>
      <c r="F1007" s="15" t="s">
        <v>28</v>
      </c>
      <c r="G1007" s="12">
        <v>43439</v>
      </c>
      <c r="H1007" s="23">
        <f t="shared" si="102"/>
        <v>49361</v>
      </c>
      <c r="I1007" s="23"/>
      <c r="J1007" s="23"/>
      <c r="K1007" s="24">
        <v>1200</v>
      </c>
      <c r="L1007" s="23">
        <v>31700</v>
      </c>
      <c r="M1007" s="22">
        <f t="shared" si="103"/>
        <v>16461</v>
      </c>
      <c r="N1007" s="22"/>
      <c r="O1007" s="30">
        <f t="shared" si="104"/>
        <v>0.33348189866493788</v>
      </c>
    </row>
    <row r="1008" spans="1:15" ht="19.5" customHeight="1" x14ac:dyDescent="0.25">
      <c r="A1008" s="33">
        <v>850</v>
      </c>
      <c r="B1008" s="9">
        <v>43377</v>
      </c>
      <c r="C1008" s="18" t="s">
        <v>11</v>
      </c>
      <c r="D1008" s="11">
        <v>7108</v>
      </c>
      <c r="E1008" s="9">
        <v>43397</v>
      </c>
      <c r="F1008" s="15" t="s">
        <v>28</v>
      </c>
      <c r="G1008" s="12">
        <v>43425</v>
      </c>
      <c r="H1008" s="23">
        <f t="shared" si="102"/>
        <v>7108</v>
      </c>
      <c r="I1008" s="23"/>
      <c r="J1008" s="23"/>
      <c r="K1008" s="24"/>
      <c r="L1008" s="23">
        <v>5422</v>
      </c>
      <c r="M1008" s="22">
        <f t="shared" si="103"/>
        <v>1686</v>
      </c>
      <c r="N1008" s="22"/>
      <c r="O1008" s="30">
        <f t="shared" si="104"/>
        <v>0.23719752391671356</v>
      </c>
    </row>
    <row r="1009" spans="1:15" ht="15.75" x14ac:dyDescent="0.25">
      <c r="A1009" s="33">
        <v>879</v>
      </c>
      <c r="B1009" s="9">
        <v>43388</v>
      </c>
      <c r="C1009" s="18" t="s">
        <v>13</v>
      </c>
      <c r="D1009" s="11">
        <v>51854</v>
      </c>
      <c r="E1009" s="9">
        <v>43402</v>
      </c>
      <c r="F1009" s="15" t="s">
        <v>28</v>
      </c>
      <c r="G1009" s="12">
        <v>43395</v>
      </c>
      <c r="H1009" s="23">
        <f t="shared" si="102"/>
        <v>51854</v>
      </c>
      <c r="I1009" s="23"/>
      <c r="J1009" s="23"/>
      <c r="K1009" s="24"/>
      <c r="L1009" s="23">
        <v>43318</v>
      </c>
      <c r="M1009" s="22">
        <f t="shared" si="103"/>
        <v>8536</v>
      </c>
      <c r="N1009" s="22"/>
      <c r="O1009" s="30">
        <f t="shared" si="104"/>
        <v>0.1646160373355961</v>
      </c>
    </row>
    <row r="1010" spans="1:15" s="2" customFormat="1" ht="20.100000000000001" customHeight="1" x14ac:dyDescent="0.25">
      <c r="A1010" s="33">
        <v>870</v>
      </c>
      <c r="B1010" s="9">
        <v>43385</v>
      </c>
      <c r="C1010" s="18" t="s">
        <v>11</v>
      </c>
      <c r="D1010" s="11">
        <v>16722</v>
      </c>
      <c r="E1010" s="9">
        <v>43404</v>
      </c>
      <c r="F1010" s="15" t="s">
        <v>28</v>
      </c>
      <c r="G1010" s="12">
        <v>43411</v>
      </c>
      <c r="H1010" s="23">
        <f t="shared" si="102"/>
        <v>16722</v>
      </c>
      <c r="I1010" s="23"/>
      <c r="J1010" s="23"/>
      <c r="K1010" s="24"/>
      <c r="L1010" s="23">
        <v>13042</v>
      </c>
      <c r="M1010" s="22">
        <f t="shared" si="103"/>
        <v>3680</v>
      </c>
      <c r="N1010" s="22"/>
      <c r="O1010" s="30">
        <f t="shared" si="104"/>
        <v>0.2200693696926205</v>
      </c>
    </row>
    <row r="1011" spans="1:15" ht="20.100000000000001" customHeight="1" x14ac:dyDescent="0.25">
      <c r="A1011" s="33">
        <v>833</v>
      </c>
      <c r="B1011" s="9">
        <v>43396</v>
      </c>
      <c r="C1011" s="18" t="s">
        <v>99</v>
      </c>
      <c r="D1011" s="11">
        <v>583960</v>
      </c>
      <c r="E1011" s="9">
        <v>43404</v>
      </c>
      <c r="F1011" s="15" t="s">
        <v>28</v>
      </c>
      <c r="G1011" s="12">
        <v>43396</v>
      </c>
      <c r="H1011" s="23">
        <f t="shared" si="102"/>
        <v>583960</v>
      </c>
      <c r="I1011" s="23"/>
      <c r="J1011" s="23"/>
      <c r="K1011" s="24"/>
      <c r="L1011" s="23">
        <v>441472</v>
      </c>
      <c r="M1011" s="22">
        <f t="shared" si="103"/>
        <v>142488</v>
      </c>
      <c r="N1011" s="22"/>
      <c r="O1011" s="30">
        <f t="shared" si="104"/>
        <v>0.24400301390506199</v>
      </c>
    </row>
    <row r="1012" spans="1:15" ht="20.100000000000001" customHeight="1" x14ac:dyDescent="0.25">
      <c r="A1012" s="33">
        <v>789</v>
      </c>
      <c r="B1012" s="9">
        <v>43374</v>
      </c>
      <c r="C1012" s="18" t="s">
        <v>99</v>
      </c>
      <c r="D1012" s="3">
        <v>48063</v>
      </c>
      <c r="E1012" s="9">
        <v>43404</v>
      </c>
      <c r="F1012" s="15" t="s">
        <v>28</v>
      </c>
      <c r="G1012" s="12">
        <v>43374</v>
      </c>
      <c r="H1012" s="23">
        <f t="shared" si="102"/>
        <v>48063</v>
      </c>
      <c r="I1012" s="23"/>
      <c r="J1012" s="23">
        <v>6000</v>
      </c>
      <c r="K1012" s="24">
        <v>1200</v>
      </c>
      <c r="L1012" s="23">
        <v>21010</v>
      </c>
      <c r="M1012" s="22">
        <f t="shared" si="103"/>
        <v>19853</v>
      </c>
      <c r="N1012" s="22"/>
      <c r="O1012" s="30">
        <f t="shared" si="104"/>
        <v>0.41306202276179182</v>
      </c>
    </row>
    <row r="1013" spans="1:15" ht="20.100000000000001" customHeight="1" x14ac:dyDescent="0.25">
      <c r="A1013" s="33">
        <v>832</v>
      </c>
      <c r="B1013" s="9">
        <v>43374</v>
      </c>
      <c r="C1013" s="18" t="s">
        <v>99</v>
      </c>
      <c r="D1013" s="11">
        <v>4910</v>
      </c>
      <c r="E1013" s="9">
        <v>43404</v>
      </c>
      <c r="F1013" s="15" t="s">
        <v>28</v>
      </c>
      <c r="G1013" s="12">
        <v>43374</v>
      </c>
      <c r="H1013" s="23">
        <f t="shared" si="102"/>
        <v>4910</v>
      </c>
      <c r="I1013" s="23"/>
      <c r="J1013" s="23"/>
      <c r="K1013" s="24"/>
      <c r="L1013" s="23">
        <v>3829</v>
      </c>
      <c r="M1013" s="22">
        <f t="shared" si="103"/>
        <v>1081</v>
      </c>
      <c r="N1013" s="22"/>
      <c r="O1013" s="30">
        <f t="shared" si="104"/>
        <v>0.22016293279022403</v>
      </c>
    </row>
    <row r="1014" spans="1:15" ht="20.100000000000001" customHeight="1" x14ac:dyDescent="0.25">
      <c r="A1014" s="33">
        <v>831</v>
      </c>
      <c r="B1014" s="9">
        <v>43396</v>
      </c>
      <c r="C1014" s="18" t="s">
        <v>99</v>
      </c>
      <c r="D1014" s="11">
        <v>140640</v>
      </c>
      <c r="E1014" s="9">
        <v>43404</v>
      </c>
      <c r="F1014" s="15" t="s">
        <v>28</v>
      </c>
      <c r="G1014" s="12">
        <v>43396</v>
      </c>
      <c r="H1014" s="23">
        <f t="shared" si="102"/>
        <v>140640</v>
      </c>
      <c r="I1014" s="23"/>
      <c r="J1014" s="23">
        <v>36000</v>
      </c>
      <c r="K1014" s="24">
        <f>12*600</f>
        <v>7200</v>
      </c>
      <c r="L1014" s="23">
        <v>15576</v>
      </c>
      <c r="M1014" s="22">
        <f t="shared" si="103"/>
        <v>81864</v>
      </c>
      <c r="N1014" s="22"/>
      <c r="O1014" s="30">
        <f t="shared" si="104"/>
        <v>0.58208191126279862</v>
      </c>
    </row>
    <row r="1015" spans="1:15" ht="20.100000000000001" customHeight="1" x14ac:dyDescent="0.25">
      <c r="A1015" s="35" t="s">
        <v>535</v>
      </c>
      <c r="B1015" s="36"/>
      <c r="C1015" s="42"/>
      <c r="D1015" s="37"/>
      <c r="E1015" s="46" t="s">
        <v>560</v>
      </c>
      <c r="F1015" s="47">
        <f>M1015*0.17+N1015*0.06</f>
        <v>62252.415300000008</v>
      </c>
      <c r="G1015" s="21">
        <f>H1015*0.05+I1015*0.02</f>
        <v>63267.677500000013</v>
      </c>
      <c r="H1015" s="49">
        <f>SUBTOTAL(109,Октябрь2018[Продажа])</f>
        <v>1251788.3500000001</v>
      </c>
      <c r="I1015" s="49">
        <f>SUBTOTAL(109,Октябрь2018[Продажа НК])</f>
        <v>33913</v>
      </c>
      <c r="J1015" s="49">
        <f>SUBTOTAL(109,Октябрь2018[отк])</f>
        <v>42000</v>
      </c>
      <c r="K1015" s="49">
        <f>SUBTOTAL(109,Октябрь2018[шланги])</f>
        <v>10200</v>
      </c>
      <c r="L1015" s="49">
        <f>SUBTOTAL(109,Октябрь2018[Закупка])</f>
        <v>836540.26</v>
      </c>
      <c r="M1015" s="49">
        <f>SUBTOTAL(109,Октябрь2018[Маржа])</f>
        <v>363048.09</v>
      </c>
      <c r="N1015" s="49">
        <f>SUBTOTAL(109,Октябрь2018[Маржа НК])</f>
        <v>8904</v>
      </c>
      <c r="O1015" s="44">
        <f t="shared" si="104"/>
        <v>0.29002354112019019</v>
      </c>
    </row>
    <row r="1016" spans="1:15" ht="20.100000000000001" customHeight="1" x14ac:dyDescent="0.25">
      <c r="A1016" s="41" t="s">
        <v>1</v>
      </c>
      <c r="B1016" s="1" t="s">
        <v>0</v>
      </c>
      <c r="C1016" s="1" t="s">
        <v>26</v>
      </c>
      <c r="D1016" s="1" t="s">
        <v>2</v>
      </c>
      <c r="E1016" s="1" t="s">
        <v>3</v>
      </c>
      <c r="F1016" s="1" t="s">
        <v>27</v>
      </c>
      <c r="G1016" s="1" t="s">
        <v>4</v>
      </c>
      <c r="H1016" s="2" t="s">
        <v>132</v>
      </c>
      <c r="I1016" s="2" t="s">
        <v>133</v>
      </c>
      <c r="J1016" s="40" t="s">
        <v>187</v>
      </c>
      <c r="K1016" s="40" t="s">
        <v>188</v>
      </c>
      <c r="L1016" s="40" t="s">
        <v>129</v>
      </c>
      <c r="M1016" s="40" t="s">
        <v>130</v>
      </c>
      <c r="N1016" s="2" t="s">
        <v>131</v>
      </c>
      <c r="O1016" s="2" t="s">
        <v>134</v>
      </c>
    </row>
    <row r="1017" spans="1:15" ht="20.100000000000001" customHeight="1" x14ac:dyDescent="0.25">
      <c r="A1017" s="33">
        <v>895</v>
      </c>
      <c r="B1017" s="9">
        <v>43396</v>
      </c>
      <c r="C1017" s="18" t="s">
        <v>91</v>
      </c>
      <c r="D1017" s="11">
        <v>2500</v>
      </c>
      <c r="E1017" s="9">
        <v>43405</v>
      </c>
      <c r="F1017" s="15" t="s">
        <v>28</v>
      </c>
      <c r="G1017" s="12">
        <v>43411</v>
      </c>
      <c r="H1017" s="23">
        <f t="shared" ref="H1017:H1024" si="105">D1017</f>
        <v>2500</v>
      </c>
      <c r="I1017" s="23"/>
      <c r="J1017" s="23"/>
      <c r="K1017" s="24"/>
      <c r="L1017" s="23">
        <v>1250</v>
      </c>
      <c r="M1017" s="22">
        <f t="shared" ref="M1017:M1038" si="106">H1017-L1017-J1017-K1017</f>
        <v>1250</v>
      </c>
      <c r="N1017" s="22"/>
      <c r="O1017" s="30">
        <f t="shared" ref="O1017:O1039" si="107">M1017/H1017</f>
        <v>0.5</v>
      </c>
    </row>
    <row r="1018" spans="1:15" ht="20.100000000000001" customHeight="1" x14ac:dyDescent="0.25">
      <c r="A1018" s="33">
        <v>915</v>
      </c>
      <c r="B1018" s="9">
        <v>43405</v>
      </c>
      <c r="C1018" s="18" t="s">
        <v>348</v>
      </c>
      <c r="D1018" s="11">
        <v>4000</v>
      </c>
      <c r="E1018" s="9">
        <v>43406</v>
      </c>
      <c r="F1018" s="15" t="s">
        <v>28</v>
      </c>
      <c r="G1018" s="12">
        <v>43405</v>
      </c>
      <c r="H1018" s="23">
        <f t="shared" si="105"/>
        <v>4000</v>
      </c>
      <c r="I1018" s="23"/>
      <c r="J1018" s="23"/>
      <c r="K1018" s="24">
        <v>600</v>
      </c>
      <c r="L1018" s="23">
        <v>1281.73</v>
      </c>
      <c r="M1018" s="22">
        <f t="shared" si="106"/>
        <v>2118.27</v>
      </c>
      <c r="N1018" s="22"/>
      <c r="O1018" s="30">
        <f t="shared" si="107"/>
        <v>0.52956749999999997</v>
      </c>
    </row>
    <row r="1019" spans="1:15" ht="20.100000000000001" customHeight="1" x14ac:dyDescent="0.25">
      <c r="A1019" s="33">
        <v>933</v>
      </c>
      <c r="B1019" s="9">
        <v>43411</v>
      </c>
      <c r="C1019" s="18" t="s">
        <v>16</v>
      </c>
      <c r="D1019" s="11">
        <v>16156</v>
      </c>
      <c r="E1019" s="9">
        <v>43413</v>
      </c>
      <c r="F1019" s="15" t="s">
        <v>28</v>
      </c>
      <c r="G1019" s="12">
        <v>43438</v>
      </c>
      <c r="H1019" s="23">
        <f t="shared" si="105"/>
        <v>16156</v>
      </c>
      <c r="I1019" s="23"/>
      <c r="J1019" s="23"/>
      <c r="K1019" s="24"/>
      <c r="L1019" s="23">
        <v>12604</v>
      </c>
      <c r="M1019" s="22">
        <f t="shared" si="106"/>
        <v>3552</v>
      </c>
      <c r="N1019" s="22"/>
      <c r="O1019" s="30">
        <f t="shared" si="107"/>
        <v>0.21985640009903443</v>
      </c>
    </row>
    <row r="1020" spans="1:15" ht="20.100000000000001" customHeight="1" x14ac:dyDescent="0.25">
      <c r="A1020" s="33">
        <v>931</v>
      </c>
      <c r="B1020" s="9">
        <v>43411</v>
      </c>
      <c r="C1020" s="18" t="s">
        <v>319</v>
      </c>
      <c r="D1020" s="11">
        <v>2450</v>
      </c>
      <c r="E1020" s="9">
        <v>43416</v>
      </c>
      <c r="F1020" s="15" t="s">
        <v>28</v>
      </c>
      <c r="G1020" s="12">
        <v>43437</v>
      </c>
      <c r="H1020" s="23">
        <f t="shared" si="105"/>
        <v>2450</v>
      </c>
      <c r="I1020" s="23"/>
      <c r="J1020" s="23"/>
      <c r="K1020" s="24"/>
      <c r="L1020" s="23">
        <v>2182</v>
      </c>
      <c r="M1020" s="22">
        <f t="shared" si="106"/>
        <v>268</v>
      </c>
      <c r="N1020" s="22"/>
      <c r="O1020" s="30">
        <f t="shared" si="107"/>
        <v>0.10938775510204081</v>
      </c>
    </row>
    <row r="1021" spans="1:15" ht="20.100000000000001" customHeight="1" x14ac:dyDescent="0.25">
      <c r="A1021" s="33">
        <v>941</v>
      </c>
      <c r="B1021" s="9">
        <v>43413</v>
      </c>
      <c r="C1021" s="18" t="s">
        <v>149</v>
      </c>
      <c r="D1021" s="11">
        <v>34390</v>
      </c>
      <c r="E1021" s="9">
        <v>43417</v>
      </c>
      <c r="F1021" s="15" t="s">
        <v>28</v>
      </c>
      <c r="G1021" s="12">
        <v>43430</v>
      </c>
      <c r="H1021" s="23">
        <f t="shared" si="105"/>
        <v>34390</v>
      </c>
      <c r="I1021" s="23"/>
      <c r="J1021" s="23"/>
      <c r="K1021" s="24"/>
      <c r="L1021" s="23">
        <v>25999</v>
      </c>
      <c r="M1021" s="22">
        <f t="shared" si="106"/>
        <v>8391</v>
      </c>
      <c r="N1021" s="22"/>
      <c r="O1021" s="30">
        <f t="shared" si="107"/>
        <v>0.24399534748473392</v>
      </c>
    </row>
    <row r="1022" spans="1:15" ht="20.100000000000001" customHeight="1" x14ac:dyDescent="0.25">
      <c r="A1022" s="33">
        <v>937</v>
      </c>
      <c r="B1022" s="9">
        <v>43412</v>
      </c>
      <c r="C1022" s="18" t="s">
        <v>13</v>
      </c>
      <c r="D1022" s="11">
        <v>9109</v>
      </c>
      <c r="E1022" s="9">
        <v>43420</v>
      </c>
      <c r="F1022" s="15" t="s">
        <v>28</v>
      </c>
      <c r="G1022" s="12">
        <v>43416</v>
      </c>
      <c r="H1022" s="23">
        <f t="shared" si="105"/>
        <v>9109</v>
      </c>
      <c r="I1022" s="23"/>
      <c r="J1022" s="23"/>
      <c r="K1022" s="24"/>
      <c r="L1022" s="23">
        <v>6865</v>
      </c>
      <c r="M1022" s="22">
        <f t="shared" si="106"/>
        <v>2244</v>
      </c>
      <c r="N1022" s="22"/>
      <c r="O1022" s="30">
        <f t="shared" si="107"/>
        <v>0.24634976396970029</v>
      </c>
    </row>
    <row r="1023" spans="1:15" ht="20.100000000000001" customHeight="1" x14ac:dyDescent="0.25">
      <c r="A1023" s="33">
        <v>916</v>
      </c>
      <c r="B1023" s="9">
        <v>43416</v>
      </c>
      <c r="C1023" s="18" t="s">
        <v>302</v>
      </c>
      <c r="D1023" s="11">
        <v>8086</v>
      </c>
      <c r="E1023" s="9">
        <v>43423</v>
      </c>
      <c r="F1023" s="15" t="s">
        <v>28</v>
      </c>
      <c r="G1023" s="12">
        <v>43416</v>
      </c>
      <c r="H1023" s="23">
        <f t="shared" si="105"/>
        <v>8086</v>
      </c>
      <c r="I1023" s="23"/>
      <c r="J1023" s="23"/>
      <c r="K1023" s="24"/>
      <c r="L1023" s="23">
        <v>6140</v>
      </c>
      <c r="M1023" s="22">
        <f t="shared" si="106"/>
        <v>1946</v>
      </c>
      <c r="N1023" s="22"/>
      <c r="O1023" s="30">
        <f t="shared" si="107"/>
        <v>0.24066287410338857</v>
      </c>
    </row>
    <row r="1024" spans="1:15" ht="20.100000000000001" customHeight="1" x14ac:dyDescent="0.25">
      <c r="A1024" s="33">
        <v>960</v>
      </c>
      <c r="B1024" s="9">
        <v>43420</v>
      </c>
      <c r="C1024" s="18" t="s">
        <v>16</v>
      </c>
      <c r="D1024" s="11">
        <v>35700</v>
      </c>
      <c r="E1024" s="9">
        <v>43423</v>
      </c>
      <c r="F1024" s="15" t="s">
        <v>28</v>
      </c>
      <c r="G1024" s="12">
        <v>43438</v>
      </c>
      <c r="H1024" s="23">
        <f t="shared" si="105"/>
        <v>35700</v>
      </c>
      <c r="I1024" s="23"/>
      <c r="J1024" s="23"/>
      <c r="K1024" s="24"/>
      <c r="L1024" s="23">
        <v>27489</v>
      </c>
      <c r="M1024" s="22">
        <f t="shared" si="106"/>
        <v>8211</v>
      </c>
      <c r="N1024" s="22"/>
      <c r="O1024" s="30">
        <f t="shared" si="107"/>
        <v>0.23</v>
      </c>
    </row>
    <row r="1025" spans="1:15" ht="20.100000000000001" customHeight="1" x14ac:dyDescent="0.25">
      <c r="A1025" s="33">
        <v>892</v>
      </c>
      <c r="B1025" s="9">
        <v>43392</v>
      </c>
      <c r="C1025" s="18" t="s">
        <v>65</v>
      </c>
      <c r="D1025" s="11">
        <v>367416.06</v>
      </c>
      <c r="E1025" s="9">
        <v>43426</v>
      </c>
      <c r="F1025" s="15" t="s">
        <v>28</v>
      </c>
      <c r="G1025" s="12">
        <v>43403</v>
      </c>
      <c r="H1025" s="23">
        <v>74519.899999999994</v>
      </c>
      <c r="I1025" s="23"/>
      <c r="J1025" s="23"/>
      <c r="K1025" s="24"/>
      <c r="L1025" s="23">
        <v>62160</v>
      </c>
      <c r="M1025" s="22">
        <f t="shared" si="106"/>
        <v>12359.899999999994</v>
      </c>
      <c r="N1025" s="22"/>
      <c r="O1025" s="30">
        <f t="shared" si="107"/>
        <v>0.16586039433761982</v>
      </c>
    </row>
    <row r="1026" spans="1:15" ht="20.100000000000001" customHeight="1" x14ac:dyDescent="0.25">
      <c r="A1026" s="33">
        <v>978</v>
      </c>
      <c r="B1026" s="9">
        <v>43425</v>
      </c>
      <c r="C1026" s="18" t="s">
        <v>330</v>
      </c>
      <c r="D1026" s="11">
        <v>6255</v>
      </c>
      <c r="E1026" s="9">
        <v>43426</v>
      </c>
      <c r="F1026" s="15" t="s">
        <v>28</v>
      </c>
      <c r="G1026" s="12">
        <v>43430</v>
      </c>
      <c r="H1026" s="23">
        <f t="shared" ref="H1026:H1038" si="108">D1026</f>
        <v>6255</v>
      </c>
      <c r="I1026" s="23"/>
      <c r="J1026" s="23"/>
      <c r="K1026" s="24"/>
      <c r="L1026" s="23">
        <v>4830</v>
      </c>
      <c r="M1026" s="22">
        <f t="shared" si="106"/>
        <v>1425</v>
      </c>
      <c r="N1026" s="22"/>
      <c r="O1026" s="30">
        <f t="shared" si="107"/>
        <v>0.22781774580335731</v>
      </c>
    </row>
    <row r="1027" spans="1:15" ht="20.100000000000001" customHeight="1" x14ac:dyDescent="0.25">
      <c r="A1027" s="33">
        <v>852</v>
      </c>
      <c r="B1027" s="9">
        <v>43378</v>
      </c>
      <c r="C1027" s="18" t="s">
        <v>38</v>
      </c>
      <c r="D1027" s="11">
        <v>29990</v>
      </c>
      <c r="E1027" s="9">
        <v>43426</v>
      </c>
      <c r="F1027" s="15" t="s">
        <v>28</v>
      </c>
      <c r="G1027" s="12">
        <v>43403</v>
      </c>
      <c r="H1027" s="23">
        <f t="shared" si="108"/>
        <v>29990</v>
      </c>
      <c r="I1027" s="23"/>
      <c r="J1027" s="23"/>
      <c r="K1027" s="24"/>
      <c r="L1027" s="23">
        <v>23428</v>
      </c>
      <c r="M1027" s="22">
        <f t="shared" si="106"/>
        <v>6562</v>
      </c>
      <c r="N1027" s="22"/>
      <c r="O1027" s="30">
        <f t="shared" si="107"/>
        <v>0.21880626875625209</v>
      </c>
    </row>
    <row r="1028" spans="1:15" ht="20.100000000000001" customHeight="1" x14ac:dyDescent="0.25">
      <c r="A1028" s="33">
        <v>788</v>
      </c>
      <c r="B1028" s="9">
        <v>43396</v>
      </c>
      <c r="C1028" s="18" t="s">
        <v>99</v>
      </c>
      <c r="D1028" s="11">
        <v>420000</v>
      </c>
      <c r="E1028" s="9">
        <v>43427</v>
      </c>
      <c r="F1028" s="15" t="s">
        <v>28</v>
      </c>
      <c r="G1028" s="12">
        <v>43396</v>
      </c>
      <c r="H1028" s="23">
        <f t="shared" si="108"/>
        <v>420000</v>
      </c>
      <c r="I1028" s="23"/>
      <c r="J1028" s="23"/>
      <c r="K1028" s="24">
        <v>30000</v>
      </c>
      <c r="L1028" s="23">
        <v>331104</v>
      </c>
      <c r="M1028" s="22">
        <f t="shared" si="106"/>
        <v>58896</v>
      </c>
      <c r="N1028" s="22"/>
      <c r="O1028" s="30">
        <f t="shared" si="107"/>
        <v>0.14022857142857142</v>
      </c>
    </row>
    <row r="1029" spans="1:15" ht="20.100000000000001" customHeight="1" x14ac:dyDescent="0.25">
      <c r="A1029" s="33">
        <v>948</v>
      </c>
      <c r="B1029" s="9">
        <v>43417</v>
      </c>
      <c r="C1029" s="18" t="s">
        <v>149</v>
      </c>
      <c r="D1029" s="11">
        <v>2446</v>
      </c>
      <c r="E1029" s="9">
        <v>43430</v>
      </c>
      <c r="F1029" s="15" t="s">
        <v>28</v>
      </c>
      <c r="G1029" s="12">
        <v>43430</v>
      </c>
      <c r="H1029" s="23">
        <f t="shared" si="108"/>
        <v>2446</v>
      </c>
      <c r="I1029" s="23"/>
      <c r="J1029" s="23"/>
      <c r="K1029" s="24"/>
      <c r="L1029" s="23">
        <v>1908</v>
      </c>
      <c r="M1029" s="22">
        <f t="shared" si="106"/>
        <v>538</v>
      </c>
      <c r="N1029" s="22"/>
      <c r="O1029" s="30">
        <f t="shared" si="107"/>
        <v>0.21995094031071136</v>
      </c>
    </row>
    <row r="1030" spans="1:15" ht="20.100000000000001" customHeight="1" x14ac:dyDescent="0.25">
      <c r="A1030" s="33">
        <v>985</v>
      </c>
      <c r="B1030" s="9">
        <v>43430</v>
      </c>
      <c r="C1030" s="20" t="s">
        <v>360</v>
      </c>
      <c r="D1030" s="11">
        <v>6814</v>
      </c>
      <c r="E1030" s="9">
        <v>43430</v>
      </c>
      <c r="F1030" s="15" t="s">
        <v>28</v>
      </c>
      <c r="G1030" s="12">
        <v>43433</v>
      </c>
      <c r="H1030" s="23">
        <f t="shared" si="108"/>
        <v>6814</v>
      </c>
      <c r="I1030" s="23">
        <f>H1030</f>
        <v>6814</v>
      </c>
      <c r="J1030" s="23"/>
      <c r="K1030" s="24"/>
      <c r="L1030" s="23">
        <v>5138</v>
      </c>
      <c r="M1030" s="22">
        <f t="shared" si="106"/>
        <v>1676</v>
      </c>
      <c r="N1030" s="22">
        <f>M1030</f>
        <v>1676</v>
      </c>
      <c r="O1030" s="30">
        <f t="shared" si="107"/>
        <v>0.24596419137070738</v>
      </c>
    </row>
    <row r="1031" spans="1:15" ht="20.100000000000001" customHeight="1" x14ac:dyDescent="0.25">
      <c r="A1031" s="33">
        <v>986</v>
      </c>
      <c r="B1031" s="9">
        <v>43430</v>
      </c>
      <c r="C1031" s="18" t="s">
        <v>200</v>
      </c>
      <c r="D1031" s="11">
        <v>44680</v>
      </c>
      <c r="E1031" s="9">
        <v>43431</v>
      </c>
      <c r="F1031" s="15" t="s">
        <v>28</v>
      </c>
      <c r="G1031" s="12">
        <v>43432</v>
      </c>
      <c r="H1031" s="23">
        <f t="shared" si="108"/>
        <v>44680</v>
      </c>
      <c r="I1031" s="23"/>
      <c r="J1031" s="23"/>
      <c r="K1031" s="24"/>
      <c r="L1031" s="23">
        <v>33777</v>
      </c>
      <c r="M1031" s="22">
        <f t="shared" si="106"/>
        <v>10903</v>
      </c>
      <c r="N1031" s="22"/>
      <c r="O1031" s="30">
        <f t="shared" si="107"/>
        <v>0.24402417188898837</v>
      </c>
    </row>
    <row r="1032" spans="1:15" ht="20.100000000000001" customHeight="1" x14ac:dyDescent="0.25">
      <c r="A1032" s="33">
        <v>990</v>
      </c>
      <c r="B1032" s="9">
        <v>43430</v>
      </c>
      <c r="C1032" s="18" t="s">
        <v>211</v>
      </c>
      <c r="D1032" s="11">
        <v>7402</v>
      </c>
      <c r="E1032" s="9">
        <v>43431</v>
      </c>
      <c r="F1032" s="15" t="s">
        <v>28</v>
      </c>
      <c r="G1032" s="12">
        <v>43461</v>
      </c>
      <c r="H1032" s="23">
        <f t="shared" si="108"/>
        <v>7402</v>
      </c>
      <c r="I1032" s="23"/>
      <c r="J1032" s="23"/>
      <c r="K1032" s="24"/>
      <c r="L1032" s="23">
        <v>5699</v>
      </c>
      <c r="M1032" s="22">
        <f t="shared" si="106"/>
        <v>1703</v>
      </c>
      <c r="N1032" s="22"/>
      <c r="O1032" s="30">
        <f t="shared" si="107"/>
        <v>0.23007295325587679</v>
      </c>
    </row>
    <row r="1033" spans="1:15" ht="20.100000000000001" customHeight="1" x14ac:dyDescent="0.25">
      <c r="A1033" s="33">
        <v>781</v>
      </c>
      <c r="B1033" s="9">
        <v>43431</v>
      </c>
      <c r="C1033" s="18" t="s">
        <v>361</v>
      </c>
      <c r="D1033" s="11">
        <v>28766</v>
      </c>
      <c r="E1033" s="9">
        <v>43431</v>
      </c>
      <c r="F1033" s="15" t="s">
        <v>28</v>
      </c>
      <c r="G1033" s="12">
        <v>43447</v>
      </c>
      <c r="H1033" s="23">
        <f t="shared" si="108"/>
        <v>28766</v>
      </c>
      <c r="I1033" s="23"/>
      <c r="J1033" s="23"/>
      <c r="K1033" s="24"/>
      <c r="L1033" s="23">
        <v>20889</v>
      </c>
      <c r="M1033" s="22">
        <f t="shared" si="106"/>
        <v>7877</v>
      </c>
      <c r="N1033" s="22"/>
      <c r="O1033" s="30">
        <f t="shared" si="107"/>
        <v>0.27383021622749076</v>
      </c>
    </row>
    <row r="1034" spans="1:15" ht="20.100000000000001" customHeight="1" x14ac:dyDescent="0.25">
      <c r="A1034" s="33">
        <v>860</v>
      </c>
      <c r="B1034" s="9">
        <v>43382</v>
      </c>
      <c r="C1034" s="18" t="s">
        <v>175</v>
      </c>
      <c r="D1034" s="11">
        <v>19175.75</v>
      </c>
      <c r="E1034" s="9">
        <v>43432</v>
      </c>
      <c r="F1034" s="15" t="s">
        <v>28</v>
      </c>
      <c r="G1034" s="12">
        <v>43440</v>
      </c>
      <c r="H1034" s="23">
        <f t="shared" si="108"/>
        <v>19175.75</v>
      </c>
      <c r="I1034" s="23"/>
      <c r="J1034" s="23"/>
      <c r="K1034" s="24"/>
      <c r="L1034" s="23">
        <v>14001</v>
      </c>
      <c r="M1034" s="22">
        <f t="shared" si="106"/>
        <v>5174.75</v>
      </c>
      <c r="N1034" s="22"/>
      <c r="O1034" s="30">
        <f t="shared" si="107"/>
        <v>0.26985906679008642</v>
      </c>
    </row>
    <row r="1035" spans="1:15" ht="19.5" customHeight="1" x14ac:dyDescent="0.25">
      <c r="A1035" s="33">
        <v>902</v>
      </c>
      <c r="B1035" s="9">
        <v>43398</v>
      </c>
      <c r="C1035" s="18" t="s">
        <v>56</v>
      </c>
      <c r="D1035" s="11">
        <v>32588</v>
      </c>
      <c r="E1035" s="9">
        <v>43432</v>
      </c>
      <c r="F1035" s="15" t="s">
        <v>28</v>
      </c>
      <c r="G1035" s="12">
        <v>43423</v>
      </c>
      <c r="H1035" s="23">
        <f t="shared" si="108"/>
        <v>32588</v>
      </c>
      <c r="I1035" s="23"/>
      <c r="J1035" s="23"/>
      <c r="K1035" s="24"/>
      <c r="L1035" s="23">
        <v>25417</v>
      </c>
      <c r="M1035" s="22">
        <f t="shared" si="106"/>
        <v>7171</v>
      </c>
      <c r="N1035" s="22"/>
      <c r="O1035" s="30">
        <f t="shared" si="107"/>
        <v>0.22005032527310667</v>
      </c>
    </row>
    <row r="1036" spans="1:15" ht="15.75" x14ac:dyDescent="0.25">
      <c r="A1036" s="33">
        <v>868</v>
      </c>
      <c r="B1036" s="9">
        <v>43405</v>
      </c>
      <c r="C1036" s="18" t="s">
        <v>38</v>
      </c>
      <c r="D1036" s="11">
        <v>24066</v>
      </c>
      <c r="E1036" s="9">
        <v>43432</v>
      </c>
      <c r="F1036" s="15" t="s">
        <v>28</v>
      </c>
      <c r="G1036" s="12">
        <v>43418</v>
      </c>
      <c r="H1036" s="23">
        <f t="shared" si="108"/>
        <v>24066</v>
      </c>
      <c r="I1036" s="23"/>
      <c r="J1036" s="23"/>
      <c r="K1036" s="24"/>
      <c r="L1036" s="23">
        <v>18238</v>
      </c>
      <c r="M1036" s="22">
        <f t="shared" si="106"/>
        <v>5828</v>
      </c>
      <c r="N1036" s="22"/>
      <c r="O1036" s="30">
        <f t="shared" si="107"/>
        <v>0.24216737305742542</v>
      </c>
    </row>
    <row r="1037" spans="1:15" s="2" customFormat="1" ht="20.100000000000001" customHeight="1" x14ac:dyDescent="0.25">
      <c r="A1037" s="33">
        <v>931</v>
      </c>
      <c r="B1037" s="9">
        <v>43411</v>
      </c>
      <c r="C1037" s="18" t="s">
        <v>319</v>
      </c>
      <c r="D1037" s="11">
        <v>2450</v>
      </c>
      <c r="E1037" s="9">
        <v>43434</v>
      </c>
      <c r="F1037" s="15" t="s">
        <v>28</v>
      </c>
      <c r="G1037" s="12">
        <v>43437</v>
      </c>
      <c r="H1037" s="23">
        <f t="shared" si="108"/>
        <v>2450</v>
      </c>
      <c r="I1037" s="23"/>
      <c r="J1037" s="23"/>
      <c r="K1037" s="24"/>
      <c r="L1037" s="23">
        <v>2182</v>
      </c>
      <c r="M1037" s="22">
        <f t="shared" si="106"/>
        <v>268</v>
      </c>
      <c r="N1037" s="22"/>
      <c r="O1037" s="30">
        <f t="shared" si="107"/>
        <v>0.10938775510204081</v>
      </c>
    </row>
    <row r="1038" spans="1:15" ht="20.100000000000001" customHeight="1" x14ac:dyDescent="0.25">
      <c r="A1038" s="33">
        <v>989</v>
      </c>
      <c r="B1038" s="9">
        <v>43430</v>
      </c>
      <c r="C1038" s="20" t="s">
        <v>359</v>
      </c>
      <c r="D1038" s="11">
        <v>6599</v>
      </c>
      <c r="E1038" s="9">
        <v>43434</v>
      </c>
      <c r="F1038" s="15" t="s">
        <v>28</v>
      </c>
      <c r="G1038" s="12">
        <v>43430</v>
      </c>
      <c r="H1038" s="23">
        <f t="shared" si="108"/>
        <v>6599</v>
      </c>
      <c r="I1038" s="23">
        <f>H1038</f>
        <v>6599</v>
      </c>
      <c r="J1038" s="23"/>
      <c r="K1038" s="24"/>
      <c r="L1038" s="23">
        <v>4850</v>
      </c>
      <c r="M1038" s="22">
        <f t="shared" si="106"/>
        <v>1749</v>
      </c>
      <c r="N1038" s="22">
        <f>M1038</f>
        <v>1749</v>
      </c>
      <c r="O1038" s="30">
        <f t="shared" si="107"/>
        <v>0.26504015759963628</v>
      </c>
    </row>
    <row r="1039" spans="1:15" ht="20.100000000000001" customHeight="1" x14ac:dyDescent="0.25">
      <c r="A1039" s="35" t="s">
        <v>535</v>
      </c>
      <c r="B1039" s="36"/>
      <c r="C1039" s="42"/>
      <c r="D1039" s="37"/>
      <c r="E1039" s="46" t="s">
        <v>561</v>
      </c>
      <c r="F1039" s="47">
        <f>M1039*0.12+N1039*0.06</f>
        <v>18218.810399999998</v>
      </c>
      <c r="G1039" s="21">
        <f>H1039*0.05+I1039*0.02</f>
        <v>41175.392500000009</v>
      </c>
      <c r="H1039" s="49">
        <f>SUBTOTAL(109,Ноябрь2018[Продажа])</f>
        <v>818142.65</v>
      </c>
      <c r="I1039" s="49">
        <f>SUBTOTAL(109,Ноябрь2018[Продажа НК])</f>
        <v>13413</v>
      </c>
      <c r="J1039" s="49">
        <f>SUBTOTAL(109,Ноябрь2018[отк])</f>
        <v>0</v>
      </c>
      <c r="K1039" s="49">
        <f>SUBTOTAL(109,Ноябрь2018[шланги])</f>
        <v>30600</v>
      </c>
      <c r="L1039" s="49">
        <f>SUBTOTAL(109,Ноябрь2018[Закупка])</f>
        <v>637431.73</v>
      </c>
      <c r="M1039" s="49">
        <f>SUBTOTAL(109,Ноябрь2018[Маржа])</f>
        <v>150110.91999999998</v>
      </c>
      <c r="N1039" s="49">
        <f>SUBTOTAL(109,Ноябрь2018[Маржа НК])</f>
        <v>3425</v>
      </c>
      <c r="O1039" s="44">
        <f t="shared" si="107"/>
        <v>0.18347768570676518</v>
      </c>
    </row>
    <row r="1040" spans="1:15" ht="19.5" customHeight="1" x14ac:dyDescent="0.25">
      <c r="A1040" s="41" t="s">
        <v>1</v>
      </c>
      <c r="B1040" s="1" t="s">
        <v>0</v>
      </c>
      <c r="C1040" s="1" t="s">
        <v>26</v>
      </c>
      <c r="D1040" s="1" t="s">
        <v>2</v>
      </c>
      <c r="E1040" s="1" t="s">
        <v>3</v>
      </c>
      <c r="F1040" s="1" t="s">
        <v>27</v>
      </c>
      <c r="G1040" s="1" t="s">
        <v>4</v>
      </c>
      <c r="H1040" s="2" t="s">
        <v>132</v>
      </c>
      <c r="I1040" s="2" t="s">
        <v>133</v>
      </c>
      <c r="J1040" s="40" t="s">
        <v>187</v>
      </c>
      <c r="K1040" s="40" t="s">
        <v>188</v>
      </c>
      <c r="L1040" s="40" t="s">
        <v>129</v>
      </c>
      <c r="M1040" s="40" t="s">
        <v>130</v>
      </c>
      <c r="N1040" s="2" t="s">
        <v>131</v>
      </c>
      <c r="O1040" s="2" t="s">
        <v>134</v>
      </c>
    </row>
    <row r="1041" spans="1:15" ht="19.5" customHeight="1" x14ac:dyDescent="0.25">
      <c r="A1041" s="33">
        <v>940</v>
      </c>
      <c r="B1041" s="9">
        <v>43413</v>
      </c>
      <c r="C1041" s="20" t="s">
        <v>362</v>
      </c>
      <c r="D1041" s="11">
        <v>6731</v>
      </c>
      <c r="E1041" s="9">
        <v>43437</v>
      </c>
      <c r="F1041" s="15" t="s">
        <v>28</v>
      </c>
      <c r="G1041" s="12">
        <v>43439</v>
      </c>
      <c r="H1041" s="23">
        <f>D1041</f>
        <v>6731</v>
      </c>
      <c r="I1041" s="23">
        <f>H1041</f>
        <v>6731</v>
      </c>
      <c r="J1041" s="23"/>
      <c r="K1041" s="24"/>
      <c r="L1041" s="23">
        <v>4196</v>
      </c>
      <c r="M1041" s="22">
        <f t="shared" ref="M1041:M1066" si="109">H1041-L1041-J1041-K1041</f>
        <v>2535</v>
      </c>
      <c r="N1041" s="22">
        <f>M1041</f>
        <v>2535</v>
      </c>
      <c r="O1041" s="30">
        <f t="shared" ref="O1041:O1067" si="110">M1041/H1041</f>
        <v>0.37661565889169513</v>
      </c>
    </row>
    <row r="1042" spans="1:15" ht="19.5" customHeight="1" x14ac:dyDescent="0.25">
      <c r="A1042" s="33">
        <v>1015</v>
      </c>
      <c r="B1042" s="9">
        <v>43438</v>
      </c>
      <c r="C1042" s="20" t="s">
        <v>363</v>
      </c>
      <c r="D1042" s="11">
        <v>9800</v>
      </c>
      <c r="E1042" s="9">
        <v>43438</v>
      </c>
      <c r="F1042" s="15" t="s">
        <v>28</v>
      </c>
      <c r="G1042" s="12">
        <v>43453</v>
      </c>
      <c r="H1042" s="23">
        <f>D1042</f>
        <v>9800</v>
      </c>
      <c r="I1042" s="23">
        <f>H1042</f>
        <v>9800</v>
      </c>
      <c r="J1042" s="23"/>
      <c r="K1042" s="24"/>
      <c r="L1042" s="23">
        <v>8728</v>
      </c>
      <c r="M1042" s="22">
        <f t="shared" si="109"/>
        <v>1072</v>
      </c>
      <c r="N1042" s="22">
        <f>M1042</f>
        <v>1072</v>
      </c>
      <c r="O1042" s="30">
        <f t="shared" si="110"/>
        <v>0.10938775510204081</v>
      </c>
    </row>
    <row r="1043" spans="1:15" ht="19.5" customHeight="1" x14ac:dyDescent="0.25">
      <c r="A1043" s="33">
        <v>991</v>
      </c>
      <c r="B1043" s="9">
        <v>43431</v>
      </c>
      <c r="C1043" s="18" t="s">
        <v>49</v>
      </c>
      <c r="D1043" s="11">
        <v>9738</v>
      </c>
      <c r="E1043" s="9">
        <v>43440</v>
      </c>
      <c r="F1043" s="15" t="s">
        <v>28</v>
      </c>
      <c r="G1043" s="12">
        <v>43441</v>
      </c>
      <c r="H1043" s="23">
        <f>D1043</f>
        <v>9738</v>
      </c>
      <c r="I1043" s="23"/>
      <c r="J1043" s="23"/>
      <c r="K1043" s="24"/>
      <c r="L1043" s="23">
        <v>6439</v>
      </c>
      <c r="M1043" s="22">
        <f t="shared" si="109"/>
        <v>3299</v>
      </c>
      <c r="N1043" s="22"/>
      <c r="O1043" s="30">
        <f t="shared" si="110"/>
        <v>0.3387759293489423</v>
      </c>
    </row>
    <row r="1044" spans="1:15" ht="20.100000000000001" customHeight="1" x14ac:dyDescent="0.25">
      <c r="A1044" s="33">
        <v>1020</v>
      </c>
      <c r="B1044" s="9">
        <v>43440</v>
      </c>
      <c r="C1044" s="18" t="s">
        <v>91</v>
      </c>
      <c r="D1044" s="11">
        <v>4954</v>
      </c>
      <c r="E1044" s="9">
        <v>43440</v>
      </c>
      <c r="F1044" s="15" t="s">
        <v>28</v>
      </c>
      <c r="G1044" s="12">
        <v>43441</v>
      </c>
      <c r="H1044" s="23">
        <f>D1044</f>
        <v>4954</v>
      </c>
      <c r="I1044" s="23"/>
      <c r="J1044" s="23"/>
      <c r="K1044" s="24"/>
      <c r="L1044" s="23">
        <v>3862</v>
      </c>
      <c r="M1044" s="22">
        <f t="shared" si="109"/>
        <v>1092</v>
      </c>
      <c r="N1044" s="22"/>
      <c r="O1044" s="30">
        <f t="shared" si="110"/>
        <v>0.22042793702058941</v>
      </c>
    </row>
    <row r="1045" spans="1:15" ht="20.100000000000001" customHeight="1" x14ac:dyDescent="0.25">
      <c r="A1045" s="33">
        <v>892</v>
      </c>
      <c r="B1045" s="9">
        <v>43392</v>
      </c>
      <c r="C1045" s="18" t="s">
        <v>65</v>
      </c>
      <c r="D1045" s="11">
        <v>367416.06</v>
      </c>
      <c r="E1045" s="9">
        <v>43440</v>
      </c>
      <c r="F1045" s="15" t="s">
        <v>28</v>
      </c>
      <c r="G1045" s="12">
        <v>43418</v>
      </c>
      <c r="H1045" s="23">
        <v>273689.65000000002</v>
      </c>
      <c r="I1045" s="23"/>
      <c r="J1045" s="23"/>
      <c r="K1045" s="24"/>
      <c r="L1045" s="23">
        <v>187545</v>
      </c>
      <c r="M1045" s="22">
        <f t="shared" si="109"/>
        <v>86144.650000000023</v>
      </c>
      <c r="N1045" s="22"/>
      <c r="O1045" s="30">
        <f t="shared" si="110"/>
        <v>0.31475304236020624</v>
      </c>
    </row>
    <row r="1046" spans="1:15" ht="20.100000000000001" customHeight="1" x14ac:dyDescent="0.25">
      <c r="A1046" s="33">
        <v>1012</v>
      </c>
      <c r="B1046" s="9">
        <v>43437</v>
      </c>
      <c r="C1046" s="18" t="s">
        <v>265</v>
      </c>
      <c r="D1046" s="11">
        <v>47790</v>
      </c>
      <c r="E1046" s="9">
        <v>43445</v>
      </c>
      <c r="F1046" s="15" t="s">
        <v>28</v>
      </c>
      <c r="G1046" s="12">
        <v>43446</v>
      </c>
      <c r="H1046" s="23">
        <f t="shared" ref="H1046:H1065" si="111">D1046</f>
        <v>47790</v>
      </c>
      <c r="I1046" s="23"/>
      <c r="J1046" s="23"/>
      <c r="K1046" s="24"/>
      <c r="L1046" s="23">
        <v>34579.11</v>
      </c>
      <c r="M1046" s="22">
        <f t="shared" si="109"/>
        <v>13210.89</v>
      </c>
      <c r="N1046" s="22"/>
      <c r="O1046" s="30">
        <f t="shared" si="110"/>
        <v>0.27643628374136847</v>
      </c>
    </row>
    <row r="1047" spans="1:15" ht="20.100000000000001" customHeight="1" x14ac:dyDescent="0.25">
      <c r="A1047" s="33">
        <v>1033</v>
      </c>
      <c r="B1047" s="9">
        <v>43445</v>
      </c>
      <c r="C1047" s="18" t="s">
        <v>118</v>
      </c>
      <c r="D1047" s="11">
        <v>5368.6</v>
      </c>
      <c r="E1047" s="9">
        <v>43446</v>
      </c>
      <c r="F1047" s="15" t="s">
        <v>28</v>
      </c>
      <c r="G1047" s="12">
        <v>43446</v>
      </c>
      <c r="H1047" s="23">
        <f t="shared" si="111"/>
        <v>5368.6</v>
      </c>
      <c r="I1047" s="23"/>
      <c r="J1047" s="23"/>
      <c r="K1047" s="24"/>
      <c r="L1047" s="23">
        <v>4658</v>
      </c>
      <c r="M1047" s="22">
        <f t="shared" si="109"/>
        <v>710.60000000000036</v>
      </c>
      <c r="N1047" s="22"/>
      <c r="O1047" s="30">
        <f t="shared" si="110"/>
        <v>0.13236225459151368</v>
      </c>
    </row>
    <row r="1048" spans="1:15" ht="19.5" customHeight="1" x14ac:dyDescent="0.25">
      <c r="A1048" s="33">
        <v>1036</v>
      </c>
      <c r="B1048" s="9">
        <v>43446</v>
      </c>
      <c r="C1048" s="18" t="s">
        <v>342</v>
      </c>
      <c r="D1048" s="11">
        <v>1532</v>
      </c>
      <c r="E1048" s="9">
        <v>43447</v>
      </c>
      <c r="F1048" s="15" t="s">
        <v>28</v>
      </c>
      <c r="G1048" s="12">
        <v>43452</v>
      </c>
      <c r="H1048" s="23">
        <f t="shared" si="111"/>
        <v>1532</v>
      </c>
      <c r="I1048" s="23"/>
      <c r="J1048" s="23"/>
      <c r="K1048" s="24"/>
      <c r="L1048" s="23">
        <v>1060</v>
      </c>
      <c r="M1048" s="22">
        <f t="shared" si="109"/>
        <v>472</v>
      </c>
      <c r="N1048" s="22"/>
      <c r="O1048" s="30">
        <f t="shared" si="110"/>
        <v>0.30809399477806787</v>
      </c>
    </row>
    <row r="1049" spans="1:15" ht="20.100000000000001" customHeight="1" x14ac:dyDescent="0.25">
      <c r="A1049" s="33">
        <v>1018</v>
      </c>
      <c r="B1049" s="9">
        <v>43440</v>
      </c>
      <c r="C1049" s="18" t="s">
        <v>13</v>
      </c>
      <c r="D1049" s="11">
        <v>6316</v>
      </c>
      <c r="E1049" s="9">
        <v>43447</v>
      </c>
      <c r="F1049" s="15" t="s">
        <v>28</v>
      </c>
      <c r="G1049" s="12">
        <v>43448</v>
      </c>
      <c r="H1049" s="23">
        <f t="shared" si="111"/>
        <v>6316</v>
      </c>
      <c r="I1049" s="23"/>
      <c r="J1049" s="23"/>
      <c r="K1049" s="24"/>
      <c r="L1049" s="23">
        <v>4698</v>
      </c>
      <c r="M1049" s="22">
        <f t="shared" si="109"/>
        <v>1618</v>
      </c>
      <c r="N1049" s="22"/>
      <c r="O1049" s="30">
        <f t="shared" si="110"/>
        <v>0.25617479417352756</v>
      </c>
    </row>
    <row r="1050" spans="1:15" ht="20.100000000000001" customHeight="1" x14ac:dyDescent="0.25">
      <c r="A1050" s="33">
        <v>1019</v>
      </c>
      <c r="B1050" s="9">
        <v>43440</v>
      </c>
      <c r="C1050" s="18" t="s">
        <v>13</v>
      </c>
      <c r="D1050" s="11">
        <v>5832</v>
      </c>
      <c r="E1050" s="9">
        <v>43447</v>
      </c>
      <c r="F1050" s="15" t="s">
        <v>28</v>
      </c>
      <c r="G1050" s="12">
        <v>43454</v>
      </c>
      <c r="H1050" s="23">
        <f t="shared" si="111"/>
        <v>5832</v>
      </c>
      <c r="I1050" s="23"/>
      <c r="J1050" s="23"/>
      <c r="K1050" s="24"/>
      <c r="L1050" s="23">
        <v>3848</v>
      </c>
      <c r="M1050" s="22">
        <f t="shared" si="109"/>
        <v>1984</v>
      </c>
      <c r="N1050" s="22"/>
      <c r="O1050" s="30">
        <f t="shared" si="110"/>
        <v>0.34019204389574759</v>
      </c>
    </row>
    <row r="1051" spans="1:15" ht="20.100000000000001" customHeight="1" x14ac:dyDescent="0.25">
      <c r="A1051" s="33">
        <v>1003</v>
      </c>
      <c r="B1051" s="9">
        <v>43433</v>
      </c>
      <c r="C1051" s="18" t="s">
        <v>147</v>
      </c>
      <c r="D1051" s="11">
        <v>19816</v>
      </c>
      <c r="E1051" s="9">
        <v>43447</v>
      </c>
      <c r="F1051" s="15" t="s">
        <v>28</v>
      </c>
      <c r="G1051" s="12">
        <v>43453</v>
      </c>
      <c r="H1051" s="23">
        <f t="shared" si="111"/>
        <v>19816</v>
      </c>
      <c r="I1051" s="23"/>
      <c r="J1051" s="23"/>
      <c r="K1051" s="24"/>
      <c r="L1051" s="23">
        <v>15448</v>
      </c>
      <c r="M1051" s="22">
        <f t="shared" si="109"/>
        <v>4368</v>
      </c>
      <c r="N1051" s="22"/>
      <c r="O1051" s="30">
        <f t="shared" si="110"/>
        <v>0.22042793702058941</v>
      </c>
    </row>
    <row r="1052" spans="1:15" ht="20.100000000000001" customHeight="1" x14ac:dyDescent="0.25">
      <c r="A1052" s="33">
        <v>1038</v>
      </c>
      <c r="B1052" s="9">
        <v>43447</v>
      </c>
      <c r="C1052" s="18" t="s">
        <v>211</v>
      </c>
      <c r="D1052" s="11">
        <v>4320</v>
      </c>
      <c r="E1052" s="9">
        <v>43448</v>
      </c>
      <c r="F1052" s="15" t="s">
        <v>28</v>
      </c>
      <c r="G1052" s="12">
        <v>43461</v>
      </c>
      <c r="H1052" s="23">
        <f t="shared" si="111"/>
        <v>4320</v>
      </c>
      <c r="I1052" s="23"/>
      <c r="J1052" s="23"/>
      <c r="K1052" s="24"/>
      <c r="L1052" s="23">
        <v>3362</v>
      </c>
      <c r="M1052" s="22">
        <f t="shared" si="109"/>
        <v>958</v>
      </c>
      <c r="N1052" s="22"/>
      <c r="O1052" s="30">
        <f t="shared" si="110"/>
        <v>0.22175925925925927</v>
      </c>
    </row>
    <row r="1053" spans="1:15" ht="20.100000000000001" customHeight="1" x14ac:dyDescent="0.25">
      <c r="A1053" s="33">
        <v>1037</v>
      </c>
      <c r="B1053" s="9">
        <v>43446</v>
      </c>
      <c r="C1053" s="18" t="s">
        <v>345</v>
      </c>
      <c r="D1053" s="11">
        <v>5518</v>
      </c>
      <c r="E1053" s="9">
        <v>43448</v>
      </c>
      <c r="F1053" s="15" t="s">
        <v>28</v>
      </c>
      <c r="G1053" s="12">
        <v>43476</v>
      </c>
      <c r="H1053" s="23">
        <f t="shared" si="111"/>
        <v>5518</v>
      </c>
      <c r="I1053" s="23"/>
      <c r="J1053" s="23"/>
      <c r="K1053" s="24"/>
      <c r="L1053" s="23">
        <v>4178</v>
      </c>
      <c r="M1053" s="22">
        <f t="shared" si="109"/>
        <v>1340</v>
      </c>
      <c r="N1053" s="22"/>
      <c r="O1053" s="30">
        <f t="shared" si="110"/>
        <v>0.24284160927872417</v>
      </c>
    </row>
    <row r="1054" spans="1:15" ht="19.5" customHeight="1" x14ac:dyDescent="0.25">
      <c r="A1054" s="33">
        <v>981</v>
      </c>
      <c r="B1054" s="9">
        <v>43426</v>
      </c>
      <c r="C1054" s="18" t="s">
        <v>56</v>
      </c>
      <c r="D1054" s="11">
        <v>25248</v>
      </c>
      <c r="E1054" s="9">
        <v>43451</v>
      </c>
      <c r="F1054" s="15" t="s">
        <v>28</v>
      </c>
      <c r="G1054" s="12">
        <v>43441</v>
      </c>
      <c r="H1054" s="23">
        <f t="shared" si="111"/>
        <v>25248</v>
      </c>
      <c r="I1054" s="23"/>
      <c r="J1054" s="23"/>
      <c r="K1054" s="24"/>
      <c r="L1054" s="23">
        <v>18069</v>
      </c>
      <c r="M1054" s="22">
        <f t="shared" si="109"/>
        <v>7179</v>
      </c>
      <c r="N1054" s="22"/>
      <c r="O1054" s="30">
        <f t="shared" si="110"/>
        <v>0.28433935361216728</v>
      </c>
    </row>
    <row r="1055" spans="1:15" ht="15.75" x14ac:dyDescent="0.25">
      <c r="A1055" s="33">
        <v>957</v>
      </c>
      <c r="B1055" s="9">
        <v>43419</v>
      </c>
      <c r="C1055" s="18" t="s">
        <v>99</v>
      </c>
      <c r="D1055" s="11">
        <v>247758</v>
      </c>
      <c r="E1055" s="9">
        <v>43452</v>
      </c>
      <c r="F1055" s="15" t="s">
        <v>28</v>
      </c>
      <c r="G1055" s="12">
        <v>43423</v>
      </c>
      <c r="H1055" s="23">
        <f t="shared" si="111"/>
        <v>247758</v>
      </c>
      <c r="I1055" s="23"/>
      <c r="J1055" s="23">
        <f>15*3000</f>
        <v>45000</v>
      </c>
      <c r="K1055" s="24"/>
      <c r="L1055" s="23">
        <v>78461</v>
      </c>
      <c r="M1055" s="22">
        <f t="shared" si="109"/>
        <v>124297</v>
      </c>
      <c r="N1055" s="22"/>
      <c r="O1055" s="30">
        <f t="shared" si="110"/>
        <v>0.50168713018348554</v>
      </c>
    </row>
    <row r="1056" spans="1:15" s="2" customFormat="1" ht="20.100000000000001" customHeight="1" x14ac:dyDescent="0.25">
      <c r="A1056" s="33">
        <v>962</v>
      </c>
      <c r="B1056" s="9">
        <v>43420</v>
      </c>
      <c r="C1056" s="18" t="s">
        <v>99</v>
      </c>
      <c r="D1056" s="11">
        <v>35031</v>
      </c>
      <c r="E1056" s="9">
        <v>43452</v>
      </c>
      <c r="F1056" s="15" t="s">
        <v>28</v>
      </c>
      <c r="G1056" s="12">
        <v>43440</v>
      </c>
      <c r="H1056" s="23">
        <f t="shared" si="111"/>
        <v>35031</v>
      </c>
      <c r="I1056" s="23"/>
      <c r="J1056" s="23"/>
      <c r="K1056" s="24"/>
      <c r="L1056" s="23">
        <v>27321</v>
      </c>
      <c r="M1056" s="22">
        <f t="shared" si="109"/>
        <v>7710</v>
      </c>
      <c r="N1056" s="22"/>
      <c r="O1056" s="30">
        <f t="shared" si="110"/>
        <v>0.22009077674060118</v>
      </c>
    </row>
    <row r="1057" spans="1:15" ht="20.100000000000001" customHeight="1" x14ac:dyDescent="0.25">
      <c r="A1057" s="33">
        <v>1044</v>
      </c>
      <c r="B1057" s="9">
        <v>43451</v>
      </c>
      <c r="C1057" s="18" t="s">
        <v>305</v>
      </c>
      <c r="D1057" s="11">
        <v>18990</v>
      </c>
      <c r="E1057" s="9">
        <v>43452</v>
      </c>
      <c r="F1057" s="15" t="s">
        <v>28</v>
      </c>
      <c r="G1057" s="12">
        <v>43453</v>
      </c>
      <c r="H1057" s="23">
        <f t="shared" si="111"/>
        <v>18990</v>
      </c>
      <c r="I1057" s="23"/>
      <c r="J1057" s="23"/>
      <c r="K1057" s="24"/>
      <c r="L1057" s="23">
        <v>15801</v>
      </c>
      <c r="M1057" s="22">
        <f t="shared" si="109"/>
        <v>3189</v>
      </c>
      <c r="N1057" s="22"/>
      <c r="O1057" s="30">
        <f t="shared" si="110"/>
        <v>0.16793048973143759</v>
      </c>
    </row>
    <row r="1058" spans="1:15" ht="20.100000000000001" customHeight="1" x14ac:dyDescent="0.25">
      <c r="A1058" s="33">
        <v>1039</v>
      </c>
      <c r="B1058" s="9">
        <v>43447</v>
      </c>
      <c r="C1058" s="18" t="s">
        <v>77</v>
      </c>
      <c r="D1058" s="11">
        <v>1529</v>
      </c>
      <c r="E1058" s="9">
        <v>43452</v>
      </c>
      <c r="F1058" s="15" t="s">
        <v>28</v>
      </c>
      <c r="G1058" s="12">
        <v>43453</v>
      </c>
      <c r="H1058" s="23">
        <f t="shared" si="111"/>
        <v>1529</v>
      </c>
      <c r="I1058" s="23"/>
      <c r="J1058" s="23"/>
      <c r="K1058" s="24"/>
      <c r="L1058" s="23">
        <v>1191</v>
      </c>
      <c r="M1058" s="22">
        <f t="shared" si="109"/>
        <v>338</v>
      </c>
      <c r="N1058" s="22"/>
      <c r="O1058" s="30">
        <f t="shared" si="110"/>
        <v>0.22105951602354479</v>
      </c>
    </row>
    <row r="1059" spans="1:15" ht="20.100000000000001" customHeight="1" x14ac:dyDescent="0.25">
      <c r="A1059" s="33">
        <v>971</v>
      </c>
      <c r="B1059" s="9">
        <v>43425</v>
      </c>
      <c r="C1059" s="18" t="s">
        <v>315</v>
      </c>
      <c r="D1059" s="11">
        <v>8972</v>
      </c>
      <c r="E1059" s="9">
        <v>43453</v>
      </c>
      <c r="F1059" s="15" t="s">
        <v>28</v>
      </c>
      <c r="G1059" s="9"/>
      <c r="H1059" s="23">
        <f t="shared" si="111"/>
        <v>8972</v>
      </c>
      <c r="I1059" s="23"/>
      <c r="J1059" s="23"/>
      <c r="K1059" s="24"/>
      <c r="L1059" s="27">
        <v>3056</v>
      </c>
      <c r="M1059" s="22">
        <f t="shared" si="109"/>
        <v>5916</v>
      </c>
      <c r="N1059" s="22"/>
      <c r="O1059" s="30">
        <f t="shared" si="110"/>
        <v>0.65938475256353102</v>
      </c>
    </row>
    <row r="1060" spans="1:15" ht="20.100000000000001" customHeight="1" x14ac:dyDescent="0.25">
      <c r="A1060" s="33">
        <v>959</v>
      </c>
      <c r="B1060" s="9">
        <v>43423</v>
      </c>
      <c r="C1060" s="18" t="s">
        <v>65</v>
      </c>
      <c r="D1060" s="11">
        <v>22231.200000000001</v>
      </c>
      <c r="E1060" s="9">
        <v>43453</v>
      </c>
      <c r="F1060" s="15" t="s">
        <v>28</v>
      </c>
      <c r="G1060" s="12">
        <v>43445</v>
      </c>
      <c r="H1060" s="23">
        <f t="shared" si="111"/>
        <v>22231.200000000001</v>
      </c>
      <c r="I1060" s="23"/>
      <c r="J1060" s="23"/>
      <c r="K1060" s="24"/>
      <c r="L1060" s="23">
        <v>12648</v>
      </c>
      <c r="M1060" s="22">
        <f t="shared" si="109"/>
        <v>9583.2000000000007</v>
      </c>
      <c r="N1060" s="22"/>
      <c r="O1060" s="30">
        <f t="shared" si="110"/>
        <v>0.43106984778149632</v>
      </c>
    </row>
    <row r="1061" spans="1:15" ht="20.100000000000001" customHeight="1" x14ac:dyDescent="0.25">
      <c r="A1061" s="33">
        <v>1055</v>
      </c>
      <c r="B1061" s="9">
        <v>43453</v>
      </c>
      <c r="C1061" s="18" t="s">
        <v>209</v>
      </c>
      <c r="D1061" s="11">
        <v>18105.400000000001</v>
      </c>
      <c r="E1061" s="9">
        <v>43453</v>
      </c>
      <c r="F1061" s="15" t="s">
        <v>28</v>
      </c>
      <c r="G1061" s="12">
        <v>43453</v>
      </c>
      <c r="H1061" s="23">
        <f t="shared" si="111"/>
        <v>18105.400000000001</v>
      </c>
      <c r="I1061" s="23"/>
      <c r="J1061" s="23"/>
      <c r="K1061" s="24"/>
      <c r="L1061" s="23">
        <v>15255</v>
      </c>
      <c r="M1061" s="22">
        <f t="shared" si="109"/>
        <v>2850.4000000000015</v>
      </c>
      <c r="N1061" s="22"/>
      <c r="O1061" s="30">
        <f t="shared" si="110"/>
        <v>0.15743369381510494</v>
      </c>
    </row>
    <row r="1062" spans="1:15" ht="20.100000000000001" customHeight="1" x14ac:dyDescent="0.25">
      <c r="A1062" s="33">
        <v>1057</v>
      </c>
      <c r="B1062" s="9">
        <v>43454</v>
      </c>
      <c r="C1062" s="18" t="s">
        <v>49</v>
      </c>
      <c r="D1062" s="11">
        <v>166</v>
      </c>
      <c r="E1062" s="9">
        <v>43458</v>
      </c>
      <c r="F1062" s="15" t="s">
        <v>28</v>
      </c>
      <c r="G1062" s="12">
        <v>43486</v>
      </c>
      <c r="H1062" s="23">
        <f t="shared" si="111"/>
        <v>166</v>
      </c>
      <c r="I1062" s="23"/>
      <c r="J1062" s="23"/>
      <c r="K1062" s="24"/>
      <c r="L1062" s="23">
        <v>112</v>
      </c>
      <c r="M1062" s="22">
        <f t="shared" si="109"/>
        <v>54</v>
      </c>
      <c r="N1062" s="22"/>
      <c r="O1062" s="30">
        <f t="shared" si="110"/>
        <v>0.3253012048192771</v>
      </c>
    </row>
    <row r="1063" spans="1:15" ht="20.100000000000001" customHeight="1" x14ac:dyDescent="0.25">
      <c r="A1063" s="33">
        <v>1064</v>
      </c>
      <c r="B1063" s="9">
        <v>43458</v>
      </c>
      <c r="C1063" s="18" t="s">
        <v>281</v>
      </c>
      <c r="D1063" s="11">
        <v>2160</v>
      </c>
      <c r="E1063" s="9">
        <v>43458</v>
      </c>
      <c r="F1063" s="15" t="s">
        <v>28</v>
      </c>
      <c r="G1063" s="12">
        <v>43459</v>
      </c>
      <c r="H1063" s="23">
        <f t="shared" si="111"/>
        <v>2160</v>
      </c>
      <c r="I1063" s="23"/>
      <c r="J1063" s="23"/>
      <c r="K1063" s="24"/>
      <c r="L1063" s="23">
        <v>1684</v>
      </c>
      <c r="M1063" s="22">
        <f t="shared" si="109"/>
        <v>476</v>
      </c>
      <c r="N1063" s="22"/>
      <c r="O1063" s="30">
        <f t="shared" si="110"/>
        <v>0.22037037037037038</v>
      </c>
    </row>
    <row r="1064" spans="1:15" ht="20.100000000000001" customHeight="1" x14ac:dyDescent="0.25">
      <c r="A1064" s="33">
        <v>1060</v>
      </c>
      <c r="B1064" s="9">
        <v>43455</v>
      </c>
      <c r="C1064" s="18" t="s">
        <v>301</v>
      </c>
      <c r="D1064" s="11">
        <v>8610</v>
      </c>
      <c r="E1064" s="9">
        <v>43460</v>
      </c>
      <c r="F1064" s="15" t="s">
        <v>28</v>
      </c>
      <c r="G1064" s="12">
        <v>43461</v>
      </c>
      <c r="H1064" s="23">
        <f t="shared" si="111"/>
        <v>8610</v>
      </c>
      <c r="I1064" s="23"/>
      <c r="J1064" s="23"/>
      <c r="K1064" s="24"/>
      <c r="L1064" s="23">
        <v>5810</v>
      </c>
      <c r="M1064" s="22">
        <f t="shared" si="109"/>
        <v>2800</v>
      </c>
      <c r="N1064" s="22"/>
      <c r="O1064" s="30">
        <f t="shared" si="110"/>
        <v>0.32520325203252032</v>
      </c>
    </row>
    <row r="1065" spans="1:15" ht="20.100000000000001" customHeight="1" x14ac:dyDescent="0.25">
      <c r="A1065" s="33">
        <v>1051</v>
      </c>
      <c r="B1065" s="9">
        <v>43452</v>
      </c>
      <c r="C1065" s="18" t="s">
        <v>13</v>
      </c>
      <c r="D1065" s="11">
        <v>8609</v>
      </c>
      <c r="E1065" s="9">
        <v>43461</v>
      </c>
      <c r="F1065" s="15" t="s">
        <v>28</v>
      </c>
      <c r="G1065" s="12">
        <v>43453</v>
      </c>
      <c r="H1065" s="23">
        <f t="shared" si="111"/>
        <v>8609</v>
      </c>
      <c r="I1065" s="23"/>
      <c r="J1065" s="23"/>
      <c r="K1065" s="24"/>
      <c r="L1065" s="23">
        <v>5972</v>
      </c>
      <c r="M1065" s="22">
        <f t="shared" si="109"/>
        <v>2637</v>
      </c>
      <c r="N1065" s="22"/>
      <c r="O1065" s="30">
        <f t="shared" si="110"/>
        <v>0.30630735277035659</v>
      </c>
    </row>
    <row r="1066" spans="1:15" ht="20.100000000000001" customHeight="1" x14ac:dyDescent="0.25">
      <c r="A1066" s="33">
        <v>547</v>
      </c>
      <c r="B1066" s="9">
        <v>43391</v>
      </c>
      <c r="C1066" s="18" t="s">
        <v>38</v>
      </c>
      <c r="D1066" s="11">
        <v>281419.86</v>
      </c>
      <c r="E1066" s="9">
        <v>43825</v>
      </c>
      <c r="F1066" s="15" t="s">
        <v>28</v>
      </c>
      <c r="G1066" s="12">
        <v>43437</v>
      </c>
      <c r="H1066" s="23">
        <v>273486.96000000002</v>
      </c>
      <c r="I1066" s="23"/>
      <c r="J1066" s="23"/>
      <c r="K1066" s="24"/>
      <c r="L1066" s="23">
        <v>229372</v>
      </c>
      <c r="M1066" s="22">
        <f t="shared" si="109"/>
        <v>44114.960000000021</v>
      </c>
      <c r="N1066" s="22"/>
      <c r="O1066" s="30">
        <f t="shared" si="110"/>
        <v>0.16130553354353722</v>
      </c>
    </row>
    <row r="1067" spans="1:15" ht="20.100000000000001" customHeight="1" x14ac:dyDescent="0.25">
      <c r="A1067" s="35" t="s">
        <v>535</v>
      </c>
      <c r="B1067" s="36"/>
      <c r="C1067" s="42"/>
      <c r="D1067" s="37"/>
      <c r="E1067" s="46" t="s">
        <v>562</v>
      </c>
      <c r="F1067" s="47">
        <f>M1067*0.17+N1067*0.06</f>
        <v>56307.699000000015</v>
      </c>
      <c r="G1067" s="21">
        <f>H1067*0.05+I1067*0.02</f>
        <v>53945.710500000008</v>
      </c>
      <c r="H1067" s="49">
        <f>SUBTOTAL(109,Декабрь2018[Продажа])</f>
        <v>1072301.81</v>
      </c>
      <c r="I1067" s="49">
        <f>SUBTOTAL(109,Декабрь2018[Продажа НК])</f>
        <v>16531</v>
      </c>
      <c r="J1067" s="49">
        <f>SUBTOTAL(109,Декабрь2018[отк])</f>
        <v>45000</v>
      </c>
      <c r="K1067" s="49">
        <f>SUBTOTAL(109,Декабрь2018[шланги])</f>
        <v>0</v>
      </c>
      <c r="L1067" s="49">
        <f>SUBTOTAL(109,Декабрь2018[Закупка])</f>
        <v>697353.11</v>
      </c>
      <c r="M1067" s="49">
        <f>SUBTOTAL(109,Декабрь2018[Маржа])</f>
        <v>329948.70000000007</v>
      </c>
      <c r="N1067" s="49">
        <f>SUBTOTAL(109,Декабрь2018[Маржа НК])</f>
        <v>3607</v>
      </c>
      <c r="O1067" s="44">
        <f t="shared" si="110"/>
        <v>0.30770133643624087</v>
      </c>
    </row>
    <row r="1068" spans="1:15" ht="20.100000000000001" customHeight="1" x14ac:dyDescent="0.25">
      <c r="A1068" s="41" t="s">
        <v>1</v>
      </c>
      <c r="B1068" s="1" t="s">
        <v>0</v>
      </c>
      <c r="C1068" s="1" t="s">
        <v>26</v>
      </c>
      <c r="D1068" s="1" t="s">
        <v>2</v>
      </c>
      <c r="E1068" s="1" t="s">
        <v>3</v>
      </c>
      <c r="F1068" s="1" t="s">
        <v>27</v>
      </c>
      <c r="G1068" s="1" t="s">
        <v>4</v>
      </c>
      <c r="H1068" s="2" t="s">
        <v>132</v>
      </c>
      <c r="I1068" s="2" t="s">
        <v>133</v>
      </c>
      <c r="J1068" s="40" t="s">
        <v>187</v>
      </c>
      <c r="K1068" s="40" t="s">
        <v>188</v>
      </c>
      <c r="L1068" s="40" t="s">
        <v>129</v>
      </c>
      <c r="M1068" s="40" t="s">
        <v>130</v>
      </c>
      <c r="N1068" s="2" t="s">
        <v>131</v>
      </c>
      <c r="O1068" s="2" t="s">
        <v>134</v>
      </c>
    </row>
    <row r="1069" spans="1:15" ht="20.100000000000001" customHeight="1" x14ac:dyDescent="0.25">
      <c r="A1069" s="33">
        <v>1046</v>
      </c>
      <c r="B1069" s="9">
        <v>43451</v>
      </c>
      <c r="C1069" s="18" t="s">
        <v>60</v>
      </c>
      <c r="D1069" s="11">
        <v>23078</v>
      </c>
      <c r="E1069" s="9">
        <v>43474</v>
      </c>
      <c r="F1069" s="15" t="s">
        <v>28</v>
      </c>
      <c r="G1069" s="12">
        <v>43458</v>
      </c>
      <c r="H1069" s="23">
        <f t="shared" ref="H1069:H1086" si="112">D1069</f>
        <v>23078</v>
      </c>
      <c r="I1069" s="23"/>
      <c r="J1069" s="23"/>
      <c r="K1069" s="24"/>
      <c r="L1069" s="23">
        <v>8634</v>
      </c>
      <c r="M1069" s="22">
        <f t="shared" ref="M1069:M1086" si="113">H1069-L1069-J1069-K1069</f>
        <v>14444</v>
      </c>
      <c r="N1069" s="22"/>
      <c r="O1069" s="30">
        <f t="shared" ref="O1069:O1087" si="114">M1069/H1069</f>
        <v>0.62587745905191094</v>
      </c>
    </row>
    <row r="1070" spans="1:15" ht="20.100000000000001" customHeight="1" x14ac:dyDescent="0.25">
      <c r="A1070" s="33">
        <v>2</v>
      </c>
      <c r="B1070" s="15">
        <v>43474</v>
      </c>
      <c r="C1070" s="18" t="s">
        <v>16</v>
      </c>
      <c r="D1070" s="11">
        <v>2880</v>
      </c>
      <c r="E1070" s="9">
        <v>43474</v>
      </c>
      <c r="F1070" s="15" t="s">
        <v>28</v>
      </c>
      <c r="G1070" s="12">
        <v>43487</v>
      </c>
      <c r="H1070" s="23">
        <f t="shared" si="112"/>
        <v>2880</v>
      </c>
      <c r="I1070" s="23"/>
      <c r="J1070" s="23"/>
      <c r="K1070" s="24"/>
      <c r="L1070" s="23">
        <v>1901</v>
      </c>
      <c r="M1070" s="22">
        <f t="shared" si="113"/>
        <v>979</v>
      </c>
      <c r="N1070" s="22"/>
      <c r="O1070" s="30">
        <f t="shared" si="114"/>
        <v>0.33993055555555557</v>
      </c>
    </row>
    <row r="1071" spans="1:15" ht="20.100000000000001" customHeight="1" x14ac:dyDescent="0.25">
      <c r="A1071" s="33">
        <v>19</v>
      </c>
      <c r="B1071" s="9">
        <v>43476</v>
      </c>
      <c r="C1071" s="18" t="s">
        <v>91</v>
      </c>
      <c r="D1071" s="11">
        <v>6400</v>
      </c>
      <c r="E1071" s="9">
        <v>43476</v>
      </c>
      <c r="F1071" s="15" t="s">
        <v>28</v>
      </c>
      <c r="G1071" s="12">
        <v>43476</v>
      </c>
      <c r="H1071" s="23">
        <f t="shared" si="112"/>
        <v>6400</v>
      </c>
      <c r="I1071" s="23"/>
      <c r="J1071" s="23"/>
      <c r="K1071" s="24"/>
      <c r="L1071" s="23">
        <v>4770</v>
      </c>
      <c r="M1071" s="22">
        <f t="shared" si="113"/>
        <v>1630</v>
      </c>
      <c r="N1071" s="22"/>
      <c r="O1071" s="30">
        <f t="shared" si="114"/>
        <v>0.25468750000000001</v>
      </c>
    </row>
    <row r="1072" spans="1:15" ht="20.100000000000001" customHeight="1" x14ac:dyDescent="0.25">
      <c r="A1072" s="33">
        <v>15</v>
      </c>
      <c r="B1072" s="15">
        <v>43475</v>
      </c>
      <c r="C1072" s="18" t="s">
        <v>363</v>
      </c>
      <c r="D1072" s="11">
        <v>9800</v>
      </c>
      <c r="E1072" s="9">
        <v>43476</v>
      </c>
      <c r="F1072" s="15" t="s">
        <v>28</v>
      </c>
      <c r="G1072" s="12">
        <v>43476</v>
      </c>
      <c r="H1072" s="23">
        <f t="shared" si="112"/>
        <v>9800</v>
      </c>
      <c r="I1072" s="23"/>
      <c r="J1072" s="23"/>
      <c r="K1072" s="24"/>
      <c r="L1072" s="23">
        <v>8728</v>
      </c>
      <c r="M1072" s="22">
        <f t="shared" si="113"/>
        <v>1072</v>
      </c>
      <c r="N1072" s="22"/>
      <c r="O1072" s="30">
        <f t="shared" si="114"/>
        <v>0.10938775510204081</v>
      </c>
    </row>
    <row r="1073" spans="1:15" ht="20.100000000000001" customHeight="1" x14ac:dyDescent="0.25">
      <c r="A1073" s="33">
        <v>24</v>
      </c>
      <c r="B1073" s="15">
        <v>43480</v>
      </c>
      <c r="C1073" s="18" t="s">
        <v>30</v>
      </c>
      <c r="D1073" s="11">
        <v>4791</v>
      </c>
      <c r="E1073" s="9">
        <v>43481</v>
      </c>
      <c r="F1073" s="15" t="s">
        <v>28</v>
      </c>
      <c r="G1073" s="12">
        <v>43482</v>
      </c>
      <c r="H1073" s="23">
        <f t="shared" si="112"/>
        <v>4791</v>
      </c>
      <c r="I1073" s="23"/>
      <c r="J1073" s="23"/>
      <c r="K1073" s="24"/>
      <c r="L1073" s="23">
        <v>3573</v>
      </c>
      <c r="M1073" s="22">
        <f t="shared" si="113"/>
        <v>1218</v>
      </c>
      <c r="N1073" s="22"/>
      <c r="O1073" s="30">
        <f t="shared" si="114"/>
        <v>0.25422667501565432</v>
      </c>
    </row>
    <row r="1074" spans="1:15" ht="20.100000000000001" customHeight="1" x14ac:dyDescent="0.25">
      <c r="A1074" s="33">
        <v>23</v>
      </c>
      <c r="B1074" s="15">
        <v>43480</v>
      </c>
      <c r="C1074" s="18" t="s">
        <v>365</v>
      </c>
      <c r="D1074" s="11">
        <v>5486</v>
      </c>
      <c r="E1074" s="9">
        <v>43481</v>
      </c>
      <c r="F1074" s="15" t="s">
        <v>28</v>
      </c>
      <c r="G1074" s="12">
        <v>43486</v>
      </c>
      <c r="H1074" s="23">
        <f t="shared" si="112"/>
        <v>5486</v>
      </c>
      <c r="I1074" s="23"/>
      <c r="J1074" s="23"/>
      <c r="K1074" s="24"/>
      <c r="L1074" s="23">
        <v>3471</v>
      </c>
      <c r="M1074" s="22">
        <f t="shared" si="113"/>
        <v>2015</v>
      </c>
      <c r="N1074" s="22"/>
      <c r="O1074" s="30">
        <f t="shared" si="114"/>
        <v>0.36729857819905215</v>
      </c>
    </row>
    <row r="1075" spans="1:15" ht="20.100000000000001" customHeight="1" x14ac:dyDescent="0.25">
      <c r="A1075" s="33">
        <v>30</v>
      </c>
      <c r="B1075" s="9">
        <v>43481</v>
      </c>
      <c r="C1075" s="20" t="s">
        <v>364</v>
      </c>
      <c r="D1075" s="11">
        <v>15980</v>
      </c>
      <c r="E1075" s="9">
        <v>43482</v>
      </c>
      <c r="F1075" s="15" t="s">
        <v>28</v>
      </c>
      <c r="G1075" s="12">
        <v>43486</v>
      </c>
      <c r="H1075" s="23">
        <f t="shared" si="112"/>
        <v>15980</v>
      </c>
      <c r="I1075" s="23">
        <f>H1075</f>
        <v>15980</v>
      </c>
      <c r="J1075" s="23"/>
      <c r="K1075" s="24"/>
      <c r="L1075" s="23">
        <v>11744</v>
      </c>
      <c r="M1075" s="22">
        <f t="shared" si="113"/>
        <v>4236</v>
      </c>
      <c r="N1075" s="22">
        <f>M1075</f>
        <v>4236</v>
      </c>
      <c r="O1075" s="30">
        <f t="shared" si="114"/>
        <v>0.265081351689612</v>
      </c>
    </row>
    <row r="1076" spans="1:15" ht="20.100000000000001" customHeight="1" x14ac:dyDescent="0.25">
      <c r="A1076" s="33">
        <v>35</v>
      </c>
      <c r="B1076" s="9">
        <v>43482</v>
      </c>
      <c r="C1076" s="20" t="s">
        <v>366</v>
      </c>
      <c r="D1076" s="11">
        <v>29188</v>
      </c>
      <c r="E1076" s="9">
        <v>43483</v>
      </c>
      <c r="F1076" s="15" t="s">
        <v>28</v>
      </c>
      <c r="G1076" s="12">
        <v>43487</v>
      </c>
      <c r="H1076" s="23">
        <f t="shared" si="112"/>
        <v>29188</v>
      </c>
      <c r="I1076" s="23">
        <f>H1076</f>
        <v>29188</v>
      </c>
      <c r="J1076" s="23"/>
      <c r="K1076" s="24"/>
      <c r="L1076" s="23">
        <v>20408</v>
      </c>
      <c r="M1076" s="22">
        <f t="shared" si="113"/>
        <v>8780</v>
      </c>
      <c r="N1076" s="22">
        <f>M1076</f>
        <v>8780</v>
      </c>
      <c r="O1076" s="30">
        <f t="shared" si="114"/>
        <v>0.30080855145950391</v>
      </c>
    </row>
    <row r="1077" spans="1:15" ht="19.5" customHeight="1" x14ac:dyDescent="0.25">
      <c r="A1077" s="33">
        <v>1073</v>
      </c>
      <c r="B1077" s="9">
        <v>43460</v>
      </c>
      <c r="C1077" s="18" t="s">
        <v>60</v>
      </c>
      <c r="D1077" s="11">
        <v>20019</v>
      </c>
      <c r="E1077" s="9">
        <v>43486</v>
      </c>
      <c r="F1077" s="15" t="s">
        <v>28</v>
      </c>
      <c r="G1077" s="12">
        <v>43460</v>
      </c>
      <c r="H1077" s="23">
        <f t="shared" si="112"/>
        <v>20019</v>
      </c>
      <c r="I1077" s="23"/>
      <c r="J1077" s="23"/>
      <c r="K1077" s="24"/>
      <c r="L1077" s="23">
        <v>11864</v>
      </c>
      <c r="M1077" s="22">
        <f t="shared" si="113"/>
        <v>8155</v>
      </c>
      <c r="N1077" s="22"/>
      <c r="O1077" s="30">
        <f t="shared" si="114"/>
        <v>0.40736300514511214</v>
      </c>
    </row>
    <row r="1078" spans="1:15" ht="15.75" x14ac:dyDescent="0.25">
      <c r="A1078" s="33">
        <v>1</v>
      </c>
      <c r="B1078" s="15">
        <v>43474</v>
      </c>
      <c r="C1078" s="18" t="s">
        <v>228</v>
      </c>
      <c r="D1078" s="11">
        <v>89715.3</v>
      </c>
      <c r="E1078" s="9">
        <v>43487</v>
      </c>
      <c r="F1078" s="15" t="s">
        <v>28</v>
      </c>
      <c r="G1078" s="12">
        <v>43475</v>
      </c>
      <c r="H1078" s="23">
        <f t="shared" si="112"/>
        <v>89715.3</v>
      </c>
      <c r="I1078" s="23"/>
      <c r="J1078" s="23"/>
      <c r="K1078" s="24"/>
      <c r="L1078" s="23">
        <v>66218</v>
      </c>
      <c r="M1078" s="22">
        <f t="shared" si="113"/>
        <v>23497.300000000003</v>
      </c>
      <c r="N1078" s="22"/>
      <c r="O1078" s="30">
        <f t="shared" si="114"/>
        <v>0.26190961853775224</v>
      </c>
    </row>
    <row r="1079" spans="1:15" s="2" customFormat="1" ht="20.100000000000001" customHeight="1" x14ac:dyDescent="0.25">
      <c r="A1079" s="33">
        <v>39</v>
      </c>
      <c r="B1079" s="9">
        <v>43487</v>
      </c>
      <c r="C1079" s="18" t="s">
        <v>270</v>
      </c>
      <c r="D1079" s="11">
        <v>3387</v>
      </c>
      <c r="E1079" s="9">
        <v>43487</v>
      </c>
      <c r="F1079" s="15" t="s">
        <v>28</v>
      </c>
      <c r="G1079" s="12">
        <v>43487</v>
      </c>
      <c r="H1079" s="23">
        <f t="shared" si="112"/>
        <v>3387</v>
      </c>
      <c r="I1079" s="23"/>
      <c r="J1079" s="23"/>
      <c r="K1079" s="24"/>
      <c r="L1079" s="23">
        <v>2602</v>
      </c>
      <c r="M1079" s="22">
        <f t="shared" si="113"/>
        <v>785</v>
      </c>
      <c r="N1079" s="22"/>
      <c r="O1079" s="30">
        <f t="shared" si="114"/>
        <v>0.23176852671981105</v>
      </c>
    </row>
    <row r="1080" spans="1:15" ht="20.100000000000001" customHeight="1" x14ac:dyDescent="0.25">
      <c r="A1080" s="33">
        <v>20</v>
      </c>
      <c r="B1080" s="9">
        <v>43479</v>
      </c>
      <c r="C1080" s="18" t="s">
        <v>13</v>
      </c>
      <c r="D1080" s="11">
        <v>10352</v>
      </c>
      <c r="E1080" s="9">
        <v>43487</v>
      </c>
      <c r="F1080" s="15" t="s">
        <v>28</v>
      </c>
      <c r="G1080" s="12">
        <v>43488</v>
      </c>
      <c r="H1080" s="23">
        <f t="shared" si="112"/>
        <v>10352</v>
      </c>
      <c r="I1080" s="23"/>
      <c r="J1080" s="23"/>
      <c r="K1080" s="24"/>
      <c r="L1080" s="23">
        <v>7724</v>
      </c>
      <c r="M1080" s="22">
        <f t="shared" si="113"/>
        <v>2628</v>
      </c>
      <c r="N1080" s="22"/>
      <c r="O1080" s="30">
        <f t="shared" si="114"/>
        <v>0.25386398763523954</v>
      </c>
    </row>
    <row r="1081" spans="1:15" ht="20.100000000000001" customHeight="1" x14ac:dyDescent="0.25">
      <c r="A1081" s="33">
        <v>34</v>
      </c>
      <c r="B1081" s="9">
        <v>43482</v>
      </c>
      <c r="C1081" s="18" t="s">
        <v>49</v>
      </c>
      <c r="D1081" s="11">
        <v>1500</v>
      </c>
      <c r="E1081" s="9">
        <v>43489</v>
      </c>
      <c r="F1081" s="15" t="s">
        <v>28</v>
      </c>
      <c r="G1081" s="12">
        <v>43486</v>
      </c>
      <c r="H1081" s="23">
        <f t="shared" si="112"/>
        <v>1500</v>
      </c>
      <c r="I1081" s="23"/>
      <c r="J1081" s="23"/>
      <c r="K1081" s="24"/>
      <c r="L1081" s="23">
        <v>577</v>
      </c>
      <c r="M1081" s="22">
        <f t="shared" si="113"/>
        <v>923</v>
      </c>
      <c r="N1081" s="22"/>
      <c r="O1081" s="30">
        <f t="shared" si="114"/>
        <v>0.61533333333333329</v>
      </c>
    </row>
    <row r="1082" spans="1:15" ht="20.100000000000001" customHeight="1" x14ac:dyDescent="0.25">
      <c r="A1082" s="33">
        <v>37</v>
      </c>
      <c r="B1082" s="15">
        <v>43483</v>
      </c>
      <c r="C1082" s="18" t="s">
        <v>310</v>
      </c>
      <c r="D1082" s="11">
        <v>12810</v>
      </c>
      <c r="E1082" s="9">
        <v>43493</v>
      </c>
      <c r="F1082" s="15" t="s">
        <v>28</v>
      </c>
      <c r="G1082" s="15">
        <v>43518</v>
      </c>
      <c r="H1082" s="23">
        <f t="shared" si="112"/>
        <v>12810</v>
      </c>
      <c r="I1082" s="23"/>
      <c r="J1082" s="23"/>
      <c r="K1082" s="24"/>
      <c r="L1082" s="23">
        <v>7842</v>
      </c>
      <c r="M1082" s="22">
        <f t="shared" si="113"/>
        <v>4968</v>
      </c>
      <c r="N1082" s="22"/>
      <c r="O1082" s="30">
        <f t="shared" si="114"/>
        <v>0.38782201405152222</v>
      </c>
    </row>
    <row r="1083" spans="1:15" ht="19.5" customHeight="1" x14ac:dyDescent="0.25">
      <c r="A1083" s="33">
        <v>958</v>
      </c>
      <c r="B1083" s="9">
        <v>43452</v>
      </c>
      <c r="C1083" s="18" t="s">
        <v>38</v>
      </c>
      <c r="D1083" s="3">
        <v>412500</v>
      </c>
      <c r="E1083" s="9">
        <v>43493</v>
      </c>
      <c r="F1083" s="15" t="s">
        <v>28</v>
      </c>
      <c r="G1083" s="12">
        <v>43458</v>
      </c>
      <c r="H1083" s="23">
        <f t="shared" si="112"/>
        <v>412500</v>
      </c>
      <c r="I1083" s="23"/>
      <c r="J1083" s="23"/>
      <c r="K1083" s="24">
        <f>600*15</f>
        <v>9000</v>
      </c>
      <c r="L1083" s="23">
        <v>331104</v>
      </c>
      <c r="M1083" s="22">
        <f t="shared" si="113"/>
        <v>72396</v>
      </c>
      <c r="N1083" s="22"/>
      <c r="O1083" s="30">
        <f t="shared" si="114"/>
        <v>0.17550545454545455</v>
      </c>
    </row>
    <row r="1084" spans="1:15" ht="20.100000000000001" customHeight="1" x14ac:dyDescent="0.25">
      <c r="A1084" s="33">
        <v>1067</v>
      </c>
      <c r="B1084" s="9">
        <v>43458</v>
      </c>
      <c r="C1084" s="18" t="s">
        <v>38</v>
      </c>
      <c r="D1084" s="11">
        <v>412500</v>
      </c>
      <c r="E1084" s="9">
        <v>43493</v>
      </c>
      <c r="F1084" s="15" t="s">
        <v>28</v>
      </c>
      <c r="G1084" s="12">
        <v>43459</v>
      </c>
      <c r="H1084" s="23">
        <f t="shared" si="112"/>
        <v>412500</v>
      </c>
      <c r="I1084" s="23"/>
      <c r="J1084" s="23"/>
      <c r="K1084" s="24">
        <f>600*15</f>
        <v>9000</v>
      </c>
      <c r="L1084" s="23">
        <v>331104</v>
      </c>
      <c r="M1084" s="22">
        <f t="shared" si="113"/>
        <v>72396</v>
      </c>
      <c r="N1084" s="22"/>
      <c r="O1084" s="30">
        <f t="shared" si="114"/>
        <v>0.17550545454545455</v>
      </c>
    </row>
    <row r="1085" spans="1:15" ht="20.100000000000001" customHeight="1" x14ac:dyDescent="0.25">
      <c r="A1085" s="33">
        <v>62</v>
      </c>
      <c r="B1085" s="9">
        <v>43490</v>
      </c>
      <c r="C1085" s="18" t="s">
        <v>365</v>
      </c>
      <c r="D1085" s="11">
        <v>8018</v>
      </c>
      <c r="E1085" s="9">
        <v>43494</v>
      </c>
      <c r="F1085" s="15" t="s">
        <v>28</v>
      </c>
      <c r="G1085" s="12">
        <v>43500</v>
      </c>
      <c r="H1085" s="23">
        <f t="shared" si="112"/>
        <v>8018</v>
      </c>
      <c r="I1085" s="23"/>
      <c r="J1085" s="23"/>
      <c r="K1085" s="24"/>
      <c r="L1085" s="23">
        <v>6043</v>
      </c>
      <c r="M1085" s="22">
        <f t="shared" si="113"/>
        <v>1975</v>
      </c>
      <c r="N1085" s="22"/>
      <c r="O1085" s="30">
        <f t="shared" si="114"/>
        <v>0.24632077824893989</v>
      </c>
    </row>
    <row r="1086" spans="1:15" ht="20.100000000000001" customHeight="1" x14ac:dyDescent="0.25">
      <c r="A1086" s="33">
        <v>64</v>
      </c>
      <c r="B1086" s="9">
        <v>43490</v>
      </c>
      <c r="C1086" s="18" t="s">
        <v>338</v>
      </c>
      <c r="D1086" s="11">
        <v>8000</v>
      </c>
      <c r="E1086" s="9">
        <v>43495</v>
      </c>
      <c r="F1086" s="15" t="s">
        <v>28</v>
      </c>
      <c r="G1086" s="12">
        <v>43504</v>
      </c>
      <c r="H1086" s="23">
        <f t="shared" si="112"/>
        <v>8000</v>
      </c>
      <c r="I1086" s="23"/>
      <c r="J1086" s="23"/>
      <c r="K1086" s="24">
        <v>1200</v>
      </c>
      <c r="L1086" s="23">
        <v>2287</v>
      </c>
      <c r="M1086" s="22">
        <f t="shared" si="113"/>
        <v>4513</v>
      </c>
      <c r="N1086" s="22"/>
      <c r="O1086" s="30">
        <f t="shared" si="114"/>
        <v>0.56412499999999999</v>
      </c>
    </row>
    <row r="1087" spans="1:15" ht="20.100000000000001" customHeight="1" x14ac:dyDescent="0.25">
      <c r="A1087" s="35" t="s">
        <v>535</v>
      </c>
      <c r="B1087" s="36"/>
      <c r="C1087" s="42"/>
      <c r="D1087" s="37"/>
      <c r="E1087" s="46" t="s">
        <v>563</v>
      </c>
      <c r="F1087" s="47">
        <f>M1087*0.12+N1087*0.06</f>
        <v>27974.195999999996</v>
      </c>
      <c r="G1087" s="21">
        <f>H1087*0.05+I1087*0.02</f>
        <v>54723.575000000004</v>
      </c>
      <c r="H1087" s="49">
        <f>SUBTOTAL(109,Январь2019[Продажа])</f>
        <v>1076404.3</v>
      </c>
      <c r="I1087" s="49">
        <f>SUBTOTAL(109,Январь2019[Продажа НК])</f>
        <v>45168</v>
      </c>
      <c r="J1087" s="49">
        <f>SUBTOTAL(109,Январь2019[отк])</f>
        <v>0</v>
      </c>
      <c r="K1087" s="49">
        <f>SUBTOTAL(109,Январь2019[шланги])</f>
        <v>19200</v>
      </c>
      <c r="L1087" s="49">
        <f>SUBTOTAL(109,Январь2019[Закупка])</f>
        <v>830594</v>
      </c>
      <c r="M1087" s="49">
        <f>SUBTOTAL(109,Январь2019[Маржа])</f>
        <v>226610.3</v>
      </c>
      <c r="N1087" s="49">
        <f>SUBTOTAL(109,Январь2019[Маржа НК])</f>
        <v>13016</v>
      </c>
      <c r="O1087" s="44">
        <f t="shared" si="114"/>
        <v>0.21052526453118031</v>
      </c>
    </row>
    <row r="1088" spans="1:15" ht="20.100000000000001" customHeight="1" x14ac:dyDescent="0.25">
      <c r="A1088" s="41" t="s">
        <v>1</v>
      </c>
      <c r="B1088" s="1" t="s">
        <v>0</v>
      </c>
      <c r="C1088" s="1" t="s">
        <v>26</v>
      </c>
      <c r="D1088" s="1" t="s">
        <v>2</v>
      </c>
      <c r="E1088" s="1" t="s">
        <v>3</v>
      </c>
      <c r="F1088" s="1" t="s">
        <v>27</v>
      </c>
      <c r="G1088" s="1" t="s">
        <v>4</v>
      </c>
      <c r="H1088" s="2" t="s">
        <v>132</v>
      </c>
      <c r="I1088" s="2" t="s">
        <v>133</v>
      </c>
      <c r="J1088" s="40" t="s">
        <v>187</v>
      </c>
      <c r="K1088" s="40" t="s">
        <v>188</v>
      </c>
      <c r="L1088" s="40" t="s">
        <v>129</v>
      </c>
      <c r="M1088" s="40" t="s">
        <v>130</v>
      </c>
      <c r="N1088" s="2" t="s">
        <v>131</v>
      </c>
      <c r="O1088" s="2" t="s">
        <v>134</v>
      </c>
    </row>
    <row r="1089" spans="1:15" ht="20.100000000000001" customHeight="1" x14ac:dyDescent="0.25">
      <c r="A1089" s="33">
        <v>1068</v>
      </c>
      <c r="B1089" s="9">
        <v>43459</v>
      </c>
      <c r="C1089" s="18" t="s">
        <v>38</v>
      </c>
      <c r="D1089" s="11">
        <v>825000</v>
      </c>
      <c r="E1089" s="9">
        <v>43497</v>
      </c>
      <c r="F1089" s="15" t="s">
        <v>28</v>
      </c>
      <c r="G1089" s="12">
        <v>43462</v>
      </c>
      <c r="H1089" s="23">
        <f>D1089</f>
        <v>825000</v>
      </c>
      <c r="I1089" s="23"/>
      <c r="J1089" s="23"/>
      <c r="K1089" s="24"/>
      <c r="L1089" s="23">
        <v>678009</v>
      </c>
      <c r="M1089" s="22">
        <f t="shared" ref="M1089:M1110" si="115">H1089-L1089-J1089-K1089</f>
        <v>146991</v>
      </c>
      <c r="N1089" s="22"/>
      <c r="O1089" s="30">
        <f t="shared" ref="O1089:O1111" si="116">M1089/H1089</f>
        <v>0.1781709090909091</v>
      </c>
    </row>
    <row r="1090" spans="1:15" ht="20.100000000000001" customHeight="1" x14ac:dyDescent="0.25">
      <c r="A1090" s="33">
        <v>7</v>
      </c>
      <c r="B1090" s="9">
        <v>43474</v>
      </c>
      <c r="C1090" s="18" t="s">
        <v>60</v>
      </c>
      <c r="D1090" s="11">
        <v>20775</v>
      </c>
      <c r="E1090" s="9">
        <v>43497</v>
      </c>
      <c r="F1090" s="15" t="s">
        <v>28</v>
      </c>
      <c r="G1090" s="12">
        <v>43483</v>
      </c>
      <c r="H1090" s="23">
        <f>D1090</f>
        <v>20775</v>
      </c>
      <c r="I1090" s="23"/>
      <c r="J1090" s="23"/>
      <c r="K1090" s="24"/>
      <c r="L1090" s="23">
        <v>16204</v>
      </c>
      <c r="M1090" s="22">
        <f t="shared" si="115"/>
        <v>4571</v>
      </c>
      <c r="N1090" s="22"/>
      <c r="O1090" s="30">
        <f t="shared" si="116"/>
        <v>0.22002406738868832</v>
      </c>
    </row>
    <row r="1091" spans="1:15" ht="20.100000000000001" customHeight="1" x14ac:dyDescent="0.25">
      <c r="A1091" s="33">
        <v>547</v>
      </c>
      <c r="B1091" s="9">
        <v>43391</v>
      </c>
      <c r="C1091" s="18" t="s">
        <v>38</v>
      </c>
      <c r="D1091" s="11">
        <v>281419.86</v>
      </c>
      <c r="E1091" s="9">
        <v>43497</v>
      </c>
      <c r="F1091" s="15" t="s">
        <v>28</v>
      </c>
      <c r="G1091" s="12">
        <v>43403</v>
      </c>
      <c r="H1091" s="23">
        <v>7932.9</v>
      </c>
      <c r="I1091" s="23"/>
      <c r="J1091" s="23"/>
      <c r="K1091" s="24"/>
      <c r="L1091" s="23">
        <v>5616</v>
      </c>
      <c r="M1091" s="22">
        <f t="shared" si="115"/>
        <v>2316.8999999999996</v>
      </c>
      <c r="N1091" s="22"/>
      <c r="O1091" s="30">
        <f t="shared" si="116"/>
        <v>0.29206217146314711</v>
      </c>
    </row>
    <row r="1092" spans="1:15" ht="20.100000000000001" customHeight="1" x14ac:dyDescent="0.25">
      <c r="A1092" s="33">
        <v>1061</v>
      </c>
      <c r="B1092" s="9">
        <v>43455</v>
      </c>
      <c r="C1092" s="18" t="s">
        <v>99</v>
      </c>
      <c r="D1092" s="11">
        <v>7038</v>
      </c>
      <c r="E1092" s="9">
        <v>43503</v>
      </c>
      <c r="F1092" s="15" t="s">
        <v>28</v>
      </c>
      <c r="G1092" s="12">
        <v>43455</v>
      </c>
      <c r="H1092" s="23">
        <f t="shared" ref="H1092:H1110" si="117">D1092</f>
        <v>7038</v>
      </c>
      <c r="I1092" s="23"/>
      <c r="J1092" s="23"/>
      <c r="K1092" s="24"/>
      <c r="L1092" s="23">
        <v>5490</v>
      </c>
      <c r="M1092" s="22">
        <f t="shared" si="115"/>
        <v>1548</v>
      </c>
      <c r="N1092" s="22"/>
      <c r="O1092" s="30">
        <f t="shared" si="116"/>
        <v>0.21994884910485935</v>
      </c>
    </row>
    <row r="1093" spans="1:15" ht="20.100000000000001" customHeight="1" x14ac:dyDescent="0.25">
      <c r="A1093" s="33">
        <v>22</v>
      </c>
      <c r="B1093" s="9">
        <v>43480</v>
      </c>
      <c r="C1093" s="18" t="s">
        <v>99</v>
      </c>
      <c r="D1093" s="11">
        <v>63547</v>
      </c>
      <c r="E1093" s="9">
        <v>43507</v>
      </c>
      <c r="F1093" s="15" t="s">
        <v>28</v>
      </c>
      <c r="G1093" s="12">
        <v>43487</v>
      </c>
      <c r="H1093" s="23">
        <f t="shared" si="117"/>
        <v>63547</v>
      </c>
      <c r="I1093" s="23"/>
      <c r="J1093" s="23"/>
      <c r="K1093" s="24"/>
      <c r="L1093" s="23">
        <v>48209</v>
      </c>
      <c r="M1093" s="22">
        <f t="shared" si="115"/>
        <v>15338</v>
      </c>
      <c r="N1093" s="22"/>
      <c r="O1093" s="30">
        <f t="shared" si="116"/>
        <v>0.24136465922860245</v>
      </c>
    </row>
    <row r="1094" spans="1:15" ht="20.100000000000001" customHeight="1" x14ac:dyDescent="0.25">
      <c r="A1094" s="33">
        <v>42</v>
      </c>
      <c r="B1094" s="9">
        <v>43487</v>
      </c>
      <c r="C1094" s="18" t="s">
        <v>99</v>
      </c>
      <c r="D1094" s="11">
        <v>175800</v>
      </c>
      <c r="E1094" s="9">
        <v>43507</v>
      </c>
      <c r="F1094" s="15" t="s">
        <v>28</v>
      </c>
      <c r="G1094" s="12">
        <v>43496</v>
      </c>
      <c r="H1094" s="23">
        <f t="shared" si="117"/>
        <v>175800</v>
      </c>
      <c r="I1094" s="23"/>
      <c r="J1094" s="23">
        <v>45000</v>
      </c>
      <c r="K1094" s="24"/>
      <c r="L1094" s="23">
        <v>20180</v>
      </c>
      <c r="M1094" s="22">
        <f t="shared" si="115"/>
        <v>110620</v>
      </c>
      <c r="N1094" s="22"/>
      <c r="O1094" s="30">
        <f t="shared" si="116"/>
        <v>0.62923777019340155</v>
      </c>
    </row>
    <row r="1095" spans="1:15" ht="20.100000000000001" customHeight="1" x14ac:dyDescent="0.25">
      <c r="A1095" s="33">
        <v>82</v>
      </c>
      <c r="B1095" s="9">
        <v>43502</v>
      </c>
      <c r="C1095" s="18" t="s">
        <v>149</v>
      </c>
      <c r="D1095" s="11">
        <v>2556</v>
      </c>
      <c r="E1095" s="9">
        <v>43508</v>
      </c>
      <c r="F1095" s="15" t="s">
        <v>28</v>
      </c>
      <c r="G1095" s="12">
        <v>43509</v>
      </c>
      <c r="H1095" s="23">
        <f t="shared" si="117"/>
        <v>2556</v>
      </c>
      <c r="I1095" s="23"/>
      <c r="J1095" s="23"/>
      <c r="K1095" s="24"/>
      <c r="L1095" s="23">
        <v>1908</v>
      </c>
      <c r="M1095" s="22">
        <f t="shared" si="115"/>
        <v>648</v>
      </c>
      <c r="N1095" s="22"/>
      <c r="O1095" s="30">
        <f t="shared" si="116"/>
        <v>0.25352112676056338</v>
      </c>
    </row>
    <row r="1096" spans="1:15" ht="20.100000000000001" customHeight="1" x14ac:dyDescent="0.25">
      <c r="A1096" s="33">
        <v>108</v>
      </c>
      <c r="B1096" s="9">
        <v>43509</v>
      </c>
      <c r="C1096" s="20" t="s">
        <v>368</v>
      </c>
      <c r="D1096" s="11">
        <v>13681</v>
      </c>
      <c r="E1096" s="9">
        <v>43509</v>
      </c>
      <c r="F1096" s="15" t="s">
        <v>28</v>
      </c>
      <c r="G1096" s="12">
        <v>43510</v>
      </c>
      <c r="H1096" s="23">
        <f t="shared" si="117"/>
        <v>13681</v>
      </c>
      <c r="I1096" s="23">
        <f>H1096</f>
        <v>13681</v>
      </c>
      <c r="J1096" s="23"/>
      <c r="K1096" s="24"/>
      <c r="L1096" s="23">
        <v>9722</v>
      </c>
      <c r="M1096" s="22">
        <f t="shared" si="115"/>
        <v>3959</v>
      </c>
      <c r="N1096" s="22">
        <f>M1096</f>
        <v>3959</v>
      </c>
      <c r="O1096" s="30">
        <f t="shared" si="116"/>
        <v>0.28937943132811927</v>
      </c>
    </row>
    <row r="1097" spans="1:15" ht="20.100000000000001" customHeight="1" x14ac:dyDescent="0.25">
      <c r="A1097" s="33">
        <v>107</v>
      </c>
      <c r="B1097" s="9">
        <v>43509</v>
      </c>
      <c r="C1097" s="18" t="s">
        <v>369</v>
      </c>
      <c r="D1097" s="11">
        <v>6388</v>
      </c>
      <c r="E1097" s="9">
        <v>43509</v>
      </c>
      <c r="F1097" s="15" t="s">
        <v>28</v>
      </c>
      <c r="G1097" s="12">
        <v>43529</v>
      </c>
      <c r="H1097" s="23">
        <f t="shared" si="117"/>
        <v>6388</v>
      </c>
      <c r="I1097" s="23"/>
      <c r="J1097" s="23"/>
      <c r="K1097" s="24"/>
      <c r="L1097" s="23">
        <v>4764</v>
      </c>
      <c r="M1097" s="22">
        <f t="shared" si="115"/>
        <v>1624</v>
      </c>
      <c r="N1097" s="22"/>
      <c r="O1097" s="30">
        <f t="shared" si="116"/>
        <v>0.25422667501565432</v>
      </c>
    </row>
    <row r="1098" spans="1:15" ht="20.100000000000001" customHeight="1" x14ac:dyDescent="0.25">
      <c r="A1098" s="33">
        <v>110</v>
      </c>
      <c r="B1098" s="9">
        <v>43509</v>
      </c>
      <c r="C1098" s="20" t="s">
        <v>370</v>
      </c>
      <c r="D1098" s="11">
        <v>5561</v>
      </c>
      <c r="E1098" s="9">
        <v>43511</v>
      </c>
      <c r="F1098" s="15" t="s">
        <v>28</v>
      </c>
      <c r="G1098" s="12">
        <v>43514</v>
      </c>
      <c r="H1098" s="23">
        <f t="shared" si="117"/>
        <v>5561</v>
      </c>
      <c r="I1098" s="23">
        <f>H1098</f>
        <v>5561</v>
      </c>
      <c r="J1098" s="23"/>
      <c r="K1098" s="24"/>
      <c r="L1098" s="23">
        <v>4144</v>
      </c>
      <c r="M1098" s="22">
        <f t="shared" si="115"/>
        <v>1417</v>
      </c>
      <c r="N1098" s="22">
        <f>M1098</f>
        <v>1417</v>
      </c>
      <c r="O1098" s="30">
        <f t="shared" si="116"/>
        <v>0.2548102859197986</v>
      </c>
    </row>
    <row r="1099" spans="1:15" ht="20.100000000000001" customHeight="1" x14ac:dyDescent="0.25">
      <c r="A1099" s="33">
        <v>103</v>
      </c>
      <c r="B1099" s="9">
        <v>43509</v>
      </c>
      <c r="C1099" s="18" t="s">
        <v>77</v>
      </c>
      <c r="D1099" s="11">
        <v>1597</v>
      </c>
      <c r="E1099" s="9">
        <v>43511</v>
      </c>
      <c r="F1099" s="15" t="s">
        <v>28</v>
      </c>
      <c r="G1099" s="12">
        <v>43510</v>
      </c>
      <c r="H1099" s="23">
        <f t="shared" si="117"/>
        <v>1597</v>
      </c>
      <c r="I1099" s="23"/>
      <c r="J1099" s="23"/>
      <c r="K1099" s="24"/>
      <c r="L1099" s="23">
        <v>1191</v>
      </c>
      <c r="M1099" s="22">
        <f t="shared" si="115"/>
        <v>406</v>
      </c>
      <c r="N1099" s="22"/>
      <c r="O1099" s="30">
        <f t="shared" si="116"/>
        <v>0.25422667501565432</v>
      </c>
    </row>
    <row r="1100" spans="1:15" ht="20.100000000000001" customHeight="1" x14ac:dyDescent="0.25">
      <c r="A1100" s="33">
        <v>117</v>
      </c>
      <c r="B1100" s="9">
        <v>43510</v>
      </c>
      <c r="C1100" s="18" t="s">
        <v>77</v>
      </c>
      <c r="D1100" s="11">
        <v>1597</v>
      </c>
      <c r="E1100" s="9">
        <v>43511</v>
      </c>
      <c r="F1100" s="15" t="s">
        <v>28</v>
      </c>
      <c r="G1100" s="12">
        <v>43530</v>
      </c>
      <c r="H1100" s="23">
        <f t="shared" si="117"/>
        <v>1597</v>
      </c>
      <c r="I1100" s="23"/>
      <c r="J1100" s="23"/>
      <c r="K1100" s="24"/>
      <c r="L1100" s="23">
        <v>1191</v>
      </c>
      <c r="M1100" s="22">
        <f t="shared" si="115"/>
        <v>406</v>
      </c>
      <c r="N1100" s="22"/>
      <c r="O1100" s="30">
        <f t="shared" si="116"/>
        <v>0.25422667501565432</v>
      </c>
    </row>
    <row r="1101" spans="1:15" ht="20.100000000000001" customHeight="1" x14ac:dyDescent="0.25">
      <c r="A1101" s="33">
        <v>89</v>
      </c>
      <c r="B1101" s="9">
        <v>43504</v>
      </c>
      <c r="C1101" s="18" t="s">
        <v>13</v>
      </c>
      <c r="D1101" s="11">
        <v>5176</v>
      </c>
      <c r="E1101" s="9">
        <v>43515</v>
      </c>
      <c r="F1101" s="15" t="s">
        <v>28</v>
      </c>
      <c r="G1101" s="12">
        <v>43509</v>
      </c>
      <c r="H1101" s="23">
        <f t="shared" si="117"/>
        <v>5176</v>
      </c>
      <c r="I1101" s="23"/>
      <c r="J1101" s="23"/>
      <c r="K1101" s="24"/>
      <c r="L1101" s="23">
        <v>3862</v>
      </c>
      <c r="M1101" s="22">
        <f t="shared" si="115"/>
        <v>1314</v>
      </c>
      <c r="N1101" s="22"/>
      <c r="O1101" s="30">
        <f t="shared" si="116"/>
        <v>0.25386398763523954</v>
      </c>
    </row>
    <row r="1102" spans="1:15" ht="20.100000000000001" customHeight="1" x14ac:dyDescent="0.25">
      <c r="A1102" s="33">
        <v>914</v>
      </c>
      <c r="B1102" s="9">
        <v>43515</v>
      </c>
      <c r="C1102" s="20" t="s">
        <v>371</v>
      </c>
      <c r="D1102" s="11">
        <v>914</v>
      </c>
      <c r="E1102" s="9">
        <v>43516</v>
      </c>
      <c r="F1102" s="15" t="s">
        <v>28</v>
      </c>
      <c r="G1102" s="12">
        <v>43516</v>
      </c>
      <c r="H1102" s="23">
        <f t="shared" si="117"/>
        <v>914</v>
      </c>
      <c r="I1102" s="23">
        <f>H1102</f>
        <v>914</v>
      </c>
      <c r="J1102" s="23"/>
      <c r="K1102" s="24"/>
      <c r="L1102" s="23">
        <v>613</v>
      </c>
      <c r="M1102" s="22">
        <f t="shared" si="115"/>
        <v>301</v>
      </c>
      <c r="N1102" s="22">
        <f>M1102</f>
        <v>301</v>
      </c>
      <c r="O1102" s="30">
        <f t="shared" si="116"/>
        <v>0.32932166301969368</v>
      </c>
    </row>
    <row r="1103" spans="1:15" ht="20.100000000000001" customHeight="1" x14ac:dyDescent="0.25">
      <c r="A1103" s="33">
        <v>133</v>
      </c>
      <c r="B1103" s="9">
        <v>43516</v>
      </c>
      <c r="C1103" s="5" t="s">
        <v>372</v>
      </c>
      <c r="D1103" s="11">
        <v>60196</v>
      </c>
      <c r="E1103" s="9">
        <v>43517</v>
      </c>
      <c r="F1103" s="15" t="s">
        <v>28</v>
      </c>
      <c r="G1103" s="12">
        <v>43543</v>
      </c>
      <c r="H1103" s="23">
        <f t="shared" si="117"/>
        <v>60196</v>
      </c>
      <c r="I1103" s="23">
        <f>H1103</f>
        <v>60196</v>
      </c>
      <c r="J1103" s="23"/>
      <c r="K1103" s="24"/>
      <c r="L1103" s="23">
        <v>44351</v>
      </c>
      <c r="M1103" s="22">
        <f t="shared" si="115"/>
        <v>15845</v>
      </c>
      <c r="N1103" s="22">
        <f>M1103</f>
        <v>15845</v>
      </c>
      <c r="O1103" s="30">
        <f t="shared" si="116"/>
        <v>0.2632234699980065</v>
      </c>
    </row>
    <row r="1104" spans="1:15" ht="20.100000000000001" customHeight="1" x14ac:dyDescent="0.25">
      <c r="A1104" s="33">
        <v>21</v>
      </c>
      <c r="B1104" s="9">
        <v>43479</v>
      </c>
      <c r="C1104" s="18" t="s">
        <v>175</v>
      </c>
      <c r="D1104" s="11">
        <v>23478.3</v>
      </c>
      <c r="E1104" s="9">
        <v>43522</v>
      </c>
      <c r="F1104" s="15" t="s">
        <v>28</v>
      </c>
      <c r="G1104" s="12">
        <v>43522</v>
      </c>
      <c r="H1104" s="23">
        <f t="shared" si="117"/>
        <v>23478.3</v>
      </c>
      <c r="I1104" s="23"/>
      <c r="J1104" s="23"/>
      <c r="K1104" s="24"/>
      <c r="L1104" s="23">
        <v>18576</v>
      </c>
      <c r="M1104" s="22">
        <f t="shared" si="115"/>
        <v>4902.2999999999993</v>
      </c>
      <c r="N1104" s="22"/>
      <c r="O1104" s="30">
        <f t="shared" si="116"/>
        <v>0.20880131866446885</v>
      </c>
    </row>
    <row r="1105" spans="1:15" ht="20.100000000000001" customHeight="1" x14ac:dyDescent="0.25">
      <c r="A1105" s="33">
        <v>138</v>
      </c>
      <c r="B1105" s="9">
        <v>43518</v>
      </c>
      <c r="C1105" s="18" t="s">
        <v>139</v>
      </c>
      <c r="D1105" s="11">
        <v>8982</v>
      </c>
      <c r="E1105" s="9">
        <v>43522</v>
      </c>
      <c r="F1105" s="15" t="s">
        <v>28</v>
      </c>
      <c r="G1105" s="12">
        <v>43523</v>
      </c>
      <c r="H1105" s="23">
        <f t="shared" si="117"/>
        <v>8982</v>
      </c>
      <c r="I1105" s="23"/>
      <c r="J1105" s="23"/>
      <c r="K1105" s="24"/>
      <c r="L1105" s="23">
        <v>6843</v>
      </c>
      <c r="M1105" s="22">
        <f t="shared" si="115"/>
        <v>2139</v>
      </c>
      <c r="N1105" s="22"/>
      <c r="O1105" s="30">
        <f t="shared" si="116"/>
        <v>0.23814295257181028</v>
      </c>
    </row>
    <row r="1106" spans="1:15" ht="20.100000000000001" customHeight="1" x14ac:dyDescent="0.25">
      <c r="A1106" s="33">
        <v>6</v>
      </c>
      <c r="B1106" s="9">
        <v>43479</v>
      </c>
      <c r="C1106" s="18" t="s">
        <v>56</v>
      </c>
      <c r="D1106" s="11">
        <v>21303</v>
      </c>
      <c r="E1106" s="9">
        <v>43523</v>
      </c>
      <c r="F1106" s="15" t="s">
        <v>28</v>
      </c>
      <c r="G1106" s="12">
        <v>43514</v>
      </c>
      <c r="H1106" s="23">
        <f t="shared" si="117"/>
        <v>21303</v>
      </c>
      <c r="I1106" s="23"/>
      <c r="J1106" s="23"/>
      <c r="K1106" s="24"/>
      <c r="L1106" s="23">
        <v>14703</v>
      </c>
      <c r="M1106" s="22">
        <f t="shared" si="115"/>
        <v>6600</v>
      </c>
      <c r="N1106" s="22"/>
      <c r="O1106" s="30">
        <f t="shared" si="116"/>
        <v>0.30981551894099424</v>
      </c>
    </row>
    <row r="1107" spans="1:15" ht="20.100000000000001" customHeight="1" x14ac:dyDescent="0.25">
      <c r="A1107" s="33">
        <v>84</v>
      </c>
      <c r="B1107" s="9">
        <v>43502</v>
      </c>
      <c r="C1107" s="18" t="s">
        <v>56</v>
      </c>
      <c r="D1107" s="11">
        <v>51518</v>
      </c>
      <c r="E1107" s="9">
        <v>43523</v>
      </c>
      <c r="F1107" s="15" t="s">
        <v>28</v>
      </c>
      <c r="G1107" s="12">
        <v>43514</v>
      </c>
      <c r="H1107" s="23">
        <f t="shared" si="117"/>
        <v>51518</v>
      </c>
      <c r="I1107" s="23"/>
      <c r="J1107" s="23"/>
      <c r="K1107" s="24"/>
      <c r="L1107" s="23">
        <v>38265</v>
      </c>
      <c r="M1107" s="22">
        <f t="shared" si="115"/>
        <v>13253</v>
      </c>
      <c r="N1107" s="22"/>
      <c r="O1107" s="30">
        <f t="shared" si="116"/>
        <v>0.25724989324119724</v>
      </c>
    </row>
    <row r="1108" spans="1:15" ht="20.100000000000001" customHeight="1" x14ac:dyDescent="0.25">
      <c r="A1108" s="33">
        <v>76</v>
      </c>
      <c r="B1108" s="9">
        <v>43510</v>
      </c>
      <c r="C1108" s="18" t="s">
        <v>248</v>
      </c>
      <c r="D1108" s="11">
        <v>8996</v>
      </c>
      <c r="E1108" s="9">
        <v>43523</v>
      </c>
      <c r="F1108" s="15" t="s">
        <v>28</v>
      </c>
      <c r="G1108" s="12">
        <v>43510</v>
      </c>
      <c r="H1108" s="23">
        <f t="shared" si="117"/>
        <v>8996</v>
      </c>
      <c r="I1108" s="23"/>
      <c r="J1108" s="23"/>
      <c r="K1108" s="24"/>
      <c r="L1108" s="23">
        <v>6558</v>
      </c>
      <c r="M1108" s="22">
        <f t="shared" si="115"/>
        <v>2438</v>
      </c>
      <c r="N1108" s="22"/>
      <c r="O1108" s="30">
        <f t="shared" si="116"/>
        <v>0.2710093374833259</v>
      </c>
    </row>
    <row r="1109" spans="1:15" ht="20.100000000000001" customHeight="1" x14ac:dyDescent="0.25">
      <c r="A1109" s="33">
        <v>146</v>
      </c>
      <c r="B1109" s="9">
        <v>43522</v>
      </c>
      <c r="C1109" s="18" t="s">
        <v>270</v>
      </c>
      <c r="D1109" s="11">
        <v>1795</v>
      </c>
      <c r="E1109" s="9">
        <v>43524</v>
      </c>
      <c r="F1109" s="15" t="s">
        <v>28</v>
      </c>
      <c r="G1109" s="12">
        <v>43528</v>
      </c>
      <c r="H1109" s="23">
        <f t="shared" si="117"/>
        <v>1795</v>
      </c>
      <c r="I1109" s="23"/>
      <c r="J1109" s="23"/>
      <c r="K1109" s="24"/>
      <c r="L1109" s="23">
        <v>1339</v>
      </c>
      <c r="M1109" s="22">
        <f t="shared" si="115"/>
        <v>456</v>
      </c>
      <c r="N1109" s="22"/>
      <c r="O1109" s="30">
        <f t="shared" si="116"/>
        <v>0.2540389972144847</v>
      </c>
    </row>
    <row r="1110" spans="1:15" ht="20.100000000000001" customHeight="1" x14ac:dyDescent="0.25">
      <c r="A1110" s="33">
        <v>48</v>
      </c>
      <c r="B1110" s="9">
        <v>43489</v>
      </c>
      <c r="C1110" s="18" t="s">
        <v>99</v>
      </c>
      <c r="D1110" s="11">
        <v>294341</v>
      </c>
      <c r="E1110" s="9">
        <v>43524</v>
      </c>
      <c r="F1110" s="15" t="s">
        <v>28</v>
      </c>
      <c r="G1110" s="12">
        <v>43496</v>
      </c>
      <c r="H1110" s="23">
        <f t="shared" si="117"/>
        <v>294341</v>
      </c>
      <c r="I1110" s="23"/>
      <c r="J1110" s="23">
        <v>45000</v>
      </c>
      <c r="K1110" s="24"/>
      <c r="L1110" s="23">
        <v>106118</v>
      </c>
      <c r="M1110" s="22">
        <f t="shared" si="115"/>
        <v>143223</v>
      </c>
      <c r="N1110" s="22"/>
      <c r="O1110" s="30">
        <f t="shared" si="116"/>
        <v>0.48658868455295051</v>
      </c>
    </row>
    <row r="1111" spans="1:15" ht="19.5" customHeight="1" x14ac:dyDescent="0.25">
      <c r="A1111" s="35" t="s">
        <v>535</v>
      </c>
      <c r="B1111" s="36"/>
      <c r="C1111" s="42"/>
      <c r="D1111" s="37"/>
      <c r="E1111" s="46" t="s">
        <v>564</v>
      </c>
      <c r="F1111" s="47">
        <f>M1111*0.17+N1111*0.06</f>
        <v>82945.074000000008</v>
      </c>
      <c r="G1111" s="21">
        <f>H1111*0.05+I1111*0.02</f>
        <v>82015.649999999994</v>
      </c>
      <c r="H1111" s="49">
        <f>SUBTOTAL(109,Февраль2019[Продажа])</f>
        <v>1608172.2</v>
      </c>
      <c r="I1111" s="49">
        <f>SUBTOTAL(109,Февраль2019[Продажа НК])</f>
        <v>80352</v>
      </c>
      <c r="J1111" s="49">
        <f>SUBTOTAL(109,Февраль2019[отк])</f>
        <v>90000</v>
      </c>
      <c r="K1111" s="49">
        <f>SUBTOTAL(109,Февраль2019[шланги])</f>
        <v>0</v>
      </c>
      <c r="L1111" s="49">
        <f>SUBTOTAL(109,Февраль2019[Закупка])</f>
        <v>1037856</v>
      </c>
      <c r="M1111" s="49">
        <f>SUBTOTAL(109,Февраль2019[Маржа])</f>
        <v>480316.2</v>
      </c>
      <c r="N1111" s="49">
        <f>SUBTOTAL(109,Февраль2019[Маржа НК])</f>
        <v>21522</v>
      </c>
      <c r="O1111" s="44">
        <f t="shared" si="116"/>
        <v>0.29867211981403485</v>
      </c>
    </row>
    <row r="1112" spans="1:15" s="2" customFormat="1" ht="20.100000000000001" customHeight="1" x14ac:dyDescent="0.25">
      <c r="A1112" s="41" t="s">
        <v>1</v>
      </c>
      <c r="B1112" s="1" t="s">
        <v>0</v>
      </c>
      <c r="C1112" s="1" t="s">
        <v>26</v>
      </c>
      <c r="D1112" s="1" t="s">
        <v>2</v>
      </c>
      <c r="E1112" s="1" t="s">
        <v>3</v>
      </c>
      <c r="F1112" s="1" t="s">
        <v>27</v>
      </c>
      <c r="G1112" s="1" t="s">
        <v>4</v>
      </c>
      <c r="H1112" s="2" t="s">
        <v>132</v>
      </c>
      <c r="I1112" s="2" t="s">
        <v>133</v>
      </c>
      <c r="J1112" s="40" t="s">
        <v>187</v>
      </c>
      <c r="K1112" s="40" t="s">
        <v>188</v>
      </c>
      <c r="L1112" s="40" t="s">
        <v>129</v>
      </c>
      <c r="M1112" s="40" t="s">
        <v>130</v>
      </c>
      <c r="N1112" s="2" t="s">
        <v>131</v>
      </c>
      <c r="O1112" s="2" t="s">
        <v>134</v>
      </c>
    </row>
    <row r="1113" spans="1:15" ht="20.100000000000001" customHeight="1" x14ac:dyDescent="0.25">
      <c r="A1113" s="33">
        <v>125</v>
      </c>
      <c r="B1113" s="9">
        <v>43515</v>
      </c>
      <c r="C1113" s="18" t="s">
        <v>329</v>
      </c>
      <c r="D1113" s="3">
        <v>8924</v>
      </c>
      <c r="E1113" s="9">
        <v>43528</v>
      </c>
      <c r="F1113" s="15" t="s">
        <v>28</v>
      </c>
      <c r="G1113" s="12">
        <v>43537</v>
      </c>
      <c r="H1113" s="23">
        <f t="shared" ref="H1113:H1144" si="118">D1113</f>
        <v>8924</v>
      </c>
      <c r="I1113" s="23"/>
      <c r="J1113" s="23"/>
      <c r="K1113" s="24"/>
      <c r="L1113" s="23">
        <v>6960</v>
      </c>
      <c r="M1113" s="22">
        <f t="shared" ref="M1113:M1145" si="119">H1113-L1113-J1113-K1113</f>
        <v>1964</v>
      </c>
      <c r="N1113" s="22"/>
      <c r="O1113" s="30">
        <f t="shared" ref="O1113:O1146" si="120">M1113/H1113</f>
        <v>0.22008068130883013</v>
      </c>
    </row>
    <row r="1114" spans="1:15" ht="20.100000000000001" customHeight="1" x14ac:dyDescent="0.25">
      <c r="A1114" s="33">
        <v>135</v>
      </c>
      <c r="B1114" s="9">
        <v>43517</v>
      </c>
      <c r="C1114" s="18" t="s">
        <v>228</v>
      </c>
      <c r="D1114" s="11">
        <v>2000</v>
      </c>
      <c r="E1114" s="9">
        <v>43529</v>
      </c>
      <c r="F1114" s="15" t="s">
        <v>28</v>
      </c>
      <c r="G1114" s="12">
        <v>43518</v>
      </c>
      <c r="H1114" s="23">
        <f t="shared" si="118"/>
        <v>2000</v>
      </c>
      <c r="I1114" s="23"/>
      <c r="J1114" s="23"/>
      <c r="K1114" s="24"/>
      <c r="L1114" s="23">
        <v>1300</v>
      </c>
      <c r="M1114" s="22">
        <f t="shared" si="119"/>
        <v>700</v>
      </c>
      <c r="N1114" s="22"/>
      <c r="O1114" s="30">
        <f t="shared" si="120"/>
        <v>0.35</v>
      </c>
    </row>
    <row r="1115" spans="1:15" ht="20.100000000000001" customHeight="1" x14ac:dyDescent="0.25">
      <c r="A1115" s="33">
        <v>164</v>
      </c>
      <c r="B1115" s="9">
        <v>43530</v>
      </c>
      <c r="C1115" s="18" t="s">
        <v>169</v>
      </c>
      <c r="D1115" s="11">
        <v>300</v>
      </c>
      <c r="E1115" s="9">
        <v>43531</v>
      </c>
      <c r="F1115" s="15" t="s">
        <v>28</v>
      </c>
      <c r="G1115" s="12">
        <v>43530</v>
      </c>
      <c r="H1115" s="23">
        <f t="shared" si="118"/>
        <v>300</v>
      </c>
      <c r="I1115" s="23"/>
      <c r="J1115" s="23"/>
      <c r="K1115" s="24"/>
      <c r="L1115" s="23">
        <v>50</v>
      </c>
      <c r="M1115" s="22">
        <f t="shared" si="119"/>
        <v>250</v>
      </c>
      <c r="N1115" s="22"/>
      <c r="O1115" s="30">
        <f t="shared" si="120"/>
        <v>0.83333333333333337</v>
      </c>
    </row>
    <row r="1116" spans="1:15" ht="20.100000000000001" customHeight="1" x14ac:dyDescent="0.25">
      <c r="A1116" s="33">
        <v>163</v>
      </c>
      <c r="B1116" s="9">
        <v>43530</v>
      </c>
      <c r="C1116" s="18" t="s">
        <v>373</v>
      </c>
      <c r="D1116" s="11">
        <v>1695</v>
      </c>
      <c r="E1116" s="9">
        <v>43531</v>
      </c>
      <c r="F1116" s="15" t="s">
        <v>28</v>
      </c>
      <c r="G1116" s="12">
        <v>43537</v>
      </c>
      <c r="H1116" s="23">
        <f t="shared" si="118"/>
        <v>1695</v>
      </c>
      <c r="I1116" s="23"/>
      <c r="J1116" s="23"/>
      <c r="K1116" s="24"/>
      <c r="L1116" s="23">
        <v>1322</v>
      </c>
      <c r="M1116" s="22">
        <f t="shared" si="119"/>
        <v>373</v>
      </c>
      <c r="N1116" s="22"/>
      <c r="O1116" s="30">
        <f t="shared" si="120"/>
        <v>0.2200589970501475</v>
      </c>
    </row>
    <row r="1117" spans="1:15" ht="20.100000000000001" customHeight="1" x14ac:dyDescent="0.25">
      <c r="A1117" s="33">
        <v>173</v>
      </c>
      <c r="B1117" s="9">
        <v>43531</v>
      </c>
      <c r="C1117" s="18" t="s">
        <v>238</v>
      </c>
      <c r="D1117" s="11">
        <v>1203</v>
      </c>
      <c r="E1117" s="9">
        <v>43531</v>
      </c>
      <c r="F1117" s="15" t="s">
        <v>28</v>
      </c>
      <c r="G1117" s="12">
        <v>43544</v>
      </c>
      <c r="H1117" s="23">
        <f t="shared" si="118"/>
        <v>1203</v>
      </c>
      <c r="I1117" s="23"/>
      <c r="J1117" s="23"/>
      <c r="K1117" s="24"/>
      <c r="L1117" s="23">
        <v>938</v>
      </c>
      <c r="M1117" s="22">
        <f t="shared" si="119"/>
        <v>265</v>
      </c>
      <c r="N1117" s="22"/>
      <c r="O1117" s="30">
        <f t="shared" si="120"/>
        <v>0.2202826267664173</v>
      </c>
    </row>
    <row r="1118" spans="1:15" ht="20.100000000000001" customHeight="1" x14ac:dyDescent="0.25">
      <c r="A1118" s="33">
        <v>152</v>
      </c>
      <c r="B1118" s="9">
        <v>43525</v>
      </c>
      <c r="C1118" s="18" t="s">
        <v>42</v>
      </c>
      <c r="D1118" s="11">
        <v>154590</v>
      </c>
      <c r="E1118" s="9">
        <v>43536</v>
      </c>
      <c r="F1118" s="15" t="s">
        <v>28</v>
      </c>
      <c r="G1118" s="12">
        <v>43538</v>
      </c>
      <c r="H1118" s="23">
        <f t="shared" si="118"/>
        <v>154590</v>
      </c>
      <c r="I1118" s="23"/>
      <c r="J1118" s="23"/>
      <c r="K1118" s="24"/>
      <c r="L1118" s="23">
        <v>109943</v>
      </c>
      <c r="M1118" s="22">
        <f t="shared" si="119"/>
        <v>44647</v>
      </c>
      <c r="N1118" s="22"/>
      <c r="O1118" s="30">
        <f t="shared" si="120"/>
        <v>0.28880910796299891</v>
      </c>
    </row>
    <row r="1119" spans="1:15" ht="20.100000000000001" customHeight="1" x14ac:dyDescent="0.25">
      <c r="A1119" s="33">
        <v>174</v>
      </c>
      <c r="B1119" s="9">
        <v>43531</v>
      </c>
      <c r="C1119" s="18" t="s">
        <v>42</v>
      </c>
      <c r="D1119" s="11">
        <v>5431</v>
      </c>
      <c r="E1119" s="9">
        <v>43536</v>
      </c>
      <c r="F1119" s="15" t="s">
        <v>28</v>
      </c>
      <c r="G1119" s="12">
        <v>43538</v>
      </c>
      <c r="H1119" s="23">
        <f t="shared" si="118"/>
        <v>5431</v>
      </c>
      <c r="I1119" s="23"/>
      <c r="J1119" s="23"/>
      <c r="K1119" s="24"/>
      <c r="L1119" s="23">
        <v>3927</v>
      </c>
      <c r="M1119" s="22">
        <f t="shared" si="119"/>
        <v>1504</v>
      </c>
      <c r="N1119" s="22"/>
      <c r="O1119" s="30">
        <f t="shared" si="120"/>
        <v>0.27692874240471366</v>
      </c>
    </row>
    <row r="1120" spans="1:15" ht="20.100000000000001" customHeight="1" x14ac:dyDescent="0.25">
      <c r="A1120" s="33">
        <v>184</v>
      </c>
      <c r="B1120" s="9">
        <v>43536</v>
      </c>
      <c r="C1120" s="18" t="s">
        <v>71</v>
      </c>
      <c r="D1120" s="11">
        <v>1290</v>
      </c>
      <c r="E1120" s="9">
        <v>43536</v>
      </c>
      <c r="F1120" s="15" t="s">
        <v>28</v>
      </c>
      <c r="G1120" s="12">
        <v>43539</v>
      </c>
      <c r="H1120" s="23">
        <f t="shared" si="118"/>
        <v>1290</v>
      </c>
      <c r="I1120" s="23"/>
      <c r="J1120" s="23"/>
      <c r="K1120" s="24"/>
      <c r="L1120" s="23">
        <v>1005</v>
      </c>
      <c r="M1120" s="22">
        <f t="shared" si="119"/>
        <v>285</v>
      </c>
      <c r="N1120" s="22"/>
      <c r="O1120" s="30">
        <f t="shared" si="120"/>
        <v>0.22093023255813954</v>
      </c>
    </row>
    <row r="1121" spans="1:15" ht="20.100000000000001" customHeight="1" x14ac:dyDescent="0.25">
      <c r="A1121" s="33">
        <v>178</v>
      </c>
      <c r="B1121" s="9">
        <v>43535</v>
      </c>
      <c r="C1121" s="18" t="s">
        <v>139</v>
      </c>
      <c r="D1121" s="11">
        <v>2162</v>
      </c>
      <c r="E1121" s="9">
        <v>43537</v>
      </c>
      <c r="F1121" s="15" t="s">
        <v>28</v>
      </c>
      <c r="G1121" s="12">
        <v>43552</v>
      </c>
      <c r="H1121" s="23">
        <f t="shared" si="118"/>
        <v>2162</v>
      </c>
      <c r="I1121" s="23"/>
      <c r="J1121" s="23"/>
      <c r="K1121" s="24"/>
      <c r="L1121" s="23">
        <v>1427</v>
      </c>
      <c r="M1121" s="22">
        <f t="shared" si="119"/>
        <v>735</v>
      </c>
      <c r="N1121" s="22"/>
      <c r="O1121" s="30">
        <f t="shared" si="120"/>
        <v>0.33996299722479184</v>
      </c>
    </row>
    <row r="1122" spans="1:15" ht="20.100000000000001" customHeight="1" x14ac:dyDescent="0.25">
      <c r="A1122" s="33">
        <v>83</v>
      </c>
      <c r="B1122" s="9">
        <v>43502</v>
      </c>
      <c r="C1122" s="18" t="s">
        <v>175</v>
      </c>
      <c r="D1122" s="11">
        <v>9153.25</v>
      </c>
      <c r="E1122" s="9">
        <v>43538</v>
      </c>
      <c r="F1122" s="15" t="s">
        <v>28</v>
      </c>
      <c r="G1122" s="12">
        <v>43543</v>
      </c>
      <c r="H1122" s="23">
        <f t="shared" si="118"/>
        <v>9153.25</v>
      </c>
      <c r="I1122" s="23"/>
      <c r="J1122" s="23"/>
      <c r="K1122" s="24"/>
      <c r="L1122" s="23">
        <v>7466</v>
      </c>
      <c r="M1122" s="22">
        <f t="shared" si="119"/>
        <v>1687.25</v>
      </c>
      <c r="N1122" s="22"/>
      <c r="O1122" s="30">
        <f t="shared" si="120"/>
        <v>0.18433343347991152</v>
      </c>
    </row>
    <row r="1123" spans="1:15" ht="20.100000000000001" customHeight="1" x14ac:dyDescent="0.25">
      <c r="A1123" s="33">
        <v>100</v>
      </c>
      <c r="B1123" s="9">
        <v>43508</v>
      </c>
      <c r="C1123" s="20" t="s">
        <v>367</v>
      </c>
      <c r="D1123" s="11">
        <v>1535</v>
      </c>
      <c r="E1123" s="9">
        <v>43539</v>
      </c>
      <c r="F1123" s="15" t="s">
        <v>28</v>
      </c>
      <c r="G1123" s="12">
        <v>43545</v>
      </c>
      <c r="H1123" s="23">
        <f t="shared" si="118"/>
        <v>1535</v>
      </c>
      <c r="I1123" s="23">
        <f>H1123</f>
        <v>1535</v>
      </c>
      <c r="J1123" s="23"/>
      <c r="K1123" s="24"/>
      <c r="L1123" s="23">
        <v>1197</v>
      </c>
      <c r="M1123" s="22">
        <f t="shared" si="119"/>
        <v>338</v>
      </c>
      <c r="N1123" s="22">
        <f>M1123</f>
        <v>338</v>
      </c>
      <c r="O1123" s="30">
        <f t="shared" si="120"/>
        <v>0.22019543973941369</v>
      </c>
    </row>
    <row r="1124" spans="1:15" ht="20.100000000000001" customHeight="1" x14ac:dyDescent="0.25">
      <c r="A1124" s="33">
        <v>148</v>
      </c>
      <c r="B1124" s="9">
        <v>43523</v>
      </c>
      <c r="C1124" s="18" t="s">
        <v>169</v>
      </c>
      <c r="D1124" s="11">
        <v>104549</v>
      </c>
      <c r="E1124" s="9">
        <v>43539</v>
      </c>
      <c r="F1124" s="15" t="s">
        <v>28</v>
      </c>
      <c r="G1124" s="12">
        <v>43539</v>
      </c>
      <c r="H1124" s="23">
        <f t="shared" si="118"/>
        <v>104549</v>
      </c>
      <c r="I1124" s="23"/>
      <c r="J1124" s="23"/>
      <c r="K1124" s="24"/>
      <c r="L1124" s="23">
        <v>75412</v>
      </c>
      <c r="M1124" s="22">
        <f t="shared" si="119"/>
        <v>29137</v>
      </c>
      <c r="N1124" s="22"/>
      <c r="O1124" s="30">
        <f t="shared" si="120"/>
        <v>0.27869228782676064</v>
      </c>
    </row>
    <row r="1125" spans="1:15" ht="20.100000000000001" customHeight="1" x14ac:dyDescent="0.25">
      <c r="A1125" s="33">
        <v>153</v>
      </c>
      <c r="B1125" s="9">
        <v>43528</v>
      </c>
      <c r="C1125" s="18" t="s">
        <v>45</v>
      </c>
      <c r="D1125" s="11">
        <v>74898</v>
      </c>
      <c r="E1125" s="9">
        <v>43539</v>
      </c>
      <c r="F1125" s="15" t="s">
        <v>28</v>
      </c>
      <c r="G1125" s="12">
        <v>43557</v>
      </c>
      <c r="H1125" s="23">
        <f t="shared" si="118"/>
        <v>74898</v>
      </c>
      <c r="I1125" s="23"/>
      <c r="J1125" s="23"/>
      <c r="K1125" s="24"/>
      <c r="L1125" s="23">
        <v>49761</v>
      </c>
      <c r="M1125" s="22">
        <f t="shared" si="119"/>
        <v>25137</v>
      </c>
      <c r="N1125" s="22"/>
      <c r="O1125" s="30">
        <f t="shared" si="120"/>
        <v>0.33561643835616439</v>
      </c>
    </row>
    <row r="1126" spans="1:15" ht="20.100000000000001" customHeight="1" x14ac:dyDescent="0.25">
      <c r="A1126" s="33">
        <v>77</v>
      </c>
      <c r="B1126" s="9">
        <v>43515</v>
      </c>
      <c r="C1126" s="26" t="s">
        <v>248</v>
      </c>
      <c r="D1126" s="11">
        <v>13770</v>
      </c>
      <c r="E1126" s="9">
        <v>43539</v>
      </c>
      <c r="F1126" s="15" t="s">
        <v>28</v>
      </c>
      <c r="G1126" s="12">
        <v>43518</v>
      </c>
      <c r="H1126" s="23">
        <f t="shared" si="118"/>
        <v>13770</v>
      </c>
      <c r="I1126" s="23"/>
      <c r="J1126" s="23"/>
      <c r="K1126" s="24"/>
      <c r="L1126" s="23">
        <v>9964</v>
      </c>
      <c r="M1126" s="22">
        <f t="shared" si="119"/>
        <v>3806</v>
      </c>
      <c r="N1126" s="22"/>
      <c r="O1126" s="30">
        <f t="shared" si="120"/>
        <v>0.27639796659404503</v>
      </c>
    </row>
    <row r="1127" spans="1:15" ht="20.100000000000001" customHeight="1" x14ac:dyDescent="0.25">
      <c r="A1127" s="33">
        <v>202</v>
      </c>
      <c r="B1127" s="9">
        <v>43539</v>
      </c>
      <c r="C1127" s="26" t="s">
        <v>91</v>
      </c>
      <c r="D1127" s="11">
        <v>5176</v>
      </c>
      <c r="E1127" s="9">
        <v>43539</v>
      </c>
      <c r="F1127" s="15" t="s">
        <v>28</v>
      </c>
      <c r="G1127" s="12">
        <v>43544</v>
      </c>
      <c r="H1127" s="23">
        <f t="shared" si="118"/>
        <v>5176</v>
      </c>
      <c r="I1127" s="23"/>
      <c r="J1127" s="23"/>
      <c r="K1127" s="24"/>
      <c r="L1127" s="23">
        <v>3862</v>
      </c>
      <c r="M1127" s="22">
        <f t="shared" si="119"/>
        <v>1314</v>
      </c>
      <c r="N1127" s="22"/>
      <c r="O1127" s="30">
        <f t="shared" si="120"/>
        <v>0.25386398763523954</v>
      </c>
    </row>
    <row r="1128" spans="1:15" ht="20.100000000000001" customHeight="1" x14ac:dyDescent="0.25">
      <c r="A1128" s="33">
        <v>139</v>
      </c>
      <c r="B1128" s="9">
        <v>43524</v>
      </c>
      <c r="C1128" s="18" t="s">
        <v>228</v>
      </c>
      <c r="D1128" s="11">
        <v>51860.5</v>
      </c>
      <c r="E1128" s="9">
        <v>43543</v>
      </c>
      <c r="F1128" s="15" t="s">
        <v>28</v>
      </c>
      <c r="G1128" s="12">
        <v>43528</v>
      </c>
      <c r="H1128" s="23">
        <f t="shared" si="118"/>
        <v>51860.5</v>
      </c>
      <c r="I1128" s="23"/>
      <c r="J1128" s="23"/>
      <c r="K1128" s="24"/>
      <c r="L1128" s="23">
        <v>39456</v>
      </c>
      <c r="M1128" s="22">
        <f t="shared" si="119"/>
        <v>12404.5</v>
      </c>
      <c r="N1128" s="22"/>
      <c r="O1128" s="30">
        <f t="shared" si="120"/>
        <v>0.23918974942393537</v>
      </c>
    </row>
    <row r="1129" spans="1:15" ht="20.100000000000001" customHeight="1" x14ac:dyDescent="0.25">
      <c r="A1129" s="33">
        <v>165</v>
      </c>
      <c r="B1129" s="9">
        <v>43530</v>
      </c>
      <c r="C1129" s="18" t="s">
        <v>228</v>
      </c>
      <c r="D1129" s="11">
        <v>55248</v>
      </c>
      <c r="E1129" s="9">
        <v>43543</v>
      </c>
      <c r="F1129" s="15" t="s">
        <v>28</v>
      </c>
      <c r="G1129" s="12">
        <v>43558</v>
      </c>
      <c r="H1129" s="23">
        <f t="shared" si="118"/>
        <v>55248</v>
      </c>
      <c r="I1129" s="23"/>
      <c r="J1129" s="23"/>
      <c r="K1129" s="24">
        <f>2*600</f>
        <v>1200</v>
      </c>
      <c r="L1129" s="23">
        <v>31835</v>
      </c>
      <c r="M1129" s="22">
        <f t="shared" si="119"/>
        <v>22213</v>
      </c>
      <c r="N1129" s="22"/>
      <c r="O1129" s="30">
        <f t="shared" si="120"/>
        <v>0.40205980306979439</v>
      </c>
    </row>
    <row r="1130" spans="1:15" ht="20.100000000000001" customHeight="1" x14ac:dyDescent="0.25">
      <c r="A1130" s="33">
        <v>166</v>
      </c>
      <c r="B1130" s="9">
        <v>43530</v>
      </c>
      <c r="C1130" s="18" t="s">
        <v>228</v>
      </c>
      <c r="D1130" s="11">
        <v>21918</v>
      </c>
      <c r="E1130" s="9">
        <v>43543</v>
      </c>
      <c r="F1130" s="15" t="s">
        <v>28</v>
      </c>
      <c r="G1130" s="12">
        <v>43558</v>
      </c>
      <c r="H1130" s="23">
        <f t="shared" si="118"/>
        <v>21918</v>
      </c>
      <c r="I1130" s="23"/>
      <c r="J1130" s="23"/>
      <c r="K1130" s="24"/>
      <c r="L1130" s="23">
        <v>12737</v>
      </c>
      <c r="M1130" s="22">
        <f t="shared" si="119"/>
        <v>9181</v>
      </c>
      <c r="N1130" s="22"/>
      <c r="O1130" s="30">
        <f t="shared" si="120"/>
        <v>0.41887945980472668</v>
      </c>
    </row>
    <row r="1131" spans="1:15" ht="20.100000000000001" customHeight="1" x14ac:dyDescent="0.25">
      <c r="A1131" s="33">
        <v>187</v>
      </c>
      <c r="B1131" s="9">
        <v>43537</v>
      </c>
      <c r="C1131" s="18" t="s">
        <v>60</v>
      </c>
      <c r="D1131" s="11">
        <v>24595</v>
      </c>
      <c r="E1131" s="9">
        <v>43543</v>
      </c>
      <c r="F1131" s="15" t="s">
        <v>28</v>
      </c>
      <c r="G1131" s="12">
        <v>43537</v>
      </c>
      <c r="H1131" s="23">
        <f t="shared" si="118"/>
        <v>24595</v>
      </c>
      <c r="I1131" s="23"/>
      <c r="J1131" s="23"/>
      <c r="K1131" s="24"/>
      <c r="L1131" s="23">
        <v>8634</v>
      </c>
      <c r="M1131" s="22">
        <f t="shared" si="119"/>
        <v>15961</v>
      </c>
      <c r="N1131" s="22"/>
      <c r="O1131" s="30">
        <f t="shared" si="120"/>
        <v>0.64895303923561698</v>
      </c>
    </row>
    <row r="1132" spans="1:15" ht="20.100000000000001" customHeight="1" x14ac:dyDescent="0.25">
      <c r="A1132" s="33">
        <v>218</v>
      </c>
      <c r="B1132" s="9">
        <v>43544</v>
      </c>
      <c r="C1132" s="18" t="s">
        <v>355</v>
      </c>
      <c r="D1132" s="11">
        <v>19990</v>
      </c>
      <c r="E1132" s="9">
        <v>43545</v>
      </c>
      <c r="F1132" s="15" t="s">
        <v>28</v>
      </c>
      <c r="G1132" s="12">
        <v>43546</v>
      </c>
      <c r="H1132" s="23">
        <f t="shared" si="118"/>
        <v>19990</v>
      </c>
      <c r="I1132" s="23"/>
      <c r="J1132" s="23"/>
      <c r="K1132" s="24"/>
      <c r="L1132" s="23">
        <v>14692</v>
      </c>
      <c r="M1132" s="22">
        <f t="shared" si="119"/>
        <v>5298</v>
      </c>
      <c r="N1132" s="22"/>
      <c r="O1132" s="30">
        <f t="shared" si="120"/>
        <v>0.26503251625812907</v>
      </c>
    </row>
    <row r="1133" spans="1:15" ht="20.100000000000001" customHeight="1" x14ac:dyDescent="0.25">
      <c r="A1133" s="33">
        <v>130</v>
      </c>
      <c r="B1133" s="9">
        <v>43516</v>
      </c>
      <c r="C1133" s="18" t="s">
        <v>13</v>
      </c>
      <c r="D1133" s="11">
        <v>17260</v>
      </c>
      <c r="E1133" s="9">
        <v>43545</v>
      </c>
      <c r="F1133" s="15" t="s">
        <v>28</v>
      </c>
      <c r="G1133" s="12">
        <v>43535</v>
      </c>
      <c r="H1133" s="23">
        <f t="shared" si="118"/>
        <v>17260</v>
      </c>
      <c r="I1133" s="23"/>
      <c r="J1133" s="23"/>
      <c r="K1133" s="24"/>
      <c r="L1133" s="23">
        <v>13086</v>
      </c>
      <c r="M1133" s="22">
        <f t="shared" si="119"/>
        <v>4174</v>
      </c>
      <c r="N1133" s="22"/>
      <c r="O1133" s="30">
        <f t="shared" si="120"/>
        <v>0.2418308227114716</v>
      </c>
    </row>
    <row r="1134" spans="1:15" ht="20.100000000000001" customHeight="1" x14ac:dyDescent="0.25">
      <c r="A1134" s="33">
        <v>112</v>
      </c>
      <c r="B1134" s="9">
        <v>43510</v>
      </c>
      <c r="C1134" s="18" t="s">
        <v>11</v>
      </c>
      <c r="D1134" s="11">
        <v>2412</v>
      </c>
      <c r="E1134" s="9">
        <v>43545</v>
      </c>
      <c r="F1134" s="15" t="s">
        <v>28</v>
      </c>
      <c r="G1134" s="12">
        <v>43552</v>
      </c>
      <c r="H1134" s="23">
        <f t="shared" si="118"/>
        <v>2412</v>
      </c>
      <c r="I1134" s="23"/>
      <c r="J1134" s="23"/>
      <c r="K1134" s="24"/>
      <c r="L1134" s="23">
        <v>1476</v>
      </c>
      <c r="M1134" s="22">
        <f t="shared" si="119"/>
        <v>936</v>
      </c>
      <c r="N1134" s="22"/>
      <c r="O1134" s="30">
        <f t="shared" si="120"/>
        <v>0.38805970149253732</v>
      </c>
    </row>
    <row r="1135" spans="1:15" ht="20.100000000000001" customHeight="1" x14ac:dyDescent="0.25">
      <c r="A1135" s="33">
        <v>222</v>
      </c>
      <c r="B1135" s="9">
        <v>43545</v>
      </c>
      <c r="C1135" s="18" t="s">
        <v>263</v>
      </c>
      <c r="D1135" s="11">
        <v>13277</v>
      </c>
      <c r="E1135" s="9">
        <v>43545</v>
      </c>
      <c r="F1135" s="15" t="s">
        <v>28</v>
      </c>
      <c r="G1135" s="12">
        <v>43546</v>
      </c>
      <c r="H1135" s="23">
        <f t="shared" si="118"/>
        <v>13277</v>
      </c>
      <c r="I1135" s="23"/>
      <c r="J1135" s="23"/>
      <c r="K1135" s="24"/>
      <c r="L1135" s="23">
        <v>10284</v>
      </c>
      <c r="M1135" s="22">
        <f t="shared" si="119"/>
        <v>2993</v>
      </c>
      <c r="N1135" s="22"/>
      <c r="O1135" s="30">
        <f t="shared" si="120"/>
        <v>0.22542743089553363</v>
      </c>
    </row>
    <row r="1136" spans="1:15" ht="20.100000000000001" customHeight="1" x14ac:dyDescent="0.25">
      <c r="A1136" s="33">
        <v>204</v>
      </c>
      <c r="B1136" s="9">
        <v>43542</v>
      </c>
      <c r="C1136" s="18" t="s">
        <v>186</v>
      </c>
      <c r="D1136" s="11">
        <v>39002</v>
      </c>
      <c r="E1136" s="9">
        <v>43546</v>
      </c>
      <c r="F1136" s="15" t="s">
        <v>28</v>
      </c>
      <c r="G1136" s="12">
        <v>43634</v>
      </c>
      <c r="H1136" s="23">
        <f t="shared" si="118"/>
        <v>39002</v>
      </c>
      <c r="I1136" s="23"/>
      <c r="J1136" s="23"/>
      <c r="K1136" s="24"/>
      <c r="L1136" s="23">
        <v>30468</v>
      </c>
      <c r="M1136" s="22">
        <f t="shared" si="119"/>
        <v>8534</v>
      </c>
      <c r="N1136" s="22"/>
      <c r="O1136" s="30">
        <f t="shared" si="120"/>
        <v>0.21880929183118814</v>
      </c>
    </row>
    <row r="1137" spans="1:15" ht="20.100000000000001" customHeight="1" x14ac:dyDescent="0.25">
      <c r="A1137" s="33">
        <v>203</v>
      </c>
      <c r="B1137" s="9">
        <v>43542</v>
      </c>
      <c r="C1137" s="18" t="s">
        <v>329</v>
      </c>
      <c r="D1137" s="11">
        <v>6030</v>
      </c>
      <c r="E1137" s="9">
        <v>43549</v>
      </c>
      <c r="F1137" s="15" t="s">
        <v>28</v>
      </c>
      <c r="G1137" s="12">
        <v>43559</v>
      </c>
      <c r="H1137" s="23">
        <f t="shared" si="118"/>
        <v>6030</v>
      </c>
      <c r="I1137" s="23"/>
      <c r="J1137" s="23"/>
      <c r="K1137" s="24"/>
      <c r="L1137" s="23">
        <v>4703</v>
      </c>
      <c r="M1137" s="22">
        <f t="shared" si="119"/>
        <v>1327</v>
      </c>
      <c r="N1137" s="22"/>
      <c r="O1137" s="30">
        <f t="shared" si="120"/>
        <v>0.22006633499170813</v>
      </c>
    </row>
    <row r="1138" spans="1:15" ht="20.100000000000001" customHeight="1" x14ac:dyDescent="0.25">
      <c r="A1138" s="33">
        <v>162</v>
      </c>
      <c r="B1138" s="9">
        <v>43530</v>
      </c>
      <c r="C1138" s="18" t="s">
        <v>363</v>
      </c>
      <c r="D1138" s="11">
        <v>10760</v>
      </c>
      <c r="E1138" s="9">
        <v>43549</v>
      </c>
      <c r="F1138" s="15" t="s">
        <v>28</v>
      </c>
      <c r="G1138" s="12">
        <v>43556</v>
      </c>
      <c r="H1138" s="23">
        <f t="shared" si="118"/>
        <v>10760</v>
      </c>
      <c r="I1138" s="23"/>
      <c r="J1138" s="23"/>
      <c r="K1138" s="24"/>
      <c r="L1138" s="23">
        <v>8728</v>
      </c>
      <c r="M1138" s="22">
        <f t="shared" si="119"/>
        <v>2032</v>
      </c>
      <c r="N1138" s="22"/>
      <c r="O1138" s="30">
        <f t="shared" si="120"/>
        <v>0.18884758364312268</v>
      </c>
    </row>
    <row r="1139" spans="1:15" ht="20.100000000000001" customHeight="1" x14ac:dyDescent="0.25">
      <c r="A1139" s="33">
        <v>236</v>
      </c>
      <c r="B1139" s="9">
        <v>43550</v>
      </c>
      <c r="C1139" s="20" t="s">
        <v>374</v>
      </c>
      <c r="D1139" s="11">
        <v>77058</v>
      </c>
      <c r="E1139" s="9">
        <v>43550</v>
      </c>
      <c r="F1139" s="15" t="s">
        <v>28</v>
      </c>
      <c r="G1139" s="12">
        <v>43553</v>
      </c>
      <c r="H1139" s="23">
        <f t="shared" si="118"/>
        <v>77058</v>
      </c>
      <c r="I1139" s="23">
        <f>H1139</f>
        <v>77058</v>
      </c>
      <c r="J1139" s="23"/>
      <c r="K1139" s="24">
        <v>600</v>
      </c>
      <c r="L1139" s="23">
        <v>53976</v>
      </c>
      <c r="M1139" s="22">
        <f t="shared" si="119"/>
        <v>22482</v>
      </c>
      <c r="N1139" s="22">
        <f>M1139</f>
        <v>22482</v>
      </c>
      <c r="O1139" s="30">
        <f t="shared" si="120"/>
        <v>0.29175426302265828</v>
      </c>
    </row>
    <row r="1140" spans="1:15" ht="20.100000000000001" customHeight="1" x14ac:dyDescent="0.25">
      <c r="A1140" s="33">
        <v>227</v>
      </c>
      <c r="B1140" s="4">
        <v>43549</v>
      </c>
      <c r="C1140" s="18" t="s">
        <v>139</v>
      </c>
      <c r="D1140" s="11">
        <v>9720</v>
      </c>
      <c r="E1140" s="9">
        <v>43550</v>
      </c>
      <c r="F1140" s="15" t="s">
        <v>28</v>
      </c>
      <c r="G1140" s="12">
        <v>43566</v>
      </c>
      <c r="H1140" s="23">
        <f t="shared" si="118"/>
        <v>9720</v>
      </c>
      <c r="I1140" s="23"/>
      <c r="J1140" s="23"/>
      <c r="K1140" s="24"/>
      <c r="L1140" s="23">
        <v>7580</v>
      </c>
      <c r="M1140" s="22">
        <f t="shared" si="119"/>
        <v>2140</v>
      </c>
      <c r="N1140" s="22"/>
      <c r="O1140" s="30">
        <f t="shared" si="120"/>
        <v>0.22016460905349794</v>
      </c>
    </row>
    <row r="1141" spans="1:15" ht="20.100000000000001" customHeight="1" x14ac:dyDescent="0.25">
      <c r="A1141" s="33">
        <v>212</v>
      </c>
      <c r="B1141" s="9">
        <v>43516</v>
      </c>
      <c r="C1141" s="18" t="s">
        <v>206</v>
      </c>
      <c r="D1141" s="11">
        <v>980</v>
      </c>
      <c r="E1141" s="9">
        <v>43551</v>
      </c>
      <c r="F1141" s="15" t="s">
        <v>28</v>
      </c>
      <c r="G1141" s="12">
        <v>43545</v>
      </c>
      <c r="H1141" s="23">
        <f t="shared" si="118"/>
        <v>980</v>
      </c>
      <c r="I1141" s="23"/>
      <c r="J1141" s="23"/>
      <c r="K1141" s="24"/>
      <c r="L1141" s="23">
        <v>646</v>
      </c>
      <c r="M1141" s="22">
        <f t="shared" si="119"/>
        <v>334</v>
      </c>
      <c r="N1141" s="22"/>
      <c r="O1141" s="30">
        <f t="shared" si="120"/>
        <v>0.34081632653061222</v>
      </c>
    </row>
    <row r="1142" spans="1:15" ht="20.100000000000001" customHeight="1" x14ac:dyDescent="0.25">
      <c r="A1142" s="33">
        <v>213</v>
      </c>
      <c r="B1142" s="9">
        <v>43516</v>
      </c>
      <c r="C1142" s="20" t="s">
        <v>375</v>
      </c>
      <c r="D1142" s="11">
        <v>19990</v>
      </c>
      <c r="E1142" s="9">
        <v>43551</v>
      </c>
      <c r="F1142" s="15" t="s">
        <v>28</v>
      </c>
      <c r="G1142" s="12">
        <v>43559</v>
      </c>
      <c r="H1142" s="23">
        <f t="shared" si="118"/>
        <v>19990</v>
      </c>
      <c r="I1142" s="23">
        <f>H1142</f>
        <v>19990</v>
      </c>
      <c r="J1142" s="23"/>
      <c r="K1142" s="24"/>
      <c r="L1142" s="23">
        <v>14692</v>
      </c>
      <c r="M1142" s="22">
        <f t="shared" si="119"/>
        <v>5298</v>
      </c>
      <c r="N1142" s="22">
        <f>M1142</f>
        <v>5298</v>
      </c>
      <c r="O1142" s="30">
        <f t="shared" si="120"/>
        <v>0.26503251625812907</v>
      </c>
    </row>
    <row r="1143" spans="1:15" ht="20.100000000000001" customHeight="1" x14ac:dyDescent="0.25">
      <c r="A1143" s="33">
        <v>242</v>
      </c>
      <c r="B1143" s="9">
        <v>43551</v>
      </c>
      <c r="C1143" s="18" t="s">
        <v>6</v>
      </c>
      <c r="D1143" s="11">
        <v>7700</v>
      </c>
      <c r="E1143" s="9">
        <v>43552</v>
      </c>
      <c r="F1143" s="15" t="s">
        <v>28</v>
      </c>
      <c r="G1143" s="12">
        <v>43552</v>
      </c>
      <c r="H1143" s="23">
        <f t="shared" si="118"/>
        <v>7700</v>
      </c>
      <c r="I1143" s="23"/>
      <c r="J1143" s="23"/>
      <c r="K1143" s="24"/>
      <c r="L1143" s="23">
        <v>5476</v>
      </c>
      <c r="M1143" s="22">
        <f t="shared" si="119"/>
        <v>2224</v>
      </c>
      <c r="N1143" s="22"/>
      <c r="O1143" s="30">
        <f t="shared" si="120"/>
        <v>0.28883116883116883</v>
      </c>
    </row>
    <row r="1144" spans="1:15" ht="20.100000000000001" customHeight="1" x14ac:dyDescent="0.25">
      <c r="A1144" s="33">
        <v>247</v>
      </c>
      <c r="B1144" s="9">
        <v>43552</v>
      </c>
      <c r="C1144" s="18" t="s">
        <v>194</v>
      </c>
      <c r="D1144" s="11">
        <v>1390</v>
      </c>
      <c r="E1144" s="9">
        <v>43552</v>
      </c>
      <c r="F1144" s="15" t="s">
        <v>28</v>
      </c>
      <c r="G1144" s="12">
        <v>43556</v>
      </c>
      <c r="H1144" s="23">
        <f t="shared" si="118"/>
        <v>1390</v>
      </c>
      <c r="I1144" s="23"/>
      <c r="J1144" s="23"/>
      <c r="K1144" s="24"/>
      <c r="L1144" s="23">
        <v>1084</v>
      </c>
      <c r="M1144" s="22">
        <f t="shared" si="119"/>
        <v>306</v>
      </c>
      <c r="N1144" s="22"/>
      <c r="O1144" s="30">
        <f t="shared" si="120"/>
        <v>0.22014388489208633</v>
      </c>
    </row>
    <row r="1145" spans="1:15" ht="20.100000000000001" customHeight="1" x14ac:dyDescent="0.25">
      <c r="A1145" s="33">
        <v>31</v>
      </c>
      <c r="B1145" s="9">
        <v>43515</v>
      </c>
      <c r="C1145" s="18" t="s">
        <v>65</v>
      </c>
      <c r="D1145" s="11">
        <v>371973</v>
      </c>
      <c r="E1145" s="9">
        <v>43553</v>
      </c>
      <c r="F1145" s="15" t="s">
        <v>28</v>
      </c>
      <c r="G1145" s="12">
        <v>43530</v>
      </c>
      <c r="H1145" s="23">
        <v>196722.6</v>
      </c>
      <c r="I1145" s="23"/>
      <c r="J1145" s="23"/>
      <c r="K1145" s="24">
        <v>36600</v>
      </c>
      <c r="L1145" s="23">
        <v>108618</v>
      </c>
      <c r="M1145" s="22">
        <f t="shared" si="119"/>
        <v>51504.600000000006</v>
      </c>
      <c r="N1145" s="22"/>
      <c r="O1145" s="30">
        <f t="shared" si="120"/>
        <v>0.26181333512265498</v>
      </c>
    </row>
    <row r="1146" spans="1:15" ht="20.100000000000001" customHeight="1" x14ac:dyDescent="0.25">
      <c r="A1146" s="35" t="s">
        <v>535</v>
      </c>
      <c r="B1146" s="36"/>
      <c r="C1146" s="42"/>
      <c r="D1146" s="37"/>
      <c r="E1146" s="46" t="s">
        <v>565</v>
      </c>
      <c r="F1146" s="47">
        <f>M1146*0.17+N1146*0.06</f>
        <v>49539.419500000004</v>
      </c>
      <c r="G1146" s="21">
        <f>H1146*0.05+I1146*0.02</f>
        <v>50101.127500000002</v>
      </c>
      <c r="H1146" s="49">
        <f>SUBTOTAL(109,Март2019[Продажа])</f>
        <v>962589.35</v>
      </c>
      <c r="I1146" s="49">
        <f>SUBTOTAL(109,Март2019[Продажа НК])</f>
        <v>98583</v>
      </c>
      <c r="J1146" s="49">
        <f>SUBTOTAL(109,Март2019[отк])</f>
        <v>0</v>
      </c>
      <c r="K1146" s="49">
        <f>SUBTOTAL(109,Март2019[шланги])</f>
        <v>38400</v>
      </c>
      <c r="L1146" s="49">
        <f>SUBTOTAL(109,Март2019[Закупка])</f>
        <v>642705</v>
      </c>
      <c r="M1146" s="49">
        <f>SUBTOTAL(109,Март2019[Маржа])</f>
        <v>281484.34999999998</v>
      </c>
      <c r="N1146" s="49">
        <f>SUBTOTAL(109,Март2019[Маржа НК])</f>
        <v>28118</v>
      </c>
      <c r="O1146" s="44">
        <f t="shared" si="120"/>
        <v>0.29242412665380102</v>
      </c>
    </row>
    <row r="1147" spans="1:15" ht="20.100000000000001" customHeight="1" x14ac:dyDescent="0.25">
      <c r="A1147" s="41" t="s">
        <v>1</v>
      </c>
      <c r="B1147" s="1" t="s">
        <v>0</v>
      </c>
      <c r="C1147" s="1" t="s">
        <v>26</v>
      </c>
      <c r="D1147" s="1" t="s">
        <v>2</v>
      </c>
      <c r="E1147" s="1" t="s">
        <v>3</v>
      </c>
      <c r="F1147" s="1" t="s">
        <v>27</v>
      </c>
      <c r="G1147" s="1" t="s">
        <v>4</v>
      </c>
      <c r="H1147" s="2" t="s">
        <v>132</v>
      </c>
      <c r="I1147" s="2" t="s">
        <v>133</v>
      </c>
      <c r="J1147" s="40" t="s">
        <v>187</v>
      </c>
      <c r="K1147" s="40" t="s">
        <v>188</v>
      </c>
      <c r="L1147" s="40" t="s">
        <v>129</v>
      </c>
      <c r="M1147" s="40" t="s">
        <v>130</v>
      </c>
      <c r="N1147" s="2" t="s">
        <v>131</v>
      </c>
      <c r="O1147" s="2" t="s">
        <v>134</v>
      </c>
    </row>
    <row r="1148" spans="1:15" ht="20.100000000000001" customHeight="1" x14ac:dyDescent="0.25">
      <c r="A1148" s="33">
        <v>244</v>
      </c>
      <c r="B1148" s="9">
        <v>43552</v>
      </c>
      <c r="C1148" s="18" t="s">
        <v>372</v>
      </c>
      <c r="D1148" s="11">
        <v>4613</v>
      </c>
      <c r="E1148" s="9">
        <v>43556</v>
      </c>
      <c r="F1148" s="15" t="s">
        <v>28</v>
      </c>
      <c r="G1148" s="12">
        <v>43565</v>
      </c>
      <c r="H1148" s="23">
        <f t="shared" ref="H1148:H1175" si="121">D1148</f>
        <v>4613</v>
      </c>
      <c r="I1148" s="23"/>
      <c r="J1148" s="23"/>
      <c r="K1148" s="24"/>
      <c r="L1148" s="23">
        <v>3354</v>
      </c>
      <c r="M1148" s="22">
        <f t="shared" ref="M1148:M1188" si="122">H1148-L1148-J1148-K1148</f>
        <v>1259</v>
      </c>
      <c r="N1148" s="22"/>
      <c r="O1148" s="30">
        <f t="shared" ref="O1148:O1189" si="123">M1148/H1148</f>
        <v>0.27292434424452633</v>
      </c>
    </row>
    <row r="1149" spans="1:15" ht="20.100000000000001" customHeight="1" x14ac:dyDescent="0.25">
      <c r="A1149" s="33">
        <v>205</v>
      </c>
      <c r="B1149" s="9">
        <v>43543</v>
      </c>
      <c r="C1149" s="18" t="s">
        <v>11</v>
      </c>
      <c r="D1149" s="11">
        <v>5822</v>
      </c>
      <c r="E1149" s="9">
        <v>43557</v>
      </c>
      <c r="F1149" s="15" t="s">
        <v>28</v>
      </c>
      <c r="G1149" s="12">
        <v>43560</v>
      </c>
      <c r="H1149" s="23">
        <f t="shared" si="121"/>
        <v>5822</v>
      </c>
      <c r="I1149" s="23"/>
      <c r="J1149" s="23"/>
      <c r="K1149" s="24"/>
      <c r="L1149" s="23">
        <v>3841</v>
      </c>
      <c r="M1149" s="22">
        <f t="shared" si="122"/>
        <v>1981</v>
      </c>
      <c r="N1149" s="22"/>
      <c r="O1149" s="30">
        <f t="shared" si="123"/>
        <v>0.34026107866712468</v>
      </c>
    </row>
    <row r="1150" spans="1:15" ht="20.100000000000001" customHeight="1" x14ac:dyDescent="0.25">
      <c r="A1150" s="33">
        <v>273</v>
      </c>
      <c r="B1150" s="9">
        <v>43559</v>
      </c>
      <c r="C1150" s="20" t="s">
        <v>376</v>
      </c>
      <c r="D1150" s="11">
        <v>122942.6</v>
      </c>
      <c r="E1150" s="9">
        <v>43560</v>
      </c>
      <c r="F1150" s="15" t="s">
        <v>28</v>
      </c>
      <c r="G1150" s="12">
        <v>43570</v>
      </c>
      <c r="H1150" s="23">
        <f t="shared" si="121"/>
        <v>122942.6</v>
      </c>
      <c r="I1150" s="23">
        <f>H1150</f>
        <v>122942.6</v>
      </c>
      <c r="J1150" s="23"/>
      <c r="K1150" s="24"/>
      <c r="L1150" s="23">
        <v>96052</v>
      </c>
      <c r="M1150" s="22">
        <f t="shared" si="122"/>
        <v>26890.600000000006</v>
      </c>
      <c r="N1150" s="22">
        <f>M1150</f>
        <v>26890.600000000006</v>
      </c>
      <c r="O1150" s="30">
        <f t="shared" si="123"/>
        <v>0.21872483581769056</v>
      </c>
    </row>
    <row r="1151" spans="1:15" ht="20.100000000000001" customHeight="1" x14ac:dyDescent="0.25">
      <c r="A1151" s="33">
        <v>267</v>
      </c>
      <c r="B1151" s="9">
        <v>43558</v>
      </c>
      <c r="C1151" s="18" t="s">
        <v>149</v>
      </c>
      <c r="D1151" s="11">
        <v>3387</v>
      </c>
      <c r="E1151" s="9">
        <v>43560</v>
      </c>
      <c r="F1151" s="15" t="s">
        <v>28</v>
      </c>
      <c r="G1151" s="12">
        <v>43570</v>
      </c>
      <c r="H1151" s="23">
        <f t="shared" si="121"/>
        <v>3387</v>
      </c>
      <c r="I1151" s="23"/>
      <c r="J1151" s="23"/>
      <c r="K1151" s="24"/>
      <c r="L1151" s="23">
        <v>2640</v>
      </c>
      <c r="M1151" s="22">
        <f t="shared" si="122"/>
        <v>747</v>
      </c>
      <c r="N1151" s="22"/>
      <c r="O1151" s="30">
        <f t="shared" si="123"/>
        <v>0.22054915854738708</v>
      </c>
    </row>
    <row r="1152" spans="1:15" ht="19.5" customHeight="1" x14ac:dyDescent="0.25">
      <c r="A1152" s="33">
        <v>282</v>
      </c>
      <c r="B1152" s="9">
        <v>43560</v>
      </c>
      <c r="C1152" s="18" t="s">
        <v>149</v>
      </c>
      <c r="D1152" s="11">
        <v>2556</v>
      </c>
      <c r="E1152" s="9">
        <v>43560</v>
      </c>
      <c r="F1152" s="15" t="s">
        <v>28</v>
      </c>
      <c r="G1152" s="12">
        <v>43563</v>
      </c>
      <c r="H1152" s="23">
        <f t="shared" si="121"/>
        <v>2556</v>
      </c>
      <c r="I1152" s="23"/>
      <c r="J1152" s="23"/>
      <c r="K1152" s="24"/>
      <c r="L1152" s="23">
        <v>1992</v>
      </c>
      <c r="M1152" s="22">
        <f t="shared" si="122"/>
        <v>564</v>
      </c>
      <c r="N1152" s="22"/>
      <c r="O1152" s="30">
        <f t="shared" si="123"/>
        <v>0.22065727699530516</v>
      </c>
    </row>
    <row r="1153" spans="1:15" ht="15.75" x14ac:dyDescent="0.25">
      <c r="A1153" s="33">
        <v>230</v>
      </c>
      <c r="B1153" s="9">
        <v>43549</v>
      </c>
      <c r="C1153" s="18" t="s">
        <v>99</v>
      </c>
      <c r="D1153" s="11">
        <v>27880</v>
      </c>
      <c r="E1153" s="9">
        <v>43560</v>
      </c>
      <c r="F1153" s="15" t="s">
        <v>28</v>
      </c>
      <c r="G1153" s="12">
        <v>43556</v>
      </c>
      <c r="H1153" s="23">
        <f t="shared" si="121"/>
        <v>27880</v>
      </c>
      <c r="I1153" s="23"/>
      <c r="J1153" s="23"/>
      <c r="K1153" s="24"/>
      <c r="L1153" s="23">
        <v>17260</v>
      </c>
      <c r="M1153" s="22">
        <f t="shared" si="122"/>
        <v>10620</v>
      </c>
      <c r="N1153" s="22"/>
      <c r="O1153" s="30">
        <f t="shared" si="123"/>
        <v>0.38091822094691535</v>
      </c>
    </row>
    <row r="1154" spans="1:15" s="2" customFormat="1" ht="20.100000000000001" customHeight="1" x14ac:dyDescent="0.25">
      <c r="A1154" s="33">
        <v>206</v>
      </c>
      <c r="B1154" s="9">
        <v>43543</v>
      </c>
      <c r="C1154" s="18" t="s">
        <v>99</v>
      </c>
      <c r="D1154" s="11">
        <v>216495</v>
      </c>
      <c r="E1154" s="9">
        <v>43560</v>
      </c>
      <c r="F1154" s="15" t="s">
        <v>28</v>
      </c>
      <c r="G1154" s="12">
        <v>43549</v>
      </c>
      <c r="H1154" s="23">
        <f t="shared" si="121"/>
        <v>216495</v>
      </c>
      <c r="I1154" s="23"/>
      <c r="J1154" s="24">
        <v>45000</v>
      </c>
      <c r="K1154" s="24"/>
      <c r="L1154" s="23">
        <v>51203</v>
      </c>
      <c r="M1154" s="22">
        <f t="shared" si="122"/>
        <v>120292</v>
      </c>
      <c r="N1154" s="22"/>
      <c r="O1154" s="30">
        <f t="shared" si="123"/>
        <v>0.555634079308991</v>
      </c>
    </row>
    <row r="1155" spans="1:15" ht="20.100000000000001" customHeight="1" x14ac:dyDescent="0.25">
      <c r="A1155" s="33">
        <v>281</v>
      </c>
      <c r="B1155" s="9">
        <v>43560</v>
      </c>
      <c r="C1155" s="18" t="s">
        <v>118</v>
      </c>
      <c r="D1155" s="11">
        <v>24463</v>
      </c>
      <c r="E1155" s="9">
        <v>43560</v>
      </c>
      <c r="F1155" s="15" t="s">
        <v>28</v>
      </c>
      <c r="G1155" s="12">
        <v>43560</v>
      </c>
      <c r="H1155" s="23">
        <f t="shared" si="121"/>
        <v>24463</v>
      </c>
      <c r="I1155" s="23"/>
      <c r="J1155" s="23"/>
      <c r="K1155" s="24"/>
      <c r="L1155" s="23">
        <v>20850</v>
      </c>
      <c r="M1155" s="22">
        <f t="shared" si="122"/>
        <v>3613</v>
      </c>
      <c r="N1155" s="22"/>
      <c r="O1155" s="30">
        <f t="shared" si="123"/>
        <v>0.14769243347095615</v>
      </c>
    </row>
    <row r="1156" spans="1:15" ht="20.100000000000001" customHeight="1" x14ac:dyDescent="0.25">
      <c r="A1156" s="33">
        <v>284</v>
      </c>
      <c r="B1156" s="9">
        <v>43560</v>
      </c>
      <c r="C1156" s="20" t="s">
        <v>377</v>
      </c>
      <c r="D1156" s="11">
        <v>34990</v>
      </c>
      <c r="E1156" s="9">
        <v>43563</v>
      </c>
      <c r="F1156" s="15" t="s">
        <v>28</v>
      </c>
      <c r="G1156" s="12">
        <v>43565</v>
      </c>
      <c r="H1156" s="23">
        <f t="shared" si="121"/>
        <v>34990</v>
      </c>
      <c r="I1156" s="23">
        <f>H1156</f>
        <v>34990</v>
      </c>
      <c r="J1156" s="23"/>
      <c r="K1156" s="24"/>
      <c r="L1156" s="23">
        <v>25717</v>
      </c>
      <c r="M1156" s="22">
        <f t="shared" si="122"/>
        <v>9273</v>
      </c>
      <c r="N1156" s="22">
        <f>M1156</f>
        <v>9273</v>
      </c>
      <c r="O1156" s="30">
        <f t="shared" si="123"/>
        <v>0.26501857673621032</v>
      </c>
    </row>
    <row r="1157" spans="1:15" ht="20.100000000000001" customHeight="1" x14ac:dyDescent="0.25">
      <c r="A1157" s="33">
        <v>132</v>
      </c>
      <c r="B1157" s="9">
        <v>43522</v>
      </c>
      <c r="C1157" s="18" t="s">
        <v>56</v>
      </c>
      <c r="D1157" s="11">
        <v>28492</v>
      </c>
      <c r="E1157" s="9">
        <v>43565</v>
      </c>
      <c r="F1157" s="15" t="s">
        <v>28</v>
      </c>
      <c r="G1157" s="12">
        <v>43556</v>
      </c>
      <c r="H1157" s="23">
        <f t="shared" si="121"/>
        <v>28492</v>
      </c>
      <c r="I1157" s="23"/>
      <c r="J1157" s="23"/>
      <c r="K1157" s="24"/>
      <c r="L1157" s="23">
        <v>22251</v>
      </c>
      <c r="M1157" s="22">
        <f t="shared" si="122"/>
        <v>6241</v>
      </c>
      <c r="N1157" s="22"/>
      <c r="O1157" s="30">
        <f t="shared" si="123"/>
        <v>0.21904394215920259</v>
      </c>
    </row>
    <row r="1158" spans="1:15" ht="20.100000000000001" customHeight="1" x14ac:dyDescent="0.25">
      <c r="A1158" s="33">
        <v>207</v>
      </c>
      <c r="B1158" s="9">
        <v>43543</v>
      </c>
      <c r="C1158" s="18" t="s">
        <v>56</v>
      </c>
      <c r="D1158" s="11">
        <v>29843</v>
      </c>
      <c r="E1158" s="9">
        <v>43565</v>
      </c>
      <c r="F1158" s="15" t="s">
        <v>28</v>
      </c>
      <c r="G1158" s="12">
        <v>43556</v>
      </c>
      <c r="H1158" s="23">
        <f t="shared" si="121"/>
        <v>29843</v>
      </c>
      <c r="I1158" s="23"/>
      <c r="J1158" s="23"/>
      <c r="K1158" s="24"/>
      <c r="L1158" s="23">
        <v>22885</v>
      </c>
      <c r="M1158" s="22">
        <f t="shared" si="122"/>
        <v>6958</v>
      </c>
      <c r="N1158" s="22"/>
      <c r="O1158" s="30">
        <f t="shared" si="123"/>
        <v>0.23315350333411519</v>
      </c>
    </row>
    <row r="1159" spans="1:15" ht="20.100000000000001" customHeight="1" x14ac:dyDescent="0.25">
      <c r="A1159" s="33">
        <v>286</v>
      </c>
      <c r="B1159" s="9">
        <v>43563</v>
      </c>
      <c r="C1159" s="18" t="s">
        <v>209</v>
      </c>
      <c r="D1159" s="11">
        <v>10653.05</v>
      </c>
      <c r="E1159" s="9">
        <v>43565</v>
      </c>
      <c r="F1159" s="15" t="s">
        <v>28</v>
      </c>
      <c r="G1159" s="12">
        <v>43570</v>
      </c>
      <c r="H1159" s="23">
        <f t="shared" si="121"/>
        <v>10653.05</v>
      </c>
      <c r="I1159" s="23"/>
      <c r="J1159" s="23"/>
      <c r="K1159" s="24"/>
      <c r="L1159" s="23">
        <v>9156</v>
      </c>
      <c r="M1159" s="22">
        <f t="shared" si="122"/>
        <v>1497.0499999999993</v>
      </c>
      <c r="N1159" s="22"/>
      <c r="O1159" s="30">
        <f t="shared" si="123"/>
        <v>0.14052783005805844</v>
      </c>
    </row>
    <row r="1160" spans="1:15" ht="20.100000000000001" customHeight="1" x14ac:dyDescent="0.25">
      <c r="A1160" s="33">
        <v>38</v>
      </c>
      <c r="B1160" s="9">
        <v>43522</v>
      </c>
      <c r="C1160" s="18" t="s">
        <v>38</v>
      </c>
      <c r="D1160" s="11">
        <v>806556</v>
      </c>
      <c r="E1160" s="9">
        <v>43566</v>
      </c>
      <c r="F1160" s="15" t="s">
        <v>28</v>
      </c>
      <c r="G1160" s="12">
        <v>43551</v>
      </c>
      <c r="H1160" s="23">
        <f t="shared" si="121"/>
        <v>806556</v>
      </c>
      <c r="I1160" s="23"/>
      <c r="J1160" s="23"/>
      <c r="K1160" s="24"/>
      <c r="L1160" s="23">
        <v>575070</v>
      </c>
      <c r="M1160" s="22">
        <f t="shared" si="122"/>
        <v>231486</v>
      </c>
      <c r="N1160" s="22"/>
      <c r="O1160" s="30">
        <f t="shared" si="123"/>
        <v>0.2870054900093732</v>
      </c>
    </row>
    <row r="1161" spans="1:15" ht="20.100000000000001" customHeight="1" x14ac:dyDescent="0.25">
      <c r="A1161" s="33">
        <v>274</v>
      </c>
      <c r="B1161" s="9">
        <v>43559</v>
      </c>
      <c r="C1161" s="18" t="s">
        <v>49</v>
      </c>
      <c r="D1161" s="11">
        <v>205</v>
      </c>
      <c r="E1161" s="9">
        <v>43570</v>
      </c>
      <c r="F1161" s="15" t="s">
        <v>28</v>
      </c>
      <c r="G1161" s="12">
        <v>43571</v>
      </c>
      <c r="H1161" s="23">
        <f t="shared" si="121"/>
        <v>205</v>
      </c>
      <c r="I1161" s="23"/>
      <c r="J1161" s="23"/>
      <c r="K1161" s="24"/>
      <c r="L1161" s="23">
        <v>135</v>
      </c>
      <c r="M1161" s="22">
        <f t="shared" si="122"/>
        <v>70</v>
      </c>
      <c r="N1161" s="22"/>
      <c r="O1161" s="30">
        <f t="shared" si="123"/>
        <v>0.34146341463414637</v>
      </c>
    </row>
    <row r="1162" spans="1:15" ht="20.100000000000001" customHeight="1" x14ac:dyDescent="0.25">
      <c r="A1162" s="33">
        <v>313</v>
      </c>
      <c r="B1162" s="9">
        <v>43567</v>
      </c>
      <c r="C1162" s="20" t="s">
        <v>379</v>
      </c>
      <c r="D1162" s="11">
        <v>7689</v>
      </c>
      <c r="E1162" s="9">
        <v>43570</v>
      </c>
      <c r="F1162" s="15" t="s">
        <v>28</v>
      </c>
      <c r="G1162" s="12">
        <v>43571</v>
      </c>
      <c r="H1162" s="23">
        <f t="shared" si="121"/>
        <v>7689</v>
      </c>
      <c r="I1162" s="23">
        <f>H1162</f>
        <v>7689</v>
      </c>
      <c r="J1162" s="23"/>
      <c r="K1162" s="24"/>
      <c r="L1162" s="23">
        <v>6026</v>
      </c>
      <c r="M1162" s="22">
        <f t="shared" si="122"/>
        <v>1663</v>
      </c>
      <c r="N1162" s="22">
        <f>M1162</f>
        <v>1663</v>
      </c>
      <c r="O1162" s="30">
        <f t="shared" si="123"/>
        <v>0.21628300169072701</v>
      </c>
    </row>
    <row r="1163" spans="1:15" ht="20.100000000000001" customHeight="1" x14ac:dyDescent="0.25">
      <c r="A1163" s="33">
        <v>317</v>
      </c>
      <c r="B1163" s="9">
        <v>43570</v>
      </c>
      <c r="C1163" s="18" t="s">
        <v>307</v>
      </c>
      <c r="D1163" s="11">
        <v>5118</v>
      </c>
      <c r="E1163" s="9">
        <v>43570</v>
      </c>
      <c r="F1163" s="15" t="s">
        <v>28</v>
      </c>
      <c r="G1163" s="12">
        <v>43598</v>
      </c>
      <c r="H1163" s="23">
        <f t="shared" si="121"/>
        <v>5118</v>
      </c>
      <c r="I1163" s="23"/>
      <c r="J1163" s="23"/>
      <c r="K1163" s="24"/>
      <c r="L1163" s="23">
        <v>3378</v>
      </c>
      <c r="M1163" s="22">
        <f t="shared" si="122"/>
        <v>1740</v>
      </c>
      <c r="N1163" s="22"/>
      <c r="O1163" s="30">
        <f t="shared" si="123"/>
        <v>0.3399765533411489</v>
      </c>
    </row>
    <row r="1164" spans="1:15" ht="20.100000000000001" customHeight="1" x14ac:dyDescent="0.25">
      <c r="A1164" s="33">
        <v>324</v>
      </c>
      <c r="B1164" s="9">
        <v>43570</v>
      </c>
      <c r="C1164" s="18" t="s">
        <v>281</v>
      </c>
      <c r="D1164" s="11">
        <v>2258</v>
      </c>
      <c r="E1164" s="9">
        <v>43571</v>
      </c>
      <c r="F1164" s="15" t="s">
        <v>28</v>
      </c>
      <c r="G1164" s="12">
        <v>43577</v>
      </c>
      <c r="H1164" s="23">
        <f t="shared" si="121"/>
        <v>2258</v>
      </c>
      <c r="I1164" s="23"/>
      <c r="J1164" s="23"/>
      <c r="K1164" s="24"/>
      <c r="L1164" s="23">
        <v>1760</v>
      </c>
      <c r="M1164" s="22">
        <f t="shared" si="122"/>
        <v>498</v>
      </c>
      <c r="N1164" s="22"/>
      <c r="O1164" s="30">
        <f t="shared" si="123"/>
        <v>0.22054915854738708</v>
      </c>
    </row>
    <row r="1165" spans="1:15" ht="20.100000000000001" customHeight="1" x14ac:dyDescent="0.25">
      <c r="A1165" s="33">
        <v>328</v>
      </c>
      <c r="B1165" s="9">
        <v>43571</v>
      </c>
      <c r="C1165" s="18" t="s">
        <v>354</v>
      </c>
      <c r="D1165" s="11">
        <v>4050</v>
      </c>
      <c r="E1165" s="9">
        <v>43571</v>
      </c>
      <c r="F1165" s="15" t="s">
        <v>28</v>
      </c>
      <c r="G1165" s="12">
        <v>43573</v>
      </c>
      <c r="H1165" s="23">
        <f t="shared" si="121"/>
        <v>4050</v>
      </c>
      <c r="I1165" s="23"/>
      <c r="J1165" s="23"/>
      <c r="K1165" s="24"/>
      <c r="L1165" s="23">
        <v>3378</v>
      </c>
      <c r="M1165" s="22">
        <f t="shared" si="122"/>
        <v>672</v>
      </c>
      <c r="N1165" s="22"/>
      <c r="O1165" s="30">
        <f t="shared" si="123"/>
        <v>0.16592592592592592</v>
      </c>
    </row>
    <row r="1166" spans="1:15" ht="20.100000000000001" customHeight="1" x14ac:dyDescent="0.25">
      <c r="A1166" s="33">
        <v>285</v>
      </c>
      <c r="B1166" s="9">
        <v>43563</v>
      </c>
      <c r="C1166" s="18" t="s">
        <v>228</v>
      </c>
      <c r="D1166" s="11">
        <v>5176</v>
      </c>
      <c r="E1166" s="9">
        <v>43571</v>
      </c>
      <c r="F1166" s="15" t="s">
        <v>28</v>
      </c>
      <c r="G1166" s="12">
        <v>43572</v>
      </c>
      <c r="H1166" s="23">
        <f t="shared" si="121"/>
        <v>5176</v>
      </c>
      <c r="I1166" s="23"/>
      <c r="J1166" s="23"/>
      <c r="K1166" s="24"/>
      <c r="L1166" s="23">
        <v>4036</v>
      </c>
      <c r="M1166" s="22">
        <f t="shared" si="122"/>
        <v>1140</v>
      </c>
      <c r="N1166" s="22"/>
      <c r="O1166" s="30">
        <f t="shared" si="123"/>
        <v>0.22024729520865532</v>
      </c>
    </row>
    <row r="1167" spans="1:15" ht="20.100000000000001" customHeight="1" x14ac:dyDescent="0.25">
      <c r="A1167" s="33">
        <v>331</v>
      </c>
      <c r="B1167" s="9">
        <v>43571</v>
      </c>
      <c r="C1167" s="18" t="s">
        <v>16</v>
      </c>
      <c r="D1167" s="11">
        <v>1524</v>
      </c>
      <c r="E1167" s="9">
        <v>43571</v>
      </c>
      <c r="F1167" s="15" t="s">
        <v>28</v>
      </c>
      <c r="G1167" s="12">
        <v>43577</v>
      </c>
      <c r="H1167" s="23">
        <f t="shared" si="121"/>
        <v>1524</v>
      </c>
      <c r="I1167" s="23"/>
      <c r="J1167" s="23"/>
      <c r="K1167" s="24"/>
      <c r="L1167" s="23">
        <v>1024</v>
      </c>
      <c r="M1167" s="22">
        <f t="shared" si="122"/>
        <v>500</v>
      </c>
      <c r="N1167" s="22"/>
      <c r="O1167" s="30">
        <f t="shared" si="123"/>
        <v>0.32808398950131235</v>
      </c>
    </row>
    <row r="1168" spans="1:15" ht="20.100000000000001" customHeight="1" x14ac:dyDescent="0.25">
      <c r="A1168" s="33">
        <v>309</v>
      </c>
      <c r="B1168" s="9">
        <v>43566</v>
      </c>
      <c r="C1168" s="20" t="s">
        <v>378</v>
      </c>
      <c r="D1168" s="11">
        <v>17522</v>
      </c>
      <c r="E1168" s="9">
        <v>43572</v>
      </c>
      <c r="F1168" s="15" t="s">
        <v>28</v>
      </c>
      <c r="G1168" s="12">
        <v>43567</v>
      </c>
      <c r="H1168" s="23">
        <f t="shared" si="121"/>
        <v>17522</v>
      </c>
      <c r="I1168" s="23">
        <f>H1168</f>
        <v>17522</v>
      </c>
      <c r="J1168" s="23"/>
      <c r="K1168" s="24"/>
      <c r="L1168" s="23">
        <v>14549</v>
      </c>
      <c r="M1168" s="22">
        <f t="shared" si="122"/>
        <v>2973</v>
      </c>
      <c r="N1168" s="22">
        <f>M1168</f>
        <v>2973</v>
      </c>
      <c r="O1168" s="30">
        <f t="shared" si="123"/>
        <v>0.16967241182513412</v>
      </c>
    </row>
    <row r="1169" spans="1:15" ht="20.100000000000001" customHeight="1" x14ac:dyDescent="0.25">
      <c r="A1169" s="33">
        <v>339</v>
      </c>
      <c r="B1169" s="9">
        <v>43572</v>
      </c>
      <c r="C1169" s="20" t="s">
        <v>380</v>
      </c>
      <c r="D1169" s="11">
        <v>13770</v>
      </c>
      <c r="E1169" s="9">
        <v>43573</v>
      </c>
      <c r="F1169" s="15" t="s">
        <v>28</v>
      </c>
      <c r="G1169" s="12">
        <v>43573</v>
      </c>
      <c r="H1169" s="23">
        <f t="shared" si="121"/>
        <v>13770</v>
      </c>
      <c r="I1169" s="23">
        <f>H1169</f>
        <v>13770</v>
      </c>
      <c r="J1169" s="23"/>
      <c r="K1169" s="24"/>
      <c r="L1169" s="23">
        <v>10112</v>
      </c>
      <c r="M1169" s="22">
        <f t="shared" si="122"/>
        <v>3658</v>
      </c>
      <c r="N1169" s="22">
        <f>M1169</f>
        <v>3658</v>
      </c>
      <c r="O1169" s="30">
        <f t="shared" si="123"/>
        <v>0.26564996368917937</v>
      </c>
    </row>
    <row r="1170" spans="1:15" ht="20.100000000000001" customHeight="1" x14ac:dyDescent="0.25">
      <c r="A1170" s="33">
        <v>326</v>
      </c>
      <c r="B1170" s="9">
        <v>43571</v>
      </c>
      <c r="C1170" s="18" t="s">
        <v>49</v>
      </c>
      <c r="D1170" s="11">
        <v>869</v>
      </c>
      <c r="E1170" s="9">
        <v>43573</v>
      </c>
      <c r="F1170" s="15" t="s">
        <v>28</v>
      </c>
      <c r="G1170" s="12">
        <v>43571</v>
      </c>
      <c r="H1170" s="23">
        <f t="shared" si="121"/>
        <v>869</v>
      </c>
      <c r="I1170" s="23"/>
      <c r="J1170" s="23"/>
      <c r="K1170" s="24"/>
      <c r="L1170" s="23">
        <v>648</v>
      </c>
      <c r="M1170" s="22">
        <f t="shared" si="122"/>
        <v>221</v>
      </c>
      <c r="N1170" s="22"/>
      <c r="O1170" s="30">
        <f t="shared" si="123"/>
        <v>0.25431530494821636</v>
      </c>
    </row>
    <row r="1171" spans="1:15" ht="20.100000000000001" customHeight="1" x14ac:dyDescent="0.25">
      <c r="A1171" s="33">
        <v>338</v>
      </c>
      <c r="B1171" s="9">
        <v>43572</v>
      </c>
      <c r="C1171" s="18" t="s">
        <v>169</v>
      </c>
      <c r="D1171" s="11">
        <v>15078</v>
      </c>
      <c r="E1171" s="9">
        <v>43573</v>
      </c>
      <c r="F1171" s="15" t="s">
        <v>28</v>
      </c>
      <c r="G1171" s="12">
        <v>43591</v>
      </c>
      <c r="H1171" s="23">
        <f t="shared" si="121"/>
        <v>15078</v>
      </c>
      <c r="I1171" s="23"/>
      <c r="J1171" s="23"/>
      <c r="K1171" s="24"/>
      <c r="L1171" s="23">
        <v>11185</v>
      </c>
      <c r="M1171" s="22">
        <f t="shared" si="122"/>
        <v>3893</v>
      </c>
      <c r="N1171" s="22"/>
      <c r="O1171" s="30">
        <f t="shared" si="123"/>
        <v>0.25819074147764953</v>
      </c>
    </row>
    <row r="1172" spans="1:15" ht="20.100000000000001" customHeight="1" x14ac:dyDescent="0.25">
      <c r="A1172" s="33">
        <v>325</v>
      </c>
      <c r="B1172" s="9">
        <v>43571</v>
      </c>
      <c r="C1172" s="18" t="s">
        <v>363</v>
      </c>
      <c r="D1172" s="11">
        <v>10760</v>
      </c>
      <c r="E1172" s="9">
        <v>43573</v>
      </c>
      <c r="F1172" s="15" t="s">
        <v>28</v>
      </c>
      <c r="G1172" s="12">
        <v>43571</v>
      </c>
      <c r="H1172" s="23">
        <f t="shared" si="121"/>
        <v>10760</v>
      </c>
      <c r="I1172" s="23"/>
      <c r="J1172" s="23"/>
      <c r="K1172" s="24"/>
      <c r="L1172" s="23">
        <v>8728</v>
      </c>
      <c r="M1172" s="22">
        <f t="shared" si="122"/>
        <v>2032</v>
      </c>
      <c r="N1172" s="22"/>
      <c r="O1172" s="30">
        <f t="shared" si="123"/>
        <v>0.18884758364312268</v>
      </c>
    </row>
    <row r="1173" spans="1:15" ht="20.100000000000001" customHeight="1" x14ac:dyDescent="0.25">
      <c r="A1173" s="33">
        <v>183</v>
      </c>
      <c r="B1173" s="9">
        <v>43560</v>
      </c>
      <c r="C1173" s="18" t="s">
        <v>180</v>
      </c>
      <c r="D1173" s="11">
        <v>5551</v>
      </c>
      <c r="E1173" s="9">
        <v>43573</v>
      </c>
      <c r="F1173" s="15" t="s">
        <v>28</v>
      </c>
      <c r="G1173" s="12">
        <v>43565</v>
      </c>
      <c r="H1173" s="23">
        <f t="shared" si="121"/>
        <v>5551</v>
      </c>
      <c r="I1173" s="23"/>
      <c r="J1173" s="23"/>
      <c r="K1173" s="24"/>
      <c r="L1173" s="23">
        <v>4329</v>
      </c>
      <c r="M1173" s="22">
        <f t="shared" si="122"/>
        <v>1222</v>
      </c>
      <c r="N1173" s="22"/>
      <c r="O1173" s="30">
        <f t="shared" si="123"/>
        <v>0.22014051522248243</v>
      </c>
    </row>
    <row r="1174" spans="1:15" ht="20.100000000000001" customHeight="1" x14ac:dyDescent="0.25">
      <c r="A1174" s="33">
        <v>283</v>
      </c>
      <c r="B1174" s="9">
        <v>43560</v>
      </c>
      <c r="C1174" s="18" t="s">
        <v>180</v>
      </c>
      <c r="D1174" s="11">
        <v>5490</v>
      </c>
      <c r="E1174" s="9">
        <v>43573</v>
      </c>
      <c r="F1174" s="15" t="s">
        <v>28</v>
      </c>
      <c r="G1174" s="12">
        <v>43565</v>
      </c>
      <c r="H1174" s="23">
        <f t="shared" si="121"/>
        <v>5490</v>
      </c>
      <c r="I1174" s="23"/>
      <c r="J1174" s="23"/>
      <c r="K1174" s="24"/>
      <c r="L1174" s="23">
        <v>4031</v>
      </c>
      <c r="M1174" s="22">
        <f t="shared" si="122"/>
        <v>1459</v>
      </c>
      <c r="N1174" s="22"/>
      <c r="O1174" s="30">
        <f t="shared" si="123"/>
        <v>0.26575591985428049</v>
      </c>
    </row>
    <row r="1175" spans="1:15" ht="20.100000000000001" customHeight="1" x14ac:dyDescent="0.25">
      <c r="A1175" s="33">
        <v>129</v>
      </c>
      <c r="B1175" s="9">
        <v>43515</v>
      </c>
      <c r="C1175" s="18" t="s">
        <v>65</v>
      </c>
      <c r="D1175" s="11">
        <v>127056</v>
      </c>
      <c r="E1175" s="9">
        <v>43573</v>
      </c>
      <c r="F1175" s="15" t="s">
        <v>28</v>
      </c>
      <c r="G1175" s="12">
        <v>43542</v>
      </c>
      <c r="H1175" s="23">
        <f t="shared" si="121"/>
        <v>127056</v>
      </c>
      <c r="I1175" s="23"/>
      <c r="J1175" s="23"/>
      <c r="K1175" s="24"/>
      <c r="L1175" s="23">
        <v>91984</v>
      </c>
      <c r="M1175" s="22">
        <f t="shared" si="122"/>
        <v>35072</v>
      </c>
      <c r="N1175" s="22"/>
      <c r="O1175" s="30">
        <f t="shared" si="123"/>
        <v>0.27603576375771316</v>
      </c>
    </row>
    <row r="1176" spans="1:15" ht="20.100000000000001" customHeight="1" x14ac:dyDescent="0.25">
      <c r="A1176" s="33">
        <v>31</v>
      </c>
      <c r="B1176" s="9">
        <v>43515</v>
      </c>
      <c r="C1176" s="18" t="s">
        <v>65</v>
      </c>
      <c r="D1176" s="11">
        <v>371973</v>
      </c>
      <c r="E1176" s="9">
        <v>43573</v>
      </c>
      <c r="F1176" s="15" t="s">
        <v>28</v>
      </c>
      <c r="G1176" s="12">
        <v>43542</v>
      </c>
      <c r="H1176" s="23">
        <v>154046.39999999999</v>
      </c>
      <c r="I1176" s="23"/>
      <c r="J1176" s="23"/>
      <c r="K1176" s="24"/>
      <c r="L1176" s="23">
        <v>123408</v>
      </c>
      <c r="M1176" s="22">
        <f t="shared" si="122"/>
        <v>30638.399999999994</v>
      </c>
      <c r="N1176" s="22"/>
      <c r="O1176" s="30">
        <f t="shared" si="123"/>
        <v>0.19889072383385781</v>
      </c>
    </row>
    <row r="1177" spans="1:15" ht="20.100000000000001" customHeight="1" x14ac:dyDescent="0.25">
      <c r="A1177" s="33">
        <v>339</v>
      </c>
      <c r="B1177" s="9">
        <v>43572</v>
      </c>
      <c r="C1177" s="20" t="s">
        <v>381</v>
      </c>
      <c r="D1177" s="11">
        <v>12490</v>
      </c>
      <c r="E1177" s="9">
        <v>43574</v>
      </c>
      <c r="F1177" s="15" t="s">
        <v>28</v>
      </c>
      <c r="G1177" s="12">
        <v>43577</v>
      </c>
      <c r="H1177" s="23">
        <f>D1177</f>
        <v>12490</v>
      </c>
      <c r="I1177" s="23">
        <f>H1177</f>
        <v>12490</v>
      </c>
      <c r="J1177" s="23"/>
      <c r="K1177" s="24"/>
      <c r="L1177" s="23">
        <v>9180</v>
      </c>
      <c r="M1177" s="22">
        <f t="shared" si="122"/>
        <v>3310</v>
      </c>
      <c r="N1177" s="22">
        <f>M1177</f>
        <v>3310</v>
      </c>
      <c r="O1177" s="30">
        <f t="shared" si="123"/>
        <v>0.26501200960768617</v>
      </c>
    </row>
    <row r="1178" spans="1:15" ht="20.100000000000001" customHeight="1" x14ac:dyDescent="0.25">
      <c r="A1178" s="33">
        <v>310</v>
      </c>
      <c r="B1178" s="9">
        <v>43567</v>
      </c>
      <c r="C1178" s="18" t="s">
        <v>383</v>
      </c>
      <c r="D1178" s="11">
        <v>1150</v>
      </c>
      <c r="E1178" s="9">
        <v>43579</v>
      </c>
      <c r="F1178" s="15" t="s">
        <v>28</v>
      </c>
      <c r="G1178" s="12">
        <v>43599</v>
      </c>
      <c r="H1178" s="23">
        <f>D1178</f>
        <v>1150</v>
      </c>
      <c r="I1178" s="23"/>
      <c r="J1178" s="23"/>
      <c r="K1178" s="24"/>
      <c r="L1178" s="23">
        <v>820</v>
      </c>
      <c r="M1178" s="22">
        <f t="shared" si="122"/>
        <v>330</v>
      </c>
      <c r="N1178" s="22"/>
      <c r="O1178" s="30">
        <f t="shared" si="123"/>
        <v>0.28695652173913044</v>
      </c>
    </row>
    <row r="1179" spans="1:15" ht="19.5" customHeight="1" x14ac:dyDescent="0.25">
      <c r="A1179" s="33">
        <v>355</v>
      </c>
      <c r="B1179" s="9">
        <v>43578</v>
      </c>
      <c r="C1179" s="20" t="s">
        <v>382</v>
      </c>
      <c r="D1179" s="11">
        <v>11119</v>
      </c>
      <c r="E1179" s="9">
        <v>43580</v>
      </c>
      <c r="F1179" s="15" t="s">
        <v>28</v>
      </c>
      <c r="G1179" s="12">
        <v>43579</v>
      </c>
      <c r="H1179" s="23">
        <f>D1179</f>
        <v>11119</v>
      </c>
      <c r="I1179" s="23">
        <f>H1179</f>
        <v>11119</v>
      </c>
      <c r="J1179" s="23"/>
      <c r="K1179" s="24"/>
      <c r="L1179" s="23">
        <v>8216</v>
      </c>
      <c r="M1179" s="22">
        <f t="shared" si="122"/>
        <v>2903</v>
      </c>
      <c r="N1179" s="22">
        <f>M1179</f>
        <v>2903</v>
      </c>
      <c r="O1179" s="30">
        <f t="shared" si="123"/>
        <v>0.26108462991276193</v>
      </c>
    </row>
    <row r="1180" spans="1:15" ht="15.75" x14ac:dyDescent="0.25">
      <c r="A1180" s="33">
        <v>145</v>
      </c>
      <c r="B1180" s="9">
        <v>43522</v>
      </c>
      <c r="C1180" s="18" t="s">
        <v>38</v>
      </c>
      <c r="D1180" s="11">
        <v>290937.5</v>
      </c>
      <c r="E1180" s="9">
        <v>43580</v>
      </c>
      <c r="F1180" s="15" t="s">
        <v>28</v>
      </c>
      <c r="G1180" s="12">
        <v>43549</v>
      </c>
      <c r="H1180" s="23">
        <f>D1180</f>
        <v>290937.5</v>
      </c>
      <c r="I1180" s="23"/>
      <c r="J1180" s="23"/>
      <c r="K1180" s="24"/>
      <c r="L1180" s="23">
        <v>218876</v>
      </c>
      <c r="M1180" s="22">
        <f t="shared" si="122"/>
        <v>72061.5</v>
      </c>
      <c r="N1180" s="22"/>
      <c r="O1180" s="30">
        <f t="shared" si="123"/>
        <v>0.24768721804511279</v>
      </c>
    </row>
    <row r="1181" spans="1:15" s="2" customFormat="1" ht="20.100000000000001" customHeight="1" x14ac:dyDescent="0.25">
      <c r="A1181" s="33">
        <v>31</v>
      </c>
      <c r="B1181" s="9">
        <v>43515</v>
      </c>
      <c r="C1181" s="18" t="s">
        <v>65</v>
      </c>
      <c r="D1181" s="11">
        <v>371973</v>
      </c>
      <c r="E1181" s="9">
        <v>43580</v>
      </c>
      <c r="F1181" s="15" t="s">
        <v>28</v>
      </c>
      <c r="G1181" s="12">
        <v>43556</v>
      </c>
      <c r="H1181" s="23">
        <v>21204</v>
      </c>
      <c r="I1181" s="23"/>
      <c r="J1181" s="23"/>
      <c r="K1181" s="24"/>
      <c r="L1181" s="23">
        <v>17631</v>
      </c>
      <c r="M1181" s="22">
        <f t="shared" si="122"/>
        <v>3573</v>
      </c>
      <c r="N1181" s="22"/>
      <c r="O1181" s="30">
        <f t="shared" si="123"/>
        <v>0.16850594227504245</v>
      </c>
    </row>
    <row r="1182" spans="1:15" ht="20.100000000000001" customHeight="1" x14ac:dyDescent="0.25">
      <c r="A1182" s="33">
        <v>314</v>
      </c>
      <c r="B1182" s="9">
        <v>43567</v>
      </c>
      <c r="C1182" s="18" t="s">
        <v>180</v>
      </c>
      <c r="D1182" s="11">
        <v>1688</v>
      </c>
      <c r="E1182" s="9">
        <v>43580</v>
      </c>
      <c r="F1182" s="15" t="s">
        <v>28</v>
      </c>
      <c r="G1182" s="12">
        <v>43572</v>
      </c>
      <c r="H1182" s="23">
        <f t="shared" ref="H1182:H1188" si="124">D1182</f>
        <v>1688</v>
      </c>
      <c r="I1182" s="23"/>
      <c r="J1182" s="23"/>
      <c r="K1182" s="24"/>
      <c r="L1182" s="23">
        <v>748</v>
      </c>
      <c r="M1182" s="22">
        <f t="shared" si="122"/>
        <v>940</v>
      </c>
      <c r="N1182" s="22"/>
      <c r="O1182" s="30">
        <f t="shared" si="123"/>
        <v>0.55687203791469198</v>
      </c>
    </row>
    <row r="1183" spans="1:15" ht="20.100000000000001" customHeight="1" x14ac:dyDescent="0.25">
      <c r="A1183" s="33">
        <v>356</v>
      </c>
      <c r="B1183" s="9">
        <v>43579</v>
      </c>
      <c r="C1183" s="18" t="s">
        <v>45</v>
      </c>
      <c r="D1183" s="11">
        <v>3148</v>
      </c>
      <c r="E1183" s="9">
        <v>43581</v>
      </c>
      <c r="F1183" s="15" t="s">
        <v>28</v>
      </c>
      <c r="G1183" s="12">
        <v>43584</v>
      </c>
      <c r="H1183" s="23">
        <f t="shared" si="124"/>
        <v>3148</v>
      </c>
      <c r="I1183" s="23"/>
      <c r="J1183" s="23"/>
      <c r="K1183" s="24"/>
      <c r="L1183" s="23">
        <v>2350</v>
      </c>
      <c r="M1183" s="22">
        <f t="shared" si="122"/>
        <v>798</v>
      </c>
      <c r="N1183" s="22"/>
      <c r="O1183" s="30">
        <f t="shared" si="123"/>
        <v>0.25349428208386277</v>
      </c>
    </row>
    <row r="1184" spans="1:15" ht="20.100000000000001" customHeight="1" x14ac:dyDescent="0.25">
      <c r="A1184" s="33">
        <v>334</v>
      </c>
      <c r="B1184" s="9">
        <v>43572</v>
      </c>
      <c r="C1184" s="18" t="s">
        <v>45</v>
      </c>
      <c r="D1184" s="11">
        <v>1232</v>
      </c>
      <c r="E1184" s="9">
        <v>43581</v>
      </c>
      <c r="F1184" s="15" t="s">
        <v>28</v>
      </c>
      <c r="G1184" s="12">
        <v>43592</v>
      </c>
      <c r="H1184" s="23">
        <f t="shared" si="124"/>
        <v>1232</v>
      </c>
      <c r="I1184" s="23"/>
      <c r="J1184" s="23"/>
      <c r="K1184" s="24"/>
      <c r="L1184" s="23">
        <v>961</v>
      </c>
      <c r="M1184" s="22">
        <f t="shared" si="122"/>
        <v>271</v>
      </c>
      <c r="N1184" s="22"/>
      <c r="O1184" s="30">
        <f t="shared" si="123"/>
        <v>0.21996753246753248</v>
      </c>
    </row>
    <row r="1185" spans="1:15" ht="20.100000000000001" customHeight="1" x14ac:dyDescent="0.25">
      <c r="A1185" s="33">
        <v>373</v>
      </c>
      <c r="B1185" s="9">
        <v>43581</v>
      </c>
      <c r="C1185" s="18" t="s">
        <v>149</v>
      </c>
      <c r="D1185" s="11">
        <v>2001</v>
      </c>
      <c r="E1185" s="9">
        <v>43581</v>
      </c>
      <c r="F1185" s="15" t="s">
        <v>28</v>
      </c>
      <c r="G1185" s="12">
        <v>43585</v>
      </c>
      <c r="H1185" s="23">
        <f t="shared" si="124"/>
        <v>2001</v>
      </c>
      <c r="I1185" s="23"/>
      <c r="J1185" s="23"/>
      <c r="K1185" s="24"/>
      <c r="L1185" s="23">
        <v>1376</v>
      </c>
      <c r="M1185" s="22">
        <f t="shared" si="122"/>
        <v>625</v>
      </c>
      <c r="N1185" s="22"/>
      <c r="O1185" s="30">
        <f t="shared" si="123"/>
        <v>0.31234382808595701</v>
      </c>
    </row>
    <row r="1186" spans="1:15" ht="20.100000000000001" customHeight="1" x14ac:dyDescent="0.25">
      <c r="A1186" s="33">
        <v>379</v>
      </c>
      <c r="B1186" s="9">
        <v>43584</v>
      </c>
      <c r="C1186" s="18" t="s">
        <v>12</v>
      </c>
      <c r="D1186" s="11">
        <v>5000</v>
      </c>
      <c r="E1186" s="9">
        <v>43584</v>
      </c>
      <c r="F1186" s="15" t="s">
        <v>28</v>
      </c>
      <c r="G1186" s="12">
        <v>43584</v>
      </c>
      <c r="H1186" s="23">
        <f t="shared" si="124"/>
        <v>5000</v>
      </c>
      <c r="I1186" s="23"/>
      <c r="J1186" s="23"/>
      <c r="K1186" s="24"/>
      <c r="L1186" s="23">
        <v>3000</v>
      </c>
      <c r="M1186" s="22">
        <f t="shared" si="122"/>
        <v>2000</v>
      </c>
      <c r="N1186" s="22"/>
      <c r="O1186" s="30">
        <f t="shared" si="123"/>
        <v>0.4</v>
      </c>
    </row>
    <row r="1187" spans="1:15" ht="20.100000000000001" customHeight="1" x14ac:dyDescent="0.25">
      <c r="A1187" s="33">
        <v>377</v>
      </c>
      <c r="B1187" s="9">
        <v>43581</v>
      </c>
      <c r="C1187" s="18" t="s">
        <v>216</v>
      </c>
      <c r="D1187" s="11">
        <v>1278</v>
      </c>
      <c r="E1187" s="9">
        <v>43584</v>
      </c>
      <c r="F1187" s="15" t="s">
        <v>28</v>
      </c>
      <c r="G1187" s="12">
        <v>43591</v>
      </c>
      <c r="H1187" s="23">
        <f t="shared" si="124"/>
        <v>1278</v>
      </c>
      <c r="I1187" s="23"/>
      <c r="J1187" s="23"/>
      <c r="K1187" s="24"/>
      <c r="L1187" s="23">
        <v>996</v>
      </c>
      <c r="M1187" s="22">
        <f t="shared" si="122"/>
        <v>282</v>
      </c>
      <c r="N1187" s="22"/>
      <c r="O1187" s="30">
        <f t="shared" si="123"/>
        <v>0.22065727699530516</v>
      </c>
    </row>
    <row r="1188" spans="1:15" ht="20.100000000000001" customHeight="1" x14ac:dyDescent="0.25">
      <c r="A1188" s="33">
        <v>386</v>
      </c>
      <c r="B1188" s="9">
        <v>43585</v>
      </c>
      <c r="C1188" s="20" t="s">
        <v>384</v>
      </c>
      <c r="D1188" s="11">
        <v>103113</v>
      </c>
      <c r="E1188" s="9">
        <v>43585</v>
      </c>
      <c r="F1188" s="15" t="s">
        <v>28</v>
      </c>
      <c r="G1188" s="12">
        <v>43585</v>
      </c>
      <c r="H1188" s="23">
        <f t="shared" si="124"/>
        <v>103113</v>
      </c>
      <c r="I1188" s="23">
        <f>H1188</f>
        <v>103113</v>
      </c>
      <c r="J1188" s="23"/>
      <c r="K1188" s="24"/>
      <c r="L1188" s="23">
        <v>82680</v>
      </c>
      <c r="M1188" s="22">
        <f t="shared" si="122"/>
        <v>20433</v>
      </c>
      <c r="N1188" s="22">
        <f>M1188</f>
        <v>20433</v>
      </c>
      <c r="O1188" s="30">
        <f t="shared" si="123"/>
        <v>0.19816124058072213</v>
      </c>
    </row>
    <row r="1189" spans="1:15" ht="20.100000000000001" customHeight="1" x14ac:dyDescent="0.25">
      <c r="A1189" s="35" t="s">
        <v>535</v>
      </c>
      <c r="B1189" s="36"/>
      <c r="C1189" s="42"/>
      <c r="D1189" s="37"/>
      <c r="E1189" s="46" t="s">
        <v>566</v>
      </c>
      <c r="F1189" s="47">
        <f>M1189*0.17+N1189*0.06</f>
        <v>109054.13950000002</v>
      </c>
      <c r="G1189" s="21">
        <f>H1189*0.05+I1189*0.02</f>
        <v>113933.4895</v>
      </c>
      <c r="H1189" s="49">
        <f>SUBTOTAL(109,Апрель2019[Продажа])</f>
        <v>2149215.5499999998</v>
      </c>
      <c r="I1189" s="49">
        <f>SUBTOTAL(109,Апрель2019[Продажа НК])</f>
        <v>323635.59999999998</v>
      </c>
      <c r="J1189" s="49">
        <f>SUBTOTAL(109,Апрель2019[отк])</f>
        <v>45000</v>
      </c>
      <c r="K1189" s="49">
        <f>SUBTOTAL(109,Апрель2019[шланги])</f>
        <v>0</v>
      </c>
      <c r="L1189" s="49">
        <f>SUBTOTAL(109,Апрель2019[Закупка])</f>
        <v>1487816</v>
      </c>
      <c r="M1189" s="49">
        <f>SUBTOTAL(109,Апрель2019[Маржа])</f>
        <v>616399.55000000005</v>
      </c>
      <c r="N1189" s="49">
        <f>SUBTOTAL(109,Апрель2019[Маржа НК])</f>
        <v>71103.600000000006</v>
      </c>
      <c r="O1189" s="44">
        <f t="shared" si="123"/>
        <v>0.2868021078667517</v>
      </c>
    </row>
    <row r="1190" spans="1:15" ht="20.100000000000001" customHeight="1" x14ac:dyDescent="0.25">
      <c r="A1190" s="41" t="s">
        <v>1</v>
      </c>
      <c r="B1190" s="1" t="s">
        <v>0</v>
      </c>
      <c r="C1190" s="1" t="s">
        <v>26</v>
      </c>
      <c r="D1190" s="1" t="s">
        <v>2</v>
      </c>
      <c r="E1190" s="1" t="s">
        <v>3</v>
      </c>
      <c r="F1190" s="1" t="s">
        <v>27</v>
      </c>
      <c r="G1190" s="1" t="s">
        <v>4</v>
      </c>
      <c r="H1190" s="2" t="s">
        <v>132</v>
      </c>
      <c r="I1190" s="2" t="s">
        <v>133</v>
      </c>
      <c r="J1190" s="40" t="s">
        <v>187</v>
      </c>
      <c r="K1190" s="40" t="s">
        <v>188</v>
      </c>
      <c r="L1190" s="40" t="s">
        <v>129</v>
      </c>
      <c r="M1190" s="40" t="s">
        <v>130</v>
      </c>
      <c r="N1190" s="2" t="s">
        <v>131</v>
      </c>
      <c r="O1190" s="2" t="s">
        <v>134</v>
      </c>
    </row>
    <row r="1191" spans="1:15" ht="20.100000000000001" customHeight="1" x14ac:dyDescent="0.25">
      <c r="A1191" s="33">
        <v>374</v>
      </c>
      <c r="B1191" s="9">
        <v>43581</v>
      </c>
      <c r="C1191" s="20" t="s">
        <v>385</v>
      </c>
      <c r="D1191" s="11">
        <v>31890</v>
      </c>
      <c r="E1191" s="9">
        <v>43591</v>
      </c>
      <c r="F1191" s="15" t="s">
        <v>28</v>
      </c>
      <c r="G1191" s="12">
        <v>43599</v>
      </c>
      <c r="H1191" s="23">
        <f t="shared" ref="H1191:H1215" si="125">D1191</f>
        <v>31890</v>
      </c>
      <c r="I1191" s="23">
        <f>H1191</f>
        <v>31890</v>
      </c>
      <c r="J1191" s="23"/>
      <c r="K1191" s="24"/>
      <c r="L1191" s="23">
        <v>20996</v>
      </c>
      <c r="M1191" s="22">
        <f t="shared" ref="M1191:M1215" si="126">H1191-L1191-J1191-K1191</f>
        <v>10894</v>
      </c>
      <c r="N1191" s="22">
        <f>M1191</f>
        <v>10894</v>
      </c>
      <c r="O1191" s="30">
        <f t="shared" ref="O1191:O1216" si="127">M1191/H1191</f>
        <v>0.34161179052994667</v>
      </c>
    </row>
    <row r="1192" spans="1:15" ht="20.100000000000001" customHeight="1" x14ac:dyDescent="0.25">
      <c r="A1192" s="33">
        <v>144</v>
      </c>
      <c r="B1192" s="9">
        <v>43524</v>
      </c>
      <c r="C1192" s="18" t="s">
        <v>38</v>
      </c>
      <c r="D1192" s="11">
        <v>21404</v>
      </c>
      <c r="E1192" s="9">
        <v>43592</v>
      </c>
      <c r="F1192" s="15" t="s">
        <v>28</v>
      </c>
      <c r="G1192" s="12">
        <v>43570</v>
      </c>
      <c r="H1192" s="23">
        <f t="shared" si="125"/>
        <v>21404</v>
      </c>
      <c r="I1192" s="23"/>
      <c r="J1192" s="23"/>
      <c r="K1192" s="24"/>
      <c r="L1192" s="23">
        <v>16443</v>
      </c>
      <c r="M1192" s="22">
        <f t="shared" si="126"/>
        <v>4961</v>
      </c>
      <c r="N1192" s="22"/>
      <c r="O1192" s="30">
        <f t="shared" si="127"/>
        <v>0.23177910670902635</v>
      </c>
    </row>
    <row r="1193" spans="1:15" ht="20.100000000000001" customHeight="1" x14ac:dyDescent="0.25">
      <c r="A1193" s="33">
        <v>191</v>
      </c>
      <c r="B1193" s="15">
        <v>43544</v>
      </c>
      <c r="C1193" s="18" t="s">
        <v>38</v>
      </c>
      <c r="D1193" s="11">
        <v>36921</v>
      </c>
      <c r="E1193" s="9">
        <v>43592</v>
      </c>
      <c r="F1193" s="15" t="s">
        <v>28</v>
      </c>
      <c r="G1193" s="12">
        <v>43570</v>
      </c>
      <c r="H1193" s="23">
        <f t="shared" si="125"/>
        <v>36921</v>
      </c>
      <c r="I1193" s="23"/>
      <c r="J1193" s="23"/>
      <c r="K1193" s="24"/>
      <c r="L1193" s="23">
        <v>28797</v>
      </c>
      <c r="M1193" s="22">
        <f t="shared" si="126"/>
        <v>8124</v>
      </c>
      <c r="N1193" s="22"/>
      <c r="O1193" s="30">
        <f t="shared" si="127"/>
        <v>0.22003737710246202</v>
      </c>
    </row>
    <row r="1194" spans="1:15" ht="20.100000000000001" customHeight="1" x14ac:dyDescent="0.25">
      <c r="A1194" s="33">
        <v>192</v>
      </c>
      <c r="B1194" s="15">
        <v>43544</v>
      </c>
      <c r="C1194" s="18" t="s">
        <v>38</v>
      </c>
      <c r="D1194" s="11">
        <v>63990</v>
      </c>
      <c r="E1194" s="9">
        <v>43592</v>
      </c>
      <c r="F1194" s="15" t="s">
        <v>28</v>
      </c>
      <c r="G1194" s="12">
        <v>43570</v>
      </c>
      <c r="H1194" s="23">
        <f t="shared" si="125"/>
        <v>63990</v>
      </c>
      <c r="I1194" s="23"/>
      <c r="J1194" s="23"/>
      <c r="K1194" s="24"/>
      <c r="L1194" s="23">
        <v>48840</v>
      </c>
      <c r="M1194" s="22">
        <f t="shared" si="126"/>
        <v>15150</v>
      </c>
      <c r="N1194" s="22"/>
      <c r="O1194" s="30">
        <f t="shared" si="127"/>
        <v>0.236755743084857</v>
      </c>
    </row>
    <row r="1195" spans="1:15" ht="20.100000000000001" customHeight="1" x14ac:dyDescent="0.25">
      <c r="A1195" s="33">
        <v>397</v>
      </c>
      <c r="B1195" s="9">
        <v>43585</v>
      </c>
      <c r="C1195" s="18" t="s">
        <v>91</v>
      </c>
      <c r="D1195" s="11">
        <v>10034</v>
      </c>
      <c r="E1195" s="9">
        <v>43598</v>
      </c>
      <c r="F1195" s="15" t="s">
        <v>28</v>
      </c>
      <c r="G1195" s="12">
        <v>43585</v>
      </c>
      <c r="H1195" s="23">
        <f t="shared" si="125"/>
        <v>10034</v>
      </c>
      <c r="I1195" s="23"/>
      <c r="J1195" s="23"/>
      <c r="K1195" s="24"/>
      <c r="L1195" s="23">
        <v>7824</v>
      </c>
      <c r="M1195" s="22">
        <f t="shared" si="126"/>
        <v>2210</v>
      </c>
      <c r="N1195" s="22"/>
      <c r="O1195" s="30">
        <f t="shared" si="127"/>
        <v>0.22025114610324895</v>
      </c>
    </row>
    <row r="1196" spans="1:15" ht="20.100000000000001" customHeight="1" x14ac:dyDescent="0.25">
      <c r="A1196" s="33">
        <v>387</v>
      </c>
      <c r="B1196" s="9">
        <v>43585</v>
      </c>
      <c r="C1196" s="18" t="s">
        <v>149</v>
      </c>
      <c r="D1196" s="11">
        <v>4224</v>
      </c>
      <c r="E1196" s="9">
        <v>43598</v>
      </c>
      <c r="F1196" s="15" t="s">
        <v>28</v>
      </c>
      <c r="G1196" s="12">
        <v>43609</v>
      </c>
      <c r="H1196" s="23">
        <f t="shared" si="125"/>
        <v>4224</v>
      </c>
      <c r="I1196" s="23"/>
      <c r="J1196" s="23"/>
      <c r="K1196" s="24"/>
      <c r="L1196" s="23">
        <v>2788</v>
      </c>
      <c r="M1196" s="22">
        <f t="shared" si="126"/>
        <v>1436</v>
      </c>
      <c r="N1196" s="22"/>
      <c r="O1196" s="30">
        <f t="shared" si="127"/>
        <v>0.33996212121212122</v>
      </c>
    </row>
    <row r="1197" spans="1:15" ht="20.100000000000001" customHeight="1" x14ac:dyDescent="0.25">
      <c r="A1197" s="33">
        <v>404</v>
      </c>
      <c r="B1197" s="9">
        <v>43591</v>
      </c>
      <c r="C1197" s="18" t="s">
        <v>228</v>
      </c>
      <c r="D1197" s="11">
        <v>25165</v>
      </c>
      <c r="E1197" s="9">
        <v>43599</v>
      </c>
      <c r="F1197" s="15" t="s">
        <v>28</v>
      </c>
      <c r="G1197" s="12">
        <v>43629</v>
      </c>
      <c r="H1197" s="23">
        <f t="shared" si="125"/>
        <v>25165</v>
      </c>
      <c r="I1197" s="23"/>
      <c r="J1197" s="23"/>
      <c r="K1197" s="24"/>
      <c r="L1197" s="23">
        <v>18254</v>
      </c>
      <c r="M1197" s="22">
        <f t="shared" si="126"/>
        <v>6911</v>
      </c>
      <c r="N1197" s="22"/>
      <c r="O1197" s="30">
        <f t="shared" si="127"/>
        <v>0.27462745877210409</v>
      </c>
    </row>
    <row r="1198" spans="1:15" ht="20.100000000000001" customHeight="1" x14ac:dyDescent="0.25">
      <c r="A1198" s="33">
        <v>427</v>
      </c>
      <c r="B1198" s="9">
        <v>43599</v>
      </c>
      <c r="C1198" s="18" t="s">
        <v>372</v>
      </c>
      <c r="D1198" s="11">
        <v>6929</v>
      </c>
      <c r="E1198" s="9">
        <v>43600</v>
      </c>
      <c r="F1198" s="15" t="s">
        <v>28</v>
      </c>
      <c r="G1198" s="12">
        <v>43601</v>
      </c>
      <c r="H1198" s="23">
        <f t="shared" si="125"/>
        <v>6929</v>
      </c>
      <c r="I1198" s="23"/>
      <c r="J1198" s="23"/>
      <c r="K1198" s="24"/>
      <c r="L1198" s="23">
        <v>5039</v>
      </c>
      <c r="M1198" s="22">
        <f t="shared" si="126"/>
        <v>1890</v>
      </c>
      <c r="N1198" s="22"/>
      <c r="O1198" s="30">
        <f t="shared" si="127"/>
        <v>0.27276663299177373</v>
      </c>
    </row>
    <row r="1199" spans="1:15" ht="20.100000000000001" customHeight="1" x14ac:dyDescent="0.25">
      <c r="A1199" s="33">
        <v>322</v>
      </c>
      <c r="B1199" s="9">
        <v>43570</v>
      </c>
      <c r="C1199" s="18" t="s">
        <v>209</v>
      </c>
      <c r="D1199" s="11">
        <v>2190</v>
      </c>
      <c r="E1199" s="9">
        <v>43600</v>
      </c>
      <c r="F1199" s="15" t="s">
        <v>28</v>
      </c>
      <c r="G1199" s="12">
        <v>43570</v>
      </c>
      <c r="H1199" s="23">
        <f t="shared" si="125"/>
        <v>2190</v>
      </c>
      <c r="I1199" s="23"/>
      <c r="J1199" s="23"/>
      <c r="K1199" s="24"/>
      <c r="L1199" s="23">
        <v>1358</v>
      </c>
      <c r="M1199" s="22">
        <f t="shared" si="126"/>
        <v>832</v>
      </c>
      <c r="N1199" s="22"/>
      <c r="O1199" s="30">
        <f t="shared" si="127"/>
        <v>0.37990867579908677</v>
      </c>
    </row>
    <row r="1200" spans="1:15" ht="20.100000000000001" customHeight="1" x14ac:dyDescent="0.25">
      <c r="A1200" s="33">
        <v>435</v>
      </c>
      <c r="B1200" s="9">
        <v>43601</v>
      </c>
      <c r="C1200" s="20" t="s">
        <v>386</v>
      </c>
      <c r="D1200" s="11">
        <v>3142</v>
      </c>
      <c r="E1200" s="9">
        <v>43601</v>
      </c>
      <c r="F1200" s="15" t="s">
        <v>28</v>
      </c>
      <c r="G1200" s="12">
        <v>43601</v>
      </c>
      <c r="H1200" s="23">
        <f t="shared" si="125"/>
        <v>3142</v>
      </c>
      <c r="I1200" s="23">
        <f>H1200</f>
        <v>3142</v>
      </c>
      <c r="J1200" s="23"/>
      <c r="K1200" s="24"/>
      <c r="L1200" s="23">
        <v>2450</v>
      </c>
      <c r="M1200" s="22">
        <f t="shared" si="126"/>
        <v>692</v>
      </c>
      <c r="N1200" s="22">
        <f>M1200</f>
        <v>692</v>
      </c>
      <c r="O1200" s="30">
        <f t="shared" si="127"/>
        <v>0.22024188415022278</v>
      </c>
    </row>
    <row r="1201" spans="1:15" ht="20.100000000000001" customHeight="1" x14ac:dyDescent="0.25">
      <c r="A1201" s="33">
        <v>410</v>
      </c>
      <c r="B1201" s="9">
        <v>43592</v>
      </c>
      <c r="C1201" s="20" t="s">
        <v>387</v>
      </c>
      <c r="D1201" s="11">
        <v>44619</v>
      </c>
      <c r="E1201" s="9">
        <v>43601</v>
      </c>
      <c r="F1201" s="15" t="s">
        <v>28</v>
      </c>
      <c r="G1201" s="12">
        <v>43622</v>
      </c>
      <c r="H1201" s="23">
        <f t="shared" si="125"/>
        <v>44619</v>
      </c>
      <c r="I1201" s="23">
        <f>H1201</f>
        <v>44619</v>
      </c>
      <c r="J1201" s="23"/>
      <c r="K1201" s="24"/>
      <c r="L1201" s="23">
        <v>33010</v>
      </c>
      <c r="M1201" s="22">
        <f t="shared" si="126"/>
        <v>11609</v>
      </c>
      <c r="N1201" s="22">
        <f>M1201</f>
        <v>11609</v>
      </c>
      <c r="O1201" s="30">
        <f t="shared" si="127"/>
        <v>0.26018064053430151</v>
      </c>
    </row>
    <row r="1202" spans="1:15" ht="20.100000000000001" customHeight="1" x14ac:dyDescent="0.25">
      <c r="A1202" s="33">
        <v>416</v>
      </c>
      <c r="B1202" s="9">
        <v>43593</v>
      </c>
      <c r="C1202" s="18" t="s">
        <v>230</v>
      </c>
      <c r="D1202" s="11">
        <v>34990</v>
      </c>
      <c r="E1202" s="9">
        <v>43605</v>
      </c>
      <c r="F1202" s="15" t="s">
        <v>28</v>
      </c>
      <c r="G1202" s="12">
        <v>43609</v>
      </c>
      <c r="H1202" s="23">
        <f t="shared" si="125"/>
        <v>34990</v>
      </c>
      <c r="I1202" s="23"/>
      <c r="J1202" s="23"/>
      <c r="K1202" s="24"/>
      <c r="L1202" s="23">
        <v>25717</v>
      </c>
      <c r="M1202" s="22">
        <f t="shared" si="126"/>
        <v>9273</v>
      </c>
      <c r="N1202" s="22"/>
      <c r="O1202" s="30">
        <f t="shared" si="127"/>
        <v>0.26501857673621032</v>
      </c>
    </row>
    <row r="1203" spans="1:15" ht="20.100000000000001" customHeight="1" x14ac:dyDescent="0.25">
      <c r="A1203" s="33">
        <v>441</v>
      </c>
      <c r="B1203" s="9">
        <v>43602</v>
      </c>
      <c r="C1203" s="18" t="s">
        <v>49</v>
      </c>
      <c r="D1203" s="11">
        <v>17815</v>
      </c>
      <c r="E1203" s="9">
        <v>43606</v>
      </c>
      <c r="F1203" s="15" t="s">
        <v>28</v>
      </c>
      <c r="G1203" s="12">
        <v>43622</v>
      </c>
      <c r="H1203" s="23">
        <f t="shared" si="125"/>
        <v>17815</v>
      </c>
      <c r="I1203" s="23"/>
      <c r="J1203" s="23"/>
      <c r="K1203" s="24"/>
      <c r="L1203" s="23">
        <v>11582</v>
      </c>
      <c r="M1203" s="22">
        <f t="shared" si="126"/>
        <v>6233</v>
      </c>
      <c r="N1203" s="22"/>
      <c r="O1203" s="30">
        <f t="shared" si="127"/>
        <v>0.3498737019365703</v>
      </c>
    </row>
    <row r="1204" spans="1:15" ht="20.100000000000001" customHeight="1" x14ac:dyDescent="0.25">
      <c r="A1204" s="33">
        <v>459</v>
      </c>
      <c r="B1204" s="9">
        <v>43606</v>
      </c>
      <c r="C1204" s="18" t="s">
        <v>149</v>
      </c>
      <c r="D1204" s="11">
        <v>4224</v>
      </c>
      <c r="E1204" s="9">
        <v>43606</v>
      </c>
      <c r="F1204" s="15" t="s">
        <v>28</v>
      </c>
      <c r="G1204" s="12">
        <v>43615</v>
      </c>
      <c r="H1204" s="23">
        <f t="shared" si="125"/>
        <v>4224</v>
      </c>
      <c r="I1204" s="23"/>
      <c r="J1204" s="23"/>
      <c r="K1204" s="24"/>
      <c r="L1204" s="23">
        <v>2788</v>
      </c>
      <c r="M1204" s="22">
        <f t="shared" si="126"/>
        <v>1436</v>
      </c>
      <c r="N1204" s="22"/>
      <c r="O1204" s="30">
        <f t="shared" si="127"/>
        <v>0.33996212121212122</v>
      </c>
    </row>
    <row r="1205" spans="1:15" ht="20.100000000000001" customHeight="1" x14ac:dyDescent="0.25">
      <c r="A1205" s="33">
        <v>450</v>
      </c>
      <c r="B1205" s="9">
        <v>43605</v>
      </c>
      <c r="C1205" s="18" t="s">
        <v>370</v>
      </c>
      <c r="D1205" s="11">
        <v>4820</v>
      </c>
      <c r="E1205" s="9">
        <v>43607</v>
      </c>
      <c r="F1205" s="15" t="s">
        <v>28</v>
      </c>
      <c r="G1205" s="12">
        <v>43605</v>
      </c>
      <c r="H1205" s="23">
        <f t="shared" si="125"/>
        <v>4820</v>
      </c>
      <c r="I1205" s="23"/>
      <c r="J1205" s="23"/>
      <c r="K1205" s="24"/>
      <c r="L1205" s="23">
        <v>3759</v>
      </c>
      <c r="M1205" s="22">
        <f t="shared" si="126"/>
        <v>1061</v>
      </c>
      <c r="N1205" s="22"/>
      <c r="O1205" s="30">
        <f t="shared" si="127"/>
        <v>0.22012448132780082</v>
      </c>
    </row>
    <row r="1206" spans="1:15" ht="20.100000000000001" customHeight="1" x14ac:dyDescent="0.25">
      <c r="A1206" s="33">
        <v>443</v>
      </c>
      <c r="B1206" s="9">
        <v>43602</v>
      </c>
      <c r="C1206" s="18" t="s">
        <v>45</v>
      </c>
      <c r="D1206" s="11">
        <v>4360</v>
      </c>
      <c r="E1206" s="9">
        <v>43607</v>
      </c>
      <c r="F1206" s="15" t="s">
        <v>28</v>
      </c>
      <c r="G1206" s="12">
        <v>43633</v>
      </c>
      <c r="H1206" s="23">
        <f t="shared" si="125"/>
        <v>4360</v>
      </c>
      <c r="I1206" s="23"/>
      <c r="J1206" s="23"/>
      <c r="K1206" s="24"/>
      <c r="L1206" s="23">
        <v>3375</v>
      </c>
      <c r="M1206" s="22">
        <f t="shared" si="126"/>
        <v>985</v>
      </c>
      <c r="N1206" s="22"/>
      <c r="O1206" s="30">
        <f t="shared" si="127"/>
        <v>0.22591743119266056</v>
      </c>
    </row>
    <row r="1207" spans="1:15" ht="20.100000000000001" customHeight="1" x14ac:dyDescent="0.25">
      <c r="A1207" s="33">
        <v>351</v>
      </c>
      <c r="B1207" s="15">
        <v>43577</v>
      </c>
      <c r="C1207" s="18" t="s">
        <v>13</v>
      </c>
      <c r="D1207" s="11">
        <v>7700</v>
      </c>
      <c r="E1207" s="9">
        <v>43607</v>
      </c>
      <c r="F1207" s="15" t="s">
        <v>28</v>
      </c>
      <c r="G1207" s="12">
        <v>43593</v>
      </c>
      <c r="H1207" s="23">
        <f t="shared" si="125"/>
        <v>7700</v>
      </c>
      <c r="I1207" s="23"/>
      <c r="J1207" s="23"/>
      <c r="K1207" s="24"/>
      <c r="L1207" s="23">
        <v>6005</v>
      </c>
      <c r="M1207" s="22">
        <f t="shared" si="126"/>
        <v>1695</v>
      </c>
      <c r="N1207" s="22"/>
      <c r="O1207" s="30">
        <f t="shared" si="127"/>
        <v>0.22012987012987012</v>
      </c>
    </row>
    <row r="1208" spans="1:15" ht="20.100000000000001" customHeight="1" x14ac:dyDescent="0.25">
      <c r="A1208" s="33">
        <v>476</v>
      </c>
      <c r="B1208" s="15">
        <v>43605</v>
      </c>
      <c r="C1208" s="18" t="s">
        <v>281</v>
      </c>
      <c r="D1208" s="11">
        <v>2258</v>
      </c>
      <c r="E1208" s="9">
        <v>43607</v>
      </c>
      <c r="F1208" s="15" t="s">
        <v>28</v>
      </c>
      <c r="G1208" s="12">
        <v>43608</v>
      </c>
      <c r="H1208" s="23">
        <f t="shared" si="125"/>
        <v>2258</v>
      </c>
      <c r="I1208" s="23"/>
      <c r="J1208" s="23"/>
      <c r="K1208" s="24"/>
      <c r="L1208" s="23">
        <v>1760</v>
      </c>
      <c r="M1208" s="22">
        <f t="shared" si="126"/>
        <v>498</v>
      </c>
      <c r="N1208" s="22"/>
      <c r="O1208" s="30">
        <f t="shared" si="127"/>
        <v>0.22054915854738708</v>
      </c>
    </row>
    <row r="1209" spans="1:15" ht="20.100000000000001" customHeight="1" x14ac:dyDescent="0.25">
      <c r="A1209" s="33">
        <v>478</v>
      </c>
      <c r="B1209" s="15">
        <v>43608</v>
      </c>
      <c r="C1209" s="20" t="s">
        <v>388</v>
      </c>
      <c r="D1209" s="11">
        <v>13770</v>
      </c>
      <c r="E1209" s="9">
        <v>43608</v>
      </c>
      <c r="F1209" s="15" t="s">
        <v>28</v>
      </c>
      <c r="G1209" s="12">
        <v>43609</v>
      </c>
      <c r="H1209" s="23">
        <f t="shared" si="125"/>
        <v>13770</v>
      </c>
      <c r="I1209" s="23">
        <f>H1209</f>
        <v>13770</v>
      </c>
      <c r="J1209" s="23"/>
      <c r="K1209" s="24"/>
      <c r="L1209" s="23">
        <v>10112</v>
      </c>
      <c r="M1209" s="22">
        <f t="shared" si="126"/>
        <v>3658</v>
      </c>
      <c r="N1209" s="22">
        <f>M1209</f>
        <v>3658</v>
      </c>
      <c r="O1209" s="30">
        <f t="shared" si="127"/>
        <v>0.26564996368917937</v>
      </c>
    </row>
    <row r="1210" spans="1:15" ht="20.100000000000001" customHeight="1" x14ac:dyDescent="0.25">
      <c r="A1210" s="33">
        <v>473</v>
      </c>
      <c r="B1210" s="15">
        <v>43607</v>
      </c>
      <c r="C1210" s="18" t="s">
        <v>83</v>
      </c>
      <c r="D1210" s="11">
        <v>4000</v>
      </c>
      <c r="E1210" s="9">
        <v>43608</v>
      </c>
      <c r="F1210" s="15" t="s">
        <v>28</v>
      </c>
      <c r="G1210" s="12">
        <v>43613</v>
      </c>
      <c r="H1210" s="23">
        <f t="shared" si="125"/>
        <v>4000</v>
      </c>
      <c r="I1210" s="23"/>
      <c r="J1210" s="23"/>
      <c r="K1210" s="24">
        <v>600</v>
      </c>
      <c r="L1210" s="23">
        <v>1574</v>
      </c>
      <c r="M1210" s="22">
        <f t="shared" si="126"/>
        <v>1826</v>
      </c>
      <c r="N1210" s="22"/>
      <c r="O1210" s="30">
        <f t="shared" si="127"/>
        <v>0.45650000000000002</v>
      </c>
    </row>
    <row r="1211" spans="1:15" ht="20.100000000000001" customHeight="1" x14ac:dyDescent="0.25">
      <c r="A1211" s="33">
        <v>481</v>
      </c>
      <c r="B1211" s="15">
        <v>43608</v>
      </c>
      <c r="C1211" s="20" t="s">
        <v>389</v>
      </c>
      <c r="D1211" s="11">
        <v>55580</v>
      </c>
      <c r="E1211" s="9">
        <v>43608</v>
      </c>
      <c r="F1211" s="15" t="s">
        <v>28</v>
      </c>
      <c r="G1211" s="12">
        <v>43609</v>
      </c>
      <c r="H1211" s="23">
        <f t="shared" si="125"/>
        <v>55580</v>
      </c>
      <c r="I1211" s="23">
        <f>H1211</f>
        <v>55580</v>
      </c>
      <c r="J1211" s="23"/>
      <c r="K1211" s="24"/>
      <c r="L1211" s="23">
        <v>40474</v>
      </c>
      <c r="M1211" s="22">
        <f t="shared" si="126"/>
        <v>15106</v>
      </c>
      <c r="N1211" s="22">
        <f>M1211</f>
        <v>15106</v>
      </c>
      <c r="O1211" s="30">
        <f t="shared" si="127"/>
        <v>0.27178841309823676</v>
      </c>
    </row>
    <row r="1212" spans="1:15" ht="20.100000000000001" customHeight="1" x14ac:dyDescent="0.25">
      <c r="A1212" s="33">
        <v>452</v>
      </c>
      <c r="B1212" s="9">
        <v>43605</v>
      </c>
      <c r="C1212" s="18" t="s">
        <v>270</v>
      </c>
      <c r="D1212" s="11">
        <v>3387</v>
      </c>
      <c r="E1212" s="9">
        <v>43612</v>
      </c>
      <c r="F1212" s="15" t="s">
        <v>28</v>
      </c>
      <c r="G1212" s="12">
        <v>43605</v>
      </c>
      <c r="H1212" s="23">
        <f t="shared" si="125"/>
        <v>3387</v>
      </c>
      <c r="I1212" s="23"/>
      <c r="J1212" s="23"/>
      <c r="K1212" s="24"/>
      <c r="L1212" s="23">
        <v>2640</v>
      </c>
      <c r="M1212" s="22">
        <f t="shared" si="126"/>
        <v>747</v>
      </c>
      <c r="N1212" s="22"/>
      <c r="O1212" s="30">
        <f t="shared" si="127"/>
        <v>0.22054915854738708</v>
      </c>
    </row>
    <row r="1213" spans="1:15" ht="20.100000000000001" customHeight="1" x14ac:dyDescent="0.25">
      <c r="A1213" s="33">
        <v>256</v>
      </c>
      <c r="B1213" s="9">
        <v>43602</v>
      </c>
      <c r="C1213" s="18" t="s">
        <v>99</v>
      </c>
      <c r="D1213" s="11">
        <v>208464</v>
      </c>
      <c r="E1213" s="9">
        <v>43613</v>
      </c>
      <c r="F1213" s="15" t="s">
        <v>28</v>
      </c>
      <c r="G1213" s="12">
        <v>43602</v>
      </c>
      <c r="H1213" s="23">
        <f t="shared" si="125"/>
        <v>208464</v>
      </c>
      <c r="I1213" s="23"/>
      <c r="J1213" s="23">
        <v>39000</v>
      </c>
      <c r="K1213" s="24">
        <f>13*600</f>
        <v>7800</v>
      </c>
      <c r="L1213" s="23">
        <v>60357</v>
      </c>
      <c r="M1213" s="22">
        <f t="shared" si="126"/>
        <v>101307</v>
      </c>
      <c r="N1213" s="22"/>
      <c r="O1213" s="30">
        <f t="shared" si="127"/>
        <v>0.48596880036840895</v>
      </c>
    </row>
    <row r="1214" spans="1:15" ht="19.5" customHeight="1" x14ac:dyDescent="0.25">
      <c r="A1214" s="33">
        <v>502</v>
      </c>
      <c r="B1214" s="9">
        <v>43614</v>
      </c>
      <c r="C1214" s="20" t="s">
        <v>390</v>
      </c>
      <c r="D1214" s="11">
        <v>36990</v>
      </c>
      <c r="E1214" s="9">
        <v>43614</v>
      </c>
      <c r="F1214" s="15" t="s">
        <v>28</v>
      </c>
      <c r="G1214" s="12">
        <v>43615</v>
      </c>
      <c r="H1214" s="23">
        <f t="shared" si="125"/>
        <v>36990</v>
      </c>
      <c r="I1214" s="23">
        <f>H1214</f>
        <v>36990</v>
      </c>
      <c r="J1214" s="23"/>
      <c r="K1214" s="24"/>
      <c r="L1214" s="23">
        <v>27165</v>
      </c>
      <c r="M1214" s="22">
        <f t="shared" si="126"/>
        <v>9825</v>
      </c>
      <c r="N1214" s="22">
        <f>M1214</f>
        <v>9825</v>
      </c>
      <c r="O1214" s="30">
        <f t="shared" si="127"/>
        <v>0.2656123276561233</v>
      </c>
    </row>
    <row r="1215" spans="1:15" ht="15.75" x14ac:dyDescent="0.25">
      <c r="A1215" s="33">
        <v>503</v>
      </c>
      <c r="B1215" s="9">
        <v>43614</v>
      </c>
      <c r="C1215" s="20" t="s">
        <v>391</v>
      </c>
      <c r="D1215" s="11">
        <v>14490</v>
      </c>
      <c r="E1215" s="9">
        <v>43615</v>
      </c>
      <c r="F1215" s="15" t="s">
        <v>28</v>
      </c>
      <c r="G1215" s="12">
        <v>43619</v>
      </c>
      <c r="H1215" s="23">
        <f t="shared" si="125"/>
        <v>14490</v>
      </c>
      <c r="I1215" s="23">
        <f>H1215</f>
        <v>14490</v>
      </c>
      <c r="J1215" s="23"/>
      <c r="K1215" s="24"/>
      <c r="L1215" s="23">
        <v>10650</v>
      </c>
      <c r="M1215" s="22">
        <f t="shared" si="126"/>
        <v>3840</v>
      </c>
      <c r="N1215" s="22">
        <f>M1215</f>
        <v>3840</v>
      </c>
      <c r="O1215" s="30">
        <f t="shared" si="127"/>
        <v>0.26501035196687373</v>
      </c>
    </row>
    <row r="1216" spans="1:15" s="2" customFormat="1" ht="20.100000000000001" customHeight="1" x14ac:dyDescent="0.25">
      <c r="A1216" s="35" t="s">
        <v>535</v>
      </c>
      <c r="B1216" s="36"/>
      <c r="C1216" s="48"/>
      <c r="D1216" s="37"/>
      <c r="E1216" s="46" t="s">
        <v>567</v>
      </c>
      <c r="F1216" s="47">
        <f>M1216*0.12+N1216*0.06</f>
        <v>30001.319999999996</v>
      </c>
      <c r="G1216" s="21">
        <f>H1216*0.05+I1216*0.02</f>
        <v>37177.420000000006</v>
      </c>
      <c r="H1216" s="49">
        <f>SUBTOTAL(109,Май2019[Продажа])</f>
        <v>663356</v>
      </c>
      <c r="I1216" s="49">
        <f>SUBTOTAL(109,Май2019[Продажа НК])</f>
        <v>200481</v>
      </c>
      <c r="J1216" s="49">
        <f>SUBTOTAL(109,Май2019[отк])</f>
        <v>39000</v>
      </c>
      <c r="K1216" s="49">
        <f>SUBTOTAL(109,Май2019[шланги])</f>
        <v>8400</v>
      </c>
      <c r="L1216" s="49">
        <f>SUBTOTAL(109,Май2019[Закупка])</f>
        <v>393757</v>
      </c>
      <c r="M1216" s="49">
        <f>SUBTOTAL(109,Май2019[Маржа])</f>
        <v>222199</v>
      </c>
      <c r="N1216" s="49">
        <f>SUBTOTAL(109,Май2019[Маржа НК])</f>
        <v>55624</v>
      </c>
      <c r="O1216" s="44">
        <f t="shared" si="127"/>
        <v>0.33496192089918536</v>
      </c>
    </row>
    <row r="1217" spans="1:15" ht="20.100000000000001" customHeight="1" x14ac:dyDescent="0.25">
      <c r="A1217" s="41" t="s">
        <v>1</v>
      </c>
      <c r="B1217" s="1" t="s">
        <v>0</v>
      </c>
      <c r="C1217" s="1" t="s">
        <v>26</v>
      </c>
      <c r="D1217" s="1" t="s">
        <v>2</v>
      </c>
      <c r="E1217" s="1" t="s">
        <v>3</v>
      </c>
      <c r="F1217" s="1" t="s">
        <v>27</v>
      </c>
      <c r="G1217" s="1" t="s">
        <v>4</v>
      </c>
      <c r="H1217" s="2" t="s">
        <v>132</v>
      </c>
      <c r="I1217" s="2" t="s">
        <v>133</v>
      </c>
      <c r="J1217" s="40" t="s">
        <v>187</v>
      </c>
      <c r="K1217" s="40" t="s">
        <v>188</v>
      </c>
      <c r="L1217" s="40" t="s">
        <v>129</v>
      </c>
      <c r="M1217" s="40" t="s">
        <v>130</v>
      </c>
      <c r="N1217" s="2" t="s">
        <v>131</v>
      </c>
      <c r="O1217" s="2" t="s">
        <v>134</v>
      </c>
    </row>
    <row r="1218" spans="1:15" ht="20.100000000000001" customHeight="1" x14ac:dyDescent="0.25">
      <c r="A1218" s="33">
        <v>426</v>
      </c>
      <c r="B1218" s="9">
        <v>43599</v>
      </c>
      <c r="C1218" s="20" t="s">
        <v>392</v>
      </c>
      <c r="D1218" s="11">
        <v>17640</v>
      </c>
      <c r="E1218" s="9">
        <v>43619</v>
      </c>
      <c r="F1218" s="15" t="s">
        <v>28</v>
      </c>
      <c r="G1218" s="12">
        <v>43622</v>
      </c>
      <c r="H1218" s="23">
        <f t="shared" ref="H1218:H1246" si="128">D1218</f>
        <v>17640</v>
      </c>
      <c r="I1218" s="23">
        <f>H1218</f>
        <v>17640</v>
      </c>
      <c r="J1218" s="23"/>
      <c r="K1218" s="24"/>
      <c r="L1218" s="23">
        <v>12676</v>
      </c>
      <c r="M1218" s="22">
        <f t="shared" ref="M1218:M1251" si="129">H1218-L1218-J1218-K1218</f>
        <v>4964</v>
      </c>
      <c r="N1218" s="22">
        <f>M1218</f>
        <v>4964</v>
      </c>
      <c r="O1218" s="30">
        <f t="shared" ref="O1218:O1252" si="130">M1218/H1218</f>
        <v>0.28140589569160995</v>
      </c>
    </row>
    <row r="1219" spans="1:15" ht="20.100000000000001" customHeight="1" x14ac:dyDescent="0.25">
      <c r="A1219" s="33">
        <v>500</v>
      </c>
      <c r="B1219" s="9">
        <v>43613</v>
      </c>
      <c r="C1219" s="18" t="s">
        <v>45</v>
      </c>
      <c r="D1219" s="11">
        <v>8078</v>
      </c>
      <c r="E1219" s="9">
        <v>43619</v>
      </c>
      <c r="F1219" s="15" t="s">
        <v>28</v>
      </c>
      <c r="G1219" s="12">
        <v>43633</v>
      </c>
      <c r="H1219" s="23">
        <f t="shared" si="128"/>
        <v>8078</v>
      </c>
      <c r="I1219" s="23"/>
      <c r="J1219" s="23"/>
      <c r="K1219" s="24"/>
      <c r="L1219" s="23">
        <v>6301</v>
      </c>
      <c r="M1219" s="22">
        <f t="shared" si="129"/>
        <v>1777</v>
      </c>
      <c r="N1219" s="22"/>
      <c r="O1219" s="30">
        <f t="shared" si="130"/>
        <v>0.2199801931171082</v>
      </c>
    </row>
    <row r="1220" spans="1:15" ht="20.100000000000001" customHeight="1" x14ac:dyDescent="0.25">
      <c r="A1220" s="33">
        <v>515</v>
      </c>
      <c r="B1220" s="9">
        <v>43619</v>
      </c>
      <c r="C1220" s="18" t="s">
        <v>40</v>
      </c>
      <c r="D1220" s="11">
        <v>22180</v>
      </c>
      <c r="E1220" s="9">
        <v>43620</v>
      </c>
      <c r="F1220" s="15" t="s">
        <v>28</v>
      </c>
      <c r="G1220" s="12">
        <v>43619</v>
      </c>
      <c r="H1220" s="23">
        <f t="shared" si="128"/>
        <v>22180</v>
      </c>
      <c r="I1220" s="23"/>
      <c r="J1220" s="23"/>
      <c r="K1220" s="24"/>
      <c r="L1220" s="23">
        <v>16429</v>
      </c>
      <c r="M1220" s="22">
        <f t="shared" si="129"/>
        <v>5751</v>
      </c>
      <c r="N1220" s="22"/>
      <c r="O1220" s="30">
        <f t="shared" si="130"/>
        <v>0.25928764652840397</v>
      </c>
    </row>
    <row r="1221" spans="1:15" ht="20.100000000000001" customHeight="1" x14ac:dyDescent="0.25">
      <c r="A1221" s="33">
        <v>516</v>
      </c>
      <c r="B1221" s="9">
        <v>43619</v>
      </c>
      <c r="C1221" s="18" t="s">
        <v>40</v>
      </c>
      <c r="D1221" s="11">
        <v>3860</v>
      </c>
      <c r="E1221" s="9">
        <v>43620</v>
      </c>
      <c r="F1221" s="15" t="s">
        <v>28</v>
      </c>
      <c r="G1221" s="12">
        <v>43619</v>
      </c>
      <c r="H1221" s="23">
        <f t="shared" si="128"/>
        <v>3860</v>
      </c>
      <c r="I1221" s="23"/>
      <c r="J1221" s="23"/>
      <c r="K1221" s="24"/>
      <c r="L1221" s="23">
        <v>3010</v>
      </c>
      <c r="M1221" s="22">
        <f t="shared" si="129"/>
        <v>850</v>
      </c>
      <c r="N1221" s="22"/>
      <c r="O1221" s="30">
        <f t="shared" si="130"/>
        <v>0.22020725388601037</v>
      </c>
    </row>
    <row r="1222" spans="1:15" ht="20.100000000000001" customHeight="1" x14ac:dyDescent="0.25">
      <c r="A1222" s="33">
        <v>466</v>
      </c>
      <c r="B1222" s="9">
        <v>43619</v>
      </c>
      <c r="C1222" s="18" t="s">
        <v>365</v>
      </c>
      <c r="D1222" s="11">
        <v>4990</v>
      </c>
      <c r="E1222" s="9">
        <v>43621</v>
      </c>
      <c r="F1222" s="15" t="s">
        <v>28</v>
      </c>
      <c r="G1222" s="12">
        <v>43627</v>
      </c>
      <c r="H1222" s="23">
        <f t="shared" si="128"/>
        <v>4990</v>
      </c>
      <c r="I1222" s="23"/>
      <c r="J1222" s="23"/>
      <c r="K1222" s="24"/>
      <c r="L1222" s="23">
        <v>3667</v>
      </c>
      <c r="M1222" s="22">
        <f t="shared" si="129"/>
        <v>1323</v>
      </c>
      <c r="N1222" s="22"/>
      <c r="O1222" s="30">
        <f t="shared" si="130"/>
        <v>0.2651302605210421</v>
      </c>
    </row>
    <row r="1223" spans="1:15" ht="20.100000000000001" customHeight="1" x14ac:dyDescent="0.25">
      <c r="A1223" s="33">
        <v>501</v>
      </c>
      <c r="B1223" s="9">
        <v>43613</v>
      </c>
      <c r="C1223" s="18" t="s">
        <v>228</v>
      </c>
      <c r="D1223" s="11">
        <v>10255</v>
      </c>
      <c r="E1223" s="9">
        <v>43621</v>
      </c>
      <c r="F1223" s="15" t="s">
        <v>28</v>
      </c>
      <c r="G1223" s="12">
        <v>43629</v>
      </c>
      <c r="H1223" s="23">
        <f t="shared" si="128"/>
        <v>10255</v>
      </c>
      <c r="I1223" s="23"/>
      <c r="J1223" s="23"/>
      <c r="K1223" s="24"/>
      <c r="L1223" s="23">
        <v>7998</v>
      </c>
      <c r="M1223" s="22">
        <f t="shared" si="129"/>
        <v>2257</v>
      </c>
      <c r="N1223" s="22"/>
      <c r="O1223" s="30">
        <f t="shared" si="130"/>
        <v>0.22008776206728425</v>
      </c>
    </row>
    <row r="1224" spans="1:15" ht="20.100000000000001" customHeight="1" x14ac:dyDescent="0.25">
      <c r="A1224" s="33">
        <v>451</v>
      </c>
      <c r="B1224" s="9">
        <v>43605</v>
      </c>
      <c r="C1224" s="20" t="s">
        <v>393</v>
      </c>
      <c r="D1224" s="11">
        <v>22653</v>
      </c>
      <c r="E1224" s="9">
        <v>43621</v>
      </c>
      <c r="F1224" s="15" t="s">
        <v>28</v>
      </c>
      <c r="G1224" s="12">
        <v>43634</v>
      </c>
      <c r="H1224" s="23">
        <f t="shared" si="128"/>
        <v>22653</v>
      </c>
      <c r="I1224" s="23">
        <f>H1224</f>
        <v>22653</v>
      </c>
      <c r="J1224" s="23"/>
      <c r="K1224" s="24"/>
      <c r="L1224" s="23">
        <v>16312</v>
      </c>
      <c r="M1224" s="22">
        <f t="shared" si="129"/>
        <v>6341</v>
      </c>
      <c r="N1224" s="22">
        <f>M1224</f>
        <v>6341</v>
      </c>
      <c r="O1224" s="30">
        <f t="shared" si="130"/>
        <v>0.27991877455524655</v>
      </c>
    </row>
    <row r="1225" spans="1:15" ht="20.100000000000001" customHeight="1" x14ac:dyDescent="0.25">
      <c r="A1225" s="33">
        <v>529</v>
      </c>
      <c r="B1225" s="9">
        <v>43621</v>
      </c>
      <c r="C1225" s="18" t="s">
        <v>149</v>
      </c>
      <c r="D1225" s="11">
        <v>1002</v>
      </c>
      <c r="E1225" s="9">
        <v>43622</v>
      </c>
      <c r="F1225" s="15" t="s">
        <v>28</v>
      </c>
      <c r="G1225" s="12">
        <v>43635</v>
      </c>
      <c r="H1225" s="23">
        <f t="shared" si="128"/>
        <v>1002</v>
      </c>
      <c r="I1225" s="23"/>
      <c r="J1225" s="23"/>
      <c r="K1225" s="24"/>
      <c r="L1225" s="23">
        <v>661</v>
      </c>
      <c r="M1225" s="22">
        <f t="shared" si="129"/>
        <v>341</v>
      </c>
      <c r="N1225" s="22"/>
      <c r="O1225" s="30">
        <f t="shared" si="130"/>
        <v>0.34031936127744511</v>
      </c>
    </row>
    <row r="1226" spans="1:15" ht="20.100000000000001" customHeight="1" x14ac:dyDescent="0.25">
      <c r="A1226" s="33">
        <v>534</v>
      </c>
      <c r="B1226" s="9">
        <v>43622</v>
      </c>
      <c r="C1226" s="18" t="s">
        <v>394</v>
      </c>
      <c r="D1226" s="11">
        <v>108390</v>
      </c>
      <c r="E1226" s="9">
        <v>43623</v>
      </c>
      <c r="F1226" s="15" t="s">
        <v>28</v>
      </c>
      <c r="G1226" s="12">
        <v>43626</v>
      </c>
      <c r="H1226" s="23">
        <f t="shared" si="128"/>
        <v>108390</v>
      </c>
      <c r="I1226" s="23"/>
      <c r="J1226" s="23"/>
      <c r="K1226" s="24"/>
      <c r="L1226" s="23">
        <v>67276</v>
      </c>
      <c r="M1226" s="22">
        <f t="shared" si="129"/>
        <v>41114</v>
      </c>
      <c r="N1226" s="22"/>
      <c r="O1226" s="30">
        <f t="shared" si="130"/>
        <v>0.37931543500322906</v>
      </c>
    </row>
    <row r="1227" spans="1:15" ht="20.100000000000001" customHeight="1" x14ac:dyDescent="0.25">
      <c r="A1227" s="33">
        <v>460</v>
      </c>
      <c r="B1227" s="9">
        <v>43606</v>
      </c>
      <c r="C1227" s="18" t="s">
        <v>66</v>
      </c>
      <c r="D1227" s="11">
        <v>32022</v>
      </c>
      <c r="E1227" s="9">
        <v>43627</v>
      </c>
      <c r="F1227" s="15" t="s">
        <v>28</v>
      </c>
      <c r="G1227" s="12">
        <v>43607</v>
      </c>
      <c r="H1227" s="23">
        <f t="shared" si="128"/>
        <v>32022</v>
      </c>
      <c r="I1227" s="23"/>
      <c r="J1227" s="23"/>
      <c r="K1227" s="24"/>
      <c r="L1227" s="23">
        <v>24581</v>
      </c>
      <c r="M1227" s="22">
        <f t="shared" si="129"/>
        <v>7441</v>
      </c>
      <c r="N1227" s="22"/>
      <c r="O1227" s="30">
        <f t="shared" si="130"/>
        <v>0.23237149459746426</v>
      </c>
    </row>
    <row r="1228" spans="1:15" ht="20.100000000000001" customHeight="1" x14ac:dyDescent="0.25">
      <c r="A1228" s="33">
        <v>475</v>
      </c>
      <c r="B1228" s="9">
        <v>43608</v>
      </c>
      <c r="C1228" s="20" t="s">
        <v>395</v>
      </c>
      <c r="D1228" s="11">
        <v>96790</v>
      </c>
      <c r="E1228" s="9">
        <v>43629</v>
      </c>
      <c r="F1228" s="15" t="s">
        <v>28</v>
      </c>
      <c r="G1228" s="12">
        <v>43630</v>
      </c>
      <c r="H1228" s="23">
        <f t="shared" si="128"/>
        <v>96790</v>
      </c>
      <c r="I1228" s="23">
        <f>H1228</f>
        <v>96790</v>
      </c>
      <c r="J1228" s="23"/>
      <c r="K1228" s="24"/>
      <c r="L1228" s="23">
        <v>70224</v>
      </c>
      <c r="M1228" s="22">
        <f t="shared" si="129"/>
        <v>26566</v>
      </c>
      <c r="N1228" s="22">
        <f>M1228</f>
        <v>26566</v>
      </c>
      <c r="O1228" s="30">
        <f t="shared" si="130"/>
        <v>0.27447050315115196</v>
      </c>
    </row>
    <row r="1229" spans="1:15" ht="20.100000000000001" customHeight="1" x14ac:dyDescent="0.25">
      <c r="A1229" s="33">
        <v>555</v>
      </c>
      <c r="B1229" s="9">
        <v>43627</v>
      </c>
      <c r="C1229" s="18" t="s">
        <v>49</v>
      </c>
      <c r="D1229" s="11">
        <v>1252</v>
      </c>
      <c r="E1229" s="9">
        <v>43629</v>
      </c>
      <c r="F1229" s="15" t="s">
        <v>28</v>
      </c>
      <c r="G1229" s="12">
        <v>43637</v>
      </c>
      <c r="H1229" s="23">
        <f t="shared" si="128"/>
        <v>1252</v>
      </c>
      <c r="I1229" s="23"/>
      <c r="J1229" s="23"/>
      <c r="K1229" s="24"/>
      <c r="L1229" s="23">
        <v>826</v>
      </c>
      <c r="M1229" s="22">
        <f t="shared" si="129"/>
        <v>426</v>
      </c>
      <c r="N1229" s="22"/>
      <c r="O1229" s="30">
        <f t="shared" si="130"/>
        <v>0.34025559105431308</v>
      </c>
    </row>
    <row r="1230" spans="1:15" ht="20.100000000000001" customHeight="1" x14ac:dyDescent="0.25">
      <c r="A1230" s="33">
        <v>559</v>
      </c>
      <c r="B1230" s="9">
        <v>43627</v>
      </c>
      <c r="C1230" s="20" t="s">
        <v>396</v>
      </c>
      <c r="D1230" s="11">
        <v>9990</v>
      </c>
      <c r="E1230" s="9">
        <v>43630</v>
      </c>
      <c r="F1230" s="15" t="s">
        <v>28</v>
      </c>
      <c r="G1230" s="12">
        <v>43634</v>
      </c>
      <c r="H1230" s="23">
        <f t="shared" si="128"/>
        <v>9990</v>
      </c>
      <c r="I1230" s="23">
        <f>H1230</f>
        <v>9990</v>
      </c>
      <c r="J1230" s="23"/>
      <c r="K1230" s="24"/>
      <c r="L1230" s="23">
        <v>7342</v>
      </c>
      <c r="M1230" s="22">
        <f t="shared" si="129"/>
        <v>2648</v>
      </c>
      <c r="N1230" s="22">
        <f>M1230</f>
        <v>2648</v>
      </c>
      <c r="O1230" s="30">
        <f t="shared" si="130"/>
        <v>0.26506506506506505</v>
      </c>
    </row>
    <row r="1231" spans="1:15" ht="20.100000000000001" customHeight="1" x14ac:dyDescent="0.25">
      <c r="A1231" s="33">
        <v>584</v>
      </c>
      <c r="B1231" s="9">
        <v>43630</v>
      </c>
      <c r="C1231" s="18" t="s">
        <v>386</v>
      </c>
      <c r="D1231" s="11">
        <v>3142</v>
      </c>
      <c r="E1231" s="9">
        <v>43631</v>
      </c>
      <c r="F1231" s="15" t="s">
        <v>28</v>
      </c>
      <c r="G1231" s="12">
        <v>43630</v>
      </c>
      <c r="H1231" s="23">
        <f t="shared" si="128"/>
        <v>3142</v>
      </c>
      <c r="I1231" s="23"/>
      <c r="J1231" s="23"/>
      <c r="K1231" s="24"/>
      <c r="L1231" s="23">
        <v>2450</v>
      </c>
      <c r="M1231" s="22">
        <f t="shared" si="129"/>
        <v>692</v>
      </c>
      <c r="N1231" s="22"/>
      <c r="O1231" s="30">
        <f t="shared" si="130"/>
        <v>0.22024188415022278</v>
      </c>
    </row>
    <row r="1232" spans="1:15" ht="20.100000000000001" customHeight="1" x14ac:dyDescent="0.25">
      <c r="A1232" s="33">
        <v>514</v>
      </c>
      <c r="B1232" s="9">
        <v>43619</v>
      </c>
      <c r="C1232" s="18" t="s">
        <v>363</v>
      </c>
      <c r="D1232" s="11">
        <v>10760</v>
      </c>
      <c r="E1232" s="9">
        <v>43634</v>
      </c>
      <c r="F1232" s="15" t="s">
        <v>28</v>
      </c>
      <c r="G1232" s="12">
        <v>43619</v>
      </c>
      <c r="H1232" s="23">
        <f t="shared" si="128"/>
        <v>10760</v>
      </c>
      <c r="I1232" s="23"/>
      <c r="J1232" s="23"/>
      <c r="K1232" s="24"/>
      <c r="L1232" s="23">
        <v>9528</v>
      </c>
      <c r="M1232" s="22">
        <f t="shared" si="129"/>
        <v>1232</v>
      </c>
      <c r="N1232" s="22"/>
      <c r="O1232" s="30">
        <f t="shared" si="130"/>
        <v>0.11449814126394052</v>
      </c>
    </row>
    <row r="1233" spans="1:15" ht="20.100000000000001" customHeight="1" x14ac:dyDescent="0.25">
      <c r="A1233" s="33">
        <v>581</v>
      </c>
      <c r="B1233" s="9">
        <v>43630</v>
      </c>
      <c r="C1233" s="18" t="s">
        <v>139</v>
      </c>
      <c r="D1233" s="11">
        <v>41390</v>
      </c>
      <c r="E1233" s="9">
        <v>43634</v>
      </c>
      <c r="F1233" s="15" t="s">
        <v>28</v>
      </c>
      <c r="G1233" s="12">
        <v>43636</v>
      </c>
      <c r="H1233" s="23">
        <f t="shared" si="128"/>
        <v>41390</v>
      </c>
      <c r="I1233" s="23"/>
      <c r="J1233" s="23"/>
      <c r="K1233" s="24"/>
      <c r="L1233" s="23">
        <v>30708</v>
      </c>
      <c r="M1233" s="22">
        <f t="shared" si="129"/>
        <v>10682</v>
      </c>
      <c r="N1233" s="22"/>
      <c r="O1233" s="30">
        <f t="shared" si="130"/>
        <v>0.25808166223725537</v>
      </c>
    </row>
    <row r="1234" spans="1:15" ht="20.100000000000001" customHeight="1" x14ac:dyDescent="0.25">
      <c r="A1234" s="33">
        <v>589</v>
      </c>
      <c r="B1234" s="9">
        <v>43633</v>
      </c>
      <c r="C1234" s="18" t="s">
        <v>372</v>
      </c>
      <c r="D1234" s="11">
        <v>5040</v>
      </c>
      <c r="E1234" s="9">
        <v>43634</v>
      </c>
      <c r="F1234" s="15" t="s">
        <v>28</v>
      </c>
      <c r="G1234" s="12">
        <v>43651</v>
      </c>
      <c r="H1234" s="23">
        <f t="shared" si="128"/>
        <v>5040</v>
      </c>
      <c r="I1234" s="23"/>
      <c r="J1234" s="23"/>
      <c r="K1234" s="24"/>
      <c r="L1234" s="23">
        <v>3931</v>
      </c>
      <c r="M1234" s="22">
        <f t="shared" si="129"/>
        <v>1109</v>
      </c>
      <c r="N1234" s="22"/>
      <c r="O1234" s="30">
        <f t="shared" si="130"/>
        <v>0.22003968253968254</v>
      </c>
    </row>
    <row r="1235" spans="1:15" ht="20.100000000000001" customHeight="1" x14ac:dyDescent="0.25">
      <c r="A1235" s="33">
        <v>599</v>
      </c>
      <c r="B1235" s="9">
        <v>43635</v>
      </c>
      <c r="C1235" s="18" t="s">
        <v>380</v>
      </c>
      <c r="D1235" s="11">
        <v>45818</v>
      </c>
      <c r="E1235" s="9">
        <v>43635</v>
      </c>
      <c r="F1235" s="15" t="s">
        <v>28</v>
      </c>
      <c r="G1235" s="12">
        <v>43656</v>
      </c>
      <c r="H1235" s="23">
        <f t="shared" si="128"/>
        <v>45818</v>
      </c>
      <c r="I1235" s="23"/>
      <c r="J1235" s="23"/>
      <c r="K1235" s="24"/>
      <c r="L1235" s="23">
        <v>32824</v>
      </c>
      <c r="M1235" s="22">
        <f t="shared" si="129"/>
        <v>12994</v>
      </c>
      <c r="N1235" s="22"/>
      <c r="O1235" s="30">
        <f t="shared" si="130"/>
        <v>0.28360033174734822</v>
      </c>
    </row>
    <row r="1236" spans="1:15" ht="20.100000000000001" customHeight="1" x14ac:dyDescent="0.25">
      <c r="A1236" s="33">
        <v>573</v>
      </c>
      <c r="B1236" s="9">
        <v>43630</v>
      </c>
      <c r="C1236" s="18" t="s">
        <v>139</v>
      </c>
      <c r="D1236" s="11">
        <v>292890</v>
      </c>
      <c r="E1236" s="9">
        <v>43635</v>
      </c>
      <c r="F1236" s="15" t="s">
        <v>28</v>
      </c>
      <c r="G1236" s="12">
        <v>43636</v>
      </c>
      <c r="H1236" s="23">
        <f t="shared" si="128"/>
        <v>292890</v>
      </c>
      <c r="I1236" s="23"/>
      <c r="J1236" s="23"/>
      <c r="K1236" s="24"/>
      <c r="L1236" s="23">
        <v>178000</v>
      </c>
      <c r="M1236" s="22">
        <f t="shared" si="129"/>
        <v>114890</v>
      </c>
      <c r="N1236" s="22"/>
      <c r="O1236" s="30">
        <f t="shared" si="130"/>
        <v>0.39226330704359996</v>
      </c>
    </row>
    <row r="1237" spans="1:15" ht="20.100000000000001" customHeight="1" x14ac:dyDescent="0.25">
      <c r="A1237" s="33">
        <v>601</v>
      </c>
      <c r="B1237" s="9">
        <v>43635</v>
      </c>
      <c r="C1237" s="18" t="s">
        <v>397</v>
      </c>
      <c r="D1237" s="11">
        <v>10490</v>
      </c>
      <c r="E1237" s="9">
        <v>43635</v>
      </c>
      <c r="F1237" s="15" t="s">
        <v>28</v>
      </c>
      <c r="G1237" s="12">
        <v>43636</v>
      </c>
      <c r="H1237" s="23">
        <f t="shared" si="128"/>
        <v>10490</v>
      </c>
      <c r="I1237" s="23"/>
      <c r="J1237" s="23"/>
      <c r="K1237" s="24"/>
      <c r="L1237" s="23">
        <v>7703</v>
      </c>
      <c r="M1237" s="22">
        <f t="shared" si="129"/>
        <v>2787</v>
      </c>
      <c r="N1237" s="22"/>
      <c r="O1237" s="30">
        <f t="shared" si="130"/>
        <v>0.26568160152526216</v>
      </c>
    </row>
    <row r="1238" spans="1:15" ht="20.100000000000001" customHeight="1" x14ac:dyDescent="0.25">
      <c r="A1238" s="33">
        <v>517</v>
      </c>
      <c r="B1238" s="9">
        <v>43619</v>
      </c>
      <c r="C1238" s="18" t="s">
        <v>11</v>
      </c>
      <c r="D1238" s="11">
        <v>2412</v>
      </c>
      <c r="E1238" s="9">
        <v>43635</v>
      </c>
      <c r="F1238" s="15" t="s">
        <v>28</v>
      </c>
      <c r="G1238" s="12">
        <v>43643</v>
      </c>
      <c r="H1238" s="23">
        <f t="shared" si="128"/>
        <v>2412</v>
      </c>
      <c r="I1238" s="23"/>
      <c r="J1238" s="23"/>
      <c r="K1238" s="24"/>
      <c r="L1238" s="23">
        <v>1584</v>
      </c>
      <c r="M1238" s="22">
        <f t="shared" si="129"/>
        <v>828</v>
      </c>
      <c r="N1238" s="22"/>
      <c r="O1238" s="30">
        <f t="shared" si="130"/>
        <v>0.34328358208955223</v>
      </c>
    </row>
    <row r="1239" spans="1:15" ht="20.100000000000001" customHeight="1" x14ac:dyDescent="0.25">
      <c r="A1239" s="33">
        <v>449</v>
      </c>
      <c r="B1239" s="9">
        <v>43622</v>
      </c>
      <c r="C1239" s="18" t="s">
        <v>99</v>
      </c>
      <c r="D1239" s="11">
        <v>159515</v>
      </c>
      <c r="E1239" s="9">
        <v>43636</v>
      </c>
      <c r="F1239" s="15" t="s">
        <v>28</v>
      </c>
      <c r="G1239" s="12">
        <v>43622</v>
      </c>
      <c r="H1239" s="23">
        <f t="shared" si="128"/>
        <v>159515</v>
      </c>
      <c r="I1239" s="23"/>
      <c r="J1239" s="23">
        <v>33000</v>
      </c>
      <c r="K1239" s="24">
        <v>4400</v>
      </c>
      <c r="L1239" s="23">
        <v>38412</v>
      </c>
      <c r="M1239" s="22">
        <f t="shared" si="129"/>
        <v>83703</v>
      </c>
      <c r="N1239" s="22"/>
      <c r="O1239" s="30">
        <f t="shared" si="130"/>
        <v>0.52473435100147325</v>
      </c>
    </row>
    <row r="1240" spans="1:15" ht="20.100000000000001" customHeight="1" x14ac:dyDescent="0.25">
      <c r="A1240" s="33">
        <v>613</v>
      </c>
      <c r="B1240" s="9">
        <v>43636</v>
      </c>
      <c r="C1240" s="18" t="s">
        <v>398</v>
      </c>
      <c r="D1240" s="11">
        <v>19990</v>
      </c>
      <c r="E1240" s="9">
        <v>43636</v>
      </c>
      <c r="F1240" s="15" t="s">
        <v>28</v>
      </c>
      <c r="G1240" s="12">
        <v>43636</v>
      </c>
      <c r="H1240" s="23">
        <f t="shared" si="128"/>
        <v>19990</v>
      </c>
      <c r="I1240" s="23"/>
      <c r="J1240" s="23"/>
      <c r="K1240" s="24"/>
      <c r="L1240" s="23">
        <v>14692</v>
      </c>
      <c r="M1240" s="22">
        <f t="shared" si="129"/>
        <v>5298</v>
      </c>
      <c r="N1240" s="22"/>
      <c r="O1240" s="30">
        <f t="shared" si="130"/>
        <v>0.26503251625812907</v>
      </c>
    </row>
    <row r="1241" spans="1:15" ht="20.100000000000001" customHeight="1" x14ac:dyDescent="0.25">
      <c r="A1241" s="33">
        <v>588</v>
      </c>
      <c r="B1241" s="9">
        <v>43633</v>
      </c>
      <c r="C1241" s="18" t="s">
        <v>175</v>
      </c>
      <c r="D1241" s="11">
        <v>22450.400000000001</v>
      </c>
      <c r="E1241" s="9">
        <v>43636</v>
      </c>
      <c r="F1241" s="15" t="s">
        <v>28</v>
      </c>
      <c r="G1241" s="12">
        <v>43654</v>
      </c>
      <c r="H1241" s="23">
        <f t="shared" si="128"/>
        <v>22450.400000000001</v>
      </c>
      <c r="I1241" s="23"/>
      <c r="J1241" s="23"/>
      <c r="K1241" s="24"/>
      <c r="L1241" s="23">
        <v>14476</v>
      </c>
      <c r="M1241" s="22">
        <f t="shared" si="129"/>
        <v>7974.4000000000015</v>
      </c>
      <c r="N1241" s="22"/>
      <c r="O1241" s="30">
        <f t="shared" si="130"/>
        <v>0.35520079820404094</v>
      </c>
    </row>
    <row r="1242" spans="1:15" ht="20.100000000000001" customHeight="1" x14ac:dyDescent="0.25">
      <c r="A1242" s="33">
        <v>570</v>
      </c>
      <c r="B1242" s="9">
        <v>43629</v>
      </c>
      <c r="C1242" s="18" t="s">
        <v>209</v>
      </c>
      <c r="D1242" s="11">
        <v>3735.5</v>
      </c>
      <c r="E1242" s="9">
        <v>43637</v>
      </c>
      <c r="F1242" s="15" t="s">
        <v>28</v>
      </c>
      <c r="G1242" s="12">
        <v>43641</v>
      </c>
      <c r="H1242" s="23">
        <f t="shared" si="128"/>
        <v>3735.5</v>
      </c>
      <c r="I1242" s="23"/>
      <c r="J1242" s="23"/>
      <c r="K1242" s="24"/>
      <c r="L1242" s="23">
        <v>3190</v>
      </c>
      <c r="M1242" s="22">
        <f t="shared" si="129"/>
        <v>545.5</v>
      </c>
      <c r="N1242" s="22"/>
      <c r="O1242" s="30">
        <f t="shared" si="130"/>
        <v>0.14603132110828537</v>
      </c>
    </row>
    <row r="1243" spans="1:15" ht="20.100000000000001" customHeight="1" x14ac:dyDescent="0.25">
      <c r="A1243" s="33">
        <v>594</v>
      </c>
      <c r="B1243" s="9">
        <v>43634</v>
      </c>
      <c r="C1243" s="18" t="s">
        <v>45</v>
      </c>
      <c r="D1243" s="11">
        <v>2183</v>
      </c>
      <c r="E1243" s="9">
        <v>43637</v>
      </c>
      <c r="F1243" s="15" t="s">
        <v>28</v>
      </c>
      <c r="G1243" s="12">
        <v>43656</v>
      </c>
      <c r="H1243" s="23">
        <f t="shared" si="128"/>
        <v>2183</v>
      </c>
      <c r="I1243" s="23"/>
      <c r="J1243" s="23"/>
      <c r="K1243" s="24"/>
      <c r="L1243" s="23">
        <v>1441</v>
      </c>
      <c r="M1243" s="22">
        <f t="shared" si="129"/>
        <v>742</v>
      </c>
      <c r="N1243" s="22"/>
      <c r="O1243" s="30">
        <f t="shared" si="130"/>
        <v>0.33989922125515348</v>
      </c>
    </row>
    <row r="1244" spans="1:15" ht="20.100000000000001" customHeight="1" x14ac:dyDescent="0.25">
      <c r="A1244" s="33">
        <v>621</v>
      </c>
      <c r="B1244" s="9">
        <v>43637</v>
      </c>
      <c r="C1244" s="18" t="s">
        <v>346</v>
      </c>
      <c r="D1244" s="11">
        <v>8388</v>
      </c>
      <c r="E1244" s="9">
        <v>43637</v>
      </c>
      <c r="F1244" s="15" t="s">
        <v>28</v>
      </c>
      <c r="G1244" s="12">
        <v>43649</v>
      </c>
      <c r="H1244" s="23">
        <f t="shared" si="128"/>
        <v>8388</v>
      </c>
      <c r="I1244" s="23"/>
      <c r="J1244" s="23"/>
      <c r="K1244" s="24"/>
      <c r="L1244" s="23">
        <v>6477</v>
      </c>
      <c r="M1244" s="22">
        <f t="shared" si="129"/>
        <v>1911</v>
      </c>
      <c r="N1244" s="22"/>
      <c r="O1244" s="30">
        <f t="shared" si="130"/>
        <v>0.22782546494992847</v>
      </c>
    </row>
    <row r="1245" spans="1:15" ht="20.100000000000001" customHeight="1" x14ac:dyDescent="0.25">
      <c r="A1245" s="33">
        <v>630</v>
      </c>
      <c r="B1245" s="9">
        <v>43642</v>
      </c>
      <c r="C1245" s="20" t="s">
        <v>399</v>
      </c>
      <c r="D1245" s="11">
        <v>6508</v>
      </c>
      <c r="E1245" s="9">
        <v>43642</v>
      </c>
      <c r="F1245" s="15" t="s">
        <v>28</v>
      </c>
      <c r="G1245" s="12">
        <v>43657</v>
      </c>
      <c r="H1245" s="23">
        <f t="shared" si="128"/>
        <v>6508</v>
      </c>
      <c r="I1245" s="23">
        <f>H1245</f>
        <v>6508</v>
      </c>
      <c r="J1245" s="23"/>
      <c r="K1245" s="24">
        <v>600</v>
      </c>
      <c r="L1245" s="23">
        <v>3361</v>
      </c>
      <c r="M1245" s="22">
        <f t="shared" si="129"/>
        <v>2547</v>
      </c>
      <c r="N1245" s="22">
        <f>M1245</f>
        <v>2547</v>
      </c>
      <c r="O1245" s="30">
        <f t="shared" si="130"/>
        <v>0.39136447449293177</v>
      </c>
    </row>
    <row r="1246" spans="1:15" ht="20.100000000000001" customHeight="1" x14ac:dyDescent="0.25">
      <c r="A1246" s="33">
        <v>631</v>
      </c>
      <c r="B1246" s="9">
        <v>43642</v>
      </c>
      <c r="C1246" s="20" t="s">
        <v>400</v>
      </c>
      <c r="D1246" s="11">
        <v>15519</v>
      </c>
      <c r="E1246" s="9">
        <v>43642</v>
      </c>
      <c r="F1246" s="15" t="s">
        <v>28</v>
      </c>
      <c r="G1246" s="12">
        <v>43643</v>
      </c>
      <c r="H1246" s="23">
        <f t="shared" si="128"/>
        <v>15519</v>
      </c>
      <c r="I1246" s="23">
        <f>H1246</f>
        <v>15519</v>
      </c>
      <c r="J1246" s="23"/>
      <c r="K1246" s="24"/>
      <c r="L1246" s="23">
        <v>11448</v>
      </c>
      <c r="M1246" s="22">
        <f t="shared" si="129"/>
        <v>4071</v>
      </c>
      <c r="N1246" s="22">
        <f>M1246</f>
        <v>4071</v>
      </c>
      <c r="O1246" s="30">
        <f t="shared" si="130"/>
        <v>0.26232360332495652</v>
      </c>
    </row>
    <row r="1247" spans="1:15" ht="20.100000000000001" customHeight="1" x14ac:dyDescent="0.25">
      <c r="A1247" s="33">
        <v>489</v>
      </c>
      <c r="B1247" s="9">
        <v>43612</v>
      </c>
      <c r="C1247" s="18" t="s">
        <v>65</v>
      </c>
      <c r="D1247" s="11">
        <v>275817.59999999998</v>
      </c>
      <c r="E1247" s="9">
        <v>43643</v>
      </c>
      <c r="F1247" s="15" t="s">
        <v>28</v>
      </c>
      <c r="G1247" s="12">
        <v>43622</v>
      </c>
      <c r="H1247" s="23">
        <v>137266.79999999999</v>
      </c>
      <c r="I1247" s="23"/>
      <c r="J1247" s="23"/>
      <c r="K1247" s="24">
        <v>6400</v>
      </c>
      <c r="L1247" s="23">
        <v>78204</v>
      </c>
      <c r="M1247" s="22">
        <f t="shared" si="129"/>
        <v>52662.799999999988</v>
      </c>
      <c r="N1247" s="22"/>
      <c r="O1247" s="30">
        <f t="shared" si="130"/>
        <v>0.3836528570637619</v>
      </c>
    </row>
    <row r="1248" spans="1:15" ht="20.100000000000001" customHeight="1" x14ac:dyDescent="0.25">
      <c r="A1248" s="33">
        <v>629</v>
      </c>
      <c r="B1248" s="9">
        <v>43643</v>
      </c>
      <c r="C1248" s="20" t="s">
        <v>401</v>
      </c>
      <c r="D1248" s="11">
        <v>10490</v>
      </c>
      <c r="E1248" s="9">
        <v>43644</v>
      </c>
      <c r="F1248" s="15" t="s">
        <v>28</v>
      </c>
      <c r="G1248" s="12">
        <v>43654</v>
      </c>
      <c r="H1248" s="23">
        <f>D1248</f>
        <v>10490</v>
      </c>
      <c r="I1248" s="23">
        <f>H1248</f>
        <v>10490</v>
      </c>
      <c r="J1248" s="23"/>
      <c r="K1248" s="24"/>
      <c r="L1248" s="23">
        <v>7703</v>
      </c>
      <c r="M1248" s="22">
        <f t="shared" si="129"/>
        <v>2787</v>
      </c>
      <c r="N1248" s="22">
        <f>M1248</f>
        <v>2787</v>
      </c>
      <c r="O1248" s="30">
        <f t="shared" si="130"/>
        <v>0.26568160152526216</v>
      </c>
    </row>
    <row r="1249" spans="1:15" ht="20.100000000000001" customHeight="1" x14ac:dyDescent="0.25">
      <c r="A1249" s="33">
        <v>477</v>
      </c>
      <c r="B1249" s="9">
        <v>43635</v>
      </c>
      <c r="C1249" s="20" t="s">
        <v>395</v>
      </c>
      <c r="D1249" s="11">
        <v>25202</v>
      </c>
      <c r="E1249" s="9">
        <v>43644</v>
      </c>
      <c r="F1249" s="15" t="s">
        <v>28</v>
      </c>
      <c r="G1249" s="12">
        <v>43696</v>
      </c>
      <c r="H1249" s="23">
        <f>D1249</f>
        <v>25202</v>
      </c>
      <c r="I1249" s="23">
        <f>H1249</f>
        <v>25202</v>
      </c>
      <c r="J1249" s="23"/>
      <c r="K1249" s="24">
        <v>1200</v>
      </c>
      <c r="L1249" s="23">
        <v>13479</v>
      </c>
      <c r="M1249" s="22">
        <f t="shared" si="129"/>
        <v>10523</v>
      </c>
      <c r="N1249" s="22">
        <f>M1249</f>
        <v>10523</v>
      </c>
      <c r="O1249" s="30">
        <f t="shared" si="130"/>
        <v>0.41754622648996109</v>
      </c>
    </row>
    <row r="1250" spans="1:15" ht="20.100000000000001" customHeight="1" x14ac:dyDescent="0.25">
      <c r="A1250" s="33">
        <v>628</v>
      </c>
      <c r="B1250" s="9">
        <v>43641</v>
      </c>
      <c r="C1250" s="18" t="s">
        <v>251</v>
      </c>
      <c r="D1250" s="11">
        <v>9076</v>
      </c>
      <c r="E1250" s="9">
        <v>43644</v>
      </c>
      <c r="F1250" s="15" t="s">
        <v>28</v>
      </c>
      <c r="G1250" s="12">
        <v>43654</v>
      </c>
      <c r="H1250" s="23">
        <f>D1250</f>
        <v>9076</v>
      </c>
      <c r="I1250" s="23"/>
      <c r="J1250" s="23"/>
      <c r="K1250" s="24"/>
      <c r="L1250" s="23">
        <v>7078</v>
      </c>
      <c r="M1250" s="22">
        <f t="shared" si="129"/>
        <v>1998</v>
      </c>
      <c r="N1250" s="22"/>
      <c r="O1250" s="30">
        <f t="shared" si="130"/>
        <v>0.22014103129131776</v>
      </c>
    </row>
    <row r="1251" spans="1:15" ht="20.100000000000001" customHeight="1" x14ac:dyDescent="0.25">
      <c r="A1251" s="33">
        <v>635</v>
      </c>
      <c r="B1251" s="9">
        <v>43644</v>
      </c>
      <c r="C1251" s="18" t="s">
        <v>209</v>
      </c>
      <c r="D1251" s="11">
        <v>7269.5</v>
      </c>
      <c r="E1251" s="9">
        <v>43644</v>
      </c>
      <c r="F1251" s="15" t="s">
        <v>28</v>
      </c>
      <c r="G1251" s="12">
        <v>43655</v>
      </c>
      <c r="H1251" s="23">
        <f>D1251</f>
        <v>7269.5</v>
      </c>
      <c r="I1251" s="23"/>
      <c r="J1251" s="23"/>
      <c r="K1251" s="24"/>
      <c r="L1251" s="23">
        <v>6497</v>
      </c>
      <c r="M1251" s="22">
        <f t="shared" si="129"/>
        <v>772.5</v>
      </c>
      <c r="N1251" s="22"/>
      <c r="O1251" s="30">
        <f t="shared" si="130"/>
        <v>0.10626590549556365</v>
      </c>
    </row>
    <row r="1252" spans="1:15" ht="20.100000000000001" customHeight="1" x14ac:dyDescent="0.25">
      <c r="A1252" s="35" t="s">
        <v>535</v>
      </c>
      <c r="B1252" s="36"/>
      <c r="C1252" s="42"/>
      <c r="D1252" s="37"/>
      <c r="E1252" s="46" t="s">
        <v>568</v>
      </c>
      <c r="F1252" s="47">
        <f>M1252*0.17+N1252*0.06</f>
        <v>75460.013999999996</v>
      </c>
      <c r="G1252" s="21">
        <f>H1252*0.05+I1252*0.02</f>
        <v>63027.7</v>
      </c>
      <c r="H1252" s="49">
        <f>SUBTOTAL(109,Июнь2019[Продажа])</f>
        <v>1178637.2</v>
      </c>
      <c r="I1252" s="49">
        <f>SUBTOTAL(109,Июнь2019[Продажа НК])</f>
        <v>204792</v>
      </c>
      <c r="J1252" s="49">
        <f>SUBTOTAL(109,Июнь2019[отк])</f>
        <v>33000</v>
      </c>
      <c r="K1252" s="49">
        <f>SUBTOTAL(109,Июнь2019[шланги])</f>
        <v>12600</v>
      </c>
      <c r="L1252" s="49">
        <f>SUBTOTAL(109,Июнь2019[Закупка])</f>
        <v>710489</v>
      </c>
      <c r="M1252" s="49">
        <f>SUBTOTAL(109,Июнь2019[Маржа])</f>
        <v>422548.2</v>
      </c>
      <c r="N1252" s="49">
        <f>SUBTOTAL(109,Июнь2019[Маржа НК])</f>
        <v>60447</v>
      </c>
      <c r="O1252" s="44">
        <f t="shared" si="130"/>
        <v>0.3585057386615661</v>
      </c>
    </row>
    <row r="1253" spans="1:15" ht="19.5" customHeight="1" x14ac:dyDescent="0.25">
      <c r="A1253" s="41" t="s">
        <v>1</v>
      </c>
      <c r="B1253" s="1" t="s">
        <v>0</v>
      </c>
      <c r="C1253" s="1" t="s">
        <v>26</v>
      </c>
      <c r="D1253" s="1" t="s">
        <v>2</v>
      </c>
      <c r="E1253" s="1" t="s">
        <v>3</v>
      </c>
      <c r="F1253" s="1" t="s">
        <v>27</v>
      </c>
      <c r="G1253" s="1" t="s">
        <v>4</v>
      </c>
      <c r="H1253" s="2" t="s">
        <v>132</v>
      </c>
      <c r="I1253" s="2" t="s">
        <v>133</v>
      </c>
      <c r="J1253" s="40" t="s">
        <v>187</v>
      </c>
      <c r="K1253" s="40" t="s">
        <v>188</v>
      </c>
      <c r="L1253" s="40" t="s">
        <v>129</v>
      </c>
      <c r="M1253" s="40" t="s">
        <v>130</v>
      </c>
      <c r="N1253" s="2" t="s">
        <v>131</v>
      </c>
      <c r="O1253" s="2" t="s">
        <v>134</v>
      </c>
    </row>
    <row r="1254" spans="1:15" ht="15.75" x14ac:dyDescent="0.25">
      <c r="A1254" s="33">
        <v>647</v>
      </c>
      <c r="B1254" s="9">
        <v>43647</v>
      </c>
      <c r="C1254" s="20" t="s">
        <v>402</v>
      </c>
      <c r="D1254" s="11">
        <v>37962</v>
      </c>
      <c r="E1254" s="9">
        <v>43647</v>
      </c>
      <c r="F1254" s="15" t="s">
        <v>28</v>
      </c>
      <c r="G1254" s="12">
        <v>43665</v>
      </c>
      <c r="H1254" s="23">
        <f t="shared" ref="H1254:H1276" si="131">D1254</f>
        <v>37962</v>
      </c>
      <c r="I1254" s="23">
        <f>H1254</f>
        <v>37962</v>
      </c>
      <c r="J1254" s="23"/>
      <c r="K1254" s="24"/>
      <c r="L1254" s="23">
        <v>27923</v>
      </c>
      <c r="M1254" s="22">
        <f t="shared" ref="M1254:M1292" si="132">H1254-L1254-J1254-K1254</f>
        <v>10039</v>
      </c>
      <c r="N1254" s="22">
        <f>M1254</f>
        <v>10039</v>
      </c>
      <c r="O1254" s="30">
        <f t="shared" ref="O1254:O1293" si="133">M1254/H1254</f>
        <v>0.26444865918550131</v>
      </c>
    </row>
    <row r="1255" spans="1:15" s="2" customFormat="1" ht="20.100000000000001" customHeight="1" x14ac:dyDescent="0.25">
      <c r="A1255" s="33">
        <v>640</v>
      </c>
      <c r="B1255" s="9">
        <v>43644</v>
      </c>
      <c r="C1255" s="18" t="s">
        <v>281</v>
      </c>
      <c r="D1255" s="11">
        <v>14390</v>
      </c>
      <c r="E1255" s="9">
        <v>43647</v>
      </c>
      <c r="F1255" s="15" t="s">
        <v>28</v>
      </c>
      <c r="G1255" s="12">
        <v>43648</v>
      </c>
      <c r="H1255" s="23">
        <f t="shared" si="131"/>
        <v>14390</v>
      </c>
      <c r="I1255" s="23"/>
      <c r="J1255" s="23"/>
      <c r="K1255" s="24"/>
      <c r="L1255" s="23">
        <v>10568</v>
      </c>
      <c r="M1255" s="22">
        <f t="shared" si="132"/>
        <v>3822</v>
      </c>
      <c r="N1255" s="22"/>
      <c r="O1255" s="30">
        <f t="shared" si="133"/>
        <v>0.26560111188325225</v>
      </c>
    </row>
    <row r="1256" spans="1:15" ht="20.100000000000001" customHeight="1" x14ac:dyDescent="0.25">
      <c r="A1256" s="33">
        <v>384</v>
      </c>
      <c r="B1256" s="9">
        <v>43585</v>
      </c>
      <c r="C1256" s="18" t="s">
        <v>56</v>
      </c>
      <c r="D1256" s="11">
        <v>26438</v>
      </c>
      <c r="E1256" s="9">
        <v>43648</v>
      </c>
      <c r="F1256" s="15" t="s">
        <v>28</v>
      </c>
      <c r="G1256" s="12">
        <v>43609</v>
      </c>
      <c r="H1256" s="23">
        <f t="shared" si="131"/>
        <v>26438</v>
      </c>
      <c r="I1256" s="23"/>
      <c r="J1256" s="23"/>
      <c r="K1256" s="24"/>
      <c r="L1256" s="23">
        <v>19658</v>
      </c>
      <c r="M1256" s="22">
        <f t="shared" si="132"/>
        <v>6780</v>
      </c>
      <c r="N1256" s="22"/>
      <c r="O1256" s="30">
        <f t="shared" si="133"/>
        <v>0.25644905060897194</v>
      </c>
    </row>
    <row r="1257" spans="1:15" ht="20.100000000000001" customHeight="1" x14ac:dyDescent="0.25">
      <c r="A1257" s="33">
        <v>623</v>
      </c>
      <c r="B1257" s="9">
        <v>43640</v>
      </c>
      <c r="C1257" s="20" t="s">
        <v>403</v>
      </c>
      <c r="D1257" s="3">
        <v>5431</v>
      </c>
      <c r="E1257" s="9">
        <v>43648</v>
      </c>
      <c r="F1257" s="15" t="s">
        <v>28</v>
      </c>
      <c r="G1257" s="12">
        <v>43651</v>
      </c>
      <c r="H1257" s="23">
        <f t="shared" si="131"/>
        <v>5431</v>
      </c>
      <c r="I1257" s="23">
        <f>H1257</f>
        <v>5431</v>
      </c>
      <c r="J1257" s="23"/>
      <c r="K1257" s="24"/>
      <c r="L1257" s="23">
        <v>3927</v>
      </c>
      <c r="M1257" s="22">
        <f t="shared" si="132"/>
        <v>1504</v>
      </c>
      <c r="N1257" s="22">
        <f>M1257</f>
        <v>1504</v>
      </c>
      <c r="O1257" s="30">
        <f t="shared" si="133"/>
        <v>0.27692874240471366</v>
      </c>
    </row>
    <row r="1258" spans="1:15" ht="20.100000000000001" customHeight="1" x14ac:dyDescent="0.25">
      <c r="A1258" s="33">
        <v>649</v>
      </c>
      <c r="B1258" s="9">
        <v>43647</v>
      </c>
      <c r="C1258" s="18" t="s">
        <v>77</v>
      </c>
      <c r="D1258" s="3">
        <v>3194</v>
      </c>
      <c r="E1258" s="9">
        <v>43648</v>
      </c>
      <c r="F1258" s="15" t="s">
        <v>28</v>
      </c>
      <c r="G1258" s="12">
        <v>43650</v>
      </c>
      <c r="H1258" s="23">
        <f t="shared" si="131"/>
        <v>3194</v>
      </c>
      <c r="I1258" s="23"/>
      <c r="J1258" s="23"/>
      <c r="K1258" s="24"/>
      <c r="L1258" s="23">
        <v>2490</v>
      </c>
      <c r="M1258" s="22">
        <f t="shared" si="132"/>
        <v>704</v>
      </c>
      <c r="N1258" s="22"/>
      <c r="O1258" s="30">
        <f t="shared" si="133"/>
        <v>0.22041327489041954</v>
      </c>
    </row>
    <row r="1259" spans="1:15" ht="20.100000000000001" customHeight="1" x14ac:dyDescent="0.25">
      <c r="A1259" s="33">
        <v>634</v>
      </c>
      <c r="B1259" s="9">
        <v>43642</v>
      </c>
      <c r="C1259" s="18" t="s">
        <v>275</v>
      </c>
      <c r="D1259" s="3">
        <v>37681</v>
      </c>
      <c r="E1259" s="9">
        <v>43648</v>
      </c>
      <c r="F1259" s="15" t="s">
        <v>28</v>
      </c>
      <c r="G1259" s="12">
        <v>43655</v>
      </c>
      <c r="H1259" s="23">
        <f t="shared" si="131"/>
        <v>37681</v>
      </c>
      <c r="I1259" s="23"/>
      <c r="J1259" s="23"/>
      <c r="K1259" s="24">
        <v>4800</v>
      </c>
      <c r="L1259" s="23">
        <v>18120</v>
      </c>
      <c r="M1259" s="22">
        <f t="shared" si="132"/>
        <v>14761</v>
      </c>
      <c r="N1259" s="22"/>
      <c r="O1259" s="30">
        <f t="shared" si="133"/>
        <v>0.39173588811337279</v>
      </c>
    </row>
    <row r="1260" spans="1:15" ht="20.100000000000001" customHeight="1" x14ac:dyDescent="0.25">
      <c r="A1260" s="33">
        <v>648</v>
      </c>
      <c r="B1260" s="9">
        <v>43647</v>
      </c>
      <c r="C1260" s="18" t="s">
        <v>175</v>
      </c>
      <c r="D1260" s="3">
        <v>3667</v>
      </c>
      <c r="E1260" s="9">
        <v>43648</v>
      </c>
      <c r="F1260" s="15" t="s">
        <v>28</v>
      </c>
      <c r="G1260" s="12">
        <v>43650</v>
      </c>
      <c r="H1260" s="23">
        <f t="shared" si="131"/>
        <v>3667</v>
      </c>
      <c r="I1260" s="23"/>
      <c r="J1260" s="23"/>
      <c r="K1260" s="24"/>
      <c r="L1260" s="23">
        <v>3010</v>
      </c>
      <c r="M1260" s="22">
        <f t="shared" si="132"/>
        <v>657</v>
      </c>
      <c r="N1260" s="22"/>
      <c r="O1260" s="30">
        <f t="shared" si="133"/>
        <v>0.17916553040632668</v>
      </c>
    </row>
    <row r="1261" spans="1:15" ht="20.100000000000001" customHeight="1" x14ac:dyDescent="0.25">
      <c r="A1261" s="33">
        <v>654</v>
      </c>
      <c r="B1261" s="9">
        <v>43648</v>
      </c>
      <c r="C1261" s="18" t="s">
        <v>91</v>
      </c>
      <c r="D1261" s="3">
        <v>5176</v>
      </c>
      <c r="E1261" s="9">
        <v>43649</v>
      </c>
      <c r="F1261" s="15" t="s">
        <v>28</v>
      </c>
      <c r="G1261" s="12">
        <v>43654</v>
      </c>
      <c r="H1261" s="23">
        <f t="shared" si="131"/>
        <v>5176</v>
      </c>
      <c r="I1261" s="23"/>
      <c r="J1261" s="23"/>
      <c r="K1261" s="24"/>
      <c r="L1261" s="23">
        <v>4036</v>
      </c>
      <c r="M1261" s="22">
        <f t="shared" si="132"/>
        <v>1140</v>
      </c>
      <c r="N1261" s="22"/>
      <c r="O1261" s="30">
        <f t="shared" si="133"/>
        <v>0.22024729520865532</v>
      </c>
    </row>
    <row r="1262" spans="1:15" ht="20.100000000000001" customHeight="1" x14ac:dyDescent="0.25">
      <c r="A1262" s="33">
        <v>655</v>
      </c>
      <c r="B1262" s="9">
        <v>43648</v>
      </c>
      <c r="C1262" s="18" t="s">
        <v>404</v>
      </c>
      <c r="D1262" s="11">
        <v>14390</v>
      </c>
      <c r="E1262" s="9">
        <v>43649</v>
      </c>
      <c r="F1262" s="15" t="s">
        <v>28</v>
      </c>
      <c r="G1262" s="12">
        <v>43663</v>
      </c>
      <c r="H1262" s="23">
        <f t="shared" si="131"/>
        <v>14390</v>
      </c>
      <c r="I1262" s="23"/>
      <c r="J1262" s="23"/>
      <c r="K1262" s="24"/>
      <c r="L1262" s="23">
        <v>10568</v>
      </c>
      <c r="M1262" s="22">
        <f t="shared" si="132"/>
        <v>3822</v>
      </c>
      <c r="N1262" s="22"/>
      <c r="O1262" s="30">
        <f t="shared" si="133"/>
        <v>0.26560111188325225</v>
      </c>
    </row>
    <row r="1263" spans="1:15" ht="20.100000000000001" customHeight="1" x14ac:dyDescent="0.25">
      <c r="A1263" s="33">
        <v>664</v>
      </c>
      <c r="B1263" s="9">
        <v>43650</v>
      </c>
      <c r="C1263" s="18" t="s">
        <v>396</v>
      </c>
      <c r="D1263" s="11">
        <v>9990</v>
      </c>
      <c r="E1263" s="9">
        <v>43650</v>
      </c>
      <c r="F1263" s="15" t="s">
        <v>28</v>
      </c>
      <c r="G1263" s="12">
        <v>43655</v>
      </c>
      <c r="H1263" s="23">
        <f t="shared" si="131"/>
        <v>9990</v>
      </c>
      <c r="I1263" s="23"/>
      <c r="J1263" s="23"/>
      <c r="K1263" s="24"/>
      <c r="L1263" s="23">
        <v>7342</v>
      </c>
      <c r="M1263" s="22">
        <f t="shared" si="132"/>
        <v>2648</v>
      </c>
      <c r="N1263" s="22"/>
      <c r="O1263" s="30">
        <f t="shared" si="133"/>
        <v>0.26506506506506505</v>
      </c>
    </row>
    <row r="1264" spans="1:15" ht="20.100000000000001" customHeight="1" x14ac:dyDescent="0.25">
      <c r="A1264" s="33">
        <v>656</v>
      </c>
      <c r="B1264" s="9">
        <v>43648</v>
      </c>
      <c r="C1264" s="18" t="s">
        <v>16</v>
      </c>
      <c r="D1264" s="11">
        <v>19705.2</v>
      </c>
      <c r="E1264" s="9">
        <v>43650</v>
      </c>
      <c r="F1264" s="15" t="s">
        <v>28</v>
      </c>
      <c r="G1264" s="12">
        <v>43656</v>
      </c>
      <c r="H1264" s="23">
        <f t="shared" si="131"/>
        <v>19705.2</v>
      </c>
      <c r="I1264" s="23"/>
      <c r="J1264" s="23"/>
      <c r="K1264" s="24"/>
      <c r="L1264" s="23">
        <v>14451</v>
      </c>
      <c r="M1264" s="22">
        <f t="shared" si="132"/>
        <v>5254.2000000000007</v>
      </c>
      <c r="N1264" s="22"/>
      <c r="O1264" s="30">
        <f t="shared" si="133"/>
        <v>0.26664027769319776</v>
      </c>
    </row>
    <row r="1265" spans="1:15" ht="20.100000000000001" customHeight="1" x14ac:dyDescent="0.25">
      <c r="A1265" s="33">
        <v>616</v>
      </c>
      <c r="B1265" s="9">
        <v>43636</v>
      </c>
      <c r="C1265" s="18" t="s">
        <v>60</v>
      </c>
      <c r="D1265" s="11">
        <v>442</v>
      </c>
      <c r="E1265" s="9">
        <v>43651</v>
      </c>
      <c r="F1265" s="15" t="s">
        <v>28</v>
      </c>
      <c r="G1265" s="12">
        <v>43637</v>
      </c>
      <c r="H1265" s="23">
        <f t="shared" si="131"/>
        <v>442</v>
      </c>
      <c r="I1265" s="23"/>
      <c r="J1265" s="23"/>
      <c r="K1265" s="24"/>
      <c r="L1265" s="23">
        <v>290</v>
      </c>
      <c r="M1265" s="22">
        <f t="shared" si="132"/>
        <v>152</v>
      </c>
      <c r="N1265" s="22"/>
      <c r="O1265" s="30">
        <f t="shared" si="133"/>
        <v>0.34389140271493213</v>
      </c>
    </row>
    <row r="1266" spans="1:15" ht="20.100000000000001" customHeight="1" x14ac:dyDescent="0.25">
      <c r="A1266" s="33">
        <v>677</v>
      </c>
      <c r="B1266" s="9">
        <v>43652</v>
      </c>
      <c r="C1266" s="18" t="s">
        <v>386</v>
      </c>
      <c r="D1266" s="11">
        <v>34990</v>
      </c>
      <c r="E1266" s="9">
        <v>43652</v>
      </c>
      <c r="F1266" s="15" t="s">
        <v>28</v>
      </c>
      <c r="G1266" s="12">
        <v>43652</v>
      </c>
      <c r="H1266" s="23">
        <f t="shared" si="131"/>
        <v>34990</v>
      </c>
      <c r="I1266" s="23"/>
      <c r="J1266" s="23"/>
      <c r="K1266" s="24"/>
      <c r="L1266" s="23">
        <v>25717</v>
      </c>
      <c r="M1266" s="22">
        <f t="shared" si="132"/>
        <v>9273</v>
      </c>
      <c r="N1266" s="22"/>
      <c r="O1266" s="30">
        <f t="shared" si="133"/>
        <v>0.26501857673621032</v>
      </c>
    </row>
    <row r="1267" spans="1:15" ht="20.100000000000001" customHeight="1" x14ac:dyDescent="0.25">
      <c r="A1267" s="33">
        <v>659</v>
      </c>
      <c r="B1267" s="9">
        <v>43649</v>
      </c>
      <c r="C1267" s="20" t="s">
        <v>405</v>
      </c>
      <c r="D1267" s="11">
        <v>24990</v>
      </c>
      <c r="E1267" s="9">
        <v>43655</v>
      </c>
      <c r="F1267" s="15" t="s">
        <v>28</v>
      </c>
      <c r="G1267" s="12">
        <v>43657</v>
      </c>
      <c r="H1267" s="23">
        <f t="shared" si="131"/>
        <v>24990</v>
      </c>
      <c r="I1267" s="23">
        <f>H1267</f>
        <v>24990</v>
      </c>
      <c r="J1267" s="23"/>
      <c r="K1267" s="24"/>
      <c r="L1267" s="23">
        <v>19740.88</v>
      </c>
      <c r="M1267" s="22">
        <f t="shared" si="132"/>
        <v>5249.119999999999</v>
      </c>
      <c r="N1267" s="22">
        <f>M1267</f>
        <v>5249.119999999999</v>
      </c>
      <c r="O1267" s="30">
        <f t="shared" si="133"/>
        <v>0.21004881952781107</v>
      </c>
    </row>
    <row r="1268" spans="1:15" ht="20.100000000000001" customHeight="1" x14ac:dyDescent="0.25">
      <c r="A1268" s="33">
        <v>598</v>
      </c>
      <c r="B1268" s="9">
        <v>43635</v>
      </c>
      <c r="C1268" s="18" t="s">
        <v>182</v>
      </c>
      <c r="D1268" s="11">
        <v>306429</v>
      </c>
      <c r="E1268" s="9">
        <v>43655</v>
      </c>
      <c r="F1268" s="15" t="s">
        <v>28</v>
      </c>
      <c r="G1268" s="12">
        <v>43684</v>
      </c>
      <c r="H1268" s="23">
        <f t="shared" si="131"/>
        <v>306429</v>
      </c>
      <c r="I1268" s="23"/>
      <c r="J1268" s="23"/>
      <c r="K1268" s="24">
        <v>600</v>
      </c>
      <c r="L1268" s="23">
        <v>223768</v>
      </c>
      <c r="M1268" s="22">
        <f t="shared" si="132"/>
        <v>82061</v>
      </c>
      <c r="N1268" s="22"/>
      <c r="O1268" s="30">
        <f t="shared" si="133"/>
        <v>0.26779776065581262</v>
      </c>
    </row>
    <row r="1269" spans="1:15" ht="20.100000000000001" customHeight="1" x14ac:dyDescent="0.25">
      <c r="A1269" s="33">
        <v>649</v>
      </c>
      <c r="B1269" s="9">
        <v>43647</v>
      </c>
      <c r="C1269" s="18" t="s">
        <v>14</v>
      </c>
      <c r="D1269" s="11">
        <v>5000</v>
      </c>
      <c r="E1269" s="9">
        <v>43657</v>
      </c>
      <c r="F1269" s="15" t="s">
        <v>28</v>
      </c>
      <c r="G1269" s="12">
        <v>43658</v>
      </c>
      <c r="H1269" s="23">
        <f t="shared" si="131"/>
        <v>5000</v>
      </c>
      <c r="I1269" s="23"/>
      <c r="J1269" s="23"/>
      <c r="K1269" s="24">
        <v>600</v>
      </c>
      <c r="L1269" s="23">
        <v>1982</v>
      </c>
      <c r="M1269" s="22">
        <f t="shared" si="132"/>
        <v>2418</v>
      </c>
      <c r="N1269" s="22"/>
      <c r="O1269" s="30">
        <f t="shared" si="133"/>
        <v>0.48359999999999997</v>
      </c>
    </row>
    <row r="1270" spans="1:15" ht="20.100000000000001" customHeight="1" x14ac:dyDescent="0.25">
      <c r="A1270" s="33">
        <v>697</v>
      </c>
      <c r="B1270" s="9">
        <v>43657</v>
      </c>
      <c r="C1270" s="18" t="s">
        <v>216</v>
      </c>
      <c r="D1270" s="11">
        <v>284</v>
      </c>
      <c r="E1270" s="9">
        <v>43658</v>
      </c>
      <c r="F1270" s="15" t="s">
        <v>28</v>
      </c>
      <c r="G1270" s="12">
        <v>43705</v>
      </c>
      <c r="H1270" s="23">
        <f t="shared" si="131"/>
        <v>284</v>
      </c>
      <c r="I1270" s="23"/>
      <c r="J1270" s="23"/>
      <c r="K1270" s="24"/>
      <c r="L1270" s="23">
        <v>188</v>
      </c>
      <c r="M1270" s="22">
        <f t="shared" si="132"/>
        <v>96</v>
      </c>
      <c r="N1270" s="22"/>
      <c r="O1270" s="30">
        <f t="shared" si="133"/>
        <v>0.3380281690140845</v>
      </c>
    </row>
    <row r="1271" spans="1:15" ht="20.100000000000001" customHeight="1" x14ac:dyDescent="0.25">
      <c r="A1271" s="33">
        <v>702</v>
      </c>
      <c r="B1271" s="9">
        <v>43658</v>
      </c>
      <c r="C1271" s="18" t="s">
        <v>71</v>
      </c>
      <c r="D1271" s="11">
        <v>4792</v>
      </c>
      <c r="E1271" s="9">
        <v>43661</v>
      </c>
      <c r="F1271" s="15" t="s">
        <v>28</v>
      </c>
      <c r="G1271" s="12">
        <v>43661</v>
      </c>
      <c r="H1271" s="23">
        <f t="shared" si="131"/>
        <v>4792</v>
      </c>
      <c r="I1271" s="23"/>
      <c r="J1271" s="23"/>
      <c r="K1271" s="24"/>
      <c r="L1271" s="23">
        <v>3508</v>
      </c>
      <c r="M1271" s="22">
        <f t="shared" si="132"/>
        <v>1284</v>
      </c>
      <c r="N1271" s="22"/>
      <c r="O1271" s="30">
        <f t="shared" si="133"/>
        <v>0.26794657762938229</v>
      </c>
    </row>
    <row r="1272" spans="1:15" ht="20.100000000000001" customHeight="1" x14ac:dyDescent="0.25">
      <c r="A1272" s="33">
        <v>703</v>
      </c>
      <c r="B1272" s="9">
        <v>43658</v>
      </c>
      <c r="C1272" s="18" t="s">
        <v>71</v>
      </c>
      <c r="D1272" s="11">
        <v>8724</v>
      </c>
      <c r="E1272" s="9">
        <v>43661</v>
      </c>
      <c r="F1272" s="15" t="s">
        <v>28</v>
      </c>
      <c r="G1272" s="12">
        <v>43693</v>
      </c>
      <c r="H1272" s="23">
        <f t="shared" si="131"/>
        <v>8724</v>
      </c>
      <c r="I1272" s="23"/>
      <c r="J1272" s="23"/>
      <c r="K1272" s="24"/>
      <c r="L1272" s="23">
        <v>6804</v>
      </c>
      <c r="M1272" s="22">
        <f t="shared" si="132"/>
        <v>1920</v>
      </c>
      <c r="N1272" s="22"/>
      <c r="O1272" s="30">
        <f t="shared" si="133"/>
        <v>0.2200825309491059</v>
      </c>
    </row>
    <row r="1273" spans="1:15" ht="20.100000000000001" customHeight="1" x14ac:dyDescent="0.25">
      <c r="A1273" s="33">
        <v>687</v>
      </c>
      <c r="B1273" s="9">
        <v>43655</v>
      </c>
      <c r="C1273" s="18" t="s">
        <v>147</v>
      </c>
      <c r="D1273" s="11">
        <v>10352</v>
      </c>
      <c r="E1273" s="9">
        <v>43662</v>
      </c>
      <c r="F1273" s="15" t="s">
        <v>28</v>
      </c>
      <c r="G1273" s="12">
        <v>43663</v>
      </c>
      <c r="H1273" s="23">
        <f t="shared" si="131"/>
        <v>10352</v>
      </c>
      <c r="I1273" s="23"/>
      <c r="J1273" s="23"/>
      <c r="K1273" s="24"/>
      <c r="L1273" s="23">
        <v>8072</v>
      </c>
      <c r="M1273" s="22">
        <f t="shared" si="132"/>
        <v>2280</v>
      </c>
      <c r="N1273" s="22"/>
      <c r="O1273" s="30">
        <f t="shared" si="133"/>
        <v>0.22024729520865532</v>
      </c>
    </row>
    <row r="1274" spans="1:15" ht="20.100000000000001" customHeight="1" x14ac:dyDescent="0.25">
      <c r="A1274" s="33">
        <v>535</v>
      </c>
      <c r="B1274" s="9">
        <v>43634</v>
      </c>
      <c r="C1274" s="18" t="s">
        <v>99</v>
      </c>
      <c r="D1274" s="11">
        <v>183658</v>
      </c>
      <c r="E1274" s="9">
        <v>43663</v>
      </c>
      <c r="F1274" s="15" t="s">
        <v>28</v>
      </c>
      <c r="G1274" s="12">
        <v>43635</v>
      </c>
      <c r="H1274" s="23">
        <f t="shared" si="131"/>
        <v>183658</v>
      </c>
      <c r="I1274" s="23"/>
      <c r="J1274" s="23">
        <v>27000</v>
      </c>
      <c r="K1274" s="24">
        <v>3600</v>
      </c>
      <c r="L1274" s="23">
        <v>73284</v>
      </c>
      <c r="M1274" s="22">
        <f t="shared" si="132"/>
        <v>79774</v>
      </c>
      <c r="N1274" s="22"/>
      <c r="O1274" s="30">
        <f t="shared" si="133"/>
        <v>0.43436169401822955</v>
      </c>
    </row>
    <row r="1275" spans="1:15" ht="20.100000000000001" customHeight="1" x14ac:dyDescent="0.25">
      <c r="A1275" s="33">
        <v>602</v>
      </c>
      <c r="B1275" s="9">
        <v>43634</v>
      </c>
      <c r="C1275" s="18" t="s">
        <v>99</v>
      </c>
      <c r="D1275" s="11">
        <v>1812</v>
      </c>
      <c r="E1275" s="9">
        <v>43663</v>
      </c>
      <c r="F1275" s="15" t="s">
        <v>28</v>
      </c>
      <c r="G1275" s="12">
        <v>43655</v>
      </c>
      <c r="H1275" s="23">
        <f t="shared" si="131"/>
        <v>1812</v>
      </c>
      <c r="I1275" s="23"/>
      <c r="J1275" s="23"/>
      <c r="K1275" s="24"/>
      <c r="L1275" s="23">
        <v>1376</v>
      </c>
      <c r="M1275" s="22">
        <f t="shared" si="132"/>
        <v>436</v>
      </c>
      <c r="N1275" s="22"/>
      <c r="O1275" s="30">
        <f t="shared" si="133"/>
        <v>0.24061810154525387</v>
      </c>
    </row>
    <row r="1276" spans="1:15" ht="20.100000000000001" customHeight="1" x14ac:dyDescent="0.25">
      <c r="A1276" s="33">
        <v>724</v>
      </c>
      <c r="B1276" s="9">
        <v>43662</v>
      </c>
      <c r="C1276" s="18" t="s">
        <v>286</v>
      </c>
      <c r="D1276" s="11">
        <v>18598</v>
      </c>
      <c r="E1276" s="9">
        <v>43663</v>
      </c>
      <c r="F1276" s="15" t="s">
        <v>28</v>
      </c>
      <c r="G1276" s="12">
        <v>43664</v>
      </c>
      <c r="H1276" s="23">
        <f t="shared" si="131"/>
        <v>18598</v>
      </c>
      <c r="I1276" s="23"/>
      <c r="J1276" s="23"/>
      <c r="K1276" s="24"/>
      <c r="L1276" s="23">
        <v>14642</v>
      </c>
      <c r="M1276" s="22">
        <f t="shared" si="132"/>
        <v>3956</v>
      </c>
      <c r="N1276" s="22"/>
      <c r="O1276" s="30">
        <f t="shared" si="133"/>
        <v>0.21271104419830089</v>
      </c>
    </row>
    <row r="1277" spans="1:15" ht="20.100000000000001" customHeight="1" x14ac:dyDescent="0.25">
      <c r="A1277" s="33">
        <v>489</v>
      </c>
      <c r="B1277" s="9">
        <v>43612</v>
      </c>
      <c r="C1277" s="18" t="s">
        <v>65</v>
      </c>
      <c r="D1277" s="11">
        <v>275817.59999999998</v>
      </c>
      <c r="E1277" s="9">
        <v>43664</v>
      </c>
      <c r="F1277" s="15" t="s">
        <v>28</v>
      </c>
      <c r="G1277" s="12">
        <v>43633</v>
      </c>
      <c r="H1277" s="23">
        <v>138550.79999999999</v>
      </c>
      <c r="I1277" s="23"/>
      <c r="J1277" s="23"/>
      <c r="K1277" s="24"/>
      <c r="L1277" s="23">
        <v>119124</v>
      </c>
      <c r="M1277" s="22">
        <f t="shared" si="132"/>
        <v>19426.799999999988</v>
      </c>
      <c r="N1277" s="22"/>
      <c r="O1277" s="30">
        <f t="shared" si="133"/>
        <v>0.1402142751972561</v>
      </c>
    </row>
    <row r="1278" spans="1:15" ht="20.100000000000001" customHeight="1" x14ac:dyDescent="0.25">
      <c r="A1278" s="33">
        <v>718</v>
      </c>
      <c r="B1278" s="9">
        <v>43662</v>
      </c>
      <c r="C1278" s="18" t="s">
        <v>386</v>
      </c>
      <c r="D1278" s="11">
        <v>3142</v>
      </c>
      <c r="E1278" s="9">
        <v>43665</v>
      </c>
      <c r="F1278" s="15" t="s">
        <v>28</v>
      </c>
      <c r="G1278" s="12">
        <v>43662</v>
      </c>
      <c r="H1278" s="23">
        <f t="shared" ref="H1278:H1292" si="134">D1278</f>
        <v>3142</v>
      </c>
      <c r="I1278" s="23"/>
      <c r="J1278" s="23"/>
      <c r="K1278" s="24"/>
      <c r="L1278" s="23">
        <v>2450</v>
      </c>
      <c r="M1278" s="22">
        <f t="shared" si="132"/>
        <v>692</v>
      </c>
      <c r="N1278" s="22"/>
      <c r="O1278" s="30">
        <f t="shared" si="133"/>
        <v>0.22024188415022278</v>
      </c>
    </row>
    <row r="1279" spans="1:15" ht="20.100000000000001" customHeight="1" x14ac:dyDescent="0.25">
      <c r="A1279" s="33">
        <v>735</v>
      </c>
      <c r="B1279" s="9">
        <v>43665</v>
      </c>
      <c r="C1279" s="18" t="s">
        <v>386</v>
      </c>
      <c r="D1279" s="11">
        <v>3142</v>
      </c>
      <c r="E1279" s="9">
        <v>43665</v>
      </c>
      <c r="F1279" s="15" t="s">
        <v>28</v>
      </c>
      <c r="G1279" s="12">
        <v>43665</v>
      </c>
      <c r="H1279" s="23">
        <f t="shared" si="134"/>
        <v>3142</v>
      </c>
      <c r="I1279" s="23"/>
      <c r="J1279" s="23"/>
      <c r="K1279" s="24"/>
      <c r="L1279" s="23">
        <v>2450</v>
      </c>
      <c r="M1279" s="22">
        <f t="shared" si="132"/>
        <v>692</v>
      </c>
      <c r="N1279" s="22"/>
      <c r="O1279" s="30">
        <f t="shared" si="133"/>
        <v>0.22024188415022278</v>
      </c>
    </row>
    <row r="1280" spans="1:15" ht="20.100000000000001" customHeight="1" x14ac:dyDescent="0.25">
      <c r="A1280" s="33">
        <v>527</v>
      </c>
      <c r="B1280" s="9">
        <v>43621</v>
      </c>
      <c r="C1280" s="18" t="s">
        <v>56</v>
      </c>
      <c r="D1280" s="11">
        <v>21124</v>
      </c>
      <c r="E1280" s="9">
        <v>43665</v>
      </c>
      <c r="F1280" s="15" t="s">
        <v>28</v>
      </c>
      <c r="G1280" s="12">
        <v>43635</v>
      </c>
      <c r="H1280" s="23">
        <f t="shared" si="134"/>
        <v>21124</v>
      </c>
      <c r="I1280" s="23"/>
      <c r="J1280" s="23"/>
      <c r="K1280" s="24"/>
      <c r="L1280" s="23">
        <v>16426</v>
      </c>
      <c r="M1280" s="22">
        <f t="shared" si="132"/>
        <v>4698</v>
      </c>
      <c r="N1280" s="22"/>
      <c r="O1280" s="30">
        <f t="shared" si="133"/>
        <v>0.22240106040522628</v>
      </c>
    </row>
    <row r="1281" spans="1:15" ht="20.100000000000001" customHeight="1" x14ac:dyDescent="0.25">
      <c r="A1281" s="33">
        <v>582</v>
      </c>
      <c r="B1281" s="9">
        <v>43630</v>
      </c>
      <c r="C1281" s="18" t="s">
        <v>56</v>
      </c>
      <c r="D1281" s="11">
        <v>43487</v>
      </c>
      <c r="E1281" s="9">
        <v>43665</v>
      </c>
      <c r="F1281" s="15" t="s">
        <v>28</v>
      </c>
      <c r="G1281" s="12">
        <v>43655</v>
      </c>
      <c r="H1281" s="23">
        <f t="shared" si="134"/>
        <v>43487</v>
      </c>
      <c r="I1281" s="23"/>
      <c r="J1281" s="23"/>
      <c r="K1281" s="24"/>
      <c r="L1281" s="23">
        <v>32942</v>
      </c>
      <c r="M1281" s="22">
        <f t="shared" si="132"/>
        <v>10545</v>
      </c>
      <c r="N1281" s="22"/>
      <c r="O1281" s="30">
        <f t="shared" si="133"/>
        <v>0.2424862602616874</v>
      </c>
    </row>
    <row r="1282" spans="1:15" ht="19.5" customHeight="1" x14ac:dyDescent="0.25">
      <c r="A1282" s="33">
        <v>719</v>
      </c>
      <c r="B1282" s="9">
        <v>43662</v>
      </c>
      <c r="C1282" s="18" t="s">
        <v>258</v>
      </c>
      <c r="D1282" s="11">
        <v>1355</v>
      </c>
      <c r="E1282" s="9">
        <v>43665</v>
      </c>
      <c r="F1282" s="15" t="s">
        <v>28</v>
      </c>
      <c r="G1282" s="12">
        <v>43683</v>
      </c>
      <c r="H1282" s="23">
        <f t="shared" si="134"/>
        <v>1355</v>
      </c>
      <c r="I1282" s="23"/>
      <c r="J1282" s="23"/>
      <c r="K1282" s="24"/>
      <c r="L1282" s="23">
        <v>1057</v>
      </c>
      <c r="M1282" s="22">
        <f t="shared" si="132"/>
        <v>298</v>
      </c>
      <c r="N1282" s="22"/>
      <c r="O1282" s="30">
        <f t="shared" si="133"/>
        <v>0.21992619926199261</v>
      </c>
    </row>
    <row r="1283" spans="1:15" ht="15.75" x14ac:dyDescent="0.25">
      <c r="A1283" s="33">
        <v>750</v>
      </c>
      <c r="B1283" s="9">
        <v>43669</v>
      </c>
      <c r="C1283" s="20" t="s">
        <v>407</v>
      </c>
      <c r="D1283" s="11">
        <v>17990</v>
      </c>
      <c r="E1283" s="9">
        <v>43669</v>
      </c>
      <c r="F1283" s="15" t="s">
        <v>28</v>
      </c>
      <c r="G1283" s="12">
        <v>43671</v>
      </c>
      <c r="H1283" s="23">
        <f t="shared" si="134"/>
        <v>17990</v>
      </c>
      <c r="I1283" s="23">
        <f>H1283</f>
        <v>17990</v>
      </c>
      <c r="J1283" s="23"/>
      <c r="K1283" s="24"/>
      <c r="L1283" s="23">
        <v>14168</v>
      </c>
      <c r="M1283" s="22">
        <f t="shared" si="132"/>
        <v>3822</v>
      </c>
      <c r="N1283" s="22">
        <f>M1283</f>
        <v>3822</v>
      </c>
      <c r="O1283" s="30">
        <f t="shared" si="133"/>
        <v>0.21245136186770427</v>
      </c>
    </row>
    <row r="1284" spans="1:15" s="2" customFormat="1" ht="20.100000000000001" customHeight="1" x14ac:dyDescent="0.25">
      <c r="A1284" s="33">
        <v>754</v>
      </c>
      <c r="B1284" s="9">
        <v>43670</v>
      </c>
      <c r="C1284" s="18" t="s">
        <v>149</v>
      </c>
      <c r="D1284" s="11">
        <v>5138</v>
      </c>
      <c r="E1284" s="9">
        <v>43670</v>
      </c>
      <c r="F1284" s="15" t="s">
        <v>28</v>
      </c>
      <c r="G1284" s="12">
        <v>43696</v>
      </c>
      <c r="H1284" s="23">
        <f t="shared" si="134"/>
        <v>5138</v>
      </c>
      <c r="I1284" s="23"/>
      <c r="J1284" s="23"/>
      <c r="K1284" s="24"/>
      <c r="L1284" s="23">
        <v>4007</v>
      </c>
      <c r="M1284" s="22">
        <f t="shared" si="132"/>
        <v>1131</v>
      </c>
      <c r="N1284" s="22"/>
      <c r="O1284" s="30">
        <f t="shared" si="133"/>
        <v>0.22012456208641495</v>
      </c>
    </row>
    <row r="1285" spans="1:15" ht="20.100000000000001" customHeight="1" x14ac:dyDescent="0.25">
      <c r="A1285" s="33">
        <v>695</v>
      </c>
      <c r="B1285" s="9">
        <v>43657</v>
      </c>
      <c r="C1285" s="18" t="s">
        <v>11</v>
      </c>
      <c r="D1285" s="11">
        <v>9285</v>
      </c>
      <c r="E1285" s="9">
        <v>43671</v>
      </c>
      <c r="F1285" s="15" t="s">
        <v>28</v>
      </c>
      <c r="G1285" s="12">
        <v>43703</v>
      </c>
      <c r="H1285" s="23">
        <f t="shared" si="134"/>
        <v>9285</v>
      </c>
      <c r="I1285" s="23"/>
      <c r="J1285" s="23"/>
      <c r="K1285" s="24"/>
      <c r="L1285" s="23">
        <v>5325</v>
      </c>
      <c r="M1285" s="22">
        <f t="shared" si="132"/>
        <v>3960</v>
      </c>
      <c r="N1285" s="22"/>
      <c r="O1285" s="30">
        <f t="shared" si="133"/>
        <v>0.42649434571890144</v>
      </c>
    </row>
    <row r="1286" spans="1:15" ht="20.100000000000001" customHeight="1" x14ac:dyDescent="0.25">
      <c r="A1286" s="33">
        <v>759</v>
      </c>
      <c r="B1286" s="9">
        <v>43671</v>
      </c>
      <c r="C1286" s="20" t="s">
        <v>408</v>
      </c>
      <c r="D1286" s="11">
        <v>30389</v>
      </c>
      <c r="E1286" s="9">
        <v>43671</v>
      </c>
      <c r="F1286" s="15" t="s">
        <v>28</v>
      </c>
      <c r="G1286" s="12">
        <v>43672</v>
      </c>
      <c r="H1286" s="23">
        <f t="shared" si="134"/>
        <v>30389</v>
      </c>
      <c r="I1286" s="23">
        <f>H1286</f>
        <v>30389</v>
      </c>
      <c r="J1286" s="23"/>
      <c r="K1286" s="24"/>
      <c r="L1286" s="23">
        <v>21089</v>
      </c>
      <c r="M1286" s="22">
        <f t="shared" si="132"/>
        <v>9300</v>
      </c>
      <c r="N1286" s="22">
        <f>M1286</f>
        <v>9300</v>
      </c>
      <c r="O1286" s="30">
        <f t="shared" si="133"/>
        <v>0.30603178781796042</v>
      </c>
    </row>
    <row r="1287" spans="1:15" ht="20.100000000000001" customHeight="1" x14ac:dyDescent="0.25">
      <c r="A1287" s="33">
        <v>756</v>
      </c>
      <c r="B1287" s="9">
        <v>43670</v>
      </c>
      <c r="C1287" s="18" t="s">
        <v>243</v>
      </c>
      <c r="D1287" s="11">
        <v>10352</v>
      </c>
      <c r="E1287" s="9">
        <v>43671</v>
      </c>
      <c r="F1287" s="15" t="s">
        <v>28</v>
      </c>
      <c r="G1287" s="12">
        <v>43683</v>
      </c>
      <c r="H1287" s="23">
        <f t="shared" si="134"/>
        <v>10352</v>
      </c>
      <c r="I1287" s="23"/>
      <c r="J1287" s="23"/>
      <c r="K1287" s="24"/>
      <c r="L1287" s="23">
        <v>8072</v>
      </c>
      <c r="M1287" s="22">
        <f t="shared" si="132"/>
        <v>2280</v>
      </c>
      <c r="N1287" s="22"/>
      <c r="O1287" s="30">
        <f t="shared" si="133"/>
        <v>0.22024729520865532</v>
      </c>
    </row>
    <row r="1288" spans="1:15" ht="20.100000000000001" customHeight="1" x14ac:dyDescent="0.25">
      <c r="A1288" s="33">
        <v>714</v>
      </c>
      <c r="B1288" s="9">
        <v>43661</v>
      </c>
      <c r="C1288" s="20" t="s">
        <v>409</v>
      </c>
      <c r="D1288" s="11">
        <v>27149</v>
      </c>
      <c r="E1288" s="9">
        <v>43672</v>
      </c>
      <c r="F1288" s="15" t="s">
        <v>28</v>
      </c>
      <c r="G1288" s="12">
        <v>43677</v>
      </c>
      <c r="H1288" s="23">
        <f t="shared" si="134"/>
        <v>27149</v>
      </c>
      <c r="I1288" s="23">
        <f>H1288</f>
        <v>27149</v>
      </c>
      <c r="J1288" s="23"/>
      <c r="K1288" s="24">
        <v>600</v>
      </c>
      <c r="L1288" s="23">
        <v>19148</v>
      </c>
      <c r="M1288" s="22">
        <f t="shared" si="132"/>
        <v>7401</v>
      </c>
      <c r="N1288" s="22">
        <f>M1288</f>
        <v>7401</v>
      </c>
      <c r="O1288" s="30">
        <f t="shared" si="133"/>
        <v>0.27260672584625584</v>
      </c>
    </row>
    <row r="1289" spans="1:15" ht="20.100000000000001" customHeight="1" x14ac:dyDescent="0.25">
      <c r="A1289" s="33">
        <v>622</v>
      </c>
      <c r="B1289" s="9">
        <v>43649</v>
      </c>
      <c r="C1289" s="18" t="s">
        <v>99</v>
      </c>
      <c r="D1289" s="11">
        <v>136296</v>
      </c>
      <c r="E1289" s="9">
        <v>43675</v>
      </c>
      <c r="F1289" s="15" t="s">
        <v>28</v>
      </c>
      <c r="G1289" s="12">
        <v>43655</v>
      </c>
      <c r="H1289" s="23">
        <f t="shared" si="134"/>
        <v>136296</v>
      </c>
      <c r="I1289" s="23"/>
      <c r="J1289" s="23">
        <v>27000</v>
      </c>
      <c r="K1289" s="24">
        <f>9*600</f>
        <v>5400</v>
      </c>
      <c r="L1289" s="23">
        <v>36002</v>
      </c>
      <c r="M1289" s="22">
        <f t="shared" si="132"/>
        <v>67894</v>
      </c>
      <c r="N1289" s="22"/>
      <c r="O1289" s="30">
        <f t="shared" si="133"/>
        <v>0.49813640899219347</v>
      </c>
    </row>
    <row r="1290" spans="1:15" ht="20.100000000000001" customHeight="1" x14ac:dyDescent="0.25">
      <c r="A1290" s="33">
        <v>767</v>
      </c>
      <c r="B1290" s="9">
        <v>43675</v>
      </c>
      <c r="C1290" s="18" t="s">
        <v>370</v>
      </c>
      <c r="D1290" s="11">
        <v>3142</v>
      </c>
      <c r="E1290" s="9">
        <v>43677</v>
      </c>
      <c r="F1290" s="15" t="s">
        <v>28</v>
      </c>
      <c r="G1290" s="12">
        <v>43677</v>
      </c>
      <c r="H1290" s="23">
        <f t="shared" si="134"/>
        <v>3142</v>
      </c>
      <c r="I1290" s="23"/>
      <c r="J1290" s="23"/>
      <c r="K1290" s="24"/>
      <c r="L1290" s="23">
        <v>2450</v>
      </c>
      <c r="M1290" s="22">
        <f t="shared" si="132"/>
        <v>692</v>
      </c>
      <c r="N1290" s="22"/>
      <c r="O1290" s="30">
        <f t="shared" si="133"/>
        <v>0.22024188415022278</v>
      </c>
    </row>
    <row r="1291" spans="1:15" ht="20.100000000000001" customHeight="1" x14ac:dyDescent="0.25">
      <c r="A1291" s="33">
        <v>769</v>
      </c>
      <c r="B1291" s="9">
        <v>43676</v>
      </c>
      <c r="C1291" s="18" t="s">
        <v>209</v>
      </c>
      <c r="D1291" s="11">
        <v>8292.61</v>
      </c>
      <c r="E1291" s="9">
        <v>43677</v>
      </c>
      <c r="F1291" s="15" t="s">
        <v>28</v>
      </c>
      <c r="G1291" s="12">
        <v>43677</v>
      </c>
      <c r="H1291" s="23">
        <f t="shared" si="134"/>
        <v>8292.61</v>
      </c>
      <c r="I1291" s="23"/>
      <c r="J1291" s="23"/>
      <c r="K1291" s="24"/>
      <c r="L1291" s="23">
        <v>7462</v>
      </c>
      <c r="M1291" s="22">
        <f t="shared" si="132"/>
        <v>830.61000000000058</v>
      </c>
      <c r="N1291" s="22"/>
      <c r="O1291" s="30">
        <f t="shared" si="133"/>
        <v>0.10016267495999456</v>
      </c>
    </row>
    <row r="1292" spans="1:15" ht="20.100000000000001" customHeight="1" x14ac:dyDescent="0.25">
      <c r="A1292" s="33">
        <v>774</v>
      </c>
      <c r="B1292" s="9">
        <v>43677</v>
      </c>
      <c r="C1292" s="20" t="s">
        <v>411</v>
      </c>
      <c r="D1292" s="11">
        <v>17990</v>
      </c>
      <c r="E1292" s="9">
        <v>43677</v>
      </c>
      <c r="F1292" s="15" t="s">
        <v>28</v>
      </c>
      <c r="G1292" s="12">
        <v>43678</v>
      </c>
      <c r="H1292" s="23">
        <f t="shared" si="134"/>
        <v>17990</v>
      </c>
      <c r="I1292" s="23">
        <f>H1292</f>
        <v>17990</v>
      </c>
      <c r="J1292" s="23"/>
      <c r="K1292" s="24"/>
      <c r="L1292" s="23">
        <v>14168</v>
      </c>
      <c r="M1292" s="22">
        <f t="shared" si="132"/>
        <v>3822</v>
      </c>
      <c r="N1292" s="22">
        <f>M1292</f>
        <v>3822</v>
      </c>
      <c r="O1292" s="30">
        <f t="shared" si="133"/>
        <v>0.21245136186770427</v>
      </c>
    </row>
    <row r="1293" spans="1:15" ht="20.100000000000001" customHeight="1" x14ac:dyDescent="0.25">
      <c r="A1293" s="35" t="s">
        <v>535</v>
      </c>
      <c r="B1293" s="36"/>
      <c r="C1293" s="42"/>
      <c r="D1293" s="37"/>
      <c r="E1293" s="46" t="s">
        <v>569</v>
      </c>
      <c r="F1293" s="47">
        <f>M1293*0.17+N1293*0.06</f>
        <v>66645.731299999999</v>
      </c>
      <c r="G1293" s="21">
        <f>H1293*0.05+I1293*0.02</f>
        <v>65984.000500000009</v>
      </c>
      <c r="H1293" s="49">
        <f>SUBTOTAL(109,Июль2019[Продажа])</f>
        <v>1254919.6100000001</v>
      </c>
      <c r="I1293" s="49">
        <f>SUBTOTAL(109,Июль2019[Продажа НК])</f>
        <v>161901</v>
      </c>
      <c r="J1293" s="49">
        <f>SUBTOTAL(109,Июль2019[отк])</f>
        <v>54000</v>
      </c>
      <c r="K1293" s="49">
        <f>SUBTOTAL(109,Июль2019[шланги])</f>
        <v>15600</v>
      </c>
      <c r="L1293" s="49">
        <f>SUBTOTAL(109,Июль2019[Закупка])</f>
        <v>807804.88</v>
      </c>
      <c r="M1293" s="49">
        <f>SUBTOTAL(109,Июль2019[Маржа])</f>
        <v>377514.73</v>
      </c>
      <c r="N1293" s="49">
        <f>SUBTOTAL(109,Июль2019[Маржа НК])</f>
        <v>41137.119999999995</v>
      </c>
      <c r="O1293" s="44">
        <f t="shared" si="133"/>
        <v>0.3008278195604896</v>
      </c>
    </row>
    <row r="1294" spans="1:15" ht="20.100000000000001" customHeight="1" x14ac:dyDescent="0.25">
      <c r="A1294" s="41" t="s">
        <v>1</v>
      </c>
      <c r="B1294" s="1" t="s">
        <v>0</v>
      </c>
      <c r="C1294" s="1" t="s">
        <v>26</v>
      </c>
      <c r="D1294" s="1" t="s">
        <v>2</v>
      </c>
      <c r="E1294" s="1" t="s">
        <v>3</v>
      </c>
      <c r="F1294" s="1" t="s">
        <v>27</v>
      </c>
      <c r="G1294" s="1" t="s">
        <v>4</v>
      </c>
      <c r="H1294" s="2" t="s">
        <v>132</v>
      </c>
      <c r="I1294" s="2" t="s">
        <v>133</v>
      </c>
      <c r="J1294" s="40" t="s">
        <v>187</v>
      </c>
      <c r="K1294" s="40" t="s">
        <v>188</v>
      </c>
      <c r="L1294" s="40" t="s">
        <v>129</v>
      </c>
      <c r="M1294" s="40" t="s">
        <v>130</v>
      </c>
      <c r="N1294" s="2" t="s">
        <v>131</v>
      </c>
      <c r="O1294" s="2" t="s">
        <v>134</v>
      </c>
    </row>
    <row r="1295" spans="1:15" ht="20.100000000000001" customHeight="1" x14ac:dyDescent="0.25">
      <c r="A1295" s="33">
        <v>764</v>
      </c>
      <c r="B1295" s="9">
        <v>43672</v>
      </c>
      <c r="C1295" s="20" t="s">
        <v>410</v>
      </c>
      <c r="D1295" s="11">
        <v>2001050</v>
      </c>
      <c r="E1295" s="9">
        <v>43676</v>
      </c>
      <c r="F1295" s="15" t="s">
        <v>28</v>
      </c>
      <c r="G1295" s="12">
        <v>43706</v>
      </c>
      <c r="H1295" s="23">
        <f>D1295</f>
        <v>2001050</v>
      </c>
      <c r="I1295" s="23">
        <f>H1295</f>
        <v>2001050</v>
      </c>
      <c r="J1295" s="23">
        <v>30000</v>
      </c>
      <c r="K1295" s="24"/>
      <c r="L1295" s="23">
        <v>1730224</v>
      </c>
      <c r="M1295" s="22">
        <f t="shared" ref="M1295:M1321" si="135">H1295-L1295-J1295-K1295</f>
        <v>240826</v>
      </c>
      <c r="N1295" s="22">
        <f>M1295</f>
        <v>240826</v>
      </c>
      <c r="O1295" s="30">
        <f t="shared" ref="O1295:O1322" si="136">M1295/H1295</f>
        <v>0.12034981634641813</v>
      </c>
    </row>
    <row r="1296" spans="1:15" ht="20.100000000000001" customHeight="1" x14ac:dyDescent="0.25">
      <c r="A1296" s="33">
        <v>785</v>
      </c>
      <c r="B1296" s="9">
        <v>43678</v>
      </c>
      <c r="C1296" s="18" t="s">
        <v>393</v>
      </c>
      <c r="D1296" s="11">
        <v>1314</v>
      </c>
      <c r="E1296" s="9">
        <v>43679</v>
      </c>
      <c r="F1296" s="15" t="s">
        <v>28</v>
      </c>
      <c r="G1296" s="12">
        <v>43682</v>
      </c>
      <c r="H1296" s="23">
        <f>D1296</f>
        <v>1314</v>
      </c>
      <c r="I1296" s="23"/>
      <c r="J1296" s="23"/>
      <c r="K1296" s="24"/>
      <c r="L1296" s="23">
        <v>670</v>
      </c>
      <c r="M1296" s="22">
        <f t="shared" si="135"/>
        <v>644</v>
      </c>
      <c r="N1296" s="22"/>
      <c r="O1296" s="30">
        <f t="shared" si="136"/>
        <v>0.49010654490106542</v>
      </c>
    </row>
    <row r="1297" spans="1:15" ht="20.100000000000001" customHeight="1" x14ac:dyDescent="0.25">
      <c r="A1297" s="33">
        <v>791</v>
      </c>
      <c r="B1297" s="9">
        <v>43682</v>
      </c>
      <c r="C1297" s="18" t="s">
        <v>77</v>
      </c>
      <c r="D1297" s="11">
        <v>34990</v>
      </c>
      <c r="E1297" s="9">
        <v>43682</v>
      </c>
      <c r="F1297" s="15" t="s">
        <v>28</v>
      </c>
      <c r="G1297" s="12">
        <v>43683</v>
      </c>
      <c r="H1297" s="23">
        <f>D1297</f>
        <v>34990</v>
      </c>
      <c r="I1297" s="23"/>
      <c r="J1297" s="23"/>
      <c r="K1297" s="24"/>
      <c r="L1297" s="23">
        <v>25717</v>
      </c>
      <c r="M1297" s="22">
        <f t="shared" si="135"/>
        <v>9273</v>
      </c>
      <c r="N1297" s="22"/>
      <c r="O1297" s="30">
        <f t="shared" si="136"/>
        <v>0.26501857673621032</v>
      </c>
    </row>
    <row r="1298" spans="1:15" ht="20.100000000000001" customHeight="1" x14ac:dyDescent="0.25">
      <c r="A1298" s="33">
        <v>772</v>
      </c>
      <c r="B1298" s="9">
        <v>43677</v>
      </c>
      <c r="C1298" s="18" t="s">
        <v>139</v>
      </c>
      <c r="D1298" s="11">
        <v>2162</v>
      </c>
      <c r="E1298" s="9">
        <v>43683</v>
      </c>
      <c r="F1298" s="15" t="s">
        <v>28</v>
      </c>
      <c r="G1298" s="12">
        <v>43710</v>
      </c>
      <c r="H1298" s="23">
        <f>D1298</f>
        <v>2162</v>
      </c>
      <c r="I1298" s="23"/>
      <c r="J1298" s="23"/>
      <c r="K1298" s="24"/>
      <c r="L1298" s="23">
        <v>1426</v>
      </c>
      <c r="M1298" s="22">
        <f t="shared" si="135"/>
        <v>736</v>
      </c>
      <c r="N1298" s="22"/>
      <c r="O1298" s="30">
        <f t="shared" si="136"/>
        <v>0.34042553191489361</v>
      </c>
    </row>
    <row r="1299" spans="1:15" ht="20.100000000000001" customHeight="1" x14ac:dyDescent="0.25">
      <c r="A1299" s="33">
        <v>792</v>
      </c>
      <c r="B1299" s="9">
        <v>43682</v>
      </c>
      <c r="C1299" s="18" t="s">
        <v>286</v>
      </c>
      <c r="D1299" s="11">
        <v>4986</v>
      </c>
      <c r="E1299" s="9">
        <v>43685</v>
      </c>
      <c r="F1299" s="15" t="s">
        <v>28</v>
      </c>
      <c r="G1299" s="12">
        <v>43686</v>
      </c>
      <c r="H1299" s="23">
        <f>D1299</f>
        <v>4986</v>
      </c>
      <c r="I1299" s="23"/>
      <c r="J1299" s="23"/>
      <c r="K1299" s="24"/>
      <c r="L1299" s="23">
        <v>4194</v>
      </c>
      <c r="M1299" s="22">
        <f t="shared" si="135"/>
        <v>792</v>
      </c>
      <c r="N1299" s="22"/>
      <c r="O1299" s="30">
        <f t="shared" si="136"/>
        <v>0.1588447653429603</v>
      </c>
    </row>
    <row r="1300" spans="1:15" ht="20.100000000000001" customHeight="1" x14ac:dyDescent="0.25">
      <c r="A1300" s="33">
        <v>721</v>
      </c>
      <c r="B1300" s="9">
        <v>43662</v>
      </c>
      <c r="C1300" s="18" t="s">
        <v>179</v>
      </c>
      <c r="D1300" s="11">
        <v>310000</v>
      </c>
      <c r="E1300" s="9">
        <v>43685</v>
      </c>
      <c r="F1300" s="15" t="s">
        <v>28</v>
      </c>
      <c r="G1300" s="12">
        <v>43697</v>
      </c>
      <c r="H1300" s="23">
        <v>248000</v>
      </c>
      <c r="I1300" s="23"/>
      <c r="J1300" s="23"/>
      <c r="K1300" s="24"/>
      <c r="L1300" s="23">
        <v>191000</v>
      </c>
      <c r="M1300" s="22">
        <f t="shared" si="135"/>
        <v>57000</v>
      </c>
      <c r="N1300" s="22"/>
      <c r="O1300" s="30">
        <f t="shared" si="136"/>
        <v>0.22983870967741934</v>
      </c>
    </row>
    <row r="1301" spans="1:15" ht="20.100000000000001" customHeight="1" x14ac:dyDescent="0.25">
      <c r="A1301" s="33">
        <v>638</v>
      </c>
      <c r="B1301" s="9">
        <v>43647</v>
      </c>
      <c r="C1301" s="18" t="s">
        <v>38</v>
      </c>
      <c r="D1301" s="11">
        <v>81758</v>
      </c>
      <c r="E1301" s="9">
        <v>43686</v>
      </c>
      <c r="F1301" s="15" t="s">
        <v>28</v>
      </c>
      <c r="G1301" s="12">
        <v>43656</v>
      </c>
      <c r="H1301" s="23">
        <f>D1301</f>
        <v>81758</v>
      </c>
      <c r="I1301" s="23"/>
      <c r="J1301" s="23"/>
      <c r="K1301" s="24"/>
      <c r="L1301" s="23">
        <v>61044</v>
      </c>
      <c r="M1301" s="22">
        <f t="shared" si="135"/>
        <v>20714</v>
      </c>
      <c r="N1301" s="22"/>
      <c r="O1301" s="30">
        <f t="shared" si="136"/>
        <v>0.25335746960542088</v>
      </c>
    </row>
    <row r="1302" spans="1:15" ht="20.100000000000001" customHeight="1" x14ac:dyDescent="0.25">
      <c r="A1302" s="33">
        <v>802</v>
      </c>
      <c r="B1302" s="9">
        <v>43686</v>
      </c>
      <c r="C1302" s="18" t="s">
        <v>169</v>
      </c>
      <c r="D1302" s="11">
        <v>66090</v>
      </c>
      <c r="E1302" s="9">
        <v>43689</v>
      </c>
      <c r="F1302" s="15" t="s">
        <v>28</v>
      </c>
      <c r="G1302" s="12">
        <v>43692</v>
      </c>
      <c r="H1302" s="23">
        <f>D1302</f>
        <v>66090</v>
      </c>
      <c r="I1302" s="23"/>
      <c r="J1302" s="23"/>
      <c r="K1302" s="24"/>
      <c r="L1302" s="23">
        <v>48320</v>
      </c>
      <c r="M1302" s="22">
        <f t="shared" si="135"/>
        <v>17770</v>
      </c>
      <c r="N1302" s="22"/>
      <c r="O1302" s="30">
        <f t="shared" si="136"/>
        <v>0.26887577545770919</v>
      </c>
    </row>
    <row r="1303" spans="1:15" ht="20.100000000000001" customHeight="1" x14ac:dyDescent="0.25">
      <c r="A1303" s="33">
        <v>790</v>
      </c>
      <c r="B1303" s="9">
        <v>43682</v>
      </c>
      <c r="C1303" s="18" t="s">
        <v>228</v>
      </c>
      <c r="D1303" s="11">
        <v>30086</v>
      </c>
      <c r="E1303" s="9">
        <v>43690</v>
      </c>
      <c r="F1303" s="15" t="s">
        <v>28</v>
      </c>
      <c r="G1303" s="12">
        <v>43731</v>
      </c>
      <c r="H1303" s="23">
        <f>D1303</f>
        <v>30086</v>
      </c>
      <c r="I1303" s="23"/>
      <c r="J1303" s="23"/>
      <c r="K1303" s="24"/>
      <c r="L1303" s="23">
        <v>16583</v>
      </c>
      <c r="M1303" s="22">
        <f t="shared" si="135"/>
        <v>13503</v>
      </c>
      <c r="N1303" s="22"/>
      <c r="O1303" s="30">
        <f t="shared" si="136"/>
        <v>0.44881340158213123</v>
      </c>
    </row>
    <row r="1304" spans="1:15" ht="20.100000000000001" customHeight="1" x14ac:dyDescent="0.25">
      <c r="A1304" s="33">
        <v>795</v>
      </c>
      <c r="B1304" s="9">
        <v>43685</v>
      </c>
      <c r="C1304" s="18" t="s">
        <v>139</v>
      </c>
      <c r="D1304" s="11">
        <v>472173</v>
      </c>
      <c r="E1304" s="9">
        <v>43692</v>
      </c>
      <c r="F1304" s="15" t="s">
        <v>28</v>
      </c>
      <c r="G1304" s="12">
        <v>43710</v>
      </c>
      <c r="H1304" s="23">
        <f>D1304</f>
        <v>472173</v>
      </c>
      <c r="I1304" s="23"/>
      <c r="J1304" s="23"/>
      <c r="K1304" s="24"/>
      <c r="L1304" s="23">
        <v>347643</v>
      </c>
      <c r="M1304" s="22">
        <f t="shared" si="135"/>
        <v>124530</v>
      </c>
      <c r="N1304" s="22"/>
      <c r="O1304" s="30">
        <f t="shared" si="136"/>
        <v>0.26373807905153407</v>
      </c>
    </row>
    <row r="1305" spans="1:15" ht="20.100000000000001" customHeight="1" x14ac:dyDescent="0.25">
      <c r="A1305" s="33">
        <v>803</v>
      </c>
      <c r="B1305" s="9">
        <v>43686</v>
      </c>
      <c r="C1305" s="18" t="s">
        <v>139</v>
      </c>
      <c r="D1305" s="11">
        <v>3324</v>
      </c>
      <c r="E1305" s="9">
        <v>43692</v>
      </c>
      <c r="F1305" s="15" t="s">
        <v>28</v>
      </c>
      <c r="G1305" s="12">
        <v>43710</v>
      </c>
      <c r="H1305" s="23">
        <f>D1305</f>
        <v>3324</v>
      </c>
      <c r="I1305" s="23"/>
      <c r="J1305" s="23"/>
      <c r="K1305" s="24"/>
      <c r="L1305" s="23">
        <v>2194</v>
      </c>
      <c r="M1305" s="22">
        <f t="shared" si="135"/>
        <v>1130</v>
      </c>
      <c r="N1305" s="22"/>
      <c r="O1305" s="30">
        <f t="shared" si="136"/>
        <v>0.33995186522262333</v>
      </c>
    </row>
    <row r="1306" spans="1:15" ht="20.100000000000001" customHeight="1" x14ac:dyDescent="0.25">
      <c r="A1306" s="33">
        <v>721</v>
      </c>
      <c r="B1306" s="9">
        <v>43662</v>
      </c>
      <c r="C1306" s="18" t="s">
        <v>179</v>
      </c>
      <c r="D1306" s="11">
        <v>310000</v>
      </c>
      <c r="E1306" s="9">
        <v>43696</v>
      </c>
      <c r="F1306" s="15" t="s">
        <v>28</v>
      </c>
      <c r="G1306" s="12">
        <v>43697</v>
      </c>
      <c r="H1306" s="23">
        <v>62000</v>
      </c>
      <c r="I1306" s="23"/>
      <c r="J1306" s="23"/>
      <c r="K1306" s="24"/>
      <c r="L1306" s="23">
        <v>48847</v>
      </c>
      <c r="M1306" s="22">
        <f t="shared" si="135"/>
        <v>13153</v>
      </c>
      <c r="N1306" s="22"/>
      <c r="O1306" s="30">
        <f t="shared" si="136"/>
        <v>0.21214516129032257</v>
      </c>
    </row>
    <row r="1307" spans="1:15" ht="20.100000000000001" customHeight="1" x14ac:dyDescent="0.25">
      <c r="A1307" s="33">
        <v>833</v>
      </c>
      <c r="B1307" s="9">
        <v>43696</v>
      </c>
      <c r="C1307" s="18" t="s">
        <v>179</v>
      </c>
      <c r="D1307" s="11">
        <v>62666.75</v>
      </c>
      <c r="E1307" s="9">
        <v>43696</v>
      </c>
      <c r="F1307" s="15" t="s">
        <v>28</v>
      </c>
      <c r="G1307" s="12">
        <v>43707</v>
      </c>
      <c r="H1307" s="23">
        <f t="shared" ref="H1307:H1314" si="137">D1307</f>
        <v>62666.75</v>
      </c>
      <c r="I1307" s="23"/>
      <c r="J1307" s="23"/>
      <c r="K1307" s="24"/>
      <c r="L1307" s="23">
        <v>49050</v>
      </c>
      <c r="M1307" s="22">
        <f t="shared" si="135"/>
        <v>13616.75</v>
      </c>
      <c r="N1307" s="22"/>
      <c r="O1307" s="30">
        <f t="shared" si="136"/>
        <v>0.21728827488261318</v>
      </c>
    </row>
    <row r="1308" spans="1:15" ht="19.5" customHeight="1" x14ac:dyDescent="0.25">
      <c r="A1308" s="33">
        <v>832</v>
      </c>
      <c r="B1308" s="9">
        <v>43696</v>
      </c>
      <c r="C1308" s="18" t="s">
        <v>270</v>
      </c>
      <c r="D1308" s="11">
        <v>3387</v>
      </c>
      <c r="E1308" s="9">
        <v>43697</v>
      </c>
      <c r="F1308" s="15" t="s">
        <v>28</v>
      </c>
      <c r="G1308" s="12">
        <v>43707</v>
      </c>
      <c r="H1308" s="23">
        <f t="shared" si="137"/>
        <v>3387</v>
      </c>
      <c r="I1308" s="23"/>
      <c r="J1308" s="23"/>
      <c r="K1308" s="24"/>
      <c r="L1308" s="23">
        <v>2643</v>
      </c>
      <c r="M1308" s="22">
        <f t="shared" si="135"/>
        <v>744</v>
      </c>
      <c r="N1308" s="22"/>
      <c r="O1308" s="30">
        <f t="shared" si="136"/>
        <v>0.21966341895482727</v>
      </c>
    </row>
    <row r="1309" spans="1:15" ht="19.5" customHeight="1" x14ac:dyDescent="0.25">
      <c r="A1309" s="33">
        <v>840</v>
      </c>
      <c r="B1309" s="9">
        <v>43697</v>
      </c>
      <c r="C1309" s="18" t="s">
        <v>211</v>
      </c>
      <c r="D1309" s="11">
        <v>7730</v>
      </c>
      <c r="E1309" s="9">
        <v>43698</v>
      </c>
      <c r="F1309" s="15" t="s">
        <v>28</v>
      </c>
      <c r="G1309" s="12">
        <v>43719</v>
      </c>
      <c r="H1309" s="23">
        <f t="shared" si="137"/>
        <v>7730</v>
      </c>
      <c r="I1309" s="23"/>
      <c r="J1309" s="23"/>
      <c r="K1309" s="24"/>
      <c r="L1309" s="23">
        <v>5952</v>
      </c>
      <c r="M1309" s="22">
        <f t="shared" si="135"/>
        <v>1778</v>
      </c>
      <c r="N1309" s="22"/>
      <c r="O1309" s="30">
        <f t="shared" si="136"/>
        <v>0.23001293661060801</v>
      </c>
    </row>
    <row r="1310" spans="1:15" ht="19.5" customHeight="1" x14ac:dyDescent="0.25">
      <c r="A1310" s="33">
        <v>851</v>
      </c>
      <c r="B1310" s="9">
        <v>43698</v>
      </c>
      <c r="C1310" s="18" t="s">
        <v>6</v>
      </c>
      <c r="D1310" s="11">
        <v>3590</v>
      </c>
      <c r="E1310" s="9">
        <v>43698</v>
      </c>
      <c r="F1310" s="15" t="s">
        <v>28</v>
      </c>
      <c r="G1310" s="12">
        <v>43699</v>
      </c>
      <c r="H1310" s="23">
        <f t="shared" si="137"/>
        <v>3590</v>
      </c>
      <c r="I1310" s="23"/>
      <c r="J1310" s="23"/>
      <c r="K1310" s="24"/>
      <c r="L1310" s="23">
        <v>2800</v>
      </c>
      <c r="M1310" s="22">
        <f t="shared" si="135"/>
        <v>790</v>
      </c>
      <c r="N1310" s="22"/>
      <c r="O1310" s="30">
        <f t="shared" si="136"/>
        <v>0.22005571030640669</v>
      </c>
    </row>
    <row r="1311" spans="1:15" ht="19.5" customHeight="1" x14ac:dyDescent="0.25">
      <c r="A1311" s="33">
        <v>760</v>
      </c>
      <c r="B1311" s="9">
        <v>43697</v>
      </c>
      <c r="C1311" s="18" t="s">
        <v>334</v>
      </c>
      <c r="D1311" s="11">
        <v>6161</v>
      </c>
      <c r="E1311" s="9">
        <v>43698</v>
      </c>
      <c r="F1311" s="15" t="s">
        <v>28</v>
      </c>
      <c r="G1311" s="12">
        <v>43697</v>
      </c>
      <c r="H1311" s="23">
        <f t="shared" si="137"/>
        <v>6161</v>
      </c>
      <c r="I1311" s="23"/>
      <c r="J1311" s="23"/>
      <c r="K1311" s="24"/>
      <c r="L1311" s="23">
        <v>4739</v>
      </c>
      <c r="M1311" s="22">
        <f t="shared" si="135"/>
        <v>1422</v>
      </c>
      <c r="N1311" s="22"/>
      <c r="O1311" s="30">
        <f t="shared" si="136"/>
        <v>0.23080668722609965</v>
      </c>
    </row>
    <row r="1312" spans="1:15" ht="19.5" customHeight="1" x14ac:dyDescent="0.25">
      <c r="A1312" s="33">
        <v>844</v>
      </c>
      <c r="B1312" s="9">
        <v>43698</v>
      </c>
      <c r="C1312" s="18" t="s">
        <v>118</v>
      </c>
      <c r="D1312" s="11">
        <v>4696.5</v>
      </c>
      <c r="E1312" s="9">
        <v>43698</v>
      </c>
      <c r="F1312" s="15" t="s">
        <v>28</v>
      </c>
      <c r="G1312" s="12">
        <v>43698</v>
      </c>
      <c r="H1312" s="23">
        <f t="shared" si="137"/>
        <v>4696.5</v>
      </c>
      <c r="I1312" s="23"/>
      <c r="J1312" s="23"/>
      <c r="K1312" s="24"/>
      <c r="L1312" s="23">
        <v>4143</v>
      </c>
      <c r="M1312" s="22">
        <f t="shared" si="135"/>
        <v>553.5</v>
      </c>
      <c r="N1312" s="22"/>
      <c r="O1312" s="30">
        <f t="shared" si="136"/>
        <v>0.11785372085595656</v>
      </c>
    </row>
    <row r="1313" spans="1:15" ht="19.5" customHeight="1" x14ac:dyDescent="0.25">
      <c r="A1313" s="33">
        <v>847</v>
      </c>
      <c r="B1313" s="9">
        <v>43698</v>
      </c>
      <c r="C1313" s="18" t="s">
        <v>412</v>
      </c>
      <c r="D1313" s="11">
        <v>9440</v>
      </c>
      <c r="E1313" s="9">
        <v>43699</v>
      </c>
      <c r="F1313" s="15" t="s">
        <v>28</v>
      </c>
      <c r="G1313" s="12">
        <v>43700</v>
      </c>
      <c r="H1313" s="23">
        <f t="shared" si="137"/>
        <v>9440</v>
      </c>
      <c r="I1313" s="23"/>
      <c r="J1313" s="23"/>
      <c r="K1313" s="24"/>
      <c r="L1313" s="23">
        <v>6536</v>
      </c>
      <c r="M1313" s="22">
        <f t="shared" si="135"/>
        <v>2904</v>
      </c>
      <c r="N1313" s="22"/>
      <c r="O1313" s="30">
        <f t="shared" si="136"/>
        <v>0.30762711864406778</v>
      </c>
    </row>
    <row r="1314" spans="1:15" ht="19.5" customHeight="1" x14ac:dyDescent="0.25">
      <c r="A1314" s="33">
        <v>728</v>
      </c>
      <c r="B1314" s="9">
        <v>43663</v>
      </c>
      <c r="C1314" s="20" t="s">
        <v>406</v>
      </c>
      <c r="D1314" s="11">
        <v>78159</v>
      </c>
      <c r="E1314" s="9">
        <v>43699</v>
      </c>
      <c r="F1314" s="15" t="s">
        <v>28</v>
      </c>
      <c r="G1314" s="12">
        <v>43663</v>
      </c>
      <c r="H1314" s="23">
        <f t="shared" si="137"/>
        <v>78159</v>
      </c>
      <c r="I1314" s="23">
        <f>H1314</f>
        <v>78159</v>
      </c>
      <c r="J1314" s="23"/>
      <c r="K1314" s="24"/>
      <c r="L1314" s="23">
        <v>57342</v>
      </c>
      <c r="M1314" s="22">
        <f t="shared" si="135"/>
        <v>20817</v>
      </c>
      <c r="N1314" s="22">
        <f>M1314</f>
        <v>20817</v>
      </c>
      <c r="O1314" s="30">
        <f t="shared" si="136"/>
        <v>0.26634168809734005</v>
      </c>
    </row>
    <row r="1315" spans="1:15" ht="19.5" customHeight="1" x14ac:dyDescent="0.25">
      <c r="A1315" s="33">
        <v>642</v>
      </c>
      <c r="B1315" s="9">
        <v>43649</v>
      </c>
      <c r="C1315" s="18" t="s">
        <v>65</v>
      </c>
      <c r="D1315" s="11">
        <v>301672.8</v>
      </c>
      <c r="E1315" s="9">
        <v>43699</v>
      </c>
      <c r="F1315" s="15" t="s">
        <v>28</v>
      </c>
      <c r="G1315" s="12">
        <v>43656</v>
      </c>
      <c r="H1315" s="23">
        <f>155641.2+7473.6</f>
        <v>163114.80000000002</v>
      </c>
      <c r="I1315" s="23"/>
      <c r="J1315" s="23"/>
      <c r="K1315" s="24"/>
      <c r="L1315" s="23">
        <v>130084</v>
      </c>
      <c r="M1315" s="22">
        <f t="shared" si="135"/>
        <v>33030.800000000017</v>
      </c>
      <c r="N1315" s="22"/>
      <c r="O1315" s="30">
        <f t="shared" si="136"/>
        <v>0.20250032492453177</v>
      </c>
    </row>
    <row r="1316" spans="1:15" ht="15.75" x14ac:dyDescent="0.25">
      <c r="A1316" s="33">
        <v>642</v>
      </c>
      <c r="B1316" s="9">
        <v>43649</v>
      </c>
      <c r="C1316" s="18" t="s">
        <v>65</v>
      </c>
      <c r="D1316" s="11">
        <v>301672.8</v>
      </c>
      <c r="E1316" s="9">
        <v>43699</v>
      </c>
      <c r="F1316" s="15" t="s">
        <v>28</v>
      </c>
      <c r="G1316" s="12">
        <v>43664</v>
      </c>
      <c r="H1316" s="23">
        <v>134619</v>
      </c>
      <c r="I1316" s="23"/>
      <c r="J1316" s="23"/>
      <c r="K1316" s="24"/>
      <c r="L1316" s="23">
        <v>98873</v>
      </c>
      <c r="M1316" s="22">
        <f t="shared" si="135"/>
        <v>35746</v>
      </c>
      <c r="N1316" s="22"/>
      <c r="O1316" s="30">
        <f t="shared" si="136"/>
        <v>0.26553458278549091</v>
      </c>
    </row>
    <row r="1317" spans="1:15" s="2" customFormat="1" ht="20.100000000000001" customHeight="1" x14ac:dyDescent="0.25">
      <c r="A1317" s="33">
        <v>863</v>
      </c>
      <c r="B1317" s="9">
        <v>43700</v>
      </c>
      <c r="C1317" s="18" t="s">
        <v>360</v>
      </c>
      <c r="D1317" s="11">
        <v>7962</v>
      </c>
      <c r="E1317" s="9">
        <v>43703</v>
      </c>
      <c r="F1317" s="15" t="s">
        <v>28</v>
      </c>
      <c r="G1317" s="12">
        <v>43705</v>
      </c>
      <c r="H1317" s="23">
        <f>D1317</f>
        <v>7962</v>
      </c>
      <c r="I1317" s="23"/>
      <c r="J1317" s="23"/>
      <c r="K1317" s="24"/>
      <c r="L1317" s="23">
        <v>6096.88</v>
      </c>
      <c r="M1317" s="22">
        <f t="shared" si="135"/>
        <v>1865.12</v>
      </c>
      <c r="N1317" s="22"/>
      <c r="O1317" s="30">
        <f t="shared" si="136"/>
        <v>0.2342527003265511</v>
      </c>
    </row>
    <row r="1318" spans="1:15" ht="20.100000000000001" customHeight="1" x14ac:dyDescent="0.25">
      <c r="A1318" s="33">
        <v>867</v>
      </c>
      <c r="B1318" s="9">
        <v>43703</v>
      </c>
      <c r="C1318" s="18" t="s">
        <v>149</v>
      </c>
      <c r="D1318" s="11">
        <v>5400</v>
      </c>
      <c r="E1318" s="9">
        <v>43703</v>
      </c>
      <c r="F1318" s="15" t="s">
        <v>28</v>
      </c>
      <c r="G1318" s="12">
        <v>43705</v>
      </c>
      <c r="H1318" s="23">
        <f>D1318</f>
        <v>5400</v>
      </c>
      <c r="I1318" s="23"/>
      <c r="J1318" s="23"/>
      <c r="K1318" s="24"/>
      <c r="L1318" s="23">
        <v>3564</v>
      </c>
      <c r="M1318" s="22">
        <f t="shared" si="135"/>
        <v>1836</v>
      </c>
      <c r="N1318" s="22"/>
      <c r="O1318" s="30">
        <f t="shared" si="136"/>
        <v>0.34</v>
      </c>
    </row>
    <row r="1319" spans="1:15" ht="20.100000000000001" customHeight="1" x14ac:dyDescent="0.25">
      <c r="A1319" s="33">
        <v>780</v>
      </c>
      <c r="B1319" s="9">
        <v>43677</v>
      </c>
      <c r="C1319" s="18" t="s">
        <v>209</v>
      </c>
      <c r="D1319" s="11">
        <v>998</v>
      </c>
      <c r="E1319" s="9">
        <v>43706</v>
      </c>
      <c r="F1319" s="15" t="s">
        <v>28</v>
      </c>
      <c r="G1319" s="12">
        <v>43677</v>
      </c>
      <c r="H1319" s="23">
        <f>D1319</f>
        <v>998</v>
      </c>
      <c r="I1319" s="23"/>
      <c r="J1319" s="23"/>
      <c r="K1319" s="24"/>
      <c r="L1319" s="23">
        <v>650</v>
      </c>
      <c r="M1319" s="22">
        <f t="shared" si="135"/>
        <v>348</v>
      </c>
      <c r="N1319" s="22"/>
      <c r="O1319" s="30">
        <f t="shared" si="136"/>
        <v>0.34869739478957917</v>
      </c>
    </row>
    <row r="1320" spans="1:15" ht="20.100000000000001" customHeight="1" x14ac:dyDescent="0.25">
      <c r="A1320" s="33">
        <v>872</v>
      </c>
      <c r="B1320" s="9">
        <v>43705</v>
      </c>
      <c r="C1320" s="18" t="s">
        <v>149</v>
      </c>
      <c r="D1320" s="11">
        <v>12678</v>
      </c>
      <c r="E1320" s="9">
        <v>43706</v>
      </c>
      <c r="F1320" s="15" t="s">
        <v>28</v>
      </c>
      <c r="G1320" s="12">
        <v>43710</v>
      </c>
      <c r="H1320" s="23">
        <f>D1320</f>
        <v>12678</v>
      </c>
      <c r="I1320" s="23"/>
      <c r="J1320" s="23"/>
      <c r="K1320" s="24"/>
      <c r="L1320" s="23">
        <v>9429</v>
      </c>
      <c r="M1320" s="22">
        <f t="shared" si="135"/>
        <v>3249</v>
      </c>
      <c r="N1320" s="22"/>
      <c r="O1320" s="30">
        <f t="shared" si="136"/>
        <v>0.25627070515854233</v>
      </c>
    </row>
    <row r="1321" spans="1:15" ht="20.100000000000001" customHeight="1" x14ac:dyDescent="0.25">
      <c r="A1321" s="33">
        <v>722</v>
      </c>
      <c r="B1321" s="9">
        <v>43662</v>
      </c>
      <c r="C1321" s="18" t="s">
        <v>83</v>
      </c>
      <c r="D1321" s="11">
        <v>2588</v>
      </c>
      <c r="E1321" s="9">
        <v>43706</v>
      </c>
      <c r="F1321" s="15" t="s">
        <v>28</v>
      </c>
      <c r="G1321" s="12">
        <v>43662</v>
      </c>
      <c r="H1321" s="23">
        <f>D1321</f>
        <v>2588</v>
      </c>
      <c r="I1321" s="23"/>
      <c r="J1321" s="23"/>
      <c r="K1321" s="24"/>
      <c r="L1321" s="23">
        <v>2018</v>
      </c>
      <c r="M1321" s="22">
        <f t="shared" si="135"/>
        <v>570</v>
      </c>
      <c r="N1321" s="22"/>
      <c r="O1321" s="30">
        <f t="shared" si="136"/>
        <v>0.22024729520865532</v>
      </c>
    </row>
    <row r="1322" spans="1:15" ht="20.100000000000001" customHeight="1" x14ac:dyDescent="0.25">
      <c r="A1322" s="35" t="s">
        <v>535</v>
      </c>
      <c r="B1322" s="36"/>
      <c r="C1322" s="42"/>
      <c r="D1322" s="37"/>
      <c r="E1322" s="46" t="s">
        <v>570</v>
      </c>
      <c r="F1322" s="47">
        <f>M1322*0.17+N1322*0.06</f>
        <v>120986.57890000002</v>
      </c>
      <c r="G1322" s="21">
        <f>H1322*0.05+I1322*0.02</f>
        <v>217140.33249999999</v>
      </c>
      <c r="H1322" s="49">
        <f>SUBTOTAL(109,Август2019[Продажа])</f>
        <v>3511123.05</v>
      </c>
      <c r="I1322" s="49">
        <f>SUBTOTAL(109,Август2019[Продажа НК])</f>
        <v>2079209</v>
      </c>
      <c r="J1322" s="49">
        <f>SUBTOTAL(109,Август2019[отк])</f>
        <v>30000</v>
      </c>
      <c r="K1322" s="49">
        <f>SUBTOTAL(109,Август2019[шланги])</f>
        <v>0</v>
      </c>
      <c r="L1322" s="49">
        <f>SUBTOTAL(109,Август2019[Закупка])</f>
        <v>2861781.88</v>
      </c>
      <c r="M1322" s="49">
        <f>SUBTOTAL(109,Август2019[Маржа])</f>
        <v>619341.17000000004</v>
      </c>
      <c r="N1322" s="49">
        <f>SUBTOTAL(109,Август2019[Маржа НК])</f>
        <v>261643</v>
      </c>
      <c r="O1322" s="44">
        <f t="shared" si="136"/>
        <v>0.17639403722976899</v>
      </c>
    </row>
    <row r="1323" spans="1:15" ht="20.100000000000001" customHeight="1" x14ac:dyDescent="0.25">
      <c r="A1323" s="41" t="s">
        <v>1</v>
      </c>
      <c r="B1323" s="1" t="s">
        <v>0</v>
      </c>
      <c r="C1323" s="1" t="s">
        <v>26</v>
      </c>
      <c r="D1323" s="1" t="s">
        <v>2</v>
      </c>
      <c r="E1323" s="1" t="s">
        <v>3</v>
      </c>
      <c r="F1323" s="1" t="s">
        <v>27</v>
      </c>
      <c r="G1323" s="1" t="s">
        <v>4</v>
      </c>
      <c r="H1323" s="2" t="s">
        <v>132</v>
      </c>
      <c r="I1323" s="2" t="s">
        <v>133</v>
      </c>
      <c r="J1323" s="40" t="s">
        <v>187</v>
      </c>
      <c r="K1323" s="40" t="s">
        <v>188</v>
      </c>
      <c r="L1323" s="40" t="s">
        <v>129</v>
      </c>
      <c r="M1323" s="40" t="s">
        <v>130</v>
      </c>
      <c r="N1323" s="2" t="s">
        <v>131</v>
      </c>
      <c r="O1323" s="2" t="s">
        <v>134</v>
      </c>
    </row>
    <row r="1324" spans="1:15" ht="20.100000000000001" customHeight="1" x14ac:dyDescent="0.25">
      <c r="A1324" s="33">
        <v>880</v>
      </c>
      <c r="B1324" s="4">
        <v>43707</v>
      </c>
      <c r="C1324" s="18" t="s">
        <v>372</v>
      </c>
      <c r="D1324" s="3">
        <v>2588</v>
      </c>
      <c r="E1324" s="9">
        <v>43710</v>
      </c>
      <c r="F1324" s="15" t="s">
        <v>28</v>
      </c>
      <c r="G1324" s="12">
        <v>43711</v>
      </c>
      <c r="H1324" s="23">
        <f t="shared" ref="H1324:H1333" si="138">D1324</f>
        <v>2588</v>
      </c>
      <c r="I1324" s="23"/>
      <c r="J1324" s="23"/>
      <c r="K1324" s="24"/>
      <c r="L1324" s="23">
        <v>2018</v>
      </c>
      <c r="M1324" s="22">
        <f t="shared" ref="M1324:M1355" si="139">H1324-L1324-J1324-K1324</f>
        <v>570</v>
      </c>
      <c r="N1324" s="22"/>
      <c r="O1324" s="30">
        <f t="shared" ref="O1324:O1356" si="140">M1324/H1324</f>
        <v>0.22024729520865532</v>
      </c>
    </row>
    <row r="1325" spans="1:15" ht="20.100000000000001" customHeight="1" x14ac:dyDescent="0.25">
      <c r="A1325" s="33">
        <v>866</v>
      </c>
      <c r="B1325" s="4">
        <v>43703</v>
      </c>
      <c r="C1325" s="18" t="s">
        <v>128</v>
      </c>
      <c r="D1325" s="3">
        <v>12658</v>
      </c>
      <c r="E1325" s="9">
        <v>43710</v>
      </c>
      <c r="F1325" s="15" t="s">
        <v>28</v>
      </c>
      <c r="G1325" s="12">
        <v>43745</v>
      </c>
      <c r="H1325" s="23">
        <f t="shared" si="138"/>
        <v>12658</v>
      </c>
      <c r="I1325" s="23"/>
      <c r="J1325" s="23"/>
      <c r="K1325" s="24"/>
      <c r="L1325" s="23">
        <v>9746</v>
      </c>
      <c r="M1325" s="22">
        <f t="shared" si="139"/>
        <v>2912</v>
      </c>
      <c r="N1325" s="22"/>
      <c r="O1325" s="30">
        <f t="shared" si="140"/>
        <v>0.2300521409385369</v>
      </c>
    </row>
    <row r="1326" spans="1:15" ht="20.100000000000001" customHeight="1" x14ac:dyDescent="0.25">
      <c r="A1326" s="33">
        <v>869</v>
      </c>
      <c r="B1326" s="4">
        <v>43704</v>
      </c>
      <c r="C1326" s="18" t="s">
        <v>403</v>
      </c>
      <c r="D1326" s="3">
        <v>5431</v>
      </c>
      <c r="E1326" s="9">
        <v>43710</v>
      </c>
      <c r="F1326" s="15" t="s">
        <v>28</v>
      </c>
      <c r="G1326" s="12">
        <v>43713</v>
      </c>
      <c r="H1326" s="23">
        <f t="shared" si="138"/>
        <v>5431</v>
      </c>
      <c r="I1326" s="23"/>
      <c r="J1326" s="23"/>
      <c r="K1326" s="24"/>
      <c r="L1326" s="23">
        <v>3927</v>
      </c>
      <c r="M1326" s="22">
        <f t="shared" si="139"/>
        <v>1504</v>
      </c>
      <c r="N1326" s="22"/>
      <c r="O1326" s="30">
        <f t="shared" si="140"/>
        <v>0.27692874240471366</v>
      </c>
    </row>
    <row r="1327" spans="1:15" ht="20.100000000000001" customHeight="1" x14ac:dyDescent="0.25">
      <c r="A1327" s="33">
        <v>834</v>
      </c>
      <c r="B1327" s="4">
        <v>43696</v>
      </c>
      <c r="C1327" s="18" t="s">
        <v>392</v>
      </c>
      <c r="D1327" s="3">
        <v>17108</v>
      </c>
      <c r="E1327" s="9">
        <v>43711</v>
      </c>
      <c r="F1327" s="15" t="s">
        <v>28</v>
      </c>
      <c r="G1327" s="12">
        <v>43726</v>
      </c>
      <c r="H1327" s="23">
        <f t="shared" si="138"/>
        <v>17108</v>
      </c>
      <c r="I1327" s="23"/>
      <c r="J1327" s="23"/>
      <c r="K1327" s="24"/>
      <c r="L1327" s="23">
        <v>11291</v>
      </c>
      <c r="M1327" s="22">
        <f t="shared" si="139"/>
        <v>5817</v>
      </c>
      <c r="N1327" s="22"/>
      <c r="O1327" s="30">
        <f t="shared" si="140"/>
        <v>0.34001636661211132</v>
      </c>
    </row>
    <row r="1328" spans="1:15" ht="20.100000000000001" customHeight="1" x14ac:dyDescent="0.25">
      <c r="A1328" s="33">
        <v>742</v>
      </c>
      <c r="B1328" s="4">
        <v>43668</v>
      </c>
      <c r="C1328" s="18" t="s">
        <v>56</v>
      </c>
      <c r="D1328" s="3">
        <v>147765</v>
      </c>
      <c r="E1328" s="9">
        <v>43711</v>
      </c>
      <c r="F1328" s="15" t="s">
        <v>28</v>
      </c>
      <c r="G1328" s="12">
        <v>43683</v>
      </c>
      <c r="H1328" s="23">
        <f t="shared" si="138"/>
        <v>147765</v>
      </c>
      <c r="I1328" s="23"/>
      <c r="J1328" s="23"/>
      <c r="K1328" s="24"/>
      <c r="L1328" s="23">
        <v>105129</v>
      </c>
      <c r="M1328" s="22">
        <f t="shared" si="139"/>
        <v>42636</v>
      </c>
      <c r="N1328" s="22"/>
      <c r="O1328" s="30">
        <f t="shared" si="140"/>
        <v>0.28853923459547254</v>
      </c>
    </row>
    <row r="1329" spans="1:16" ht="20.100000000000001" customHeight="1" x14ac:dyDescent="0.25">
      <c r="A1329" s="33">
        <v>881</v>
      </c>
      <c r="B1329" s="4">
        <v>43707</v>
      </c>
      <c r="C1329" s="18" t="s">
        <v>45</v>
      </c>
      <c r="D1329" s="3">
        <v>350850</v>
      </c>
      <c r="E1329" s="9">
        <v>43712</v>
      </c>
      <c r="F1329" s="15" t="s">
        <v>28</v>
      </c>
      <c r="G1329" s="12">
        <v>43788</v>
      </c>
      <c r="H1329" s="23">
        <f t="shared" si="138"/>
        <v>350850</v>
      </c>
      <c r="I1329" s="23"/>
      <c r="J1329" s="23"/>
      <c r="K1329" s="24"/>
      <c r="L1329" s="23">
        <v>259127</v>
      </c>
      <c r="M1329" s="22">
        <f t="shared" si="139"/>
        <v>91723</v>
      </c>
      <c r="N1329" s="22"/>
      <c r="O1329" s="30">
        <f t="shared" si="140"/>
        <v>0.26143081088784381</v>
      </c>
    </row>
    <row r="1330" spans="1:16" ht="20.100000000000001" customHeight="1" x14ac:dyDescent="0.25">
      <c r="A1330" s="33">
        <v>796</v>
      </c>
      <c r="B1330" s="4">
        <v>43685</v>
      </c>
      <c r="C1330" s="18" t="s">
        <v>11</v>
      </c>
      <c r="D1330" s="3">
        <v>15220</v>
      </c>
      <c r="E1330" s="9">
        <v>43712</v>
      </c>
      <c r="F1330" s="15" t="s">
        <v>28</v>
      </c>
      <c r="G1330" s="12">
        <v>43714</v>
      </c>
      <c r="H1330" s="23">
        <f t="shared" si="138"/>
        <v>15220</v>
      </c>
      <c r="I1330" s="23"/>
      <c r="J1330" s="23"/>
      <c r="K1330" s="24"/>
      <c r="L1330" s="23">
        <v>11871</v>
      </c>
      <c r="M1330" s="22">
        <f t="shared" si="139"/>
        <v>3349</v>
      </c>
      <c r="N1330" s="22"/>
      <c r="O1330" s="30">
        <f t="shared" si="140"/>
        <v>0.22003942181340341</v>
      </c>
    </row>
    <row r="1331" spans="1:16" ht="20.100000000000001" customHeight="1" x14ac:dyDescent="0.25">
      <c r="A1331" s="33">
        <v>900</v>
      </c>
      <c r="B1331" s="4">
        <v>43712</v>
      </c>
      <c r="C1331" s="20" t="s">
        <v>413</v>
      </c>
      <c r="D1331" s="3">
        <v>31104</v>
      </c>
      <c r="E1331" s="9">
        <v>43712</v>
      </c>
      <c r="F1331" s="15" t="s">
        <v>28</v>
      </c>
      <c r="G1331" s="12">
        <v>43713</v>
      </c>
      <c r="H1331" s="23">
        <f t="shared" si="138"/>
        <v>31104</v>
      </c>
      <c r="I1331" s="23">
        <f>H1331</f>
        <v>31104</v>
      </c>
      <c r="J1331" s="23"/>
      <c r="K1331" s="24"/>
      <c r="L1331" s="23">
        <v>23011</v>
      </c>
      <c r="M1331" s="22">
        <f t="shared" si="139"/>
        <v>8093</v>
      </c>
      <c r="N1331" s="22">
        <f>M1331</f>
        <v>8093</v>
      </c>
      <c r="O1331" s="30">
        <f t="shared" si="140"/>
        <v>0.26019161522633744</v>
      </c>
    </row>
    <row r="1332" spans="1:16" ht="20.100000000000001" customHeight="1" x14ac:dyDescent="0.25">
      <c r="A1332" s="33">
        <v>797</v>
      </c>
      <c r="B1332" s="9">
        <v>43685</v>
      </c>
      <c r="C1332" s="18" t="s">
        <v>99</v>
      </c>
      <c r="D1332" s="11">
        <v>182248</v>
      </c>
      <c r="E1332" s="9">
        <v>43713</v>
      </c>
      <c r="F1332" s="15" t="s">
        <v>28</v>
      </c>
      <c r="G1332" s="12">
        <v>43697</v>
      </c>
      <c r="H1332" s="23">
        <f t="shared" si="138"/>
        <v>182248</v>
      </c>
      <c r="I1332" s="23"/>
      <c r="J1332" s="23">
        <v>24000</v>
      </c>
      <c r="K1332" s="24">
        <v>3200</v>
      </c>
      <c r="L1332" s="23">
        <v>79298</v>
      </c>
      <c r="M1332" s="22">
        <f t="shared" si="139"/>
        <v>75750</v>
      </c>
      <c r="N1332" s="22"/>
      <c r="O1332" s="30">
        <f t="shared" si="140"/>
        <v>0.41564242131600898</v>
      </c>
    </row>
    <row r="1333" spans="1:16" ht="20.100000000000001" customHeight="1" x14ac:dyDescent="0.25">
      <c r="A1333" s="33">
        <v>836</v>
      </c>
      <c r="B1333" s="9">
        <v>43697</v>
      </c>
      <c r="C1333" s="18" t="s">
        <v>99</v>
      </c>
      <c r="D1333" s="11">
        <v>5000</v>
      </c>
      <c r="E1333" s="9">
        <v>43713</v>
      </c>
      <c r="F1333" s="15" t="s">
        <v>28</v>
      </c>
      <c r="G1333" s="12">
        <v>43710</v>
      </c>
      <c r="H1333" s="23">
        <f t="shared" si="138"/>
        <v>5000</v>
      </c>
      <c r="I1333" s="23"/>
      <c r="J1333" s="23"/>
      <c r="K1333" s="24"/>
      <c r="L1333" s="23">
        <v>2550</v>
      </c>
      <c r="M1333" s="22">
        <f t="shared" si="139"/>
        <v>2450</v>
      </c>
      <c r="N1333" s="22"/>
      <c r="O1333" s="30">
        <f t="shared" si="140"/>
        <v>0.49</v>
      </c>
    </row>
    <row r="1334" spans="1:16" ht="20.100000000000001" customHeight="1" x14ac:dyDescent="0.25">
      <c r="A1334" s="33">
        <v>642</v>
      </c>
      <c r="B1334" s="9">
        <v>43649</v>
      </c>
      <c r="C1334" s="18" t="s">
        <v>65</v>
      </c>
      <c r="D1334" s="11">
        <v>301672.8</v>
      </c>
      <c r="E1334" s="9">
        <v>43713</v>
      </c>
      <c r="F1334" s="15" t="s">
        <v>28</v>
      </c>
      <c r="G1334" s="12">
        <v>43683</v>
      </c>
      <c r="H1334" s="23">
        <v>3939</v>
      </c>
      <c r="I1334" s="23"/>
      <c r="J1334" s="23"/>
      <c r="K1334" s="24"/>
      <c r="L1334" s="23">
        <v>3072</v>
      </c>
      <c r="M1334" s="22">
        <f t="shared" si="139"/>
        <v>867</v>
      </c>
      <c r="N1334" s="22"/>
      <c r="O1334" s="30">
        <f t="shared" si="140"/>
        <v>0.22010662604722012</v>
      </c>
    </row>
    <row r="1335" spans="1:16" ht="20.100000000000001" customHeight="1" x14ac:dyDescent="0.25">
      <c r="A1335" s="33">
        <v>712</v>
      </c>
      <c r="B1335" s="9">
        <v>43658</v>
      </c>
      <c r="C1335" s="18" t="s">
        <v>65</v>
      </c>
      <c r="D1335" s="11">
        <v>66780</v>
      </c>
      <c r="E1335" s="9">
        <v>43713</v>
      </c>
      <c r="F1335" s="15" t="s">
        <v>28</v>
      </c>
      <c r="G1335" s="12">
        <v>43683</v>
      </c>
      <c r="H1335" s="23">
        <f t="shared" ref="H1335:H1355" si="141">D1335</f>
        <v>66780</v>
      </c>
      <c r="I1335" s="23"/>
      <c r="J1335" s="23"/>
      <c r="K1335" s="24"/>
      <c r="L1335" s="23">
        <v>50180</v>
      </c>
      <c r="M1335" s="22">
        <f t="shared" si="139"/>
        <v>16600</v>
      </c>
      <c r="N1335" s="22"/>
      <c r="O1335" s="30">
        <f t="shared" si="140"/>
        <v>0.24857741838873915</v>
      </c>
    </row>
    <row r="1336" spans="1:16" ht="20.100000000000001" customHeight="1" x14ac:dyDescent="0.25">
      <c r="A1336" s="33">
        <v>897</v>
      </c>
      <c r="B1336" s="9">
        <v>43711</v>
      </c>
      <c r="C1336" s="18" t="s">
        <v>139</v>
      </c>
      <c r="D1336" s="11">
        <v>6015</v>
      </c>
      <c r="E1336" s="9">
        <v>43713</v>
      </c>
      <c r="F1336" s="15" t="s">
        <v>28</v>
      </c>
      <c r="G1336" s="12">
        <v>43720</v>
      </c>
      <c r="H1336" s="23">
        <f t="shared" si="141"/>
        <v>6015</v>
      </c>
      <c r="I1336" s="23"/>
      <c r="J1336" s="23"/>
      <c r="K1336" s="24"/>
      <c r="L1336" s="23">
        <v>4692</v>
      </c>
      <c r="M1336" s="22">
        <f t="shared" si="139"/>
        <v>1323</v>
      </c>
      <c r="N1336" s="22"/>
      <c r="O1336" s="30">
        <f t="shared" si="140"/>
        <v>0.21995012468827929</v>
      </c>
    </row>
    <row r="1337" spans="1:16" ht="20.100000000000001" customHeight="1" x14ac:dyDescent="0.25">
      <c r="A1337" s="33">
        <v>883</v>
      </c>
      <c r="B1337" s="4">
        <v>43710</v>
      </c>
      <c r="C1337" s="18" t="s">
        <v>45</v>
      </c>
      <c r="D1337" s="3">
        <v>2183</v>
      </c>
      <c r="E1337" s="9">
        <v>43714</v>
      </c>
      <c r="F1337" s="15" t="s">
        <v>28</v>
      </c>
      <c r="G1337" s="12">
        <v>43728</v>
      </c>
      <c r="H1337" s="23">
        <f t="shared" si="141"/>
        <v>2183</v>
      </c>
      <c r="I1337" s="23"/>
      <c r="J1337" s="23"/>
      <c r="K1337" s="24"/>
      <c r="L1337" s="23">
        <v>1440</v>
      </c>
      <c r="M1337" s="22">
        <f t="shared" si="139"/>
        <v>743</v>
      </c>
      <c r="N1337" s="22"/>
      <c r="O1337" s="30">
        <f t="shared" si="140"/>
        <v>0.34035730645900136</v>
      </c>
    </row>
    <row r="1338" spans="1:16" ht="20.100000000000001" customHeight="1" x14ac:dyDescent="0.25">
      <c r="A1338" s="33">
        <v>905</v>
      </c>
      <c r="B1338" s="4">
        <v>43717</v>
      </c>
      <c r="C1338" s="18" t="s">
        <v>209</v>
      </c>
      <c r="D1338" s="3">
        <v>5604.05</v>
      </c>
      <c r="E1338" s="9">
        <v>43717</v>
      </c>
      <c r="F1338" s="15" t="s">
        <v>28</v>
      </c>
      <c r="G1338" s="12">
        <v>43719</v>
      </c>
      <c r="H1338" s="23">
        <f t="shared" si="141"/>
        <v>5604.05</v>
      </c>
      <c r="I1338" s="23"/>
      <c r="J1338" s="23"/>
      <c r="K1338" s="24"/>
      <c r="L1338" s="23">
        <v>4868</v>
      </c>
      <c r="M1338" s="22">
        <f t="shared" si="139"/>
        <v>736.05000000000018</v>
      </c>
      <c r="N1338" s="22"/>
      <c r="O1338" s="30">
        <f t="shared" si="140"/>
        <v>0.13134251121956445</v>
      </c>
    </row>
    <row r="1339" spans="1:16" ht="20.100000000000001" customHeight="1" x14ac:dyDescent="0.25">
      <c r="A1339" s="33">
        <v>859</v>
      </c>
      <c r="B1339" s="4">
        <v>43699</v>
      </c>
      <c r="C1339" s="18" t="s">
        <v>162</v>
      </c>
      <c r="D1339" s="3">
        <v>5786</v>
      </c>
      <c r="E1339" s="9">
        <v>43717</v>
      </c>
      <c r="F1339" s="15" t="s">
        <v>28</v>
      </c>
      <c r="G1339" s="12">
        <v>43720</v>
      </c>
      <c r="H1339" s="23">
        <f t="shared" si="141"/>
        <v>5786</v>
      </c>
      <c r="I1339" s="23"/>
      <c r="J1339" s="23"/>
      <c r="K1339" s="24"/>
      <c r="L1339" s="23">
        <v>4513</v>
      </c>
      <c r="M1339" s="22">
        <f t="shared" si="139"/>
        <v>1273</v>
      </c>
      <c r="N1339" s="22"/>
      <c r="O1339" s="30">
        <f t="shared" si="140"/>
        <v>0.22001382647770482</v>
      </c>
      <c r="P1339" s="28"/>
    </row>
    <row r="1340" spans="1:16" ht="20.100000000000001" customHeight="1" x14ac:dyDescent="0.25">
      <c r="A1340" s="33">
        <v>899</v>
      </c>
      <c r="B1340" s="4">
        <v>43712</v>
      </c>
      <c r="C1340" s="18" t="s">
        <v>368</v>
      </c>
      <c r="D1340" s="3">
        <v>49390</v>
      </c>
      <c r="E1340" s="9">
        <v>43719</v>
      </c>
      <c r="F1340" s="15" t="s">
        <v>28</v>
      </c>
      <c r="G1340" s="12">
        <v>43725</v>
      </c>
      <c r="H1340" s="23">
        <f t="shared" si="141"/>
        <v>49390</v>
      </c>
      <c r="I1340" s="23"/>
      <c r="J1340" s="23"/>
      <c r="K1340" s="24"/>
      <c r="L1340" s="23">
        <v>36272</v>
      </c>
      <c r="M1340" s="22">
        <f t="shared" si="139"/>
        <v>13118</v>
      </c>
      <c r="N1340" s="22"/>
      <c r="O1340" s="30">
        <f t="shared" si="140"/>
        <v>0.26560032395221705</v>
      </c>
    </row>
    <row r="1341" spans="1:16" ht="20.100000000000001" customHeight="1" x14ac:dyDescent="0.25">
      <c r="A1341" s="33">
        <v>882</v>
      </c>
      <c r="B1341" s="4">
        <v>43710</v>
      </c>
      <c r="C1341" s="18" t="s">
        <v>368</v>
      </c>
      <c r="D1341" s="3">
        <v>3868</v>
      </c>
      <c r="E1341" s="9">
        <v>43719</v>
      </c>
      <c r="F1341" s="15" t="s">
        <v>28</v>
      </c>
      <c r="G1341" s="12">
        <v>43725</v>
      </c>
      <c r="H1341" s="23">
        <f t="shared" si="141"/>
        <v>3868</v>
      </c>
      <c r="I1341" s="23"/>
      <c r="J1341" s="23"/>
      <c r="K1341" s="24"/>
      <c r="L1341" s="23">
        <v>3016</v>
      </c>
      <c r="M1341" s="22">
        <f t="shared" si="139"/>
        <v>852</v>
      </c>
      <c r="N1341" s="22"/>
      <c r="O1341" s="30">
        <f t="shared" si="140"/>
        <v>0.22026887280248189</v>
      </c>
    </row>
    <row r="1342" spans="1:16" ht="20.100000000000001" customHeight="1" x14ac:dyDescent="0.25">
      <c r="A1342" s="33">
        <v>896</v>
      </c>
      <c r="B1342" s="4">
        <v>43711</v>
      </c>
      <c r="C1342" s="18" t="s">
        <v>13</v>
      </c>
      <c r="D1342" s="3">
        <v>7764</v>
      </c>
      <c r="E1342" s="9">
        <v>43720</v>
      </c>
      <c r="F1342" s="15" t="s">
        <v>28</v>
      </c>
      <c r="G1342" s="12">
        <v>43721</v>
      </c>
      <c r="H1342" s="23">
        <f t="shared" si="141"/>
        <v>7764</v>
      </c>
      <c r="I1342" s="23"/>
      <c r="J1342" s="23"/>
      <c r="K1342" s="24"/>
      <c r="L1342" s="23">
        <v>6054</v>
      </c>
      <c r="M1342" s="22">
        <f t="shared" si="139"/>
        <v>1710</v>
      </c>
      <c r="N1342" s="22"/>
      <c r="O1342" s="30">
        <f t="shared" si="140"/>
        <v>0.22024729520865532</v>
      </c>
    </row>
    <row r="1343" spans="1:16" ht="19.5" customHeight="1" x14ac:dyDescent="0.25">
      <c r="A1343" s="33">
        <v>903</v>
      </c>
      <c r="B1343" s="4">
        <v>43714</v>
      </c>
      <c r="C1343" s="18" t="s">
        <v>353</v>
      </c>
      <c r="D1343" s="3">
        <v>18834</v>
      </c>
      <c r="E1343" s="9">
        <v>43720</v>
      </c>
      <c r="F1343" s="15" t="s">
        <v>28</v>
      </c>
      <c r="G1343" s="12">
        <v>43760</v>
      </c>
      <c r="H1343" s="23">
        <f t="shared" si="141"/>
        <v>18834</v>
      </c>
      <c r="I1343" s="23"/>
      <c r="J1343" s="23"/>
      <c r="K1343" s="24"/>
      <c r="L1343" s="23">
        <v>14690</v>
      </c>
      <c r="M1343" s="22">
        <f t="shared" si="139"/>
        <v>4144</v>
      </c>
      <c r="N1343" s="22"/>
      <c r="O1343" s="30">
        <f t="shared" si="140"/>
        <v>0.22002760964213655</v>
      </c>
    </row>
    <row r="1344" spans="1:16" ht="15.75" x14ac:dyDescent="0.25">
      <c r="A1344" s="33">
        <v>927</v>
      </c>
      <c r="B1344" s="4">
        <v>43724</v>
      </c>
      <c r="C1344" s="18" t="s">
        <v>251</v>
      </c>
      <c r="D1344" s="3">
        <v>2690</v>
      </c>
      <c r="E1344" s="9">
        <v>43725</v>
      </c>
      <c r="F1344" s="15" t="s">
        <v>28</v>
      </c>
      <c r="G1344" s="12">
        <v>43728</v>
      </c>
      <c r="H1344" s="23">
        <f t="shared" si="141"/>
        <v>2690</v>
      </c>
      <c r="I1344" s="23"/>
      <c r="J1344" s="23"/>
      <c r="K1344" s="24"/>
      <c r="L1344" s="23">
        <v>2382</v>
      </c>
      <c r="M1344" s="22">
        <f t="shared" si="139"/>
        <v>308</v>
      </c>
      <c r="N1344" s="22"/>
      <c r="O1344" s="30">
        <f t="shared" si="140"/>
        <v>0.11449814126394052</v>
      </c>
    </row>
    <row r="1345" spans="1:15" s="2" customFormat="1" ht="20.100000000000001" customHeight="1" x14ac:dyDescent="0.25">
      <c r="A1345" s="33">
        <v>928</v>
      </c>
      <c r="B1345" s="4">
        <v>43726</v>
      </c>
      <c r="C1345" s="18" t="s">
        <v>16</v>
      </c>
      <c r="D1345" s="3">
        <v>22094</v>
      </c>
      <c r="E1345" s="9">
        <v>43726</v>
      </c>
      <c r="F1345" s="15" t="s">
        <v>28</v>
      </c>
      <c r="G1345" s="12">
        <v>43756</v>
      </c>
      <c r="H1345" s="23">
        <f t="shared" si="141"/>
        <v>22094</v>
      </c>
      <c r="I1345" s="23"/>
      <c r="J1345" s="23"/>
      <c r="K1345" s="24"/>
      <c r="L1345" s="23">
        <v>17234</v>
      </c>
      <c r="M1345" s="22">
        <f t="shared" si="139"/>
        <v>4860</v>
      </c>
      <c r="N1345" s="22"/>
      <c r="O1345" s="30">
        <f t="shared" si="140"/>
        <v>0.21996922241332489</v>
      </c>
    </row>
    <row r="1346" spans="1:15" ht="20.100000000000001" customHeight="1" x14ac:dyDescent="0.25">
      <c r="A1346" s="33">
        <v>846</v>
      </c>
      <c r="B1346" s="4">
        <v>43698</v>
      </c>
      <c r="C1346" s="18" t="s">
        <v>56</v>
      </c>
      <c r="D1346" s="3">
        <v>23309</v>
      </c>
      <c r="E1346" s="9">
        <v>43727</v>
      </c>
      <c r="F1346" s="15" t="s">
        <v>28</v>
      </c>
      <c r="G1346" s="12">
        <v>43710</v>
      </c>
      <c r="H1346" s="23">
        <f t="shared" si="141"/>
        <v>23309</v>
      </c>
      <c r="I1346" s="23"/>
      <c r="J1346" s="23"/>
      <c r="K1346" s="24"/>
      <c r="L1346" s="23">
        <v>16455</v>
      </c>
      <c r="M1346" s="22">
        <f t="shared" si="139"/>
        <v>6854</v>
      </c>
      <c r="N1346" s="22"/>
      <c r="O1346" s="30">
        <f t="shared" si="140"/>
        <v>0.29404950877343516</v>
      </c>
    </row>
    <row r="1347" spans="1:15" ht="20.100000000000001" customHeight="1" x14ac:dyDescent="0.25">
      <c r="A1347" s="33">
        <v>848</v>
      </c>
      <c r="B1347" s="4">
        <v>43698</v>
      </c>
      <c r="C1347" s="18" t="s">
        <v>56</v>
      </c>
      <c r="D1347" s="3">
        <v>5000</v>
      </c>
      <c r="E1347" s="9">
        <v>43727</v>
      </c>
      <c r="F1347" s="15" t="s">
        <v>28</v>
      </c>
      <c r="G1347" s="12">
        <v>43710</v>
      </c>
      <c r="H1347" s="23">
        <f t="shared" si="141"/>
        <v>5000</v>
      </c>
      <c r="I1347" s="23"/>
      <c r="J1347" s="23"/>
      <c r="K1347" s="24"/>
      <c r="L1347" s="23">
        <v>2550</v>
      </c>
      <c r="M1347" s="22">
        <f t="shared" si="139"/>
        <v>2450</v>
      </c>
      <c r="N1347" s="22"/>
      <c r="O1347" s="30">
        <f t="shared" si="140"/>
        <v>0.49</v>
      </c>
    </row>
    <row r="1348" spans="1:15" ht="20.100000000000001" customHeight="1" x14ac:dyDescent="0.25">
      <c r="A1348" s="33">
        <v>936</v>
      </c>
      <c r="B1348" s="4">
        <v>43726</v>
      </c>
      <c r="C1348" s="18" t="s">
        <v>91</v>
      </c>
      <c r="D1348" s="3">
        <v>7764</v>
      </c>
      <c r="E1348" s="9">
        <v>43727</v>
      </c>
      <c r="F1348" s="15" t="s">
        <v>28</v>
      </c>
      <c r="G1348" s="12">
        <v>43727</v>
      </c>
      <c r="H1348" s="23">
        <f t="shared" si="141"/>
        <v>7764</v>
      </c>
      <c r="I1348" s="23"/>
      <c r="J1348" s="23"/>
      <c r="K1348" s="24"/>
      <c r="L1348" s="23">
        <v>6054</v>
      </c>
      <c r="M1348" s="22">
        <f t="shared" si="139"/>
        <v>1710</v>
      </c>
      <c r="N1348" s="22"/>
      <c r="O1348" s="30">
        <f t="shared" si="140"/>
        <v>0.22024729520865532</v>
      </c>
    </row>
    <row r="1349" spans="1:15" ht="20.100000000000001" customHeight="1" x14ac:dyDescent="0.25">
      <c r="A1349" s="33">
        <v>943</v>
      </c>
      <c r="B1349" s="4">
        <v>43727</v>
      </c>
      <c r="C1349" s="18" t="s">
        <v>149</v>
      </c>
      <c r="D1349" s="3">
        <v>4814</v>
      </c>
      <c r="E1349" s="9">
        <v>43728</v>
      </c>
      <c r="F1349" s="15" t="s">
        <v>28</v>
      </c>
      <c r="G1349" s="12">
        <v>43728</v>
      </c>
      <c r="H1349" s="23">
        <f t="shared" si="141"/>
        <v>4814</v>
      </c>
      <c r="I1349" s="23"/>
      <c r="J1349" s="23"/>
      <c r="K1349" s="24"/>
      <c r="L1349" s="23">
        <v>3752</v>
      </c>
      <c r="M1349" s="22">
        <f t="shared" si="139"/>
        <v>1062</v>
      </c>
      <c r="N1349" s="22"/>
      <c r="O1349" s="30">
        <f t="shared" si="140"/>
        <v>0.22060656418778563</v>
      </c>
    </row>
    <row r="1350" spans="1:15" ht="20.100000000000001" customHeight="1" x14ac:dyDescent="0.25">
      <c r="A1350" s="33">
        <v>947</v>
      </c>
      <c r="B1350" s="4">
        <v>43728</v>
      </c>
      <c r="C1350" s="20" t="s">
        <v>414</v>
      </c>
      <c r="D1350" s="3">
        <v>65490</v>
      </c>
      <c r="E1350" s="9">
        <v>43728</v>
      </c>
      <c r="F1350" s="15" t="s">
        <v>28</v>
      </c>
      <c r="G1350" s="12">
        <v>43731</v>
      </c>
      <c r="H1350" s="23">
        <f t="shared" si="141"/>
        <v>65490</v>
      </c>
      <c r="I1350" s="23">
        <f>H1350</f>
        <v>65490</v>
      </c>
      <c r="J1350" s="23"/>
      <c r="K1350" s="24"/>
      <c r="L1350" s="23">
        <v>48095</v>
      </c>
      <c r="M1350" s="22">
        <f t="shared" si="139"/>
        <v>17395</v>
      </c>
      <c r="N1350" s="22">
        <f>M1350</f>
        <v>17395</v>
      </c>
      <c r="O1350" s="30">
        <f t="shared" si="140"/>
        <v>0.26561307069781648</v>
      </c>
    </row>
    <row r="1351" spans="1:15" ht="20.100000000000001" customHeight="1" x14ac:dyDescent="0.25">
      <c r="A1351" s="33">
        <v>948</v>
      </c>
      <c r="B1351" s="4">
        <v>43728</v>
      </c>
      <c r="C1351" s="20" t="s">
        <v>414</v>
      </c>
      <c r="D1351" s="3">
        <v>20333</v>
      </c>
      <c r="E1351" s="9">
        <v>43728</v>
      </c>
      <c r="F1351" s="15" t="s">
        <v>28</v>
      </c>
      <c r="G1351" s="12">
        <v>43731</v>
      </c>
      <c r="H1351" s="23">
        <f t="shared" si="141"/>
        <v>20333</v>
      </c>
      <c r="I1351" s="23">
        <f>H1351</f>
        <v>20333</v>
      </c>
      <c r="J1351" s="23"/>
      <c r="K1351" s="24">
        <v>1200</v>
      </c>
      <c r="L1351" s="23">
        <v>9876</v>
      </c>
      <c r="M1351" s="22">
        <f t="shared" si="139"/>
        <v>9257</v>
      </c>
      <c r="N1351" s="22">
        <f>M1351</f>
        <v>9257</v>
      </c>
      <c r="O1351" s="30">
        <f t="shared" si="140"/>
        <v>0.45526975852063151</v>
      </c>
    </row>
    <row r="1352" spans="1:15" ht="20.100000000000001" customHeight="1" x14ac:dyDescent="0.25">
      <c r="A1352" s="33">
        <v>935</v>
      </c>
      <c r="B1352" s="4">
        <v>43726</v>
      </c>
      <c r="C1352" s="18" t="s">
        <v>77</v>
      </c>
      <c r="D1352" s="3">
        <v>3194</v>
      </c>
      <c r="E1352" s="9">
        <v>43732</v>
      </c>
      <c r="F1352" s="15" t="s">
        <v>28</v>
      </c>
      <c r="G1352" s="12">
        <v>43733</v>
      </c>
      <c r="H1352" s="23">
        <f t="shared" si="141"/>
        <v>3194</v>
      </c>
      <c r="I1352" s="23"/>
      <c r="J1352" s="23"/>
      <c r="K1352" s="24"/>
      <c r="L1352" s="23">
        <v>2490</v>
      </c>
      <c r="M1352" s="22">
        <f t="shared" si="139"/>
        <v>704</v>
      </c>
      <c r="N1352" s="22"/>
      <c r="O1352" s="30">
        <f t="shared" si="140"/>
        <v>0.22041327489041954</v>
      </c>
    </row>
    <row r="1353" spans="1:15" ht="20.100000000000001" customHeight="1" x14ac:dyDescent="0.25">
      <c r="A1353" s="33">
        <v>925</v>
      </c>
      <c r="B1353" s="4">
        <v>43720</v>
      </c>
      <c r="C1353" s="18" t="s">
        <v>33</v>
      </c>
      <c r="D1353" s="3">
        <v>39725</v>
      </c>
      <c r="E1353" s="9">
        <v>43733</v>
      </c>
      <c r="F1353" s="15" t="s">
        <v>28</v>
      </c>
      <c r="G1353" s="12">
        <v>43787</v>
      </c>
      <c r="H1353" s="23">
        <f t="shared" si="141"/>
        <v>39725</v>
      </c>
      <c r="I1353" s="23"/>
      <c r="J1353" s="23"/>
      <c r="K1353" s="24"/>
      <c r="L1353" s="23">
        <v>30157</v>
      </c>
      <c r="M1353" s="22">
        <f t="shared" si="139"/>
        <v>9568</v>
      </c>
      <c r="N1353" s="22"/>
      <c r="O1353" s="30">
        <f t="shared" si="140"/>
        <v>0.24085588420390183</v>
      </c>
    </row>
    <row r="1354" spans="1:15" ht="20.100000000000001" customHeight="1" x14ac:dyDescent="0.25">
      <c r="A1354" s="33">
        <v>955</v>
      </c>
      <c r="B1354" s="4">
        <v>43731</v>
      </c>
      <c r="C1354" s="18" t="s">
        <v>353</v>
      </c>
      <c r="D1354" s="3">
        <v>11358</v>
      </c>
      <c r="E1354" s="9">
        <v>43733</v>
      </c>
      <c r="F1354" s="15" t="s">
        <v>28</v>
      </c>
      <c r="G1354" s="12">
        <v>43760</v>
      </c>
      <c r="H1354" s="23">
        <f t="shared" si="141"/>
        <v>11358</v>
      </c>
      <c r="I1354" s="23"/>
      <c r="J1354" s="23"/>
      <c r="K1354" s="24"/>
      <c r="L1354" s="23">
        <v>8856</v>
      </c>
      <c r="M1354" s="22">
        <f t="shared" si="139"/>
        <v>2502</v>
      </c>
      <c r="N1354" s="22"/>
      <c r="O1354" s="30">
        <f t="shared" si="140"/>
        <v>0.2202852614896989</v>
      </c>
    </row>
    <row r="1355" spans="1:15" ht="20.100000000000001" customHeight="1" x14ac:dyDescent="0.25">
      <c r="A1355" s="33">
        <v>959</v>
      </c>
      <c r="B1355" s="4">
        <v>43733</v>
      </c>
      <c r="C1355" s="18" t="s">
        <v>316</v>
      </c>
      <c r="D1355" s="3">
        <v>2700</v>
      </c>
      <c r="E1355" s="9">
        <v>43735</v>
      </c>
      <c r="F1355" s="15" t="s">
        <v>28</v>
      </c>
      <c r="G1355" s="12">
        <v>43745</v>
      </c>
      <c r="H1355" s="23">
        <f t="shared" si="141"/>
        <v>2700</v>
      </c>
      <c r="I1355" s="23"/>
      <c r="J1355" s="23"/>
      <c r="K1355" s="24"/>
      <c r="L1355" s="23">
        <v>2307</v>
      </c>
      <c r="M1355" s="22">
        <f t="shared" si="139"/>
        <v>393</v>
      </c>
      <c r="N1355" s="22"/>
      <c r="O1355" s="30">
        <f t="shared" si="140"/>
        <v>0.14555555555555555</v>
      </c>
    </row>
    <row r="1356" spans="1:15" ht="20.100000000000001" customHeight="1" x14ac:dyDescent="0.25">
      <c r="A1356" s="35" t="s">
        <v>535</v>
      </c>
      <c r="B1356" s="36"/>
      <c r="C1356" s="42"/>
      <c r="D1356" s="37"/>
      <c r="E1356" s="46" t="s">
        <v>571</v>
      </c>
      <c r="F1356" s="47">
        <f>M1356*0.17+N1356*0.06</f>
        <v>58734.318500000001</v>
      </c>
      <c r="G1356" s="21">
        <f>H1356*0.05+I1356*0.02</f>
        <v>59768.842500000006</v>
      </c>
      <c r="H1356" s="49">
        <f>SUBTOTAL(109,Сентябрь2019[Продажа])</f>
        <v>1148606.05</v>
      </c>
      <c r="I1356" s="49">
        <f>SUBTOTAL(109,Сентябрь2019[Продажа НК])</f>
        <v>116927</v>
      </c>
      <c r="J1356" s="49">
        <f>SUBTOTAL(109,Сентябрь2019[отк])</f>
        <v>24000</v>
      </c>
      <c r="K1356" s="49">
        <f>SUBTOTAL(109,Сентябрь2019[шланги])</f>
        <v>4400</v>
      </c>
      <c r="L1356" s="49">
        <f>SUBTOTAL(109,Сентябрь2019[Закупка])</f>
        <v>786973</v>
      </c>
      <c r="M1356" s="49">
        <f>SUBTOTAL(109,Сентябрь2019[Маржа])</f>
        <v>333233.05</v>
      </c>
      <c r="N1356" s="49">
        <f>SUBTOTAL(109,Сентябрь2019[Маржа НК])</f>
        <v>34745</v>
      </c>
      <c r="O1356" s="44">
        <f t="shared" si="140"/>
        <v>0.29011953228001885</v>
      </c>
    </row>
    <row r="1357" spans="1:15" ht="20.100000000000001" customHeight="1" x14ac:dyDescent="0.25">
      <c r="A1357" s="41" t="s">
        <v>1</v>
      </c>
      <c r="B1357" s="1" t="s">
        <v>0</v>
      </c>
      <c r="C1357" s="1" t="s">
        <v>26</v>
      </c>
      <c r="D1357" s="1" t="s">
        <v>2</v>
      </c>
      <c r="E1357" s="1" t="s">
        <v>3</v>
      </c>
      <c r="F1357" s="1" t="s">
        <v>27</v>
      </c>
      <c r="G1357" s="1" t="s">
        <v>4</v>
      </c>
      <c r="H1357" s="2" t="s">
        <v>132</v>
      </c>
      <c r="I1357" s="2" t="s">
        <v>133</v>
      </c>
      <c r="J1357" s="40" t="s">
        <v>187</v>
      </c>
      <c r="K1357" s="40" t="s">
        <v>188</v>
      </c>
      <c r="L1357" s="40" t="s">
        <v>129</v>
      </c>
      <c r="M1357" s="40" t="s">
        <v>130</v>
      </c>
      <c r="N1357" s="2" t="s">
        <v>131</v>
      </c>
      <c r="O1357" s="2" t="s">
        <v>134</v>
      </c>
    </row>
    <row r="1358" spans="1:15" ht="20.100000000000001" customHeight="1" x14ac:dyDescent="0.25">
      <c r="A1358" s="33">
        <v>971</v>
      </c>
      <c r="B1358" s="4">
        <v>43739</v>
      </c>
      <c r="C1358" s="20" t="s">
        <v>415</v>
      </c>
      <c r="D1358" s="3">
        <v>60750</v>
      </c>
      <c r="E1358" s="9">
        <v>43739</v>
      </c>
      <c r="F1358" s="15" t="s">
        <v>28</v>
      </c>
      <c r="G1358" s="12">
        <v>43739</v>
      </c>
      <c r="H1358" s="23">
        <f t="shared" ref="H1358:H1371" si="142">D1358</f>
        <v>60750</v>
      </c>
      <c r="I1358" s="23">
        <f>H1358</f>
        <v>60750</v>
      </c>
      <c r="J1358" s="23"/>
      <c r="K1358" s="24"/>
      <c r="L1358" s="23">
        <v>44614</v>
      </c>
      <c r="M1358" s="22">
        <f t="shared" ref="M1358:M1384" si="143">H1358-L1358-J1358-K1358</f>
        <v>16136</v>
      </c>
      <c r="N1358" s="22">
        <f>M1358</f>
        <v>16136</v>
      </c>
      <c r="O1358" s="30">
        <f t="shared" ref="O1358:O1385" si="144">M1358/H1358</f>
        <v>0.26561316872427981</v>
      </c>
    </row>
    <row r="1359" spans="1:15" ht="20.100000000000001" customHeight="1" x14ac:dyDescent="0.25">
      <c r="A1359" s="33">
        <v>957</v>
      </c>
      <c r="B1359" s="4">
        <v>43732</v>
      </c>
      <c r="C1359" s="20" t="s">
        <v>416</v>
      </c>
      <c r="D1359" s="3">
        <v>38490</v>
      </c>
      <c r="E1359" s="9">
        <v>43739</v>
      </c>
      <c r="F1359" s="15" t="s">
        <v>28</v>
      </c>
      <c r="G1359" s="12">
        <v>43741</v>
      </c>
      <c r="H1359" s="23">
        <f t="shared" si="142"/>
        <v>38490</v>
      </c>
      <c r="I1359" s="23">
        <f>H1359</f>
        <v>38490</v>
      </c>
      <c r="J1359" s="23"/>
      <c r="K1359" s="24"/>
      <c r="L1359" s="23">
        <v>28290</v>
      </c>
      <c r="M1359" s="22">
        <f t="shared" si="143"/>
        <v>10200</v>
      </c>
      <c r="N1359" s="22">
        <f>M1359</f>
        <v>10200</v>
      </c>
      <c r="O1359" s="30">
        <f t="shared" si="144"/>
        <v>0.26500389711613404</v>
      </c>
    </row>
    <row r="1360" spans="1:15" ht="20.100000000000001" customHeight="1" x14ac:dyDescent="0.25">
      <c r="A1360" s="33">
        <v>813</v>
      </c>
      <c r="B1360" s="9">
        <v>43689</v>
      </c>
      <c r="C1360" s="18" t="s">
        <v>60</v>
      </c>
      <c r="D1360" s="11">
        <v>10654</v>
      </c>
      <c r="E1360" s="9">
        <v>43739</v>
      </c>
      <c r="F1360" s="15" t="s">
        <v>28</v>
      </c>
      <c r="G1360" s="12">
        <v>43725</v>
      </c>
      <c r="H1360" s="23">
        <f t="shared" si="142"/>
        <v>10654</v>
      </c>
      <c r="I1360" s="23"/>
      <c r="J1360" s="23"/>
      <c r="K1360" s="24"/>
      <c r="L1360" s="23">
        <v>8183</v>
      </c>
      <c r="M1360" s="22">
        <f t="shared" si="143"/>
        <v>2471</v>
      </c>
      <c r="N1360" s="22"/>
      <c r="O1360" s="30">
        <f t="shared" si="144"/>
        <v>0.23193166885676741</v>
      </c>
    </row>
    <row r="1361" spans="1:15" ht="20.100000000000001" customHeight="1" x14ac:dyDescent="0.25">
      <c r="A1361" s="33">
        <v>976</v>
      </c>
      <c r="B1361" s="9">
        <v>43740</v>
      </c>
      <c r="C1361" s="20" t="s">
        <v>232</v>
      </c>
      <c r="D1361" s="11">
        <v>4880</v>
      </c>
      <c r="E1361" s="9">
        <v>43740</v>
      </c>
      <c r="F1361" s="15" t="s">
        <v>28</v>
      </c>
      <c r="G1361" s="12">
        <v>43741</v>
      </c>
      <c r="H1361" s="23">
        <f t="shared" si="142"/>
        <v>4880</v>
      </c>
      <c r="I1361" s="23">
        <f>H1361</f>
        <v>4880</v>
      </c>
      <c r="J1361" s="23"/>
      <c r="K1361" s="24"/>
      <c r="L1361" s="23">
        <v>4119</v>
      </c>
      <c r="M1361" s="22">
        <f t="shared" si="143"/>
        <v>761</v>
      </c>
      <c r="N1361" s="22">
        <f>M1361</f>
        <v>761</v>
      </c>
      <c r="O1361" s="30">
        <f t="shared" si="144"/>
        <v>0.15594262295081968</v>
      </c>
    </row>
    <row r="1362" spans="1:15" ht="20.100000000000001" customHeight="1" x14ac:dyDescent="0.25">
      <c r="A1362" s="33">
        <v>978</v>
      </c>
      <c r="B1362" s="9">
        <v>43740</v>
      </c>
      <c r="C1362" s="18" t="s">
        <v>281</v>
      </c>
      <c r="D1362" s="11">
        <v>2258</v>
      </c>
      <c r="E1362" s="9">
        <v>43741</v>
      </c>
      <c r="F1362" s="15" t="s">
        <v>28</v>
      </c>
      <c r="G1362" s="12">
        <v>43742</v>
      </c>
      <c r="H1362" s="23">
        <f t="shared" si="142"/>
        <v>2258</v>
      </c>
      <c r="I1362" s="23"/>
      <c r="J1362" s="23"/>
      <c r="K1362" s="24"/>
      <c r="L1362" s="23">
        <v>1760</v>
      </c>
      <c r="M1362" s="22">
        <f t="shared" si="143"/>
        <v>498</v>
      </c>
      <c r="N1362" s="22"/>
      <c r="O1362" s="30">
        <f t="shared" si="144"/>
        <v>0.22054915854738708</v>
      </c>
    </row>
    <row r="1363" spans="1:15" ht="20.100000000000001" customHeight="1" x14ac:dyDescent="0.25">
      <c r="A1363" s="33">
        <v>942</v>
      </c>
      <c r="B1363" s="9">
        <v>43727</v>
      </c>
      <c r="C1363" s="18" t="s">
        <v>363</v>
      </c>
      <c r="D1363" s="11">
        <v>10760</v>
      </c>
      <c r="E1363" s="9">
        <v>43742</v>
      </c>
      <c r="F1363" s="15" t="s">
        <v>28</v>
      </c>
      <c r="G1363" s="12">
        <v>43742</v>
      </c>
      <c r="H1363" s="23">
        <f t="shared" si="142"/>
        <v>10760</v>
      </c>
      <c r="I1363" s="23"/>
      <c r="J1363" s="23"/>
      <c r="K1363" s="24"/>
      <c r="L1363" s="23">
        <v>9528</v>
      </c>
      <c r="M1363" s="22">
        <f t="shared" si="143"/>
        <v>1232</v>
      </c>
      <c r="N1363" s="22"/>
      <c r="O1363" s="30">
        <f t="shared" si="144"/>
        <v>0.11449814126394052</v>
      </c>
    </row>
    <row r="1364" spans="1:15" ht="20.100000000000001" customHeight="1" x14ac:dyDescent="0.25">
      <c r="A1364" s="33">
        <v>988</v>
      </c>
      <c r="B1364" s="9">
        <v>43745</v>
      </c>
      <c r="C1364" s="20" t="s">
        <v>417</v>
      </c>
      <c r="D1364" s="11">
        <v>12007</v>
      </c>
      <c r="E1364" s="9">
        <v>43745</v>
      </c>
      <c r="F1364" s="15" t="s">
        <v>28</v>
      </c>
      <c r="G1364" s="12">
        <v>43746</v>
      </c>
      <c r="H1364" s="23">
        <f t="shared" si="142"/>
        <v>12007</v>
      </c>
      <c r="I1364" s="23">
        <f>H1364</f>
        <v>12007</v>
      </c>
      <c r="J1364" s="23"/>
      <c r="K1364" s="24"/>
      <c r="L1364" s="23">
        <v>8886</v>
      </c>
      <c r="M1364" s="22">
        <f t="shared" si="143"/>
        <v>3121</v>
      </c>
      <c r="N1364" s="22">
        <f>M1364</f>
        <v>3121</v>
      </c>
      <c r="O1364" s="30">
        <f t="shared" si="144"/>
        <v>0.25993170650453901</v>
      </c>
    </row>
    <row r="1365" spans="1:15" ht="19.5" customHeight="1" x14ac:dyDescent="0.25">
      <c r="A1365" s="39">
        <v>970</v>
      </c>
      <c r="B1365" s="9">
        <v>43738</v>
      </c>
      <c r="C1365" s="20" t="s">
        <v>418</v>
      </c>
      <c r="D1365" s="11">
        <v>4909</v>
      </c>
      <c r="E1365" s="9">
        <v>43745</v>
      </c>
      <c r="F1365" s="15" t="s">
        <v>28</v>
      </c>
      <c r="G1365" s="12">
        <v>43770</v>
      </c>
      <c r="H1365" s="23">
        <f t="shared" si="142"/>
        <v>4909</v>
      </c>
      <c r="I1365" s="23">
        <f>H1365</f>
        <v>4909</v>
      </c>
      <c r="J1365" s="23"/>
      <c r="K1365" s="24"/>
      <c r="L1365" s="23">
        <v>3780</v>
      </c>
      <c r="M1365" s="22">
        <f t="shared" si="143"/>
        <v>1129</v>
      </c>
      <c r="N1365" s="22">
        <f>M1365</f>
        <v>1129</v>
      </c>
      <c r="O1365" s="30">
        <f t="shared" si="144"/>
        <v>0.2299857404766755</v>
      </c>
    </row>
    <row r="1366" spans="1:15" ht="15.75" x14ac:dyDescent="0.25">
      <c r="A1366" s="39">
        <v>962</v>
      </c>
      <c r="B1366" s="9">
        <v>43735</v>
      </c>
      <c r="C1366" s="20" t="s">
        <v>416</v>
      </c>
      <c r="D1366" s="11">
        <v>4374</v>
      </c>
      <c r="E1366" s="9">
        <v>43747</v>
      </c>
      <c r="F1366" s="15" t="s">
        <v>28</v>
      </c>
      <c r="G1366" s="12">
        <v>43770</v>
      </c>
      <c r="H1366" s="23">
        <f t="shared" si="142"/>
        <v>4374</v>
      </c>
      <c r="I1366" s="23">
        <f>H1366</f>
        <v>4374</v>
      </c>
      <c r="J1366" s="23"/>
      <c r="K1366" s="24"/>
      <c r="L1366" s="23">
        <v>2413</v>
      </c>
      <c r="M1366" s="22">
        <f t="shared" si="143"/>
        <v>1961</v>
      </c>
      <c r="N1366" s="22">
        <f>M1366</f>
        <v>1961</v>
      </c>
      <c r="O1366" s="30">
        <f t="shared" si="144"/>
        <v>0.4483310470964792</v>
      </c>
    </row>
    <row r="1367" spans="1:15" s="2" customFormat="1" ht="20.100000000000001" customHeight="1" x14ac:dyDescent="0.25">
      <c r="A1367" s="39">
        <v>996</v>
      </c>
      <c r="B1367" s="9">
        <v>43749</v>
      </c>
      <c r="C1367" s="18" t="s">
        <v>300</v>
      </c>
      <c r="D1367" s="11">
        <v>8223</v>
      </c>
      <c r="E1367" s="9">
        <v>43752</v>
      </c>
      <c r="F1367" s="15" t="s">
        <v>28</v>
      </c>
      <c r="G1367" s="12">
        <v>43769</v>
      </c>
      <c r="H1367" s="23">
        <f t="shared" si="142"/>
        <v>8223</v>
      </c>
      <c r="I1367" s="23"/>
      <c r="J1367" s="23"/>
      <c r="K1367" s="24"/>
      <c r="L1367" s="23">
        <v>6414</v>
      </c>
      <c r="M1367" s="22">
        <f t="shared" si="143"/>
        <v>1809</v>
      </c>
      <c r="N1367" s="22"/>
      <c r="O1367" s="30">
        <f t="shared" si="144"/>
        <v>0.21999270339292229</v>
      </c>
    </row>
    <row r="1368" spans="1:15" ht="20.100000000000001" customHeight="1" x14ac:dyDescent="0.25">
      <c r="A1368" s="39">
        <v>940</v>
      </c>
      <c r="B1368" s="9">
        <v>43727</v>
      </c>
      <c r="C1368" s="18" t="s">
        <v>11</v>
      </c>
      <c r="D1368" s="11">
        <v>4570</v>
      </c>
      <c r="E1368" s="9">
        <v>43753</v>
      </c>
      <c r="F1368" s="15" t="s">
        <v>28</v>
      </c>
      <c r="G1368" s="12">
        <v>43756</v>
      </c>
      <c r="H1368" s="23">
        <f t="shared" si="142"/>
        <v>4570</v>
      </c>
      <c r="I1368" s="23"/>
      <c r="J1368" s="23"/>
      <c r="K1368" s="24"/>
      <c r="L1368" s="23">
        <v>3560</v>
      </c>
      <c r="M1368" s="22">
        <f t="shared" si="143"/>
        <v>1010</v>
      </c>
      <c r="N1368" s="22"/>
      <c r="O1368" s="30">
        <f t="shared" si="144"/>
        <v>0.22100656455142231</v>
      </c>
    </row>
    <row r="1369" spans="1:15" ht="20.100000000000001" customHeight="1" x14ac:dyDescent="0.25">
      <c r="A1369" s="39">
        <v>1015</v>
      </c>
      <c r="B1369" s="9">
        <v>43755</v>
      </c>
      <c r="C1369" s="18" t="s">
        <v>101</v>
      </c>
      <c r="D1369" s="11">
        <v>6450</v>
      </c>
      <c r="E1369" s="9">
        <v>43755</v>
      </c>
      <c r="F1369" s="15" t="s">
        <v>28</v>
      </c>
      <c r="G1369" s="12">
        <v>43755</v>
      </c>
      <c r="H1369" s="23">
        <f t="shared" si="142"/>
        <v>6450</v>
      </c>
      <c r="I1369" s="23"/>
      <c r="J1369" s="23"/>
      <c r="K1369" s="24"/>
      <c r="L1369" s="23">
        <v>4963</v>
      </c>
      <c r="M1369" s="22">
        <f t="shared" si="143"/>
        <v>1487</v>
      </c>
      <c r="N1369" s="22"/>
      <c r="O1369" s="30">
        <f t="shared" si="144"/>
        <v>0.23054263565891472</v>
      </c>
    </row>
    <row r="1370" spans="1:15" ht="20.100000000000001" customHeight="1" x14ac:dyDescent="0.25">
      <c r="A1370" s="39">
        <v>1016</v>
      </c>
      <c r="B1370" s="9">
        <v>43755</v>
      </c>
      <c r="C1370" s="18" t="s">
        <v>169</v>
      </c>
      <c r="D1370" s="11">
        <v>22111</v>
      </c>
      <c r="E1370" s="9">
        <v>43755</v>
      </c>
      <c r="F1370" s="15" t="s">
        <v>28</v>
      </c>
      <c r="G1370" s="12">
        <v>43755</v>
      </c>
      <c r="H1370" s="23">
        <f t="shared" si="142"/>
        <v>22111</v>
      </c>
      <c r="I1370" s="23"/>
      <c r="J1370" s="23"/>
      <c r="K1370" s="24"/>
      <c r="L1370" s="23">
        <v>15998</v>
      </c>
      <c r="M1370" s="22">
        <f t="shared" si="143"/>
        <v>6113</v>
      </c>
      <c r="N1370" s="22"/>
      <c r="O1370" s="30">
        <f t="shared" si="144"/>
        <v>0.27646872597349736</v>
      </c>
    </row>
    <row r="1371" spans="1:15" ht="20.100000000000001" customHeight="1" x14ac:dyDescent="0.25">
      <c r="A1371" s="33">
        <v>995</v>
      </c>
      <c r="B1371" s="4">
        <v>43748</v>
      </c>
      <c r="C1371" s="18" t="s">
        <v>206</v>
      </c>
      <c r="D1371" s="3">
        <v>2315</v>
      </c>
      <c r="E1371" s="9">
        <v>43755</v>
      </c>
      <c r="F1371" s="15" t="s">
        <v>28</v>
      </c>
      <c r="G1371" s="12">
        <v>43748</v>
      </c>
      <c r="H1371" s="23">
        <f t="shared" si="142"/>
        <v>2315</v>
      </c>
      <c r="I1371" s="23"/>
      <c r="J1371" s="23"/>
      <c r="K1371" s="24"/>
      <c r="L1371" s="23">
        <v>1805</v>
      </c>
      <c r="M1371" s="22">
        <f t="shared" si="143"/>
        <v>510</v>
      </c>
      <c r="N1371" s="22"/>
      <c r="O1371" s="30">
        <f t="shared" si="144"/>
        <v>0.2203023758099352</v>
      </c>
    </row>
    <row r="1372" spans="1:15" ht="20.100000000000001" customHeight="1" x14ac:dyDescent="0.25">
      <c r="A1372" s="33">
        <v>898</v>
      </c>
      <c r="B1372" s="9">
        <v>43712</v>
      </c>
      <c r="C1372" s="18" t="s">
        <v>65</v>
      </c>
      <c r="D1372" s="11">
        <v>194446.8</v>
      </c>
      <c r="E1372" s="9">
        <v>43755</v>
      </c>
      <c r="F1372" s="15" t="s">
        <v>28</v>
      </c>
      <c r="G1372" s="12">
        <v>43726</v>
      </c>
      <c r="H1372" s="23">
        <v>177622.8</v>
      </c>
      <c r="I1372" s="23"/>
      <c r="J1372" s="23"/>
      <c r="K1372" s="24">
        <v>6400</v>
      </c>
      <c r="L1372" s="23">
        <v>107471</v>
      </c>
      <c r="M1372" s="22">
        <f t="shared" si="143"/>
        <v>63751.799999999988</v>
      </c>
      <c r="N1372" s="22"/>
      <c r="O1372" s="30">
        <f t="shared" si="144"/>
        <v>0.3589167606861281</v>
      </c>
    </row>
    <row r="1373" spans="1:15" ht="20.100000000000001" customHeight="1" x14ac:dyDescent="0.25">
      <c r="A1373" s="33">
        <v>994</v>
      </c>
      <c r="B1373" s="4">
        <v>43747</v>
      </c>
      <c r="C1373" s="18" t="s">
        <v>13</v>
      </c>
      <c r="D1373" s="3">
        <v>12940</v>
      </c>
      <c r="E1373" s="9">
        <v>43756</v>
      </c>
      <c r="F1373" s="15" t="s">
        <v>28</v>
      </c>
      <c r="G1373" s="12">
        <v>43748</v>
      </c>
      <c r="H1373" s="23">
        <f t="shared" ref="H1373:H1381" si="145">D1373</f>
        <v>12940</v>
      </c>
      <c r="I1373" s="23"/>
      <c r="J1373" s="23"/>
      <c r="K1373" s="24"/>
      <c r="L1373" s="23">
        <v>10090</v>
      </c>
      <c r="M1373" s="22">
        <f t="shared" si="143"/>
        <v>2850</v>
      </c>
      <c r="N1373" s="22"/>
      <c r="O1373" s="30">
        <f t="shared" si="144"/>
        <v>0.22024729520865532</v>
      </c>
    </row>
    <row r="1374" spans="1:15" ht="20.100000000000001" customHeight="1" x14ac:dyDescent="0.25">
      <c r="A1374" s="33">
        <v>1019</v>
      </c>
      <c r="B1374" s="4">
        <v>43756</v>
      </c>
      <c r="C1374" s="18" t="s">
        <v>216</v>
      </c>
      <c r="D1374" s="3">
        <v>2895</v>
      </c>
      <c r="E1374" s="9">
        <v>43756</v>
      </c>
      <c r="F1374" s="15" t="s">
        <v>28</v>
      </c>
      <c r="G1374" s="12">
        <v>43763</v>
      </c>
      <c r="H1374" s="23">
        <f t="shared" si="145"/>
        <v>2895</v>
      </c>
      <c r="I1374" s="23"/>
      <c r="J1374" s="23"/>
      <c r="K1374" s="24"/>
      <c r="L1374" s="23">
        <v>2050</v>
      </c>
      <c r="M1374" s="22">
        <f t="shared" si="143"/>
        <v>845</v>
      </c>
      <c r="N1374" s="22"/>
      <c r="O1374" s="30">
        <f t="shared" si="144"/>
        <v>0.2918825561312608</v>
      </c>
    </row>
    <row r="1375" spans="1:15" ht="20.100000000000001" customHeight="1" x14ac:dyDescent="0.25">
      <c r="A1375" s="33">
        <v>843</v>
      </c>
      <c r="B1375" s="9">
        <v>43711</v>
      </c>
      <c r="C1375" s="18" t="s">
        <v>99</v>
      </c>
      <c r="D1375" s="11">
        <v>242962</v>
      </c>
      <c r="E1375" s="9">
        <v>43760</v>
      </c>
      <c r="F1375" s="15" t="s">
        <v>28</v>
      </c>
      <c r="G1375" s="12">
        <v>43714</v>
      </c>
      <c r="H1375" s="23">
        <f t="shared" si="145"/>
        <v>242962</v>
      </c>
      <c r="I1375" s="23"/>
      <c r="J1375" s="23">
        <v>27000</v>
      </c>
      <c r="K1375" s="24">
        <v>3600</v>
      </c>
      <c r="L1375" s="23">
        <v>118715</v>
      </c>
      <c r="M1375" s="22">
        <f t="shared" si="143"/>
        <v>93647</v>
      </c>
      <c r="N1375" s="22"/>
      <c r="O1375" s="30">
        <f t="shared" si="144"/>
        <v>0.38543887521505421</v>
      </c>
    </row>
    <row r="1376" spans="1:15" ht="20.100000000000001" customHeight="1" x14ac:dyDescent="0.25">
      <c r="A1376" s="33">
        <v>902</v>
      </c>
      <c r="B1376" s="9">
        <v>43714</v>
      </c>
      <c r="C1376" s="18" t="s">
        <v>99</v>
      </c>
      <c r="D1376" s="11">
        <v>20775</v>
      </c>
      <c r="E1376" s="9">
        <v>43760</v>
      </c>
      <c r="F1376" s="15" t="s">
        <v>28</v>
      </c>
      <c r="G1376" s="12">
        <v>43752</v>
      </c>
      <c r="H1376" s="23">
        <f t="shared" si="145"/>
        <v>20775</v>
      </c>
      <c r="I1376" s="23"/>
      <c r="J1376" s="23">
        <v>3000</v>
      </c>
      <c r="K1376" s="24"/>
      <c r="L1376" s="23">
        <v>5503</v>
      </c>
      <c r="M1376" s="22">
        <f t="shared" si="143"/>
        <v>12272</v>
      </c>
      <c r="N1376" s="22"/>
      <c r="O1376" s="30">
        <f t="shared" si="144"/>
        <v>0.59070998796630569</v>
      </c>
    </row>
    <row r="1377" spans="1:15" ht="20.100000000000001" customHeight="1" x14ac:dyDescent="0.25">
      <c r="A1377" s="33">
        <v>1031</v>
      </c>
      <c r="B1377" s="9">
        <v>43760</v>
      </c>
      <c r="C1377" s="18" t="s">
        <v>83</v>
      </c>
      <c r="D1377" s="11">
        <v>9706</v>
      </c>
      <c r="E1377" s="9">
        <v>43760</v>
      </c>
      <c r="F1377" s="15" t="s">
        <v>28</v>
      </c>
      <c r="G1377" s="12">
        <v>43760</v>
      </c>
      <c r="H1377" s="23">
        <f t="shared" si="145"/>
        <v>9706</v>
      </c>
      <c r="I1377" s="23"/>
      <c r="J1377" s="23"/>
      <c r="K1377" s="24"/>
      <c r="L1377" s="23">
        <v>6947</v>
      </c>
      <c r="M1377" s="22">
        <f t="shared" si="143"/>
        <v>2759</v>
      </c>
      <c r="N1377" s="22"/>
      <c r="O1377" s="30">
        <f t="shared" si="144"/>
        <v>0.28425716051926642</v>
      </c>
    </row>
    <row r="1378" spans="1:15" ht="20.100000000000001" customHeight="1" x14ac:dyDescent="0.25">
      <c r="A1378" s="33">
        <v>1028</v>
      </c>
      <c r="B1378" s="9">
        <v>43760</v>
      </c>
      <c r="C1378" s="18" t="s">
        <v>338</v>
      </c>
      <c r="D1378" s="11">
        <v>13294</v>
      </c>
      <c r="E1378" s="9">
        <v>43761</v>
      </c>
      <c r="F1378" s="15" t="s">
        <v>28</v>
      </c>
      <c r="G1378" s="12">
        <v>43767</v>
      </c>
      <c r="H1378" s="23">
        <f t="shared" si="145"/>
        <v>13294</v>
      </c>
      <c r="I1378" s="23"/>
      <c r="J1378" s="23"/>
      <c r="K1378" s="24">
        <v>300</v>
      </c>
      <c r="L1378" s="23">
        <v>6402</v>
      </c>
      <c r="M1378" s="22">
        <f t="shared" si="143"/>
        <v>6592</v>
      </c>
      <c r="N1378" s="22"/>
      <c r="O1378" s="30">
        <f t="shared" si="144"/>
        <v>0.49586279524597565</v>
      </c>
    </row>
    <row r="1379" spans="1:15" ht="20.100000000000001" customHeight="1" x14ac:dyDescent="0.25">
      <c r="A1379" s="33">
        <v>1030</v>
      </c>
      <c r="B1379" s="9">
        <v>43762</v>
      </c>
      <c r="C1379" s="18" t="s">
        <v>419</v>
      </c>
      <c r="D1379" s="11">
        <v>9184</v>
      </c>
      <c r="E1379" s="9">
        <v>43762</v>
      </c>
      <c r="F1379" s="15" t="s">
        <v>28</v>
      </c>
      <c r="G1379" s="12">
        <v>43763</v>
      </c>
      <c r="H1379" s="23">
        <f t="shared" si="145"/>
        <v>9184</v>
      </c>
      <c r="I1379" s="23"/>
      <c r="J1379" s="23"/>
      <c r="K1379" s="24">
        <v>300</v>
      </c>
      <c r="L1379" s="23">
        <v>5424</v>
      </c>
      <c r="M1379" s="22">
        <f t="shared" si="143"/>
        <v>3460</v>
      </c>
      <c r="N1379" s="22"/>
      <c r="O1379" s="30">
        <f t="shared" si="144"/>
        <v>0.37674216027874563</v>
      </c>
    </row>
    <row r="1380" spans="1:15" ht="20.100000000000001" customHeight="1" x14ac:dyDescent="0.25">
      <c r="A1380" s="33">
        <v>901</v>
      </c>
      <c r="B1380" s="4">
        <v>43714</v>
      </c>
      <c r="C1380" s="18" t="s">
        <v>248</v>
      </c>
      <c r="D1380" s="3">
        <v>9769</v>
      </c>
      <c r="E1380" s="9">
        <v>43763</v>
      </c>
      <c r="F1380" s="15" t="s">
        <v>28</v>
      </c>
      <c r="G1380" s="12">
        <v>43714</v>
      </c>
      <c r="H1380" s="23">
        <f t="shared" si="145"/>
        <v>9769</v>
      </c>
      <c r="I1380" s="23"/>
      <c r="J1380" s="23"/>
      <c r="K1380" s="24"/>
      <c r="L1380" s="23">
        <v>7576</v>
      </c>
      <c r="M1380" s="22">
        <f t="shared" si="143"/>
        <v>2193</v>
      </c>
      <c r="N1380" s="22"/>
      <c r="O1380" s="30">
        <f t="shared" si="144"/>
        <v>0.22448561777049852</v>
      </c>
    </row>
    <row r="1381" spans="1:15" ht="20.100000000000001" customHeight="1" x14ac:dyDescent="0.25">
      <c r="A1381" s="33">
        <v>858</v>
      </c>
      <c r="B1381" s="4">
        <v>43705</v>
      </c>
      <c r="C1381" s="18" t="s">
        <v>38</v>
      </c>
      <c r="D1381" s="3">
        <v>50611</v>
      </c>
      <c r="E1381" s="9">
        <v>43763</v>
      </c>
      <c r="F1381" s="15" t="s">
        <v>28</v>
      </c>
      <c r="G1381" s="12">
        <v>43734</v>
      </c>
      <c r="H1381" s="23">
        <f t="shared" si="145"/>
        <v>50611</v>
      </c>
      <c r="I1381" s="23"/>
      <c r="J1381" s="23"/>
      <c r="K1381" s="24">
        <v>2400</v>
      </c>
      <c r="L1381" s="23">
        <v>19618</v>
      </c>
      <c r="M1381" s="22">
        <f t="shared" si="143"/>
        <v>28593</v>
      </c>
      <c r="N1381" s="22"/>
      <c r="O1381" s="30">
        <f t="shared" si="144"/>
        <v>0.5649562348106143</v>
      </c>
    </row>
    <row r="1382" spans="1:15" ht="20.100000000000001" customHeight="1" x14ac:dyDescent="0.25">
      <c r="A1382" s="33">
        <v>898</v>
      </c>
      <c r="B1382" s="9">
        <v>43712</v>
      </c>
      <c r="C1382" s="18" t="s">
        <v>65</v>
      </c>
      <c r="D1382" s="11">
        <v>194446.8</v>
      </c>
      <c r="E1382" s="9">
        <v>43767</v>
      </c>
      <c r="F1382" s="15" t="s">
        <v>28</v>
      </c>
      <c r="G1382" s="12">
        <v>43739</v>
      </c>
      <c r="H1382" s="23">
        <v>16824</v>
      </c>
      <c r="I1382" s="23"/>
      <c r="J1382" s="23"/>
      <c r="K1382" s="24"/>
      <c r="L1382" s="23">
        <v>13180</v>
      </c>
      <c r="M1382" s="22">
        <f t="shared" si="143"/>
        <v>3644</v>
      </c>
      <c r="N1382" s="22"/>
      <c r="O1382" s="30">
        <f t="shared" si="144"/>
        <v>0.21659533999048977</v>
      </c>
    </row>
    <row r="1383" spans="1:15" ht="20.100000000000001" customHeight="1" x14ac:dyDescent="0.25">
      <c r="A1383" s="33">
        <v>990</v>
      </c>
      <c r="B1383" s="9">
        <v>43746</v>
      </c>
      <c r="C1383" s="18" t="s">
        <v>182</v>
      </c>
      <c r="D1383" s="11">
        <v>6990</v>
      </c>
      <c r="E1383" s="9">
        <v>43769</v>
      </c>
      <c r="F1383" s="15" t="s">
        <v>28</v>
      </c>
      <c r="G1383" s="12">
        <v>43777</v>
      </c>
      <c r="H1383" s="23">
        <f>D1383</f>
        <v>6990</v>
      </c>
      <c r="I1383" s="23"/>
      <c r="J1383" s="23"/>
      <c r="K1383" s="24"/>
      <c r="L1383" s="23">
        <v>5872</v>
      </c>
      <c r="M1383" s="22">
        <f t="shared" si="143"/>
        <v>1118</v>
      </c>
      <c r="N1383" s="22"/>
      <c r="O1383" s="30">
        <f t="shared" si="144"/>
        <v>0.15994277539341917</v>
      </c>
    </row>
    <row r="1384" spans="1:15" ht="20.100000000000001" customHeight="1" x14ac:dyDescent="0.25">
      <c r="A1384" s="33">
        <v>1037</v>
      </c>
      <c r="B1384" s="9">
        <v>43768</v>
      </c>
      <c r="C1384" s="20" t="s">
        <v>420</v>
      </c>
      <c r="D1384" s="11">
        <v>3142</v>
      </c>
      <c r="E1384" s="9">
        <v>43769</v>
      </c>
      <c r="F1384" s="15" t="s">
        <v>28</v>
      </c>
      <c r="G1384" s="12">
        <v>43770</v>
      </c>
      <c r="H1384" s="23">
        <f>D1384</f>
        <v>3142</v>
      </c>
      <c r="I1384" s="23">
        <f>H1384</f>
        <v>3142</v>
      </c>
      <c r="J1384" s="23"/>
      <c r="K1384" s="24"/>
      <c r="L1384" s="23">
        <v>2450</v>
      </c>
      <c r="M1384" s="22">
        <f t="shared" si="143"/>
        <v>692</v>
      </c>
      <c r="N1384" s="22">
        <f>M1384</f>
        <v>692</v>
      </c>
      <c r="O1384" s="30">
        <f t="shared" si="144"/>
        <v>0.22024188415022278</v>
      </c>
    </row>
    <row r="1385" spans="1:15" ht="20.100000000000001" customHeight="1" x14ac:dyDescent="0.25">
      <c r="A1385" s="35" t="s">
        <v>535</v>
      </c>
      <c r="B1385" s="36"/>
      <c r="C1385" s="42"/>
      <c r="D1385" s="37"/>
      <c r="E1385" s="46" t="s">
        <v>572</v>
      </c>
      <c r="F1385" s="47">
        <f>M1385*0.17+N1385*0.06</f>
        <v>48085.315999999999</v>
      </c>
      <c r="G1385" s="21">
        <f>H1385*0.05+I1385*0.02</f>
        <v>41044.33</v>
      </c>
      <c r="H1385" s="49">
        <f>SUBTOTAL(109,Октябрь2019[Продажа])</f>
        <v>769465.8</v>
      </c>
      <c r="I1385" s="49">
        <f>SUBTOTAL(109,Октябрь2019[Продажа НК])</f>
        <v>128552</v>
      </c>
      <c r="J1385" s="49">
        <f>SUBTOTAL(109,Октябрь2019[отк])</f>
        <v>30000</v>
      </c>
      <c r="K1385" s="49">
        <f>SUBTOTAL(109,Октябрь2019[шланги])</f>
        <v>13000</v>
      </c>
      <c r="L1385" s="49">
        <f>SUBTOTAL(109,Октябрь2019[Закупка])</f>
        <v>455611</v>
      </c>
      <c r="M1385" s="49">
        <f>SUBTOTAL(109,Октябрь2019[Маржа])</f>
        <v>270854.8</v>
      </c>
      <c r="N1385" s="49">
        <f>SUBTOTAL(109,Октябрь2019[Маржа НК])</f>
        <v>34000</v>
      </c>
      <c r="O1385" s="44">
        <f t="shared" si="144"/>
        <v>0.35200368879292615</v>
      </c>
    </row>
    <row r="1386" spans="1:15" ht="20.100000000000001" customHeight="1" x14ac:dyDescent="0.25">
      <c r="A1386" s="41" t="s">
        <v>1</v>
      </c>
      <c r="B1386" s="1" t="s">
        <v>0</v>
      </c>
      <c r="C1386" s="1" t="s">
        <v>26</v>
      </c>
      <c r="D1386" s="1" t="s">
        <v>2</v>
      </c>
      <c r="E1386" s="1" t="s">
        <v>3</v>
      </c>
      <c r="F1386" s="1" t="s">
        <v>27</v>
      </c>
      <c r="G1386" s="1" t="s">
        <v>4</v>
      </c>
      <c r="H1386" s="2" t="s">
        <v>132</v>
      </c>
      <c r="I1386" s="2" t="s">
        <v>133</v>
      </c>
      <c r="J1386" s="40" t="s">
        <v>187</v>
      </c>
      <c r="K1386" s="40" t="s">
        <v>188</v>
      </c>
      <c r="L1386" s="40" t="s">
        <v>129</v>
      </c>
      <c r="M1386" s="40" t="s">
        <v>130</v>
      </c>
      <c r="N1386" s="2" t="s">
        <v>131</v>
      </c>
      <c r="O1386" s="2" t="s">
        <v>134</v>
      </c>
    </row>
    <row r="1387" spans="1:15" ht="20.100000000000001" customHeight="1" x14ac:dyDescent="0.25">
      <c r="A1387" s="33">
        <v>1059</v>
      </c>
      <c r="B1387" s="9">
        <v>43769</v>
      </c>
      <c r="C1387" s="20" t="s">
        <v>421</v>
      </c>
      <c r="D1387" s="11">
        <v>17190</v>
      </c>
      <c r="E1387" s="9">
        <v>43770</v>
      </c>
      <c r="F1387" s="15" t="s">
        <v>28</v>
      </c>
      <c r="G1387" s="12">
        <v>43774</v>
      </c>
      <c r="H1387" s="23">
        <f t="shared" ref="H1387:H1407" si="146">D1387</f>
        <v>17190</v>
      </c>
      <c r="I1387" s="23">
        <f>H1387</f>
        <v>17190</v>
      </c>
      <c r="J1387" s="23"/>
      <c r="K1387" s="24"/>
      <c r="L1387" s="23">
        <v>12624</v>
      </c>
      <c r="M1387" s="22">
        <f t="shared" ref="M1387:M1407" si="147">H1387-L1387-J1387-K1387</f>
        <v>4566</v>
      </c>
      <c r="N1387" s="22">
        <f>M1387</f>
        <v>4566</v>
      </c>
      <c r="O1387" s="30">
        <f t="shared" ref="O1387:O1408" si="148">M1387/H1387</f>
        <v>0.26561954624781847</v>
      </c>
    </row>
    <row r="1388" spans="1:15" ht="20.100000000000001" customHeight="1" x14ac:dyDescent="0.25">
      <c r="A1388" s="33">
        <v>1062</v>
      </c>
      <c r="B1388" s="9">
        <v>43770</v>
      </c>
      <c r="C1388" s="18" t="s">
        <v>139</v>
      </c>
      <c r="D1388" s="11">
        <v>2916</v>
      </c>
      <c r="E1388" s="9">
        <v>43774</v>
      </c>
      <c r="F1388" s="15" t="s">
        <v>28</v>
      </c>
      <c r="G1388" s="12">
        <v>43781</v>
      </c>
      <c r="H1388" s="23">
        <f t="shared" si="146"/>
        <v>2916</v>
      </c>
      <c r="I1388" s="23"/>
      <c r="J1388" s="23"/>
      <c r="K1388" s="24"/>
      <c r="L1388" s="23">
        <v>2274</v>
      </c>
      <c r="M1388" s="22">
        <f t="shared" si="147"/>
        <v>642</v>
      </c>
      <c r="N1388" s="22"/>
      <c r="O1388" s="30">
        <f t="shared" si="148"/>
        <v>0.22016460905349794</v>
      </c>
    </row>
    <row r="1389" spans="1:15" ht="20.100000000000001" customHeight="1" x14ac:dyDescent="0.25">
      <c r="A1389" s="33">
        <v>1020</v>
      </c>
      <c r="B1389" s="9">
        <v>43759</v>
      </c>
      <c r="C1389" s="18" t="s">
        <v>228</v>
      </c>
      <c r="D1389" s="11">
        <v>37619</v>
      </c>
      <c r="E1389" s="9">
        <v>43774</v>
      </c>
      <c r="F1389" s="15" t="s">
        <v>28</v>
      </c>
      <c r="G1389" s="12">
        <v>43777</v>
      </c>
      <c r="H1389" s="23">
        <f t="shared" si="146"/>
        <v>37619</v>
      </c>
      <c r="I1389" s="23"/>
      <c r="J1389" s="23"/>
      <c r="K1389" s="24"/>
      <c r="L1389" s="23">
        <v>25363</v>
      </c>
      <c r="M1389" s="22">
        <f t="shared" si="147"/>
        <v>12256</v>
      </c>
      <c r="N1389" s="22"/>
      <c r="O1389" s="30">
        <f t="shared" si="148"/>
        <v>0.32579281745926258</v>
      </c>
    </row>
    <row r="1390" spans="1:15" ht="20.100000000000001" customHeight="1" x14ac:dyDescent="0.25">
      <c r="A1390" s="33">
        <v>134</v>
      </c>
      <c r="B1390" s="9">
        <v>43517</v>
      </c>
      <c r="C1390" s="18" t="s">
        <v>228</v>
      </c>
      <c r="D1390" s="11">
        <v>8000</v>
      </c>
      <c r="E1390" s="9">
        <v>43775</v>
      </c>
      <c r="F1390" s="15" t="s">
        <v>28</v>
      </c>
      <c r="G1390" s="12">
        <v>43565</v>
      </c>
      <c r="H1390" s="23">
        <f t="shared" si="146"/>
        <v>8000</v>
      </c>
      <c r="I1390" s="23"/>
      <c r="J1390" s="23"/>
      <c r="K1390" s="24"/>
      <c r="L1390" s="23">
        <v>5392</v>
      </c>
      <c r="M1390" s="22">
        <f t="shared" si="147"/>
        <v>2608</v>
      </c>
      <c r="N1390" s="22"/>
      <c r="O1390" s="30">
        <f t="shared" si="148"/>
        <v>0.32600000000000001</v>
      </c>
    </row>
    <row r="1391" spans="1:15" ht="20.100000000000001" customHeight="1" x14ac:dyDescent="0.25">
      <c r="A1391" s="33">
        <v>1054</v>
      </c>
      <c r="B1391" s="9">
        <v>43768</v>
      </c>
      <c r="C1391" s="20" t="s">
        <v>422</v>
      </c>
      <c r="D1391" s="11">
        <v>13770</v>
      </c>
      <c r="E1391" s="9">
        <v>43775</v>
      </c>
      <c r="F1391" s="15" t="s">
        <v>28</v>
      </c>
      <c r="G1391" s="12">
        <v>43768</v>
      </c>
      <c r="H1391" s="23">
        <f t="shared" si="146"/>
        <v>13770</v>
      </c>
      <c r="I1391" s="23">
        <f>H1391</f>
        <v>13770</v>
      </c>
      <c r="J1391" s="23"/>
      <c r="K1391" s="24"/>
      <c r="L1391" s="23">
        <v>10112</v>
      </c>
      <c r="M1391" s="22">
        <f t="shared" si="147"/>
        <v>3658</v>
      </c>
      <c r="N1391" s="22">
        <f>M1391</f>
        <v>3658</v>
      </c>
      <c r="O1391" s="30">
        <f t="shared" si="148"/>
        <v>0.26564996368917937</v>
      </c>
    </row>
    <row r="1392" spans="1:15" ht="20.100000000000001" customHeight="1" x14ac:dyDescent="0.25">
      <c r="A1392" s="33">
        <v>1058</v>
      </c>
      <c r="B1392" s="9">
        <v>43769</v>
      </c>
      <c r="C1392" s="18" t="s">
        <v>319</v>
      </c>
      <c r="D1392" s="11">
        <v>4221</v>
      </c>
      <c r="E1392" s="9">
        <v>43776</v>
      </c>
      <c r="F1392" s="15" t="s">
        <v>28</v>
      </c>
      <c r="G1392" s="12">
        <v>43839</v>
      </c>
      <c r="H1392" s="23">
        <f t="shared" si="146"/>
        <v>4221</v>
      </c>
      <c r="I1392" s="23"/>
      <c r="J1392" s="23"/>
      <c r="K1392" s="24"/>
      <c r="L1392" s="23">
        <v>3847</v>
      </c>
      <c r="M1392" s="22">
        <f t="shared" si="147"/>
        <v>374</v>
      </c>
      <c r="N1392" s="22"/>
      <c r="O1392" s="30">
        <f t="shared" si="148"/>
        <v>8.8604596067282632E-2</v>
      </c>
    </row>
    <row r="1393" spans="1:15" ht="20.100000000000001" customHeight="1" x14ac:dyDescent="0.25">
      <c r="A1393" s="33">
        <v>1083</v>
      </c>
      <c r="B1393" s="9">
        <v>43777</v>
      </c>
      <c r="C1393" s="18" t="s">
        <v>403</v>
      </c>
      <c r="D1393" s="11">
        <v>5431</v>
      </c>
      <c r="E1393" s="9">
        <v>43780</v>
      </c>
      <c r="F1393" s="15" t="s">
        <v>28</v>
      </c>
      <c r="G1393" s="12">
        <v>43782</v>
      </c>
      <c r="H1393" s="23">
        <f t="shared" si="146"/>
        <v>5431</v>
      </c>
      <c r="I1393" s="23"/>
      <c r="J1393" s="23"/>
      <c r="K1393" s="24"/>
      <c r="L1393" s="23">
        <v>4181</v>
      </c>
      <c r="M1393" s="22">
        <f t="shared" si="147"/>
        <v>1250</v>
      </c>
      <c r="N1393" s="22"/>
      <c r="O1393" s="30">
        <f t="shared" si="148"/>
        <v>0.23016019149327932</v>
      </c>
    </row>
    <row r="1394" spans="1:15" ht="20.100000000000001" customHeight="1" x14ac:dyDescent="0.25">
      <c r="A1394" s="33">
        <v>1106</v>
      </c>
      <c r="B1394" s="9">
        <v>43783</v>
      </c>
      <c r="C1394" s="18" t="s">
        <v>51</v>
      </c>
      <c r="D1394" s="11">
        <v>6950</v>
      </c>
      <c r="E1394" s="9">
        <v>43784</v>
      </c>
      <c r="F1394" s="15" t="s">
        <v>28</v>
      </c>
      <c r="G1394" s="12">
        <v>43805</v>
      </c>
      <c r="H1394" s="23">
        <f t="shared" si="146"/>
        <v>6950</v>
      </c>
      <c r="I1394" s="23"/>
      <c r="J1394" s="23"/>
      <c r="K1394" s="24"/>
      <c r="L1394" s="23">
        <v>4587</v>
      </c>
      <c r="M1394" s="22">
        <f t="shared" si="147"/>
        <v>2363</v>
      </c>
      <c r="N1394" s="22"/>
      <c r="O1394" s="30">
        <f t="shared" si="148"/>
        <v>0.34</v>
      </c>
    </row>
    <row r="1395" spans="1:15" ht="20.100000000000001" customHeight="1" x14ac:dyDescent="0.25">
      <c r="A1395" s="33">
        <v>1108</v>
      </c>
      <c r="B1395" s="9">
        <v>43783</v>
      </c>
      <c r="C1395" s="18" t="s">
        <v>281</v>
      </c>
      <c r="D1395" s="11">
        <v>4500</v>
      </c>
      <c r="E1395" s="9">
        <v>43784</v>
      </c>
      <c r="F1395" s="15" t="s">
        <v>28</v>
      </c>
      <c r="G1395" s="12">
        <v>43805</v>
      </c>
      <c r="H1395" s="23">
        <f t="shared" si="146"/>
        <v>4500</v>
      </c>
      <c r="I1395" s="23"/>
      <c r="J1395" s="23"/>
      <c r="K1395" s="24"/>
      <c r="L1395" s="23">
        <v>3511</v>
      </c>
      <c r="M1395" s="22">
        <f t="shared" si="147"/>
        <v>989</v>
      </c>
      <c r="N1395" s="22"/>
      <c r="O1395" s="30">
        <f t="shared" si="148"/>
        <v>0.21977777777777777</v>
      </c>
    </row>
    <row r="1396" spans="1:15" ht="20.100000000000001" customHeight="1" x14ac:dyDescent="0.25">
      <c r="A1396" s="33">
        <v>1100</v>
      </c>
      <c r="B1396" s="9">
        <v>43781</v>
      </c>
      <c r="C1396" s="18" t="s">
        <v>228</v>
      </c>
      <c r="D1396" s="11">
        <v>9942</v>
      </c>
      <c r="E1396" s="9">
        <v>43788</v>
      </c>
      <c r="F1396" s="15" t="s">
        <v>28</v>
      </c>
      <c r="G1396" s="12">
        <v>43809</v>
      </c>
      <c r="H1396" s="23">
        <f t="shared" si="146"/>
        <v>9942</v>
      </c>
      <c r="I1396" s="23"/>
      <c r="J1396" s="23"/>
      <c r="K1396" s="24"/>
      <c r="L1396" s="23">
        <v>6404</v>
      </c>
      <c r="M1396" s="22">
        <f t="shared" si="147"/>
        <v>3538</v>
      </c>
      <c r="N1396" s="22"/>
      <c r="O1396" s="30">
        <f t="shared" si="148"/>
        <v>0.35586401126533895</v>
      </c>
    </row>
    <row r="1397" spans="1:15" ht="20.100000000000001" customHeight="1" x14ac:dyDescent="0.25">
      <c r="A1397" s="33">
        <v>1129</v>
      </c>
      <c r="B1397" s="9">
        <v>43789</v>
      </c>
      <c r="C1397" s="20" t="s">
        <v>423</v>
      </c>
      <c r="D1397" s="11">
        <v>65490</v>
      </c>
      <c r="E1397" s="9">
        <v>43790</v>
      </c>
      <c r="F1397" s="15" t="s">
        <v>28</v>
      </c>
      <c r="G1397" s="12">
        <v>43798</v>
      </c>
      <c r="H1397" s="23">
        <f t="shared" si="146"/>
        <v>65490</v>
      </c>
      <c r="I1397" s="23">
        <f>H1397</f>
        <v>65490</v>
      </c>
      <c r="J1397" s="23"/>
      <c r="K1397" s="24"/>
      <c r="L1397" s="23">
        <v>48095</v>
      </c>
      <c r="M1397" s="22">
        <f t="shared" si="147"/>
        <v>17395</v>
      </c>
      <c r="N1397" s="22">
        <f>M1397</f>
        <v>17395</v>
      </c>
      <c r="O1397" s="30">
        <f t="shared" si="148"/>
        <v>0.26561307069781648</v>
      </c>
    </row>
    <row r="1398" spans="1:15" ht="19.5" customHeight="1" x14ac:dyDescent="0.25">
      <c r="A1398" s="33">
        <v>1140</v>
      </c>
      <c r="B1398" s="9">
        <v>43791</v>
      </c>
      <c r="C1398" s="18" t="s">
        <v>278</v>
      </c>
      <c r="D1398" s="11">
        <v>12998</v>
      </c>
      <c r="E1398" s="9">
        <v>43794</v>
      </c>
      <c r="F1398" s="15" t="s">
        <v>28</v>
      </c>
      <c r="G1398" s="12">
        <v>43796</v>
      </c>
      <c r="H1398" s="23">
        <f t="shared" si="146"/>
        <v>12998</v>
      </c>
      <c r="I1398" s="23"/>
      <c r="J1398" s="23"/>
      <c r="K1398" s="24"/>
      <c r="L1398" s="23">
        <v>6973</v>
      </c>
      <c r="M1398" s="22">
        <f t="shared" si="147"/>
        <v>6025</v>
      </c>
      <c r="N1398" s="22"/>
      <c r="O1398" s="30">
        <f t="shared" si="148"/>
        <v>0.46353285120787813</v>
      </c>
    </row>
    <row r="1399" spans="1:15" ht="15.75" x14ac:dyDescent="0.25">
      <c r="A1399" s="33">
        <v>1145</v>
      </c>
      <c r="B1399" s="9">
        <v>43794</v>
      </c>
      <c r="C1399" s="18" t="s">
        <v>149</v>
      </c>
      <c r="D1399" s="11">
        <v>3834</v>
      </c>
      <c r="E1399" s="9">
        <v>43795</v>
      </c>
      <c r="F1399" s="15" t="s">
        <v>28</v>
      </c>
      <c r="G1399" s="12">
        <v>43795</v>
      </c>
      <c r="H1399" s="23">
        <f t="shared" si="146"/>
        <v>3834</v>
      </c>
      <c r="I1399" s="23"/>
      <c r="J1399" s="23"/>
      <c r="K1399" s="24"/>
      <c r="L1399" s="23">
        <v>2988</v>
      </c>
      <c r="M1399" s="22">
        <f t="shared" si="147"/>
        <v>846</v>
      </c>
      <c r="N1399" s="22"/>
      <c r="O1399" s="30">
        <f t="shared" si="148"/>
        <v>0.22065727699530516</v>
      </c>
    </row>
    <row r="1400" spans="1:15" s="2" customFormat="1" ht="20.100000000000001" customHeight="1" x14ac:dyDescent="0.25">
      <c r="A1400" s="33">
        <v>1142</v>
      </c>
      <c r="B1400" s="9">
        <v>43794</v>
      </c>
      <c r="C1400" s="18" t="s">
        <v>270</v>
      </c>
      <c r="D1400" s="11">
        <v>13770</v>
      </c>
      <c r="E1400" s="9">
        <v>43795</v>
      </c>
      <c r="F1400" s="15" t="s">
        <v>28</v>
      </c>
      <c r="G1400" s="12">
        <v>43795</v>
      </c>
      <c r="H1400" s="23">
        <f t="shared" si="146"/>
        <v>13770</v>
      </c>
      <c r="I1400" s="23"/>
      <c r="J1400" s="23"/>
      <c r="K1400" s="24"/>
      <c r="L1400" s="23">
        <v>10112</v>
      </c>
      <c r="M1400" s="22">
        <f t="shared" si="147"/>
        <v>3658</v>
      </c>
      <c r="N1400" s="22"/>
      <c r="O1400" s="30">
        <f t="shared" si="148"/>
        <v>0.26564996368917937</v>
      </c>
    </row>
    <row r="1401" spans="1:15" ht="20.100000000000001" customHeight="1" x14ac:dyDescent="0.25">
      <c r="A1401" s="33">
        <v>964</v>
      </c>
      <c r="B1401" s="9">
        <v>43738</v>
      </c>
      <c r="C1401" s="18" t="s">
        <v>270</v>
      </c>
      <c r="D1401" s="11">
        <v>14390</v>
      </c>
      <c r="E1401" s="9">
        <v>43795</v>
      </c>
      <c r="F1401" s="15" t="s">
        <v>28</v>
      </c>
      <c r="G1401" s="12">
        <v>43795</v>
      </c>
      <c r="H1401" s="23">
        <f t="shared" si="146"/>
        <v>14390</v>
      </c>
      <c r="I1401" s="23"/>
      <c r="J1401" s="23"/>
      <c r="K1401" s="24"/>
      <c r="L1401" s="23">
        <v>10568</v>
      </c>
      <c r="M1401" s="22">
        <f t="shared" si="147"/>
        <v>3822</v>
      </c>
      <c r="N1401" s="22"/>
      <c r="O1401" s="30">
        <f t="shared" si="148"/>
        <v>0.26560111188325225</v>
      </c>
    </row>
    <row r="1402" spans="1:15" ht="20.100000000000001" customHeight="1" x14ac:dyDescent="0.25">
      <c r="A1402" s="33">
        <v>1141</v>
      </c>
      <c r="B1402" s="9">
        <v>43791</v>
      </c>
      <c r="C1402" s="18" t="s">
        <v>179</v>
      </c>
      <c r="D1402" s="11">
        <v>10862</v>
      </c>
      <c r="E1402" s="9">
        <v>43795</v>
      </c>
      <c r="F1402" s="15" t="s">
        <v>28</v>
      </c>
      <c r="G1402" s="12">
        <v>43801</v>
      </c>
      <c r="H1402" s="23">
        <f t="shared" si="146"/>
        <v>10862</v>
      </c>
      <c r="I1402" s="23"/>
      <c r="J1402" s="23"/>
      <c r="K1402" s="24"/>
      <c r="L1402" s="23">
        <v>8108</v>
      </c>
      <c r="M1402" s="22">
        <f t="shared" si="147"/>
        <v>2754</v>
      </c>
      <c r="N1402" s="22"/>
      <c r="O1402" s="30">
        <f t="shared" si="148"/>
        <v>0.25354446694899652</v>
      </c>
    </row>
    <row r="1403" spans="1:15" ht="20.100000000000001" customHeight="1" x14ac:dyDescent="0.25">
      <c r="A1403" s="33">
        <v>965</v>
      </c>
      <c r="B1403" s="4">
        <v>43738</v>
      </c>
      <c r="C1403" s="18" t="s">
        <v>56</v>
      </c>
      <c r="D1403" s="3">
        <v>32877</v>
      </c>
      <c r="E1403" s="9">
        <v>43795</v>
      </c>
      <c r="F1403" s="15" t="s">
        <v>28</v>
      </c>
      <c r="G1403" s="12">
        <v>43754</v>
      </c>
      <c r="H1403" s="23">
        <f t="shared" si="146"/>
        <v>32877</v>
      </c>
      <c r="I1403" s="23"/>
      <c r="J1403" s="23"/>
      <c r="K1403" s="24"/>
      <c r="L1403" s="23">
        <v>24840</v>
      </c>
      <c r="M1403" s="22">
        <f t="shared" si="147"/>
        <v>8037</v>
      </c>
      <c r="N1403" s="22"/>
      <c r="O1403" s="30">
        <f t="shared" si="148"/>
        <v>0.24445661100465371</v>
      </c>
    </row>
    <row r="1404" spans="1:15" ht="20.100000000000001" customHeight="1" x14ac:dyDescent="0.25">
      <c r="A1404" s="33">
        <v>1052</v>
      </c>
      <c r="B1404" s="4">
        <v>43768</v>
      </c>
      <c r="C1404" s="18" t="s">
        <v>56</v>
      </c>
      <c r="D1404" s="3">
        <v>32961</v>
      </c>
      <c r="E1404" s="9">
        <v>43795</v>
      </c>
      <c r="F1404" s="15" t="s">
        <v>28</v>
      </c>
      <c r="G1404" s="12">
        <v>43781</v>
      </c>
      <c r="H1404" s="23">
        <f t="shared" si="146"/>
        <v>32961</v>
      </c>
      <c r="I1404" s="23"/>
      <c r="J1404" s="23"/>
      <c r="K1404" s="24"/>
      <c r="L1404" s="23">
        <v>24358</v>
      </c>
      <c r="M1404" s="22">
        <f t="shared" si="147"/>
        <v>8603</v>
      </c>
      <c r="N1404" s="22"/>
      <c r="O1404" s="30">
        <f t="shared" si="148"/>
        <v>0.26100543066047754</v>
      </c>
    </row>
    <row r="1405" spans="1:15" ht="20.100000000000001" customHeight="1" x14ac:dyDescent="0.25">
      <c r="A1405" s="33">
        <v>1149</v>
      </c>
      <c r="B1405" s="4">
        <v>43796</v>
      </c>
      <c r="C1405" s="18" t="s">
        <v>424</v>
      </c>
      <c r="D1405" s="3">
        <v>2609</v>
      </c>
      <c r="E1405" s="9">
        <v>43796</v>
      </c>
      <c r="F1405" s="15" t="s">
        <v>28</v>
      </c>
      <c r="G1405" s="12">
        <v>43808</v>
      </c>
      <c r="H1405" s="23">
        <f t="shared" si="146"/>
        <v>2609</v>
      </c>
      <c r="I1405" s="23"/>
      <c r="J1405" s="23"/>
      <c r="K1405" s="24"/>
      <c r="L1405" s="23">
        <v>2034</v>
      </c>
      <c r="M1405" s="22">
        <f t="shared" si="147"/>
        <v>575</v>
      </c>
      <c r="N1405" s="22"/>
      <c r="O1405" s="30">
        <f t="shared" si="148"/>
        <v>0.22039095438865466</v>
      </c>
    </row>
    <row r="1406" spans="1:15" ht="20.100000000000001" customHeight="1" x14ac:dyDescent="0.25">
      <c r="A1406" s="33">
        <v>1082</v>
      </c>
      <c r="B1406" s="9">
        <v>43776</v>
      </c>
      <c r="C1406" s="18" t="s">
        <v>13</v>
      </c>
      <c r="D1406" s="11">
        <v>21909</v>
      </c>
      <c r="E1406" s="9">
        <v>43798</v>
      </c>
      <c r="F1406" s="15" t="s">
        <v>28</v>
      </c>
      <c r="G1406" s="12">
        <v>43788</v>
      </c>
      <c r="H1406" s="23">
        <f t="shared" si="146"/>
        <v>21909</v>
      </c>
      <c r="I1406" s="23"/>
      <c r="J1406" s="23"/>
      <c r="K1406" s="24"/>
      <c r="L1406" s="23">
        <v>17087</v>
      </c>
      <c r="M1406" s="22">
        <f t="shared" si="147"/>
        <v>4822</v>
      </c>
      <c r="N1406" s="22"/>
      <c r="O1406" s="30">
        <f t="shared" si="148"/>
        <v>0.22009219955269524</v>
      </c>
    </row>
    <row r="1407" spans="1:15" ht="20.100000000000001" customHeight="1" x14ac:dyDescent="0.25">
      <c r="A1407" s="33">
        <v>1112</v>
      </c>
      <c r="B1407" s="9">
        <v>43784</v>
      </c>
      <c r="C1407" s="18" t="s">
        <v>338</v>
      </c>
      <c r="D1407" s="11">
        <v>5500</v>
      </c>
      <c r="E1407" s="9">
        <v>43798</v>
      </c>
      <c r="F1407" s="15" t="s">
        <v>28</v>
      </c>
      <c r="G1407" s="12">
        <v>43805</v>
      </c>
      <c r="H1407" s="23">
        <f t="shared" si="146"/>
        <v>5500</v>
      </c>
      <c r="I1407" s="23"/>
      <c r="J1407" s="23"/>
      <c r="K1407" s="24"/>
      <c r="L1407" s="23">
        <v>2662</v>
      </c>
      <c r="M1407" s="22">
        <f t="shared" si="147"/>
        <v>2838</v>
      </c>
      <c r="N1407" s="22"/>
      <c r="O1407" s="30">
        <f t="shared" si="148"/>
        <v>0.51600000000000001</v>
      </c>
    </row>
    <row r="1408" spans="1:15" ht="20.100000000000001" customHeight="1" x14ac:dyDescent="0.25">
      <c r="A1408" s="35" t="s">
        <v>535</v>
      </c>
      <c r="B1408" s="36"/>
      <c r="C1408" s="42"/>
      <c r="D1408" s="37"/>
      <c r="E1408" s="46" t="s">
        <v>573</v>
      </c>
      <c r="F1408" s="47">
        <f>M1408*0.05+N1408*0.06</f>
        <v>6118.09</v>
      </c>
      <c r="G1408" s="21">
        <f>H1408*0.02+I1408*0.02</f>
        <v>8483.7799999999988</v>
      </c>
      <c r="H1408" s="49">
        <f>SUBTOTAL(109,Ноябрь2019[Продажа])</f>
        <v>327739</v>
      </c>
      <c r="I1408" s="49">
        <f>SUBTOTAL(109,Ноябрь2019[Продажа НК])</f>
        <v>96450</v>
      </c>
      <c r="J1408" s="49">
        <f>SUBTOTAL(109,Ноябрь2019[отк])</f>
        <v>0</v>
      </c>
      <c r="K1408" s="49">
        <f>SUBTOTAL(109,Ноябрь2019[шланги])</f>
        <v>0</v>
      </c>
      <c r="L1408" s="49">
        <f>SUBTOTAL(109,Ноябрь2019[Закупка])</f>
        <v>236120</v>
      </c>
      <c r="M1408" s="49">
        <f>SUBTOTAL(109,Ноябрь2019[Маржа])</f>
        <v>91619</v>
      </c>
      <c r="N1408" s="49">
        <f>SUBTOTAL(109,Ноябрь2019[Маржа НК])</f>
        <v>25619</v>
      </c>
      <c r="O1408" s="44">
        <f t="shared" si="148"/>
        <v>0.27954866524887184</v>
      </c>
    </row>
    <row r="1409" spans="1:15" ht="20.100000000000001" customHeight="1" x14ac:dyDescent="0.25">
      <c r="A1409" s="41" t="s">
        <v>1</v>
      </c>
      <c r="B1409" s="1" t="s">
        <v>0</v>
      </c>
      <c r="C1409" s="1" t="s">
        <v>26</v>
      </c>
      <c r="D1409" s="1" t="s">
        <v>2</v>
      </c>
      <c r="E1409" s="1" t="s">
        <v>3</v>
      </c>
      <c r="F1409" s="1" t="s">
        <v>27</v>
      </c>
      <c r="G1409" s="1" t="s">
        <v>4</v>
      </c>
      <c r="H1409" s="2" t="s">
        <v>132</v>
      </c>
      <c r="I1409" s="2" t="s">
        <v>133</v>
      </c>
      <c r="J1409" s="40" t="s">
        <v>187</v>
      </c>
      <c r="K1409" s="40" t="s">
        <v>188</v>
      </c>
      <c r="L1409" s="40" t="s">
        <v>129</v>
      </c>
      <c r="M1409" s="40" t="s">
        <v>130</v>
      </c>
      <c r="N1409" s="2" t="s">
        <v>131</v>
      </c>
      <c r="O1409" s="2" t="s">
        <v>134</v>
      </c>
    </row>
    <row r="1410" spans="1:15" ht="20.100000000000001" customHeight="1" x14ac:dyDescent="0.25">
      <c r="A1410" s="33">
        <v>1089</v>
      </c>
      <c r="B1410" s="9">
        <v>43794</v>
      </c>
      <c r="C1410" s="18" t="s">
        <v>302</v>
      </c>
      <c r="D1410" s="11">
        <v>6600</v>
      </c>
      <c r="E1410" s="9">
        <v>43803</v>
      </c>
      <c r="F1410" s="15" t="s">
        <v>28</v>
      </c>
      <c r="G1410" s="12">
        <v>43794</v>
      </c>
      <c r="H1410" s="23">
        <f t="shared" ref="H1410:H1418" si="149">D1410</f>
        <v>6600</v>
      </c>
      <c r="I1410" s="23"/>
      <c r="J1410" s="23"/>
      <c r="K1410" s="24"/>
      <c r="L1410" s="23">
        <v>5071</v>
      </c>
      <c r="M1410" s="22">
        <f t="shared" ref="M1410:M1441" si="150">H1410-L1410-J1410-K1410</f>
        <v>1529</v>
      </c>
      <c r="N1410" s="22"/>
      <c r="O1410" s="30">
        <f t="shared" ref="O1410:O1442" si="151">M1410/H1410</f>
        <v>0.23166666666666666</v>
      </c>
    </row>
    <row r="1411" spans="1:15" ht="20.100000000000001" customHeight="1" x14ac:dyDescent="0.25">
      <c r="A1411" s="33">
        <v>1138</v>
      </c>
      <c r="B1411" s="9">
        <v>43790</v>
      </c>
      <c r="C1411" s="18" t="s">
        <v>258</v>
      </c>
      <c r="D1411" s="11">
        <v>1597</v>
      </c>
      <c r="E1411" s="9">
        <v>43803</v>
      </c>
      <c r="F1411" s="15" t="s">
        <v>28</v>
      </c>
      <c r="G1411" s="12">
        <v>43804</v>
      </c>
      <c r="H1411" s="23">
        <f t="shared" si="149"/>
        <v>1597</v>
      </c>
      <c r="I1411" s="23"/>
      <c r="J1411" s="23"/>
      <c r="K1411" s="24"/>
      <c r="L1411" s="23">
        <v>1245</v>
      </c>
      <c r="M1411" s="22">
        <f t="shared" si="150"/>
        <v>352</v>
      </c>
      <c r="N1411" s="22"/>
      <c r="O1411" s="30">
        <f t="shared" si="151"/>
        <v>0.22041327489041954</v>
      </c>
    </row>
    <row r="1412" spans="1:15" ht="20.100000000000001" customHeight="1" x14ac:dyDescent="0.25">
      <c r="A1412" s="33">
        <v>1081</v>
      </c>
      <c r="B1412" s="9">
        <v>43776</v>
      </c>
      <c r="C1412" s="18" t="s">
        <v>426</v>
      </c>
      <c r="D1412" s="11">
        <v>9990</v>
      </c>
      <c r="E1412" s="9">
        <v>43803</v>
      </c>
      <c r="F1412" s="15" t="s">
        <v>28</v>
      </c>
      <c r="G1412" s="12">
        <v>43875</v>
      </c>
      <c r="H1412" s="23">
        <f t="shared" si="149"/>
        <v>9990</v>
      </c>
      <c r="I1412" s="23"/>
      <c r="J1412" s="23"/>
      <c r="K1412" s="24"/>
      <c r="L1412" s="23">
        <v>7342</v>
      </c>
      <c r="M1412" s="22">
        <f t="shared" si="150"/>
        <v>2648</v>
      </c>
      <c r="N1412" s="22"/>
      <c r="O1412" s="30">
        <f t="shared" si="151"/>
        <v>0.26506506506506505</v>
      </c>
    </row>
    <row r="1413" spans="1:15" ht="20.100000000000001" customHeight="1" x14ac:dyDescent="0.25">
      <c r="A1413" s="33">
        <v>1080</v>
      </c>
      <c r="B1413" s="9">
        <v>43776</v>
      </c>
      <c r="C1413" s="18" t="s">
        <v>209</v>
      </c>
      <c r="D1413" s="11">
        <v>972</v>
      </c>
      <c r="E1413" s="9">
        <v>43804</v>
      </c>
      <c r="F1413" s="15" t="s">
        <v>28</v>
      </c>
      <c r="G1413" s="12">
        <v>43776</v>
      </c>
      <c r="H1413" s="23">
        <f t="shared" si="149"/>
        <v>972</v>
      </c>
      <c r="I1413" s="23"/>
      <c r="J1413" s="23"/>
      <c r="K1413" s="24"/>
      <c r="L1413" s="23">
        <v>758</v>
      </c>
      <c r="M1413" s="22">
        <f t="shared" si="150"/>
        <v>214</v>
      </c>
      <c r="N1413" s="22"/>
      <c r="O1413" s="30">
        <f t="shared" si="151"/>
        <v>0.22016460905349794</v>
      </c>
    </row>
    <row r="1414" spans="1:15" ht="20.100000000000001" customHeight="1" x14ac:dyDescent="0.25">
      <c r="A1414" s="33">
        <v>1076</v>
      </c>
      <c r="B1414" s="9">
        <v>43776</v>
      </c>
      <c r="C1414" s="18" t="s">
        <v>209</v>
      </c>
      <c r="D1414" s="11">
        <v>2012.8</v>
      </c>
      <c r="E1414" s="9">
        <v>43804</v>
      </c>
      <c r="F1414" s="15" t="s">
        <v>28</v>
      </c>
      <c r="G1414" s="12">
        <v>43812</v>
      </c>
      <c r="H1414" s="23">
        <f t="shared" si="149"/>
        <v>2012.8</v>
      </c>
      <c r="I1414" s="23"/>
      <c r="J1414" s="23"/>
      <c r="K1414" s="24"/>
      <c r="L1414" s="23">
        <v>1847</v>
      </c>
      <c r="M1414" s="22">
        <f t="shared" si="150"/>
        <v>165.79999999999995</v>
      </c>
      <c r="N1414" s="22"/>
      <c r="O1414" s="30">
        <f t="shared" si="151"/>
        <v>8.2372813990461022E-2</v>
      </c>
    </row>
    <row r="1415" spans="1:15" ht="20.100000000000001" customHeight="1" x14ac:dyDescent="0.25">
      <c r="A1415" s="33">
        <v>1159</v>
      </c>
      <c r="B1415" s="9">
        <v>43801</v>
      </c>
      <c r="C1415" s="18" t="s">
        <v>427</v>
      </c>
      <c r="D1415" s="11">
        <v>6583</v>
      </c>
      <c r="E1415" s="9">
        <v>43805</v>
      </c>
      <c r="F1415" s="15" t="s">
        <v>28</v>
      </c>
      <c r="G1415" s="12">
        <v>43845</v>
      </c>
      <c r="H1415" s="23">
        <f t="shared" si="149"/>
        <v>6583</v>
      </c>
      <c r="I1415" s="23"/>
      <c r="J1415" s="23"/>
      <c r="K1415" s="24"/>
      <c r="L1415" s="23">
        <v>4729</v>
      </c>
      <c r="M1415" s="22">
        <f t="shared" si="150"/>
        <v>1854</v>
      </c>
      <c r="N1415" s="22"/>
      <c r="O1415" s="30">
        <f t="shared" si="151"/>
        <v>0.28163451313990584</v>
      </c>
    </row>
    <row r="1416" spans="1:15" ht="20.100000000000001" customHeight="1" x14ac:dyDescent="0.25">
      <c r="A1416" s="33">
        <v>1171</v>
      </c>
      <c r="B1416" s="9">
        <v>43804</v>
      </c>
      <c r="C1416" s="18" t="s">
        <v>403</v>
      </c>
      <c r="D1416" s="11">
        <v>5431</v>
      </c>
      <c r="E1416" s="9">
        <v>43808</v>
      </c>
      <c r="F1416" s="15" t="s">
        <v>28</v>
      </c>
      <c r="G1416" s="12">
        <v>43812</v>
      </c>
      <c r="H1416" s="23">
        <f t="shared" si="149"/>
        <v>5431</v>
      </c>
      <c r="I1416" s="23"/>
      <c r="J1416" s="23"/>
      <c r="K1416" s="24"/>
      <c r="L1416" s="23">
        <v>4181</v>
      </c>
      <c r="M1416" s="22">
        <f t="shared" si="150"/>
        <v>1250</v>
      </c>
      <c r="N1416" s="22"/>
      <c r="O1416" s="30">
        <f t="shared" si="151"/>
        <v>0.23016019149327932</v>
      </c>
    </row>
    <row r="1417" spans="1:15" ht="20.100000000000001" customHeight="1" x14ac:dyDescent="0.25">
      <c r="A1417" s="33">
        <v>1154</v>
      </c>
      <c r="B1417" s="9">
        <v>43796</v>
      </c>
      <c r="C1417" s="18" t="s">
        <v>424</v>
      </c>
      <c r="D1417" s="11">
        <v>1220</v>
      </c>
      <c r="E1417" s="9">
        <v>43810</v>
      </c>
      <c r="F1417" s="15" t="s">
        <v>28</v>
      </c>
      <c r="G1417" s="12">
        <v>43852</v>
      </c>
      <c r="H1417" s="23">
        <f t="shared" si="149"/>
        <v>1220</v>
      </c>
      <c r="I1417" s="23"/>
      <c r="J1417" s="23"/>
      <c r="K1417" s="24"/>
      <c r="L1417" s="23">
        <v>1140</v>
      </c>
      <c r="M1417" s="22">
        <f t="shared" si="150"/>
        <v>80</v>
      </c>
      <c r="N1417" s="22"/>
      <c r="O1417" s="30">
        <f t="shared" si="151"/>
        <v>6.5573770491803282E-2</v>
      </c>
    </row>
    <row r="1418" spans="1:15" ht="19.5" customHeight="1" x14ac:dyDescent="0.25">
      <c r="A1418" s="33">
        <v>1188</v>
      </c>
      <c r="B1418" s="9">
        <v>43809</v>
      </c>
      <c r="C1418" s="18" t="s">
        <v>410</v>
      </c>
      <c r="D1418" s="11">
        <v>1118370</v>
      </c>
      <c r="E1418" s="9">
        <v>43810</v>
      </c>
      <c r="F1418" s="15" t="s">
        <v>28</v>
      </c>
      <c r="G1418" s="12">
        <v>43817</v>
      </c>
      <c r="H1418" s="23">
        <f t="shared" si="149"/>
        <v>1118370</v>
      </c>
      <c r="I1418" s="23"/>
      <c r="J1418" s="23">
        <v>15000</v>
      </c>
      <c r="K1418" s="24"/>
      <c r="L1418" s="23">
        <v>976783.4</v>
      </c>
      <c r="M1418" s="22">
        <f t="shared" si="150"/>
        <v>126586.59999999998</v>
      </c>
      <c r="N1418" s="22"/>
      <c r="O1418" s="30">
        <f t="shared" si="151"/>
        <v>0.11318847966236574</v>
      </c>
    </row>
    <row r="1419" spans="1:15" ht="15.75" x14ac:dyDescent="0.25">
      <c r="A1419" s="33">
        <v>1017</v>
      </c>
      <c r="B1419" s="9">
        <v>43787</v>
      </c>
      <c r="C1419" s="20" t="s">
        <v>425</v>
      </c>
      <c r="D1419" s="11">
        <v>235000</v>
      </c>
      <c r="E1419" s="9">
        <v>43811</v>
      </c>
      <c r="F1419" s="15" t="s">
        <v>28</v>
      </c>
      <c r="G1419" s="12">
        <v>43826</v>
      </c>
      <c r="H1419" s="23">
        <v>117500</v>
      </c>
      <c r="I1419" s="23">
        <f>H1419</f>
        <v>117500</v>
      </c>
      <c r="J1419" s="23"/>
      <c r="K1419" s="24"/>
      <c r="L1419" s="23">
        <v>90768</v>
      </c>
      <c r="M1419" s="22">
        <f t="shared" si="150"/>
        <v>26732</v>
      </c>
      <c r="N1419" s="22">
        <f>M1419</f>
        <v>26732</v>
      </c>
      <c r="O1419" s="30">
        <f t="shared" si="151"/>
        <v>0.22750638297872341</v>
      </c>
    </row>
    <row r="1420" spans="1:15" s="2" customFormat="1" ht="20.100000000000001" customHeight="1" x14ac:dyDescent="0.25">
      <c r="A1420" s="33">
        <v>1033</v>
      </c>
      <c r="B1420" s="9">
        <v>43762</v>
      </c>
      <c r="C1420" s="18" t="s">
        <v>65</v>
      </c>
      <c r="D1420" s="11">
        <v>261134.4</v>
      </c>
      <c r="E1420" s="9">
        <v>43811</v>
      </c>
      <c r="F1420" s="15" t="s">
        <v>28</v>
      </c>
      <c r="G1420" s="12">
        <v>43791</v>
      </c>
      <c r="H1420" s="23">
        <f t="shared" ref="H1420:H1429" si="152">D1420</f>
        <v>261134.4</v>
      </c>
      <c r="I1420" s="23"/>
      <c r="J1420" s="23"/>
      <c r="K1420" s="24">
        <f>16*1200</f>
        <v>19200</v>
      </c>
      <c r="L1420" s="23">
        <v>182654</v>
      </c>
      <c r="M1420" s="22">
        <f t="shared" si="150"/>
        <v>59280.399999999994</v>
      </c>
      <c r="N1420" s="22"/>
      <c r="O1420" s="30">
        <f t="shared" si="151"/>
        <v>0.22701107169335022</v>
      </c>
    </row>
    <row r="1421" spans="1:15" ht="20.100000000000001" customHeight="1" x14ac:dyDescent="0.25">
      <c r="A1421" s="33">
        <v>1200</v>
      </c>
      <c r="B1421" s="9">
        <v>43812</v>
      </c>
      <c r="C1421" s="18" t="s">
        <v>171</v>
      </c>
      <c r="D1421" s="11">
        <v>34990</v>
      </c>
      <c r="E1421" s="9">
        <v>43812</v>
      </c>
      <c r="F1421" s="15" t="s">
        <v>28</v>
      </c>
      <c r="G1421" s="12">
        <v>43815</v>
      </c>
      <c r="H1421" s="23">
        <f t="shared" si="152"/>
        <v>34990</v>
      </c>
      <c r="I1421" s="23"/>
      <c r="J1421" s="23"/>
      <c r="K1421" s="24"/>
      <c r="L1421" s="23">
        <v>25717</v>
      </c>
      <c r="M1421" s="22">
        <f t="shared" si="150"/>
        <v>9273</v>
      </c>
      <c r="N1421" s="22"/>
      <c r="O1421" s="30">
        <f t="shared" si="151"/>
        <v>0.26501857673621032</v>
      </c>
    </row>
    <row r="1422" spans="1:15" ht="20.100000000000001" customHeight="1" x14ac:dyDescent="0.25">
      <c r="A1422" s="33">
        <v>1066</v>
      </c>
      <c r="B1422" s="4">
        <v>43775</v>
      </c>
      <c r="C1422" s="18" t="s">
        <v>99</v>
      </c>
      <c r="D1422" s="3">
        <v>177516</v>
      </c>
      <c r="E1422" s="9">
        <v>43812</v>
      </c>
      <c r="F1422" s="15" t="s">
        <v>28</v>
      </c>
      <c r="G1422" s="12">
        <v>43791</v>
      </c>
      <c r="H1422" s="23">
        <f t="shared" si="152"/>
        <v>177516</v>
      </c>
      <c r="I1422" s="23"/>
      <c r="J1422" s="23">
        <v>30000</v>
      </c>
      <c r="K1422" s="24">
        <f>600*10</f>
        <v>6000</v>
      </c>
      <c r="L1422" s="23">
        <v>60491</v>
      </c>
      <c r="M1422" s="22">
        <f t="shared" si="150"/>
        <v>81025</v>
      </c>
      <c r="N1422" s="22"/>
      <c r="O1422" s="30">
        <f t="shared" si="151"/>
        <v>0.45643772955677236</v>
      </c>
    </row>
    <row r="1423" spans="1:15" ht="20.100000000000001" customHeight="1" x14ac:dyDescent="0.25">
      <c r="A1423" s="33">
        <v>1152</v>
      </c>
      <c r="B1423" s="4">
        <v>43796</v>
      </c>
      <c r="C1423" s="18" t="s">
        <v>424</v>
      </c>
      <c r="D1423" s="3">
        <v>4320</v>
      </c>
      <c r="E1423" s="9">
        <v>43816</v>
      </c>
      <c r="F1423" s="15" t="s">
        <v>28</v>
      </c>
      <c r="G1423" s="12">
        <v>43852</v>
      </c>
      <c r="H1423" s="23">
        <f t="shared" si="152"/>
        <v>4320</v>
      </c>
      <c r="I1423" s="23"/>
      <c r="J1423" s="23"/>
      <c r="K1423" s="24"/>
      <c r="L1423" s="23">
        <v>3888</v>
      </c>
      <c r="M1423" s="22">
        <f t="shared" si="150"/>
        <v>432</v>
      </c>
      <c r="N1423" s="22"/>
      <c r="O1423" s="30">
        <f t="shared" si="151"/>
        <v>0.1</v>
      </c>
    </row>
    <row r="1424" spans="1:15" ht="20.100000000000001" customHeight="1" x14ac:dyDescent="0.25">
      <c r="A1424" s="33">
        <v>1204</v>
      </c>
      <c r="B1424" s="4">
        <v>43812</v>
      </c>
      <c r="C1424" s="18" t="s">
        <v>211</v>
      </c>
      <c r="D1424" s="3">
        <v>4516</v>
      </c>
      <c r="E1424" s="9">
        <v>43816</v>
      </c>
      <c r="F1424" s="15" t="s">
        <v>28</v>
      </c>
      <c r="G1424" s="12">
        <v>43823</v>
      </c>
      <c r="H1424" s="23">
        <f t="shared" si="152"/>
        <v>4516</v>
      </c>
      <c r="I1424" s="23"/>
      <c r="J1424" s="23"/>
      <c r="K1424" s="24"/>
      <c r="L1424" s="23">
        <v>3520</v>
      </c>
      <c r="M1424" s="22">
        <f t="shared" si="150"/>
        <v>996</v>
      </c>
      <c r="N1424" s="22"/>
      <c r="O1424" s="30">
        <f t="shared" si="151"/>
        <v>0.22054915854738708</v>
      </c>
    </row>
    <row r="1425" spans="1:15" ht="20.100000000000001" customHeight="1" x14ac:dyDescent="0.25">
      <c r="A1425" s="33">
        <v>1194</v>
      </c>
      <c r="B1425" s="4">
        <v>43811</v>
      </c>
      <c r="C1425" s="18" t="s">
        <v>77</v>
      </c>
      <c r="D1425" s="3">
        <v>588</v>
      </c>
      <c r="E1425" s="9">
        <v>43816</v>
      </c>
      <c r="F1425" s="15" t="s">
        <v>28</v>
      </c>
      <c r="G1425" s="12">
        <v>43817</v>
      </c>
      <c r="H1425" s="23">
        <f t="shared" si="152"/>
        <v>588</v>
      </c>
      <c r="I1425" s="23"/>
      <c r="J1425" s="23"/>
      <c r="K1425" s="24"/>
      <c r="L1425" s="23">
        <v>420</v>
      </c>
      <c r="M1425" s="22">
        <f t="shared" si="150"/>
        <v>168</v>
      </c>
      <c r="N1425" s="22"/>
      <c r="O1425" s="30">
        <f t="shared" si="151"/>
        <v>0.2857142857142857</v>
      </c>
    </row>
    <row r="1426" spans="1:15" ht="20.100000000000001" customHeight="1" x14ac:dyDescent="0.25">
      <c r="A1426" s="33">
        <v>1203</v>
      </c>
      <c r="B1426" s="4">
        <v>43817</v>
      </c>
      <c r="C1426" s="18" t="s">
        <v>231</v>
      </c>
      <c r="D1426" s="3">
        <v>670</v>
      </c>
      <c r="E1426" s="9">
        <v>43817</v>
      </c>
      <c r="F1426" s="15" t="s">
        <v>28</v>
      </c>
      <c r="G1426" s="12">
        <v>43818</v>
      </c>
      <c r="H1426" s="23">
        <f t="shared" si="152"/>
        <v>670</v>
      </c>
      <c r="I1426" s="23"/>
      <c r="J1426" s="23"/>
      <c r="K1426" s="24"/>
      <c r="L1426" s="23">
        <v>409</v>
      </c>
      <c r="M1426" s="22">
        <f t="shared" si="150"/>
        <v>261</v>
      </c>
      <c r="N1426" s="22"/>
      <c r="O1426" s="30">
        <f t="shared" si="151"/>
        <v>0.38955223880597017</v>
      </c>
    </row>
    <row r="1427" spans="1:15" ht="20.100000000000001" customHeight="1" x14ac:dyDescent="0.25">
      <c r="A1427" s="33">
        <v>1155</v>
      </c>
      <c r="B1427" s="9">
        <v>43797</v>
      </c>
      <c r="C1427" s="18" t="s">
        <v>270</v>
      </c>
      <c r="D1427" s="11">
        <v>5182</v>
      </c>
      <c r="E1427" s="9">
        <v>43817</v>
      </c>
      <c r="F1427" s="15" t="s">
        <v>28</v>
      </c>
      <c r="G1427" s="12">
        <v>43812</v>
      </c>
      <c r="H1427" s="23">
        <f t="shared" si="152"/>
        <v>5182</v>
      </c>
      <c r="I1427" s="23"/>
      <c r="J1427" s="23"/>
      <c r="K1427" s="24"/>
      <c r="L1427" s="23">
        <v>4040</v>
      </c>
      <c r="M1427" s="22">
        <f t="shared" si="150"/>
        <v>1142</v>
      </c>
      <c r="N1427" s="22"/>
      <c r="O1427" s="30">
        <f t="shared" si="151"/>
        <v>0.22037823234272483</v>
      </c>
    </row>
    <row r="1428" spans="1:15" ht="20.100000000000001" customHeight="1" x14ac:dyDescent="0.25">
      <c r="A1428" s="33">
        <v>1184</v>
      </c>
      <c r="B1428" s="9">
        <v>43808</v>
      </c>
      <c r="C1428" s="18" t="s">
        <v>11</v>
      </c>
      <c r="D1428" s="11">
        <v>118043</v>
      </c>
      <c r="E1428" s="9">
        <v>43818</v>
      </c>
      <c r="F1428" s="15" t="s">
        <v>28</v>
      </c>
      <c r="G1428" s="12">
        <v>43822</v>
      </c>
      <c r="H1428" s="23">
        <f t="shared" si="152"/>
        <v>118043</v>
      </c>
      <c r="I1428" s="23"/>
      <c r="J1428" s="23"/>
      <c r="K1428" s="24"/>
      <c r="L1428" s="23">
        <v>87130</v>
      </c>
      <c r="M1428" s="22">
        <f t="shared" si="150"/>
        <v>30913</v>
      </c>
      <c r="N1428" s="22"/>
      <c r="O1428" s="30">
        <f t="shared" si="151"/>
        <v>0.26187914573502874</v>
      </c>
    </row>
    <row r="1429" spans="1:15" ht="20.100000000000001" customHeight="1" x14ac:dyDescent="0.25">
      <c r="A1429" s="33">
        <v>1189</v>
      </c>
      <c r="B1429" s="9">
        <v>43810</v>
      </c>
      <c r="C1429" s="18" t="s">
        <v>86</v>
      </c>
      <c r="D1429" s="11">
        <v>62215.5</v>
      </c>
      <c r="E1429" s="9">
        <v>43818</v>
      </c>
      <c r="F1429" s="15" t="s">
        <v>28</v>
      </c>
      <c r="G1429" s="12">
        <v>43819</v>
      </c>
      <c r="H1429" s="23">
        <f t="shared" si="152"/>
        <v>62215.5</v>
      </c>
      <c r="I1429" s="23"/>
      <c r="J1429" s="23"/>
      <c r="K1429" s="24"/>
      <c r="L1429" s="23">
        <v>48095</v>
      </c>
      <c r="M1429" s="22">
        <f t="shared" si="150"/>
        <v>14120.5</v>
      </c>
      <c r="N1429" s="22"/>
      <c r="O1429" s="30">
        <f t="shared" si="151"/>
        <v>0.22696112705033311</v>
      </c>
    </row>
    <row r="1430" spans="1:15" ht="20.100000000000001" customHeight="1" x14ac:dyDescent="0.25">
      <c r="A1430" s="33">
        <v>1224</v>
      </c>
      <c r="B1430" s="9">
        <v>43819</v>
      </c>
      <c r="C1430" s="18" t="s">
        <v>303</v>
      </c>
      <c r="D1430" s="11">
        <v>3591.25</v>
      </c>
      <c r="E1430" s="9">
        <v>43819</v>
      </c>
      <c r="F1430" s="15" t="s">
        <v>28</v>
      </c>
      <c r="G1430" s="12">
        <v>43819</v>
      </c>
      <c r="H1430" s="23">
        <v>2012.8</v>
      </c>
      <c r="I1430" s="23"/>
      <c r="J1430" s="23"/>
      <c r="K1430" s="24"/>
      <c r="L1430" s="23">
        <v>1847</v>
      </c>
      <c r="M1430" s="22">
        <f t="shared" si="150"/>
        <v>165.79999999999995</v>
      </c>
      <c r="N1430" s="22"/>
      <c r="O1430" s="30">
        <f t="shared" si="151"/>
        <v>8.2372813990461022E-2</v>
      </c>
    </row>
    <row r="1431" spans="1:15" ht="20.100000000000001" customHeight="1" x14ac:dyDescent="0.25">
      <c r="A1431" s="33">
        <v>1226</v>
      </c>
      <c r="B1431" s="4">
        <v>43822</v>
      </c>
      <c r="C1431" s="20" t="s">
        <v>428</v>
      </c>
      <c r="D1431" s="11">
        <v>5551</v>
      </c>
      <c r="E1431" s="4">
        <v>43822</v>
      </c>
      <c r="F1431" s="15" t="s">
        <v>28</v>
      </c>
      <c r="G1431" s="12">
        <v>43823</v>
      </c>
      <c r="H1431" s="23">
        <f t="shared" ref="H1431:H1441" si="153">D1431</f>
        <v>5551</v>
      </c>
      <c r="I1431" s="23">
        <f>H1431</f>
        <v>5551</v>
      </c>
      <c r="J1431" s="23"/>
      <c r="K1431" s="24"/>
      <c r="L1431" s="23">
        <v>4253</v>
      </c>
      <c r="M1431" s="22">
        <f t="shared" si="150"/>
        <v>1298</v>
      </c>
      <c r="N1431" s="22">
        <f>M1431</f>
        <v>1298</v>
      </c>
      <c r="O1431" s="30">
        <f t="shared" si="151"/>
        <v>0.23383174202846335</v>
      </c>
    </row>
    <row r="1432" spans="1:15" ht="20.100000000000001" customHeight="1" x14ac:dyDescent="0.25">
      <c r="A1432" s="33">
        <v>1143</v>
      </c>
      <c r="B1432" s="9">
        <v>43794</v>
      </c>
      <c r="C1432" s="18" t="s">
        <v>56</v>
      </c>
      <c r="D1432" s="11">
        <v>30752</v>
      </c>
      <c r="E1432" s="4">
        <v>43823</v>
      </c>
      <c r="F1432" s="15" t="s">
        <v>28</v>
      </c>
      <c r="G1432" s="12">
        <v>43808</v>
      </c>
      <c r="H1432" s="23">
        <f t="shared" si="153"/>
        <v>30752</v>
      </c>
      <c r="I1432" s="23"/>
      <c r="J1432" s="23"/>
      <c r="K1432" s="24"/>
      <c r="L1432" s="23">
        <v>22634</v>
      </c>
      <c r="M1432" s="22">
        <f t="shared" si="150"/>
        <v>8118</v>
      </c>
      <c r="N1432" s="22"/>
      <c r="O1432" s="30">
        <f t="shared" si="151"/>
        <v>0.26398283038501563</v>
      </c>
    </row>
    <row r="1433" spans="1:15" ht="20.100000000000001" customHeight="1" x14ac:dyDescent="0.25">
      <c r="A1433" s="33">
        <v>1223</v>
      </c>
      <c r="B1433" s="9">
        <v>43819</v>
      </c>
      <c r="C1433" s="18" t="s">
        <v>423</v>
      </c>
      <c r="D1433" s="11">
        <v>16900.5</v>
      </c>
      <c r="E1433" s="4">
        <v>43823</v>
      </c>
      <c r="F1433" s="15" t="s">
        <v>28</v>
      </c>
      <c r="G1433" s="12">
        <v>43858</v>
      </c>
      <c r="H1433" s="23">
        <f t="shared" si="153"/>
        <v>16900.5</v>
      </c>
      <c r="I1433" s="23"/>
      <c r="J1433" s="23"/>
      <c r="K1433" s="24"/>
      <c r="L1433" s="23">
        <v>15371</v>
      </c>
      <c r="M1433" s="22">
        <f t="shared" si="150"/>
        <v>1529.5</v>
      </c>
      <c r="N1433" s="22"/>
      <c r="O1433" s="30">
        <f t="shared" si="151"/>
        <v>9.0500281056773463E-2</v>
      </c>
    </row>
    <row r="1434" spans="1:15" ht="20.100000000000001" customHeight="1" x14ac:dyDescent="0.25">
      <c r="A1434" s="33">
        <v>1190</v>
      </c>
      <c r="B1434" s="9">
        <v>43810</v>
      </c>
      <c r="C1434" s="18" t="s">
        <v>11</v>
      </c>
      <c r="D1434" s="11">
        <v>8358</v>
      </c>
      <c r="E1434" s="4">
        <v>43824</v>
      </c>
      <c r="F1434" s="15" t="s">
        <v>28</v>
      </c>
      <c r="G1434" s="12">
        <v>43824</v>
      </c>
      <c r="H1434" s="23">
        <f t="shared" si="153"/>
        <v>8358</v>
      </c>
      <c r="I1434" s="23"/>
      <c r="J1434" s="23"/>
      <c r="K1434" s="24"/>
      <c r="L1434" s="23">
        <v>5463</v>
      </c>
      <c r="M1434" s="22">
        <f t="shared" si="150"/>
        <v>2895</v>
      </c>
      <c r="N1434" s="22"/>
      <c r="O1434" s="30">
        <f t="shared" si="151"/>
        <v>0.34637473079684133</v>
      </c>
    </row>
    <row r="1435" spans="1:15" ht="20.100000000000001" customHeight="1" x14ac:dyDescent="0.25">
      <c r="A1435" s="33">
        <v>1114</v>
      </c>
      <c r="B1435" s="9">
        <v>43787</v>
      </c>
      <c r="C1435" s="18" t="s">
        <v>13</v>
      </c>
      <c r="D1435" s="11">
        <v>39690</v>
      </c>
      <c r="E1435" s="4">
        <v>43824</v>
      </c>
      <c r="F1435" s="15" t="s">
        <v>28</v>
      </c>
      <c r="G1435" s="12">
        <v>43852</v>
      </c>
      <c r="H1435" s="23">
        <f t="shared" si="153"/>
        <v>39690</v>
      </c>
      <c r="I1435" s="23"/>
      <c r="J1435" s="23"/>
      <c r="K1435" s="24"/>
      <c r="L1435" s="23">
        <v>29148</v>
      </c>
      <c r="M1435" s="22">
        <f t="shared" si="150"/>
        <v>10542</v>
      </c>
      <c r="N1435" s="22"/>
      <c r="O1435" s="30">
        <f t="shared" si="151"/>
        <v>0.26560846560846563</v>
      </c>
    </row>
    <row r="1436" spans="1:15" ht="20.100000000000001" customHeight="1" x14ac:dyDescent="0.25">
      <c r="A1436" s="33">
        <v>1231</v>
      </c>
      <c r="B1436" s="9">
        <v>43823</v>
      </c>
      <c r="C1436" s="20" t="s">
        <v>429</v>
      </c>
      <c r="D1436" s="11">
        <v>71276</v>
      </c>
      <c r="E1436" s="4">
        <v>43824</v>
      </c>
      <c r="F1436" s="15" t="s">
        <v>28</v>
      </c>
      <c r="G1436" s="12">
        <v>43825</v>
      </c>
      <c r="H1436" s="23">
        <f t="shared" si="153"/>
        <v>71276</v>
      </c>
      <c r="I1436" s="23">
        <f>H1436</f>
        <v>71276</v>
      </c>
      <c r="J1436" s="23"/>
      <c r="K1436" s="24"/>
      <c r="L1436" s="23">
        <v>53428</v>
      </c>
      <c r="M1436" s="22">
        <f t="shared" si="150"/>
        <v>17848</v>
      </c>
      <c r="N1436" s="22">
        <f>M1436</f>
        <v>17848</v>
      </c>
      <c r="O1436" s="30">
        <f t="shared" si="151"/>
        <v>0.2504068690723385</v>
      </c>
    </row>
    <row r="1437" spans="1:15" ht="20.100000000000001" customHeight="1" x14ac:dyDescent="0.25">
      <c r="A1437" s="33">
        <v>1215</v>
      </c>
      <c r="B1437" s="9">
        <v>43817</v>
      </c>
      <c r="C1437" s="18" t="s">
        <v>353</v>
      </c>
      <c r="D1437" s="11">
        <v>1378</v>
      </c>
      <c r="E1437" s="4">
        <v>43824</v>
      </c>
      <c r="F1437" s="15" t="s">
        <v>28</v>
      </c>
      <c r="G1437" s="12">
        <v>43850</v>
      </c>
      <c r="H1437" s="23">
        <f t="shared" si="153"/>
        <v>1378</v>
      </c>
      <c r="I1437" s="23"/>
      <c r="J1437" s="23"/>
      <c r="K1437" s="24"/>
      <c r="L1437" s="23">
        <v>799</v>
      </c>
      <c r="M1437" s="22">
        <f t="shared" si="150"/>
        <v>579</v>
      </c>
      <c r="N1437" s="22"/>
      <c r="O1437" s="30">
        <f t="shared" si="151"/>
        <v>0.42017416545718433</v>
      </c>
    </row>
    <row r="1438" spans="1:15" ht="20.100000000000001" customHeight="1" x14ac:dyDescent="0.25">
      <c r="A1438" s="33">
        <v>1202</v>
      </c>
      <c r="B1438" s="9">
        <v>43812</v>
      </c>
      <c r="C1438" s="18" t="s">
        <v>248</v>
      </c>
      <c r="D1438" s="11">
        <v>9769</v>
      </c>
      <c r="E1438" s="9">
        <v>43825</v>
      </c>
      <c r="F1438" s="15" t="s">
        <v>28</v>
      </c>
      <c r="G1438" s="12">
        <v>43812</v>
      </c>
      <c r="H1438" s="23">
        <f t="shared" si="153"/>
        <v>9769</v>
      </c>
      <c r="I1438" s="23"/>
      <c r="J1438" s="23"/>
      <c r="K1438" s="24"/>
      <c r="L1438" s="23">
        <v>8110</v>
      </c>
      <c r="M1438" s="22">
        <f t="shared" si="150"/>
        <v>1659</v>
      </c>
      <c r="N1438" s="22"/>
      <c r="O1438" s="30">
        <f t="shared" si="151"/>
        <v>0.16982290920257959</v>
      </c>
    </row>
    <row r="1439" spans="1:15" ht="20.100000000000001" customHeight="1" x14ac:dyDescent="0.25">
      <c r="A1439" s="33">
        <v>1234</v>
      </c>
      <c r="B1439" s="9">
        <v>43824</v>
      </c>
      <c r="C1439" s="18" t="s">
        <v>231</v>
      </c>
      <c r="D1439" s="11">
        <v>670</v>
      </c>
      <c r="E1439" s="9">
        <v>43829</v>
      </c>
      <c r="F1439" s="15" t="s">
        <v>28</v>
      </c>
      <c r="G1439" s="12">
        <v>43851</v>
      </c>
      <c r="H1439" s="23">
        <f t="shared" si="153"/>
        <v>670</v>
      </c>
      <c r="I1439" s="23"/>
      <c r="J1439" s="23"/>
      <c r="K1439" s="24"/>
      <c r="L1439" s="23">
        <v>409</v>
      </c>
      <c r="M1439" s="22">
        <f t="shared" si="150"/>
        <v>261</v>
      </c>
      <c r="N1439" s="22"/>
      <c r="O1439" s="30">
        <f t="shared" si="151"/>
        <v>0.38955223880597017</v>
      </c>
    </row>
    <row r="1440" spans="1:15" ht="20.100000000000001" customHeight="1" x14ac:dyDescent="0.25">
      <c r="A1440" s="33">
        <v>1242</v>
      </c>
      <c r="B1440" s="9">
        <v>43826</v>
      </c>
      <c r="C1440" s="18" t="s">
        <v>430</v>
      </c>
      <c r="D1440" s="11">
        <v>1079</v>
      </c>
      <c r="E1440" s="9">
        <v>43829</v>
      </c>
      <c r="F1440" s="15" t="s">
        <v>28</v>
      </c>
      <c r="G1440" s="12">
        <v>43903</v>
      </c>
      <c r="H1440" s="23">
        <f t="shared" si="153"/>
        <v>1079</v>
      </c>
      <c r="I1440" s="23"/>
      <c r="J1440" s="23"/>
      <c r="K1440" s="24"/>
      <c r="L1440" s="23">
        <v>711</v>
      </c>
      <c r="M1440" s="22">
        <f t="shared" si="150"/>
        <v>368</v>
      </c>
      <c r="N1440" s="22"/>
      <c r="O1440" s="30">
        <f t="shared" si="151"/>
        <v>0.34105653382761819</v>
      </c>
    </row>
    <row r="1441" spans="1:15" ht="20.100000000000001" customHeight="1" x14ac:dyDescent="0.25">
      <c r="A1441" s="33">
        <v>1240</v>
      </c>
      <c r="B1441" s="9">
        <v>43812</v>
      </c>
      <c r="C1441" s="18" t="s">
        <v>169</v>
      </c>
      <c r="D1441" s="11">
        <v>5772</v>
      </c>
      <c r="E1441" s="9">
        <v>43829</v>
      </c>
      <c r="F1441" s="15" t="s">
        <v>28</v>
      </c>
      <c r="G1441" s="12">
        <v>43826</v>
      </c>
      <c r="H1441" s="23">
        <f t="shared" si="153"/>
        <v>5772</v>
      </c>
      <c r="I1441" s="23"/>
      <c r="J1441" s="23"/>
      <c r="K1441" s="24"/>
      <c r="L1441" s="23">
        <v>4195</v>
      </c>
      <c r="M1441" s="22">
        <f t="shared" si="150"/>
        <v>1577</v>
      </c>
      <c r="N1441" s="22"/>
      <c r="O1441" s="30">
        <f t="shared" si="151"/>
        <v>0.27321552321552323</v>
      </c>
    </row>
    <row r="1442" spans="1:15" ht="20.100000000000001" customHeight="1" x14ac:dyDescent="0.25">
      <c r="A1442" s="35" t="s">
        <v>535</v>
      </c>
      <c r="B1442" s="36"/>
      <c r="C1442" s="42"/>
      <c r="D1442" s="37"/>
      <c r="E1442" s="46" t="s">
        <v>574</v>
      </c>
      <c r="F1442" s="47">
        <f>M1442*0.17+N1442*0.06</f>
        <v>71749.321999999986</v>
      </c>
      <c r="G1442" s="21">
        <f>H1442*0.05+I1442*0.02</f>
        <v>110519.49</v>
      </c>
      <c r="H1442" s="49">
        <f>SUBTOTAL(109,Декабрь2019[Продажа])</f>
        <v>2132659</v>
      </c>
      <c r="I1442" s="49">
        <f>SUBTOTAL(109,Декабрь2019[Продажа НК])</f>
        <v>194327</v>
      </c>
      <c r="J1442" s="49">
        <f>SUBTOTAL(109,Декабрь2019[отк])</f>
        <v>45000</v>
      </c>
      <c r="K1442" s="49">
        <f>SUBTOTAL(109,Декабрь2019[шланги])</f>
        <v>25200</v>
      </c>
      <c r="L1442" s="49">
        <f>SUBTOTAL(109,Декабрь2019[Закупка])</f>
        <v>1656596.4</v>
      </c>
      <c r="M1442" s="49">
        <f>SUBTOTAL(109,Декабрь2019[Маржа])</f>
        <v>405862.59999999992</v>
      </c>
      <c r="N1442" s="49">
        <f>SUBTOTAL(109,Декабрь2019[Маржа НК])</f>
        <v>45878</v>
      </c>
      <c r="O1442" s="44">
        <f t="shared" si="151"/>
        <v>0.19030824899808169</v>
      </c>
    </row>
    <row r="1443" spans="1:15" ht="20.100000000000001" customHeight="1" x14ac:dyDescent="0.25">
      <c r="A1443" s="41" t="s">
        <v>1</v>
      </c>
      <c r="B1443" s="1" t="s">
        <v>0</v>
      </c>
      <c r="C1443" s="1" t="s">
        <v>26</v>
      </c>
      <c r="D1443" s="1" t="s">
        <v>2</v>
      </c>
      <c r="E1443" s="1" t="s">
        <v>3</v>
      </c>
      <c r="F1443" s="1" t="s">
        <v>27</v>
      </c>
      <c r="G1443" s="1" t="s">
        <v>4</v>
      </c>
      <c r="H1443" s="2" t="s">
        <v>132</v>
      </c>
      <c r="I1443" s="2" t="s">
        <v>133</v>
      </c>
      <c r="J1443" s="40" t="s">
        <v>187</v>
      </c>
      <c r="K1443" s="40" t="s">
        <v>188</v>
      </c>
      <c r="L1443" s="40" t="s">
        <v>129</v>
      </c>
      <c r="M1443" s="40" t="s">
        <v>130</v>
      </c>
      <c r="N1443" s="2" t="s">
        <v>131</v>
      </c>
      <c r="O1443" s="2" t="s">
        <v>134</v>
      </c>
    </row>
    <row r="1444" spans="1:15" ht="19.5" customHeight="1" x14ac:dyDescent="0.25">
      <c r="A1444" s="33">
        <v>1134</v>
      </c>
      <c r="B1444" s="9">
        <v>43789</v>
      </c>
      <c r="C1444" s="18" t="s">
        <v>99</v>
      </c>
      <c r="D1444" s="11">
        <v>165266</v>
      </c>
      <c r="E1444" s="9">
        <v>43844</v>
      </c>
      <c r="F1444" s="15" t="s">
        <v>28</v>
      </c>
      <c r="G1444" s="12">
        <v>43808</v>
      </c>
      <c r="H1444" s="23">
        <f>D1444</f>
        <v>165266</v>
      </c>
      <c r="I1444" s="23"/>
      <c r="J1444" s="23">
        <v>30000</v>
      </c>
      <c r="K1444" s="24">
        <f>600*10</f>
        <v>6000</v>
      </c>
      <c r="L1444" s="23">
        <v>50855</v>
      </c>
      <c r="M1444" s="22">
        <f t="shared" ref="M1444:M1462" si="154">H1444-L1444-J1444-K1444</f>
        <v>78411</v>
      </c>
      <c r="N1444" s="22"/>
      <c r="O1444" s="30">
        <f t="shared" ref="O1444:O1463" si="155">M1444/H1444</f>
        <v>0.47445330558009513</v>
      </c>
    </row>
    <row r="1445" spans="1:15" ht="15.75" x14ac:dyDescent="0.25">
      <c r="A1445" s="33">
        <v>1017</v>
      </c>
      <c r="B1445" s="9">
        <v>43787</v>
      </c>
      <c r="C1445" s="18" t="s">
        <v>425</v>
      </c>
      <c r="D1445" s="11">
        <v>235000</v>
      </c>
      <c r="E1445" s="9">
        <v>43845</v>
      </c>
      <c r="F1445" s="15" t="s">
        <v>28</v>
      </c>
      <c r="G1445" s="12">
        <v>43826</v>
      </c>
      <c r="H1445" s="23">
        <v>117500</v>
      </c>
      <c r="I1445" s="23"/>
      <c r="J1445" s="23"/>
      <c r="K1445" s="24"/>
      <c r="L1445" s="23">
        <v>90768</v>
      </c>
      <c r="M1445" s="22">
        <f t="shared" si="154"/>
        <v>26732</v>
      </c>
      <c r="N1445" s="22"/>
      <c r="O1445" s="30">
        <f t="shared" si="155"/>
        <v>0.22750638297872341</v>
      </c>
    </row>
    <row r="1446" spans="1:15" s="2" customFormat="1" ht="20.100000000000001" customHeight="1" x14ac:dyDescent="0.25">
      <c r="A1446" s="33">
        <v>1191</v>
      </c>
      <c r="B1446" s="9">
        <v>43810</v>
      </c>
      <c r="C1446" s="18" t="s">
        <v>65</v>
      </c>
      <c r="D1446" s="11">
        <v>116130</v>
      </c>
      <c r="E1446" s="9">
        <v>43846</v>
      </c>
      <c r="F1446" s="15" t="s">
        <v>28</v>
      </c>
      <c r="G1446" s="12">
        <v>43816</v>
      </c>
      <c r="H1446" s="23">
        <v>24600</v>
      </c>
      <c r="I1446" s="23"/>
      <c r="J1446" s="23"/>
      <c r="K1446" s="24"/>
      <c r="L1446" s="23">
        <v>20180</v>
      </c>
      <c r="M1446" s="22">
        <f t="shared" si="154"/>
        <v>4420</v>
      </c>
      <c r="N1446" s="22"/>
      <c r="O1446" s="30">
        <f t="shared" si="155"/>
        <v>0.17967479674796749</v>
      </c>
    </row>
    <row r="1447" spans="1:15" ht="20.100000000000001" customHeight="1" x14ac:dyDescent="0.25">
      <c r="A1447" s="33">
        <v>1172</v>
      </c>
      <c r="B1447" s="9">
        <v>43804</v>
      </c>
      <c r="C1447" s="18" t="s">
        <v>363</v>
      </c>
      <c r="D1447" s="11">
        <v>5000</v>
      </c>
      <c r="E1447" s="9">
        <v>43846</v>
      </c>
      <c r="F1447" s="15" t="s">
        <v>28</v>
      </c>
      <c r="G1447" s="12">
        <v>43861</v>
      </c>
      <c r="H1447" s="23">
        <f t="shared" ref="H1447:H1459" si="156">D1447</f>
        <v>5000</v>
      </c>
      <c r="I1447" s="23"/>
      <c r="J1447" s="23"/>
      <c r="K1447" s="24"/>
      <c r="L1447" s="23">
        <v>4602</v>
      </c>
      <c r="M1447" s="22">
        <f t="shared" si="154"/>
        <v>398</v>
      </c>
      <c r="N1447" s="22"/>
      <c r="O1447" s="30">
        <f t="shared" si="155"/>
        <v>7.9600000000000004E-2</v>
      </c>
    </row>
    <row r="1448" spans="1:15" ht="20.100000000000001" customHeight="1" x14ac:dyDescent="0.25">
      <c r="A1448" s="33">
        <v>17</v>
      </c>
      <c r="B1448" s="9">
        <v>43845</v>
      </c>
      <c r="C1448" s="18" t="s">
        <v>211</v>
      </c>
      <c r="D1448" s="11">
        <v>51590</v>
      </c>
      <c r="E1448" s="9">
        <v>43846</v>
      </c>
      <c r="F1448" s="15" t="s">
        <v>28</v>
      </c>
      <c r="G1448" s="12">
        <v>43850</v>
      </c>
      <c r="H1448" s="23">
        <f t="shared" si="156"/>
        <v>51590</v>
      </c>
      <c r="I1448" s="23"/>
      <c r="J1448" s="23"/>
      <c r="K1448" s="24"/>
      <c r="L1448" s="23">
        <v>37447</v>
      </c>
      <c r="M1448" s="22">
        <f t="shared" si="154"/>
        <v>14143</v>
      </c>
      <c r="N1448" s="22"/>
      <c r="O1448" s="30">
        <f t="shared" si="155"/>
        <v>0.27414227563481297</v>
      </c>
    </row>
    <row r="1449" spans="1:15" ht="20.100000000000001" customHeight="1" x14ac:dyDescent="0.25">
      <c r="A1449" s="33">
        <v>31</v>
      </c>
      <c r="B1449" s="9">
        <v>43851</v>
      </c>
      <c r="C1449" s="18" t="s">
        <v>49</v>
      </c>
      <c r="D1449" s="11">
        <v>1333</v>
      </c>
      <c r="E1449" s="9">
        <v>43851</v>
      </c>
      <c r="F1449" s="15" t="s">
        <v>28</v>
      </c>
      <c r="G1449" s="12">
        <v>43851</v>
      </c>
      <c r="H1449" s="23">
        <f t="shared" si="156"/>
        <v>1333</v>
      </c>
      <c r="I1449" s="23"/>
      <c r="J1449" s="23"/>
      <c r="K1449" s="24"/>
      <c r="L1449" s="23">
        <v>908</v>
      </c>
      <c r="M1449" s="22">
        <f t="shared" si="154"/>
        <v>425</v>
      </c>
      <c r="N1449" s="22"/>
      <c r="O1449" s="30">
        <f t="shared" si="155"/>
        <v>0.31882970742685673</v>
      </c>
    </row>
    <row r="1450" spans="1:15" ht="20.100000000000001" customHeight="1" x14ac:dyDescent="0.25">
      <c r="A1450" s="33">
        <v>35</v>
      </c>
      <c r="B1450" s="9">
        <v>43852</v>
      </c>
      <c r="C1450" s="20" t="s">
        <v>431</v>
      </c>
      <c r="D1450" s="11">
        <v>7465</v>
      </c>
      <c r="E1450" s="9">
        <v>43852</v>
      </c>
      <c r="F1450" s="15" t="s">
        <v>28</v>
      </c>
      <c r="G1450" s="12">
        <v>43868</v>
      </c>
      <c r="H1450" s="23">
        <f t="shared" si="156"/>
        <v>7465</v>
      </c>
      <c r="I1450" s="23">
        <f>H1450</f>
        <v>7465</v>
      </c>
      <c r="J1450" s="23"/>
      <c r="K1450" s="24"/>
      <c r="L1450" s="23">
        <v>5823</v>
      </c>
      <c r="M1450" s="22">
        <f t="shared" si="154"/>
        <v>1642</v>
      </c>
      <c r="N1450" s="22">
        <f>M1450</f>
        <v>1642</v>
      </c>
      <c r="O1450" s="30">
        <f t="shared" si="155"/>
        <v>0.21995981245813798</v>
      </c>
    </row>
    <row r="1451" spans="1:15" ht="20.100000000000001" customHeight="1" x14ac:dyDescent="0.25">
      <c r="A1451" s="33">
        <v>34</v>
      </c>
      <c r="B1451" s="9">
        <v>43852</v>
      </c>
      <c r="C1451" s="18" t="s">
        <v>372</v>
      </c>
      <c r="D1451" s="11">
        <v>4341</v>
      </c>
      <c r="E1451" s="9">
        <v>43853</v>
      </c>
      <c r="F1451" s="15" t="s">
        <v>28</v>
      </c>
      <c r="G1451" s="12">
        <v>43854</v>
      </c>
      <c r="H1451" s="23">
        <f t="shared" si="156"/>
        <v>4341</v>
      </c>
      <c r="I1451" s="23"/>
      <c r="J1451" s="23"/>
      <c r="K1451" s="24"/>
      <c r="L1451" s="23">
        <v>3931</v>
      </c>
      <c r="M1451" s="22">
        <f t="shared" si="154"/>
        <v>410</v>
      </c>
      <c r="N1451" s="22"/>
      <c r="O1451" s="30">
        <f t="shared" si="155"/>
        <v>9.4448283805574754E-2</v>
      </c>
    </row>
    <row r="1452" spans="1:15" ht="20.100000000000001" customHeight="1" x14ac:dyDescent="0.25">
      <c r="A1452" s="33">
        <v>1247</v>
      </c>
      <c r="B1452" s="9">
        <v>43826</v>
      </c>
      <c r="C1452" s="18" t="s">
        <v>49</v>
      </c>
      <c r="D1452" s="11">
        <v>19960</v>
      </c>
      <c r="E1452" s="9">
        <v>43853</v>
      </c>
      <c r="F1452" s="15" t="s">
        <v>28</v>
      </c>
      <c r="G1452" s="12">
        <v>43854</v>
      </c>
      <c r="H1452" s="23">
        <f t="shared" si="156"/>
        <v>19960</v>
      </c>
      <c r="I1452" s="23"/>
      <c r="J1452" s="23"/>
      <c r="K1452" s="24"/>
      <c r="L1452" s="23">
        <v>13170</v>
      </c>
      <c r="M1452" s="22">
        <f t="shared" si="154"/>
        <v>6790</v>
      </c>
      <c r="N1452" s="22"/>
      <c r="O1452" s="30">
        <f t="shared" si="155"/>
        <v>0.34018036072144286</v>
      </c>
    </row>
    <row r="1453" spans="1:15" ht="20.100000000000001" customHeight="1" x14ac:dyDescent="0.25">
      <c r="A1453" s="33">
        <v>19</v>
      </c>
      <c r="B1453" s="9">
        <v>43846</v>
      </c>
      <c r="C1453" s="18" t="s">
        <v>65</v>
      </c>
      <c r="D1453" s="11">
        <v>50688</v>
      </c>
      <c r="E1453" s="9">
        <v>43853</v>
      </c>
      <c r="F1453" s="15" t="s">
        <v>28</v>
      </c>
      <c r="G1453" s="12">
        <v>43868</v>
      </c>
      <c r="H1453" s="23">
        <f t="shared" si="156"/>
        <v>50688</v>
      </c>
      <c r="I1453" s="23"/>
      <c r="J1453" s="23"/>
      <c r="K1453" s="24"/>
      <c r="L1453" s="23">
        <v>40832</v>
      </c>
      <c r="M1453" s="22">
        <f t="shared" si="154"/>
        <v>9856</v>
      </c>
      <c r="N1453" s="22"/>
      <c r="O1453" s="30">
        <f t="shared" si="155"/>
        <v>0.19444444444444445</v>
      </c>
    </row>
    <row r="1454" spans="1:15" ht="20.100000000000001" customHeight="1" x14ac:dyDescent="0.25">
      <c r="A1454" s="33">
        <v>39</v>
      </c>
      <c r="B1454" s="9">
        <v>43853</v>
      </c>
      <c r="C1454" s="20" t="s">
        <v>432</v>
      </c>
      <c r="D1454" s="11">
        <v>66195</v>
      </c>
      <c r="E1454" s="9">
        <v>43853</v>
      </c>
      <c r="F1454" s="15" t="s">
        <v>28</v>
      </c>
      <c r="G1454" s="12">
        <v>43859</v>
      </c>
      <c r="H1454" s="23">
        <f t="shared" si="156"/>
        <v>66195</v>
      </c>
      <c r="I1454" s="23">
        <f>H1454</f>
        <v>66195</v>
      </c>
      <c r="J1454" s="23"/>
      <c r="K1454" s="24"/>
      <c r="L1454" s="23">
        <v>48748</v>
      </c>
      <c r="M1454" s="22">
        <f t="shared" si="154"/>
        <v>17447</v>
      </c>
      <c r="N1454" s="22">
        <f>M1454</f>
        <v>17447</v>
      </c>
      <c r="O1454" s="30">
        <f t="shared" si="155"/>
        <v>0.2635697560238689</v>
      </c>
    </row>
    <row r="1455" spans="1:15" ht="20.100000000000001" customHeight="1" x14ac:dyDescent="0.25">
      <c r="A1455" s="33">
        <v>1224</v>
      </c>
      <c r="B1455" s="9">
        <v>43819</v>
      </c>
      <c r="C1455" s="18" t="s">
        <v>303</v>
      </c>
      <c r="D1455" s="11">
        <v>1943.95</v>
      </c>
      <c r="E1455" s="9">
        <v>43854</v>
      </c>
      <c r="F1455" s="15" t="s">
        <v>28</v>
      </c>
      <c r="G1455" s="12">
        <v>43854</v>
      </c>
      <c r="H1455" s="23">
        <f t="shared" si="156"/>
        <v>1943.95</v>
      </c>
      <c r="I1455" s="23"/>
      <c r="J1455" s="23"/>
      <c r="K1455" s="24"/>
      <c r="L1455" s="23">
        <v>1783</v>
      </c>
      <c r="M1455" s="22">
        <f t="shared" si="154"/>
        <v>160.95000000000005</v>
      </c>
      <c r="N1455" s="22"/>
      <c r="O1455" s="30">
        <f t="shared" si="155"/>
        <v>8.2795339386301112E-2</v>
      </c>
    </row>
    <row r="1456" spans="1:15" ht="20.100000000000001" customHeight="1" x14ac:dyDescent="0.25">
      <c r="A1456" s="33">
        <v>29</v>
      </c>
      <c r="B1456" s="9">
        <v>43851</v>
      </c>
      <c r="C1456" s="18" t="s">
        <v>403</v>
      </c>
      <c r="D1456" s="11">
        <v>5431</v>
      </c>
      <c r="E1456" s="9">
        <v>43857</v>
      </c>
      <c r="F1456" s="15" t="s">
        <v>28</v>
      </c>
      <c r="G1456" s="12">
        <v>43860</v>
      </c>
      <c r="H1456" s="23">
        <f t="shared" si="156"/>
        <v>5431</v>
      </c>
      <c r="I1456" s="23"/>
      <c r="J1456" s="23"/>
      <c r="K1456" s="24"/>
      <c r="L1456" s="23">
        <v>4181</v>
      </c>
      <c r="M1456" s="22">
        <f t="shared" si="154"/>
        <v>1250</v>
      </c>
      <c r="N1456" s="22"/>
      <c r="O1456" s="30">
        <f t="shared" si="155"/>
        <v>0.23016019149327932</v>
      </c>
    </row>
    <row r="1457" spans="1:15" ht="20.100000000000001" customHeight="1" x14ac:dyDescent="0.25">
      <c r="A1457" s="33">
        <v>45</v>
      </c>
      <c r="B1457" s="9">
        <v>43854</v>
      </c>
      <c r="C1457" s="18" t="s">
        <v>281</v>
      </c>
      <c r="D1457" s="11">
        <v>2282</v>
      </c>
      <c r="E1457" s="9">
        <v>43857</v>
      </c>
      <c r="F1457" s="15" t="s">
        <v>28</v>
      </c>
      <c r="G1457" s="12">
        <v>43858</v>
      </c>
      <c r="H1457" s="23">
        <f t="shared" si="156"/>
        <v>2282</v>
      </c>
      <c r="I1457" s="23"/>
      <c r="J1457" s="23"/>
      <c r="K1457" s="24"/>
      <c r="L1457" s="23">
        <v>1760</v>
      </c>
      <c r="M1457" s="22">
        <f t="shared" si="154"/>
        <v>522</v>
      </c>
      <c r="N1457" s="22"/>
      <c r="O1457" s="30">
        <f t="shared" si="155"/>
        <v>0.22874671340929009</v>
      </c>
    </row>
    <row r="1458" spans="1:15" ht="20.100000000000001" customHeight="1" x14ac:dyDescent="0.25">
      <c r="A1458" s="33">
        <v>1201</v>
      </c>
      <c r="B1458" s="9">
        <v>43812</v>
      </c>
      <c r="C1458" s="18" t="s">
        <v>209</v>
      </c>
      <c r="D1458" s="11">
        <v>1325.15</v>
      </c>
      <c r="E1458" s="9">
        <v>43858</v>
      </c>
      <c r="F1458" s="15" t="s">
        <v>28</v>
      </c>
      <c r="G1458" s="12">
        <v>43812</v>
      </c>
      <c r="H1458" s="23">
        <f t="shared" si="156"/>
        <v>1325.15</v>
      </c>
      <c r="I1458" s="23"/>
      <c r="J1458" s="23"/>
      <c r="K1458" s="24"/>
      <c r="L1458" s="23">
        <v>1215</v>
      </c>
      <c r="M1458" s="22">
        <f t="shared" si="154"/>
        <v>110.15000000000009</v>
      </c>
      <c r="N1458" s="22"/>
      <c r="O1458" s="30">
        <f t="shared" si="155"/>
        <v>8.3122665358638714E-2</v>
      </c>
    </row>
    <row r="1459" spans="1:15" ht="20.100000000000001" customHeight="1" x14ac:dyDescent="0.25">
      <c r="A1459" s="33">
        <v>25</v>
      </c>
      <c r="B1459" s="9">
        <v>43847</v>
      </c>
      <c r="C1459" s="18" t="s">
        <v>209</v>
      </c>
      <c r="D1459" s="11">
        <v>2101.5</v>
      </c>
      <c r="E1459" s="9">
        <v>43858</v>
      </c>
      <c r="F1459" s="15" t="s">
        <v>28</v>
      </c>
      <c r="G1459" s="12">
        <v>43847</v>
      </c>
      <c r="H1459" s="23">
        <f t="shared" si="156"/>
        <v>2101.5</v>
      </c>
      <c r="I1459" s="23"/>
      <c r="J1459" s="23"/>
      <c r="K1459" s="24"/>
      <c r="L1459" s="23">
        <v>1818</v>
      </c>
      <c r="M1459" s="22">
        <f t="shared" si="154"/>
        <v>283.5</v>
      </c>
      <c r="N1459" s="22"/>
      <c r="O1459" s="30">
        <f t="shared" si="155"/>
        <v>0.13490364025695931</v>
      </c>
    </row>
    <row r="1460" spans="1:15" ht="20.100000000000001" customHeight="1" x14ac:dyDescent="0.25">
      <c r="A1460" s="33">
        <v>1191</v>
      </c>
      <c r="B1460" s="9">
        <v>43810</v>
      </c>
      <c r="C1460" s="18" t="s">
        <v>65</v>
      </c>
      <c r="D1460" s="11">
        <v>116130</v>
      </c>
      <c r="E1460" s="9">
        <v>43860</v>
      </c>
      <c r="F1460" s="15" t="s">
        <v>28</v>
      </c>
      <c r="G1460" s="12">
        <v>43826</v>
      </c>
      <c r="H1460" s="23">
        <v>72540.399999999994</v>
      </c>
      <c r="I1460" s="23"/>
      <c r="J1460" s="23"/>
      <c r="K1460" s="24"/>
      <c r="L1460" s="23">
        <v>54986</v>
      </c>
      <c r="M1460" s="22">
        <f t="shared" si="154"/>
        <v>17554.399999999994</v>
      </c>
      <c r="N1460" s="22"/>
      <c r="O1460" s="30">
        <f t="shared" si="155"/>
        <v>0.24199480565312564</v>
      </c>
    </row>
    <row r="1461" spans="1:15" ht="20.100000000000001" customHeight="1" x14ac:dyDescent="0.25">
      <c r="A1461" s="33">
        <v>3</v>
      </c>
      <c r="B1461" s="9">
        <v>43840</v>
      </c>
      <c r="C1461" s="18" t="s">
        <v>11</v>
      </c>
      <c r="D1461" s="11">
        <v>3213</v>
      </c>
      <c r="E1461" s="9">
        <v>43860</v>
      </c>
      <c r="F1461" s="15" t="s">
        <v>28</v>
      </c>
      <c r="G1461" s="12">
        <v>43866</v>
      </c>
      <c r="H1461" s="23">
        <f>D1461</f>
        <v>3213</v>
      </c>
      <c r="I1461" s="23"/>
      <c r="J1461" s="23"/>
      <c r="K1461" s="24"/>
      <c r="L1461" s="23">
        <v>2329</v>
      </c>
      <c r="M1461" s="22">
        <f t="shared" si="154"/>
        <v>884</v>
      </c>
      <c r="N1461" s="22"/>
      <c r="O1461" s="30">
        <f t="shared" si="155"/>
        <v>0.27513227513227512</v>
      </c>
    </row>
    <row r="1462" spans="1:15" ht="20.100000000000001" customHeight="1" x14ac:dyDescent="0.25">
      <c r="A1462" s="33">
        <v>1217</v>
      </c>
      <c r="B1462" s="9">
        <v>43818</v>
      </c>
      <c r="C1462" s="20" t="s">
        <v>433</v>
      </c>
      <c r="D1462" s="11">
        <v>22852</v>
      </c>
      <c r="E1462" s="9">
        <v>43861</v>
      </c>
      <c r="F1462" s="15" t="s">
        <v>28</v>
      </c>
      <c r="G1462" s="12">
        <v>43886</v>
      </c>
      <c r="H1462" s="23">
        <f>D1462</f>
        <v>22852</v>
      </c>
      <c r="I1462" s="23">
        <f>H1462</f>
        <v>22852</v>
      </c>
      <c r="J1462" s="23"/>
      <c r="K1462" s="24"/>
      <c r="L1462" s="23">
        <v>16877</v>
      </c>
      <c r="M1462" s="22">
        <f t="shared" si="154"/>
        <v>5975</v>
      </c>
      <c r="N1462" s="22">
        <f>M1462</f>
        <v>5975</v>
      </c>
      <c r="O1462" s="30">
        <f t="shared" si="155"/>
        <v>0.26146507964291965</v>
      </c>
    </row>
    <row r="1463" spans="1:15" ht="20.100000000000001" customHeight="1" x14ac:dyDescent="0.25">
      <c r="A1463" s="35" t="s">
        <v>535</v>
      </c>
      <c r="B1463" s="36"/>
      <c r="C1463" s="42"/>
      <c r="D1463" s="37"/>
      <c r="E1463" s="46" t="s">
        <v>575</v>
      </c>
      <c r="F1463" s="47">
        <f>M1463*0.17+N1463*0.06+10000</f>
        <v>43364.22</v>
      </c>
      <c r="G1463" s="21">
        <f>H1463*0.05+I1463*0.02+10000</f>
        <v>43211.590000000004</v>
      </c>
      <c r="H1463" s="49">
        <f>SUBTOTAL(109,Январь2020[Продажа])</f>
        <v>625627</v>
      </c>
      <c r="I1463" s="49">
        <f>SUBTOTAL(109,Январь2020[Продажа НК])</f>
        <v>96512</v>
      </c>
      <c r="J1463" s="49">
        <f>SUBTOTAL(109,Январь2020[отк])</f>
        <v>30000</v>
      </c>
      <c r="K1463" s="49">
        <f>SUBTOTAL(109,Январь2020[шланги])</f>
        <v>6000</v>
      </c>
      <c r="L1463" s="49">
        <f>SUBTOTAL(109,Январь2020[Закупка])</f>
        <v>402213</v>
      </c>
      <c r="M1463" s="49">
        <f>SUBTOTAL(109,Январь2020[Маржа])</f>
        <v>187414</v>
      </c>
      <c r="N1463" s="49">
        <f>SUBTOTAL(109,Январь2020[Маржа НК])</f>
        <v>25064</v>
      </c>
      <c r="O1463" s="44">
        <f t="shared" si="155"/>
        <v>0.29956187952246305</v>
      </c>
    </row>
    <row r="1464" spans="1:15" ht="20.100000000000001" customHeight="1" x14ac:dyDescent="0.25">
      <c r="A1464" s="41" t="s">
        <v>1</v>
      </c>
      <c r="B1464" s="1" t="s">
        <v>0</v>
      </c>
      <c r="C1464" s="1" t="s">
        <v>26</v>
      </c>
      <c r="D1464" s="1" t="s">
        <v>2</v>
      </c>
      <c r="E1464" s="1" t="s">
        <v>3</v>
      </c>
      <c r="F1464" s="1" t="s">
        <v>27</v>
      </c>
      <c r="G1464" s="1" t="s">
        <v>4</v>
      </c>
      <c r="H1464" s="2" t="s">
        <v>132</v>
      </c>
      <c r="I1464" s="2" t="s">
        <v>133</v>
      </c>
      <c r="J1464" s="40" t="s">
        <v>187</v>
      </c>
      <c r="K1464" s="40" t="s">
        <v>188</v>
      </c>
      <c r="L1464" s="40" t="s">
        <v>129</v>
      </c>
      <c r="M1464" s="40" t="s">
        <v>130</v>
      </c>
      <c r="N1464" s="2" t="s">
        <v>131</v>
      </c>
      <c r="O1464" s="2" t="s">
        <v>134</v>
      </c>
    </row>
    <row r="1465" spans="1:15" ht="20.100000000000001" customHeight="1" x14ac:dyDescent="0.25">
      <c r="A1465" s="33">
        <v>20</v>
      </c>
      <c r="B1465" s="9">
        <v>43846</v>
      </c>
      <c r="C1465" s="18" t="s">
        <v>11</v>
      </c>
      <c r="D1465" s="11">
        <v>3807</v>
      </c>
      <c r="E1465" s="9">
        <v>43864</v>
      </c>
      <c r="F1465" s="15" t="s">
        <v>28</v>
      </c>
      <c r="G1465" s="12">
        <v>43866</v>
      </c>
      <c r="H1465" s="23">
        <f t="shared" ref="H1465:H1485" si="157">D1465</f>
        <v>3807</v>
      </c>
      <c r="I1465" s="23"/>
      <c r="J1465" s="23"/>
      <c r="K1465" s="24"/>
      <c r="L1465" s="23">
        <v>2930</v>
      </c>
      <c r="M1465" s="22">
        <f t="shared" ref="M1465:M1489" si="158">H1465-L1465-J1465-K1465</f>
        <v>877</v>
      </c>
      <c r="N1465" s="22"/>
      <c r="O1465" s="30">
        <f t="shared" ref="O1465:O1490" si="159">M1465/H1465</f>
        <v>0.23036511688993958</v>
      </c>
    </row>
    <row r="1466" spans="1:15" ht="20.100000000000001" customHeight="1" x14ac:dyDescent="0.25">
      <c r="A1466" s="33">
        <v>21</v>
      </c>
      <c r="B1466" s="9">
        <v>43846</v>
      </c>
      <c r="C1466" s="18" t="s">
        <v>11</v>
      </c>
      <c r="D1466" s="11">
        <v>17484</v>
      </c>
      <c r="E1466" s="9">
        <v>43864</v>
      </c>
      <c r="F1466" s="15" t="s">
        <v>28</v>
      </c>
      <c r="G1466" s="12">
        <v>43866</v>
      </c>
      <c r="H1466" s="23">
        <f t="shared" si="157"/>
        <v>17484</v>
      </c>
      <c r="I1466" s="23"/>
      <c r="J1466" s="23"/>
      <c r="K1466" s="24"/>
      <c r="L1466" s="23">
        <v>11538</v>
      </c>
      <c r="M1466" s="22">
        <f t="shared" si="158"/>
        <v>5946</v>
      </c>
      <c r="N1466" s="22"/>
      <c r="O1466" s="30">
        <f t="shared" si="159"/>
        <v>0.34008236101578587</v>
      </c>
    </row>
    <row r="1467" spans="1:15" ht="20.100000000000001" customHeight="1" x14ac:dyDescent="0.25">
      <c r="A1467" s="33">
        <v>78</v>
      </c>
      <c r="B1467" s="9">
        <v>43861</v>
      </c>
      <c r="C1467" s="26" t="s">
        <v>16</v>
      </c>
      <c r="D1467" s="11">
        <v>16458</v>
      </c>
      <c r="E1467" s="9">
        <v>43864</v>
      </c>
      <c r="F1467" s="15" t="s">
        <v>28</v>
      </c>
      <c r="G1467" s="12">
        <v>43867</v>
      </c>
      <c r="H1467" s="23">
        <f t="shared" si="157"/>
        <v>16458</v>
      </c>
      <c r="I1467" s="23"/>
      <c r="J1467" s="23"/>
      <c r="K1467" s="24"/>
      <c r="L1467" s="23">
        <v>12543</v>
      </c>
      <c r="M1467" s="22">
        <f t="shared" si="158"/>
        <v>3915</v>
      </c>
      <c r="N1467" s="22"/>
      <c r="O1467" s="30">
        <f t="shared" si="159"/>
        <v>0.23787823550856727</v>
      </c>
    </row>
    <row r="1468" spans="1:15" ht="20.100000000000001" customHeight="1" x14ac:dyDescent="0.25">
      <c r="A1468" s="33">
        <v>68</v>
      </c>
      <c r="B1468" s="9">
        <v>43861</v>
      </c>
      <c r="C1468" s="26" t="s">
        <v>139</v>
      </c>
      <c r="D1468" s="11">
        <v>32970</v>
      </c>
      <c r="E1468" s="9">
        <v>43864</v>
      </c>
      <c r="F1468" s="15" t="s">
        <v>28</v>
      </c>
      <c r="G1468" s="12">
        <v>43888</v>
      </c>
      <c r="H1468" s="23">
        <f t="shared" si="157"/>
        <v>32970</v>
      </c>
      <c r="I1468" s="23"/>
      <c r="J1468" s="23"/>
      <c r="K1468" s="24"/>
      <c r="L1468" s="23">
        <f>8078*3</f>
        <v>24234</v>
      </c>
      <c r="M1468" s="22">
        <f t="shared" si="158"/>
        <v>8736</v>
      </c>
      <c r="N1468" s="22"/>
      <c r="O1468" s="30">
        <f t="shared" si="159"/>
        <v>0.26496815286624203</v>
      </c>
    </row>
    <row r="1469" spans="1:15" ht="20.100000000000001" customHeight="1" x14ac:dyDescent="0.25">
      <c r="A1469" s="33">
        <v>1228</v>
      </c>
      <c r="B1469" s="9">
        <v>43823</v>
      </c>
      <c r="C1469" s="18" t="s">
        <v>56</v>
      </c>
      <c r="D1469" s="11">
        <v>72488</v>
      </c>
      <c r="E1469" s="9">
        <v>43865</v>
      </c>
      <c r="F1469" s="15" t="s">
        <v>28</v>
      </c>
      <c r="G1469" s="12">
        <v>43857</v>
      </c>
      <c r="H1469" s="23">
        <f t="shared" si="157"/>
        <v>72488</v>
      </c>
      <c r="I1469" s="23"/>
      <c r="J1469" s="23"/>
      <c r="K1469" s="24"/>
      <c r="L1469" s="23">
        <v>55183</v>
      </c>
      <c r="M1469" s="22">
        <f t="shared" si="158"/>
        <v>17305</v>
      </c>
      <c r="N1469" s="22"/>
      <c r="O1469" s="30">
        <f t="shared" si="159"/>
        <v>0.2387291689658978</v>
      </c>
    </row>
    <row r="1470" spans="1:15" ht="20.100000000000001" customHeight="1" x14ac:dyDescent="0.25">
      <c r="A1470" s="33">
        <v>1179</v>
      </c>
      <c r="B1470" s="9">
        <v>43811</v>
      </c>
      <c r="C1470" s="18" t="s">
        <v>50</v>
      </c>
      <c r="D1470" s="11">
        <v>22465</v>
      </c>
      <c r="E1470" s="9">
        <v>43865</v>
      </c>
      <c r="F1470" s="15" t="s">
        <v>28</v>
      </c>
      <c r="G1470" s="12">
        <v>43851</v>
      </c>
      <c r="H1470" s="23">
        <f t="shared" si="157"/>
        <v>22465</v>
      </c>
      <c r="I1470" s="23"/>
      <c r="J1470" s="23"/>
      <c r="K1470" s="24"/>
      <c r="L1470" s="23">
        <v>18443</v>
      </c>
      <c r="M1470" s="22">
        <f t="shared" si="158"/>
        <v>4022</v>
      </c>
      <c r="N1470" s="22"/>
      <c r="O1470" s="30">
        <f t="shared" si="159"/>
        <v>0.17903405297128866</v>
      </c>
    </row>
    <row r="1471" spans="1:15" ht="20.100000000000001" customHeight="1" x14ac:dyDescent="0.25">
      <c r="A1471" s="33">
        <v>113</v>
      </c>
      <c r="B1471" s="9">
        <v>43871</v>
      </c>
      <c r="C1471" s="20" t="s">
        <v>434</v>
      </c>
      <c r="D1471" s="11">
        <v>13990</v>
      </c>
      <c r="E1471" s="9">
        <v>43871</v>
      </c>
      <c r="F1471" s="15" t="s">
        <v>28</v>
      </c>
      <c r="G1471" s="12">
        <v>43871</v>
      </c>
      <c r="H1471" s="23">
        <f t="shared" si="157"/>
        <v>13990</v>
      </c>
      <c r="I1471" s="23">
        <f>H1471</f>
        <v>13990</v>
      </c>
      <c r="J1471" s="23"/>
      <c r="K1471" s="24"/>
      <c r="L1471" s="23">
        <v>10112</v>
      </c>
      <c r="M1471" s="22">
        <f t="shared" si="158"/>
        <v>3878</v>
      </c>
      <c r="N1471" s="22">
        <f>M1471</f>
        <v>3878</v>
      </c>
      <c r="O1471" s="30">
        <f t="shared" si="159"/>
        <v>0.27719799857040744</v>
      </c>
    </row>
    <row r="1472" spans="1:15" ht="20.100000000000001" customHeight="1" x14ac:dyDescent="0.25">
      <c r="A1472" s="33">
        <v>114</v>
      </c>
      <c r="B1472" s="9">
        <v>43871</v>
      </c>
      <c r="C1472" s="18" t="s">
        <v>149</v>
      </c>
      <c r="D1472" s="11">
        <v>505</v>
      </c>
      <c r="E1472" s="9">
        <v>43872</v>
      </c>
      <c r="F1472" s="15" t="s">
        <v>28</v>
      </c>
      <c r="G1472" s="12">
        <v>43889</v>
      </c>
      <c r="H1472" s="23">
        <f t="shared" si="157"/>
        <v>505</v>
      </c>
      <c r="I1472" s="23"/>
      <c r="J1472" s="23"/>
      <c r="K1472" s="24"/>
      <c r="L1472" s="23">
        <v>396</v>
      </c>
      <c r="M1472" s="22">
        <f t="shared" si="158"/>
        <v>109</v>
      </c>
      <c r="N1472" s="22"/>
      <c r="O1472" s="30">
        <f t="shared" si="159"/>
        <v>0.21584158415841584</v>
      </c>
    </row>
    <row r="1473" spans="1:15" ht="20.100000000000001" customHeight="1" x14ac:dyDescent="0.25">
      <c r="A1473" s="33">
        <v>93</v>
      </c>
      <c r="B1473" s="9">
        <v>43866</v>
      </c>
      <c r="C1473" s="18" t="s">
        <v>186</v>
      </c>
      <c r="D1473" s="11">
        <v>6742</v>
      </c>
      <c r="E1473" s="9">
        <v>43872</v>
      </c>
      <c r="F1473" s="15" t="s">
        <v>28</v>
      </c>
      <c r="G1473" s="12">
        <v>43893</v>
      </c>
      <c r="H1473" s="23">
        <f t="shared" si="157"/>
        <v>6742</v>
      </c>
      <c r="I1473" s="23"/>
      <c r="J1473" s="23"/>
      <c r="K1473" s="24"/>
      <c r="L1473" s="23">
        <v>5073</v>
      </c>
      <c r="M1473" s="22">
        <f t="shared" si="158"/>
        <v>1669</v>
      </c>
      <c r="N1473" s="22"/>
      <c r="O1473" s="30">
        <f t="shared" si="159"/>
        <v>0.24755265499851675</v>
      </c>
    </row>
    <row r="1474" spans="1:15" ht="20.100000000000001" customHeight="1" x14ac:dyDescent="0.25">
      <c r="A1474" s="33">
        <v>115</v>
      </c>
      <c r="B1474" s="9">
        <v>43871</v>
      </c>
      <c r="C1474" s="20" t="s">
        <v>435</v>
      </c>
      <c r="D1474" s="11">
        <v>4372</v>
      </c>
      <c r="E1474" s="9">
        <v>43872</v>
      </c>
      <c r="F1474" s="15" t="s">
        <v>28</v>
      </c>
      <c r="G1474" s="9">
        <v>43892</v>
      </c>
      <c r="H1474" s="23">
        <f t="shared" si="157"/>
        <v>4372</v>
      </c>
      <c r="I1474" s="23">
        <f>H1474</f>
        <v>4372</v>
      </c>
      <c r="J1474" s="23"/>
      <c r="K1474" s="24"/>
      <c r="L1474" s="23">
        <v>3075</v>
      </c>
      <c r="M1474" s="22">
        <f t="shared" si="158"/>
        <v>1297</v>
      </c>
      <c r="N1474" s="22">
        <f>M1474</f>
        <v>1297</v>
      </c>
      <c r="O1474" s="30">
        <f t="shared" si="159"/>
        <v>0.29666056724611162</v>
      </c>
    </row>
    <row r="1475" spans="1:15" ht="20.100000000000001" customHeight="1" x14ac:dyDescent="0.25">
      <c r="A1475" s="33">
        <v>53</v>
      </c>
      <c r="B1475" s="9">
        <v>43858</v>
      </c>
      <c r="C1475" s="18" t="s">
        <v>11</v>
      </c>
      <c r="D1475" s="11">
        <v>2538</v>
      </c>
      <c r="E1475" s="9">
        <v>43875</v>
      </c>
      <c r="F1475" s="15" t="s">
        <v>28</v>
      </c>
      <c r="G1475" s="12">
        <v>43866</v>
      </c>
      <c r="H1475" s="23">
        <f t="shared" si="157"/>
        <v>2538</v>
      </c>
      <c r="I1475" s="23"/>
      <c r="J1475" s="23"/>
      <c r="K1475" s="24"/>
      <c r="L1475" s="23">
        <v>1584</v>
      </c>
      <c r="M1475" s="22">
        <f t="shared" si="158"/>
        <v>954</v>
      </c>
      <c r="N1475" s="22"/>
      <c r="O1475" s="30">
        <f t="shared" si="159"/>
        <v>0.37588652482269502</v>
      </c>
    </row>
    <row r="1476" spans="1:15" ht="20.100000000000001" customHeight="1" x14ac:dyDescent="0.25">
      <c r="A1476" s="33">
        <v>133</v>
      </c>
      <c r="B1476" s="9">
        <v>43878</v>
      </c>
      <c r="C1476" s="18" t="s">
        <v>91</v>
      </c>
      <c r="D1476" s="11">
        <v>9732</v>
      </c>
      <c r="E1476" s="9">
        <v>43879</v>
      </c>
      <c r="F1476" s="15" t="s">
        <v>28</v>
      </c>
      <c r="G1476" s="12">
        <v>43913</v>
      </c>
      <c r="H1476" s="23">
        <f t="shared" si="157"/>
        <v>9732</v>
      </c>
      <c r="I1476" s="23"/>
      <c r="J1476" s="23"/>
      <c r="K1476" s="24"/>
      <c r="L1476" s="23">
        <v>7548</v>
      </c>
      <c r="M1476" s="22">
        <f t="shared" si="158"/>
        <v>2184</v>
      </c>
      <c r="N1476" s="22"/>
      <c r="O1476" s="30">
        <f t="shared" si="159"/>
        <v>0.22441430332922319</v>
      </c>
    </row>
    <row r="1477" spans="1:15" ht="20.100000000000001" customHeight="1" x14ac:dyDescent="0.25">
      <c r="A1477" s="33">
        <v>57</v>
      </c>
      <c r="B1477" s="9">
        <v>43858</v>
      </c>
      <c r="C1477" s="20" t="s">
        <v>436</v>
      </c>
      <c r="D1477" s="3">
        <v>78748</v>
      </c>
      <c r="E1477" s="9">
        <v>43879</v>
      </c>
      <c r="F1477" s="15" t="s">
        <v>28</v>
      </c>
      <c r="G1477" s="12">
        <v>43880</v>
      </c>
      <c r="H1477" s="23">
        <f t="shared" si="157"/>
        <v>78748</v>
      </c>
      <c r="I1477" s="23">
        <f>H1477</f>
        <v>78748</v>
      </c>
      <c r="J1477" s="23"/>
      <c r="K1477" s="24"/>
      <c r="L1477" s="23">
        <v>55700</v>
      </c>
      <c r="M1477" s="22">
        <f t="shared" si="158"/>
        <v>23048</v>
      </c>
      <c r="N1477" s="22">
        <f>M1477</f>
        <v>23048</v>
      </c>
      <c r="O1477" s="30">
        <f t="shared" si="159"/>
        <v>0.29268044902727686</v>
      </c>
    </row>
    <row r="1478" spans="1:15" ht="20.100000000000001" customHeight="1" x14ac:dyDescent="0.25">
      <c r="A1478" s="33">
        <v>134</v>
      </c>
      <c r="B1478" s="9">
        <v>43878</v>
      </c>
      <c r="C1478" s="18" t="s">
        <v>175</v>
      </c>
      <c r="D1478" s="3">
        <v>19236</v>
      </c>
      <c r="E1478" s="9">
        <v>43881</v>
      </c>
      <c r="F1478" s="15" t="s">
        <v>28</v>
      </c>
      <c r="G1478" s="12">
        <v>43888</v>
      </c>
      <c r="H1478" s="23">
        <f t="shared" si="157"/>
        <v>19236</v>
      </c>
      <c r="I1478" s="23"/>
      <c r="J1478" s="23"/>
      <c r="K1478" s="24"/>
      <c r="L1478" s="23">
        <v>12692</v>
      </c>
      <c r="M1478" s="22">
        <f t="shared" si="158"/>
        <v>6544</v>
      </c>
      <c r="N1478" s="22"/>
      <c r="O1478" s="30">
        <f t="shared" si="159"/>
        <v>0.34019546683302143</v>
      </c>
    </row>
    <row r="1479" spans="1:15" ht="20.100000000000001" customHeight="1" x14ac:dyDescent="0.25">
      <c r="A1479" s="33">
        <v>132</v>
      </c>
      <c r="B1479" s="9">
        <v>43878</v>
      </c>
      <c r="C1479" s="20" t="s">
        <v>437</v>
      </c>
      <c r="D1479" s="3">
        <v>3142</v>
      </c>
      <c r="E1479" s="9">
        <v>43881</v>
      </c>
      <c r="F1479" s="15" t="s">
        <v>28</v>
      </c>
      <c r="G1479" s="12">
        <v>43881</v>
      </c>
      <c r="H1479" s="23">
        <f t="shared" si="157"/>
        <v>3142</v>
      </c>
      <c r="I1479" s="23">
        <f>H1479</f>
        <v>3142</v>
      </c>
      <c r="J1479" s="23"/>
      <c r="K1479" s="24"/>
      <c r="L1479" s="23">
        <v>2450</v>
      </c>
      <c r="M1479" s="22">
        <f t="shared" si="158"/>
        <v>692</v>
      </c>
      <c r="N1479" s="22">
        <f>M1479</f>
        <v>692</v>
      </c>
      <c r="O1479" s="30">
        <f t="shared" si="159"/>
        <v>0.22024188415022278</v>
      </c>
    </row>
    <row r="1480" spans="1:15" ht="20.100000000000001" customHeight="1" x14ac:dyDescent="0.25">
      <c r="A1480" s="33">
        <v>155</v>
      </c>
      <c r="B1480" s="9">
        <v>43886</v>
      </c>
      <c r="C1480" s="20" t="s">
        <v>438</v>
      </c>
      <c r="D1480" s="3">
        <v>2494</v>
      </c>
      <c r="E1480" s="9">
        <v>43886</v>
      </c>
      <c r="F1480" s="15" t="s">
        <v>28</v>
      </c>
      <c r="G1480" s="12">
        <v>43887</v>
      </c>
      <c r="H1480" s="23">
        <f t="shared" si="157"/>
        <v>2494</v>
      </c>
      <c r="I1480" s="23">
        <f>H1480</f>
        <v>2494</v>
      </c>
      <c r="J1480" s="23"/>
      <c r="K1480" s="24"/>
      <c r="L1480" s="23">
        <v>1421</v>
      </c>
      <c r="M1480" s="22">
        <f t="shared" si="158"/>
        <v>1073</v>
      </c>
      <c r="N1480" s="22">
        <f>M1480</f>
        <v>1073</v>
      </c>
      <c r="O1480" s="30">
        <f t="shared" si="159"/>
        <v>0.43023255813953487</v>
      </c>
    </row>
    <row r="1481" spans="1:15" ht="20.100000000000001" customHeight="1" x14ac:dyDescent="0.25">
      <c r="A1481" s="33">
        <v>30</v>
      </c>
      <c r="B1481" s="9">
        <v>43852</v>
      </c>
      <c r="C1481" s="18" t="s">
        <v>56</v>
      </c>
      <c r="D1481" s="11">
        <v>73472</v>
      </c>
      <c r="E1481" s="9">
        <v>43886</v>
      </c>
      <c r="F1481" s="15" t="s">
        <v>28</v>
      </c>
      <c r="G1481" s="12">
        <v>43868</v>
      </c>
      <c r="H1481" s="23">
        <f t="shared" si="157"/>
        <v>73472</v>
      </c>
      <c r="I1481" s="23"/>
      <c r="J1481" s="23"/>
      <c r="K1481" s="24"/>
      <c r="L1481" s="23">
        <v>55607</v>
      </c>
      <c r="M1481" s="22">
        <f t="shared" si="158"/>
        <v>17865</v>
      </c>
      <c r="N1481" s="22"/>
      <c r="O1481" s="30">
        <f t="shared" si="159"/>
        <v>0.24315385452961671</v>
      </c>
    </row>
    <row r="1482" spans="1:15" ht="20.100000000000001" customHeight="1" x14ac:dyDescent="0.25">
      <c r="A1482" s="33">
        <v>156</v>
      </c>
      <c r="B1482" s="9">
        <v>43886</v>
      </c>
      <c r="C1482" s="18" t="s">
        <v>149</v>
      </c>
      <c r="D1482" s="3">
        <v>3834</v>
      </c>
      <c r="E1482" s="9">
        <v>43886</v>
      </c>
      <c r="F1482" s="15" t="s">
        <v>28</v>
      </c>
      <c r="G1482" s="12">
        <v>43889</v>
      </c>
      <c r="H1482" s="23">
        <f t="shared" si="157"/>
        <v>3834</v>
      </c>
      <c r="I1482" s="23"/>
      <c r="J1482" s="23"/>
      <c r="K1482" s="24"/>
      <c r="L1482" s="23">
        <v>2988</v>
      </c>
      <c r="M1482" s="22">
        <f t="shared" si="158"/>
        <v>846</v>
      </c>
      <c r="N1482" s="22"/>
      <c r="O1482" s="30">
        <f t="shared" si="159"/>
        <v>0.22065727699530516</v>
      </c>
    </row>
    <row r="1483" spans="1:15" ht="20.100000000000001" customHeight="1" x14ac:dyDescent="0.25">
      <c r="A1483" s="33">
        <v>162</v>
      </c>
      <c r="B1483" s="9">
        <v>43886</v>
      </c>
      <c r="C1483" s="18" t="s">
        <v>424</v>
      </c>
      <c r="D1483" s="3">
        <v>914</v>
      </c>
      <c r="E1483" s="9">
        <v>43888</v>
      </c>
      <c r="F1483" s="15" t="s">
        <v>28</v>
      </c>
      <c r="G1483" s="12">
        <v>44035</v>
      </c>
      <c r="H1483" s="23">
        <f t="shared" si="157"/>
        <v>914</v>
      </c>
      <c r="I1483" s="23"/>
      <c r="J1483" s="23"/>
      <c r="K1483" s="24"/>
      <c r="L1483" s="23">
        <v>712</v>
      </c>
      <c r="M1483" s="22">
        <f t="shared" si="158"/>
        <v>202</v>
      </c>
      <c r="N1483" s="22"/>
      <c r="O1483" s="30">
        <f t="shared" si="159"/>
        <v>0.22100656455142231</v>
      </c>
    </row>
    <row r="1484" spans="1:15" ht="20.100000000000001" customHeight="1" x14ac:dyDescent="0.25">
      <c r="A1484" s="33">
        <v>159</v>
      </c>
      <c r="B1484" s="9">
        <v>43886</v>
      </c>
      <c r="C1484" s="18" t="s">
        <v>83</v>
      </c>
      <c r="D1484" s="3">
        <v>49990</v>
      </c>
      <c r="E1484" s="9">
        <v>43888</v>
      </c>
      <c r="F1484" s="15" t="s">
        <v>28</v>
      </c>
      <c r="G1484" s="12">
        <v>43901</v>
      </c>
      <c r="H1484" s="23">
        <f t="shared" si="157"/>
        <v>49990</v>
      </c>
      <c r="I1484" s="23"/>
      <c r="J1484" s="23"/>
      <c r="K1484" s="24"/>
      <c r="L1484" s="23">
        <v>36713</v>
      </c>
      <c r="M1484" s="22">
        <f t="shared" si="158"/>
        <v>13277</v>
      </c>
      <c r="N1484" s="22"/>
      <c r="O1484" s="30">
        <f t="shared" si="159"/>
        <v>0.26559311862372476</v>
      </c>
    </row>
    <row r="1485" spans="1:15" ht="19.5" customHeight="1" x14ac:dyDescent="0.25">
      <c r="A1485" s="33">
        <v>23</v>
      </c>
      <c r="B1485" s="9">
        <v>43847</v>
      </c>
      <c r="C1485" s="18" t="s">
        <v>65</v>
      </c>
      <c r="D1485" s="11">
        <v>5820</v>
      </c>
      <c r="E1485" s="9">
        <v>43888</v>
      </c>
      <c r="F1485" s="15" t="s">
        <v>28</v>
      </c>
      <c r="G1485" s="12">
        <v>43868</v>
      </c>
      <c r="H1485" s="23">
        <f t="shared" si="157"/>
        <v>5820</v>
      </c>
      <c r="I1485" s="23"/>
      <c r="J1485" s="23"/>
      <c r="K1485" s="24"/>
      <c r="L1485" s="23">
        <v>4991</v>
      </c>
      <c r="M1485" s="22">
        <f t="shared" si="158"/>
        <v>829</v>
      </c>
      <c r="N1485" s="22"/>
      <c r="O1485" s="30">
        <f t="shared" si="159"/>
        <v>0.14243986254295532</v>
      </c>
    </row>
    <row r="1486" spans="1:15" ht="15.75" x14ac:dyDescent="0.25">
      <c r="A1486" s="33">
        <v>1191</v>
      </c>
      <c r="B1486" s="9">
        <v>43810</v>
      </c>
      <c r="C1486" s="18" t="s">
        <v>65</v>
      </c>
      <c r="D1486" s="11">
        <v>116130</v>
      </c>
      <c r="E1486" s="9">
        <v>43888</v>
      </c>
      <c r="F1486" s="15" t="s">
        <v>28</v>
      </c>
      <c r="G1486" s="12">
        <v>43868</v>
      </c>
      <c r="H1486" s="23">
        <v>18990</v>
      </c>
      <c r="I1486" s="23"/>
      <c r="J1486" s="23"/>
      <c r="K1486" s="24"/>
      <c r="L1486" s="23">
        <v>14684</v>
      </c>
      <c r="M1486" s="22">
        <f t="shared" si="158"/>
        <v>4306</v>
      </c>
      <c r="N1486" s="22"/>
      <c r="O1486" s="30">
        <f t="shared" si="159"/>
        <v>0.22675092153765139</v>
      </c>
    </row>
    <row r="1487" spans="1:15" s="2" customFormat="1" ht="20.100000000000001" customHeight="1" x14ac:dyDescent="0.25">
      <c r="A1487" s="33">
        <v>151</v>
      </c>
      <c r="B1487" s="9">
        <v>43886</v>
      </c>
      <c r="C1487" s="18" t="s">
        <v>410</v>
      </c>
      <c r="D1487" s="11">
        <v>1934920</v>
      </c>
      <c r="E1487" s="9">
        <v>43889</v>
      </c>
      <c r="F1487" s="15" t="s">
        <v>28</v>
      </c>
      <c r="G1487" s="12">
        <v>43914</v>
      </c>
      <c r="H1487" s="23">
        <f>D1487</f>
        <v>1934920</v>
      </c>
      <c r="I1487" s="23"/>
      <c r="J1487" s="23">
        <v>30000</v>
      </c>
      <c r="K1487" s="24"/>
      <c r="L1487" s="23">
        <f>792685*2+80000</f>
        <v>1665370</v>
      </c>
      <c r="M1487" s="22">
        <f t="shared" si="158"/>
        <v>239550</v>
      </c>
      <c r="N1487" s="22"/>
      <c r="O1487" s="30">
        <f t="shared" si="159"/>
        <v>0.12380356810617493</v>
      </c>
    </row>
    <row r="1488" spans="1:15" ht="20.100000000000001" customHeight="1" x14ac:dyDescent="0.25">
      <c r="A1488" s="33">
        <v>152</v>
      </c>
      <c r="B1488" s="9">
        <v>43882</v>
      </c>
      <c r="C1488" s="18" t="s">
        <v>270</v>
      </c>
      <c r="D1488" s="11">
        <v>2559</v>
      </c>
      <c r="E1488" s="9">
        <v>43889</v>
      </c>
      <c r="F1488" s="15" t="s">
        <v>28</v>
      </c>
      <c r="G1488" s="12">
        <v>43896</v>
      </c>
      <c r="H1488" s="23">
        <f>D1488</f>
        <v>2559</v>
      </c>
      <c r="I1488" s="23"/>
      <c r="J1488" s="23"/>
      <c r="K1488" s="24"/>
      <c r="L1488" s="23">
        <v>1996</v>
      </c>
      <c r="M1488" s="22">
        <f t="shared" si="158"/>
        <v>563</v>
      </c>
      <c r="N1488" s="22"/>
      <c r="O1488" s="30">
        <f t="shared" si="159"/>
        <v>0.22000781555295038</v>
      </c>
    </row>
    <row r="1489" spans="1:15" ht="20.100000000000001" customHeight="1" x14ac:dyDescent="0.25">
      <c r="A1489" s="33">
        <v>76</v>
      </c>
      <c r="B1489" s="9">
        <v>43882</v>
      </c>
      <c r="C1489" s="20" t="s">
        <v>439</v>
      </c>
      <c r="D1489" s="11">
        <v>602770</v>
      </c>
      <c r="E1489" s="9">
        <v>43889</v>
      </c>
      <c r="F1489" s="15" t="s">
        <v>28</v>
      </c>
      <c r="G1489" s="12">
        <v>43928</v>
      </c>
      <c r="H1489" s="23">
        <f>D1489/2</f>
        <v>301385</v>
      </c>
      <c r="I1489" s="23">
        <f>H1489</f>
        <v>301385</v>
      </c>
      <c r="J1489" s="23"/>
      <c r="K1489" s="24"/>
      <c r="L1489" s="23">
        <v>220859.5</v>
      </c>
      <c r="M1489" s="22">
        <f t="shared" si="158"/>
        <v>80525.5</v>
      </c>
      <c r="N1489" s="22">
        <f>M1489</f>
        <v>80525.5</v>
      </c>
      <c r="O1489" s="30">
        <f t="shared" si="159"/>
        <v>0.26718483003467325</v>
      </c>
    </row>
    <row r="1490" spans="1:15" ht="20.100000000000001" customHeight="1" x14ac:dyDescent="0.25">
      <c r="A1490" s="35" t="s">
        <v>535</v>
      </c>
      <c r="B1490" s="36"/>
      <c r="C1490" s="42"/>
      <c r="D1490" s="37"/>
      <c r="E1490" s="46" t="s">
        <v>576</v>
      </c>
      <c r="F1490" s="47">
        <f>M1490*0.17+N1490*0.06+10000</f>
        <v>91466.934999999998</v>
      </c>
      <c r="G1490" s="21">
        <f>H1490*0.05+I1490*0.02+10000</f>
        <v>153035.37</v>
      </c>
      <c r="H1490" s="49">
        <f>SUBTOTAL(109,Февраль2020[Продажа])</f>
        <v>2699055</v>
      </c>
      <c r="I1490" s="49">
        <f>SUBTOTAL(109,Февраль2020[Продажа НК])</f>
        <v>404131</v>
      </c>
      <c r="J1490" s="49">
        <f>SUBTOTAL(109,Февраль2020[отк])</f>
        <v>30000</v>
      </c>
      <c r="K1490" s="49">
        <f>SUBTOTAL(109,Февраль2020[шланги])</f>
        <v>0</v>
      </c>
      <c r="L1490" s="49">
        <f>SUBTOTAL(109,Февраль2020[Закупка])</f>
        <v>2228842.5</v>
      </c>
      <c r="M1490" s="49">
        <f>SUBTOTAL(109,Февраль2020[Маржа])</f>
        <v>440212.5</v>
      </c>
      <c r="N1490" s="49">
        <f>SUBTOTAL(109,Февраль2020[Маржа НК])</f>
        <v>110513.5</v>
      </c>
      <c r="O1490" s="44">
        <f t="shared" si="159"/>
        <v>0.16309875122959702</v>
      </c>
    </row>
    <row r="1491" spans="1:15" ht="20.100000000000001" customHeight="1" x14ac:dyDescent="0.25">
      <c r="A1491" s="41" t="s">
        <v>1</v>
      </c>
      <c r="B1491" s="1" t="s">
        <v>0</v>
      </c>
      <c r="C1491" s="1" t="s">
        <v>26</v>
      </c>
      <c r="D1491" s="1" t="s">
        <v>2</v>
      </c>
      <c r="E1491" s="1" t="s">
        <v>3</v>
      </c>
      <c r="F1491" s="1" t="s">
        <v>27</v>
      </c>
      <c r="G1491" s="1" t="s">
        <v>4</v>
      </c>
      <c r="H1491" s="2" t="s">
        <v>132</v>
      </c>
      <c r="I1491" s="2" t="s">
        <v>133</v>
      </c>
      <c r="J1491" s="40" t="s">
        <v>187</v>
      </c>
      <c r="K1491" s="40" t="s">
        <v>188</v>
      </c>
      <c r="L1491" s="40" t="s">
        <v>129</v>
      </c>
      <c r="M1491" s="40" t="s">
        <v>130</v>
      </c>
      <c r="N1491" s="2" t="s">
        <v>131</v>
      </c>
      <c r="O1491" s="2" t="s">
        <v>134</v>
      </c>
    </row>
    <row r="1492" spans="1:15" ht="20.100000000000001" customHeight="1" x14ac:dyDescent="0.25">
      <c r="A1492" s="33">
        <v>142</v>
      </c>
      <c r="B1492" s="9">
        <v>43910</v>
      </c>
      <c r="C1492" s="18" t="s">
        <v>166</v>
      </c>
      <c r="D1492" s="3">
        <v>47490.5</v>
      </c>
      <c r="E1492" s="9">
        <v>43892</v>
      </c>
      <c r="F1492" s="15" t="s">
        <v>28</v>
      </c>
      <c r="G1492" s="12">
        <v>43893</v>
      </c>
      <c r="H1492" s="23">
        <f t="shared" ref="H1492:H1531" si="160">D1492</f>
        <v>47490.5</v>
      </c>
      <c r="I1492" s="23"/>
      <c r="J1492" s="23"/>
      <c r="K1492" s="24"/>
      <c r="L1492" s="23">
        <v>36712</v>
      </c>
      <c r="M1492" s="22">
        <f t="shared" ref="M1492:M1531" si="161">H1492-L1492-J1492-K1492</f>
        <v>10778.5</v>
      </c>
      <c r="N1492" s="22"/>
      <c r="O1492" s="30">
        <f t="shared" ref="O1492:O1532" si="162">M1492/H1492</f>
        <v>0.22696118171002622</v>
      </c>
    </row>
    <row r="1493" spans="1:15" ht="20.100000000000001" customHeight="1" x14ac:dyDescent="0.25">
      <c r="A1493" s="33">
        <v>161</v>
      </c>
      <c r="B1493" s="9">
        <v>43886</v>
      </c>
      <c r="C1493" s="18" t="s">
        <v>403</v>
      </c>
      <c r="D1493" s="11">
        <v>5486</v>
      </c>
      <c r="E1493" s="9">
        <v>43892</v>
      </c>
      <c r="F1493" s="15" t="s">
        <v>28</v>
      </c>
      <c r="G1493" s="12">
        <v>43893</v>
      </c>
      <c r="H1493" s="23">
        <f t="shared" si="160"/>
        <v>5486</v>
      </c>
      <c r="I1493" s="23"/>
      <c r="J1493" s="23"/>
      <c r="K1493" s="24"/>
      <c r="L1493" s="23">
        <v>4224</v>
      </c>
      <c r="M1493" s="22">
        <f t="shared" si="161"/>
        <v>1262</v>
      </c>
      <c r="N1493" s="22"/>
      <c r="O1493" s="30">
        <f t="shared" si="162"/>
        <v>0.23004010207801678</v>
      </c>
    </row>
    <row r="1494" spans="1:15" ht="20.100000000000001" customHeight="1" x14ac:dyDescent="0.25">
      <c r="A1494" s="33">
        <v>139</v>
      </c>
      <c r="B1494" s="9">
        <v>43893</v>
      </c>
      <c r="C1494" s="18" t="s">
        <v>179</v>
      </c>
      <c r="D1494" s="11">
        <v>11202</v>
      </c>
      <c r="E1494" s="9">
        <v>43893</v>
      </c>
      <c r="F1494" s="15" t="s">
        <v>28</v>
      </c>
      <c r="G1494" s="12">
        <v>43910</v>
      </c>
      <c r="H1494" s="23">
        <f t="shared" si="160"/>
        <v>11202</v>
      </c>
      <c r="I1494" s="23"/>
      <c r="J1494" s="23"/>
      <c r="K1494" s="24"/>
      <c r="L1494" s="23">
        <v>8738</v>
      </c>
      <c r="M1494" s="22">
        <f t="shared" si="161"/>
        <v>2464</v>
      </c>
      <c r="N1494" s="22"/>
      <c r="O1494" s="30">
        <f t="shared" si="162"/>
        <v>0.2199607212997679</v>
      </c>
    </row>
    <row r="1495" spans="1:15" ht="20.100000000000001" customHeight="1" x14ac:dyDescent="0.25">
      <c r="A1495" s="33">
        <v>138</v>
      </c>
      <c r="B1495" s="9">
        <v>43893</v>
      </c>
      <c r="C1495" s="18" t="s">
        <v>149</v>
      </c>
      <c r="D1495" s="11">
        <v>32490</v>
      </c>
      <c r="E1495" s="9">
        <v>43893</v>
      </c>
      <c r="F1495" s="15" t="s">
        <v>28</v>
      </c>
      <c r="G1495" s="12">
        <v>43908</v>
      </c>
      <c r="H1495" s="23">
        <f t="shared" si="160"/>
        <v>32490</v>
      </c>
      <c r="I1495" s="23"/>
      <c r="J1495" s="23"/>
      <c r="K1495" s="24"/>
      <c r="L1495" s="23">
        <v>23861</v>
      </c>
      <c r="M1495" s="22">
        <f t="shared" si="161"/>
        <v>8629</v>
      </c>
      <c r="N1495" s="22"/>
      <c r="O1495" s="30">
        <f t="shared" si="162"/>
        <v>0.26558941212680826</v>
      </c>
    </row>
    <row r="1496" spans="1:15" ht="20.100000000000001" customHeight="1" x14ac:dyDescent="0.25">
      <c r="A1496" s="33">
        <v>182</v>
      </c>
      <c r="B1496" s="9">
        <v>43894</v>
      </c>
      <c r="C1496" s="18" t="s">
        <v>303</v>
      </c>
      <c r="D1496" s="11">
        <v>541.45000000000005</v>
      </c>
      <c r="E1496" s="9">
        <v>43894</v>
      </c>
      <c r="F1496" s="15" t="s">
        <v>28</v>
      </c>
      <c r="G1496" s="12">
        <v>43894</v>
      </c>
      <c r="H1496" s="23">
        <f t="shared" si="160"/>
        <v>541.45000000000005</v>
      </c>
      <c r="I1496" s="23"/>
      <c r="J1496" s="23"/>
      <c r="K1496" s="24"/>
      <c r="L1496" s="23">
        <v>492</v>
      </c>
      <c r="M1496" s="22">
        <f t="shared" si="161"/>
        <v>49.450000000000045</v>
      </c>
      <c r="N1496" s="22"/>
      <c r="O1496" s="30">
        <f t="shared" si="162"/>
        <v>9.1328839227998962E-2</v>
      </c>
    </row>
    <row r="1497" spans="1:15" ht="20.100000000000001" customHeight="1" x14ac:dyDescent="0.25">
      <c r="A1497" s="33">
        <v>183</v>
      </c>
      <c r="B1497" s="9">
        <v>43894</v>
      </c>
      <c r="C1497" s="18" t="s">
        <v>440</v>
      </c>
      <c r="D1497" s="11">
        <v>1818</v>
      </c>
      <c r="E1497" s="9">
        <v>43894</v>
      </c>
      <c r="F1497" s="15" t="s">
        <v>28</v>
      </c>
      <c r="G1497" s="12">
        <v>43894</v>
      </c>
      <c r="H1497" s="23">
        <f t="shared" si="160"/>
        <v>1818</v>
      </c>
      <c r="I1497" s="23"/>
      <c r="J1497" s="23"/>
      <c r="K1497" s="24"/>
      <c r="L1497" s="23">
        <v>1400</v>
      </c>
      <c r="M1497" s="22">
        <f t="shared" si="161"/>
        <v>418</v>
      </c>
      <c r="N1497" s="22"/>
      <c r="O1497" s="30">
        <f t="shared" si="162"/>
        <v>0.22992299229922991</v>
      </c>
    </row>
    <row r="1498" spans="1:15" ht="20.100000000000001" customHeight="1" x14ac:dyDescent="0.25">
      <c r="A1498" s="33">
        <v>167</v>
      </c>
      <c r="B1498" s="9">
        <v>43888</v>
      </c>
      <c r="C1498" s="18" t="s">
        <v>441</v>
      </c>
      <c r="D1498" s="11">
        <v>3805</v>
      </c>
      <c r="E1498" s="9">
        <v>43895</v>
      </c>
      <c r="F1498" s="15" t="s">
        <v>28</v>
      </c>
      <c r="G1498" s="12">
        <v>43909</v>
      </c>
      <c r="H1498" s="23">
        <f t="shared" si="160"/>
        <v>3805</v>
      </c>
      <c r="I1498" s="23"/>
      <c r="J1498" s="23"/>
      <c r="K1498" s="24"/>
      <c r="L1498" s="23">
        <v>2511</v>
      </c>
      <c r="M1498" s="22">
        <f t="shared" si="161"/>
        <v>1294</v>
      </c>
      <c r="N1498" s="22"/>
      <c r="O1498" s="30">
        <f t="shared" si="162"/>
        <v>0.34007884362680685</v>
      </c>
    </row>
    <row r="1499" spans="1:15" ht="20.100000000000001" customHeight="1" x14ac:dyDescent="0.25">
      <c r="A1499" s="33">
        <v>190</v>
      </c>
      <c r="B1499" s="9">
        <v>43895</v>
      </c>
      <c r="C1499" s="20" t="s">
        <v>442</v>
      </c>
      <c r="D1499" s="11">
        <v>2498</v>
      </c>
      <c r="E1499" s="9">
        <v>43896</v>
      </c>
      <c r="F1499" s="15" t="s">
        <v>28</v>
      </c>
      <c r="G1499" s="12">
        <v>43901</v>
      </c>
      <c r="H1499" s="23">
        <f t="shared" si="160"/>
        <v>2498</v>
      </c>
      <c r="I1499" s="23">
        <f>H1499</f>
        <v>2498</v>
      </c>
      <c r="J1499" s="23"/>
      <c r="K1499" s="24"/>
      <c r="L1499" s="23">
        <v>1948</v>
      </c>
      <c r="M1499" s="22">
        <f t="shared" si="161"/>
        <v>550</v>
      </c>
      <c r="N1499" s="22">
        <f>M1499</f>
        <v>550</v>
      </c>
      <c r="O1499" s="30">
        <f t="shared" si="162"/>
        <v>0.22017614091273019</v>
      </c>
    </row>
    <row r="1500" spans="1:15" ht="20.100000000000001" customHeight="1" x14ac:dyDescent="0.25">
      <c r="A1500" s="33">
        <v>193</v>
      </c>
      <c r="B1500" s="9">
        <v>43896</v>
      </c>
      <c r="C1500" s="18" t="s">
        <v>30</v>
      </c>
      <c r="D1500" s="11">
        <v>2282</v>
      </c>
      <c r="E1500" s="9">
        <v>43896</v>
      </c>
      <c r="F1500" s="15" t="s">
        <v>28</v>
      </c>
      <c r="G1500" s="12">
        <v>43900</v>
      </c>
      <c r="H1500" s="23">
        <f t="shared" si="160"/>
        <v>2282</v>
      </c>
      <c r="I1500" s="23"/>
      <c r="J1500" s="23"/>
      <c r="K1500" s="24"/>
      <c r="L1500" s="23">
        <v>1760</v>
      </c>
      <c r="M1500" s="22">
        <f t="shared" si="161"/>
        <v>522</v>
      </c>
      <c r="N1500" s="22"/>
      <c r="O1500" s="30">
        <f t="shared" si="162"/>
        <v>0.22874671340929009</v>
      </c>
    </row>
    <row r="1501" spans="1:15" ht="20.100000000000001" customHeight="1" x14ac:dyDescent="0.25">
      <c r="A1501" s="33">
        <v>36</v>
      </c>
      <c r="B1501" s="9">
        <v>43852</v>
      </c>
      <c r="C1501" s="18" t="s">
        <v>99</v>
      </c>
      <c r="D1501" s="11">
        <v>181136</v>
      </c>
      <c r="E1501" s="9">
        <v>43900</v>
      </c>
      <c r="F1501" s="15" t="s">
        <v>28</v>
      </c>
      <c r="G1501" s="12">
        <v>43868</v>
      </c>
      <c r="H1501" s="23">
        <f t="shared" si="160"/>
        <v>181136</v>
      </c>
      <c r="I1501" s="23"/>
      <c r="J1501" s="23">
        <v>30000</v>
      </c>
      <c r="K1501" s="24">
        <f>10*600</f>
        <v>6000</v>
      </c>
      <c r="L1501" s="23">
        <v>62081</v>
      </c>
      <c r="M1501" s="22">
        <f t="shared" si="161"/>
        <v>83055</v>
      </c>
      <c r="N1501" s="22"/>
      <c r="O1501" s="30">
        <f t="shared" si="162"/>
        <v>0.45852287783764684</v>
      </c>
    </row>
    <row r="1502" spans="1:15" ht="20.100000000000001" customHeight="1" x14ac:dyDescent="0.25">
      <c r="A1502" s="33">
        <v>187</v>
      </c>
      <c r="B1502" s="9">
        <v>43895</v>
      </c>
      <c r="C1502" s="18" t="s">
        <v>440</v>
      </c>
      <c r="D1502" s="11">
        <v>1818</v>
      </c>
      <c r="E1502" s="9">
        <v>43901</v>
      </c>
      <c r="F1502" s="15" t="s">
        <v>28</v>
      </c>
      <c r="G1502" s="12">
        <v>43895</v>
      </c>
      <c r="H1502" s="23">
        <f t="shared" si="160"/>
        <v>1818</v>
      </c>
      <c r="I1502" s="23"/>
      <c r="J1502" s="23"/>
      <c r="K1502" s="24"/>
      <c r="L1502" s="23">
        <v>1400</v>
      </c>
      <c r="M1502" s="22">
        <f t="shared" si="161"/>
        <v>418</v>
      </c>
      <c r="N1502" s="22"/>
      <c r="O1502" s="30">
        <f t="shared" si="162"/>
        <v>0.22992299229922991</v>
      </c>
    </row>
    <row r="1503" spans="1:15" ht="20.100000000000001" customHeight="1" x14ac:dyDescent="0.25">
      <c r="A1503" s="33">
        <v>186</v>
      </c>
      <c r="B1503" s="9">
        <v>43895</v>
      </c>
      <c r="C1503" s="18" t="s">
        <v>353</v>
      </c>
      <c r="D1503" s="11">
        <v>335490</v>
      </c>
      <c r="E1503" s="9">
        <v>43901</v>
      </c>
      <c r="F1503" s="15" t="s">
        <v>28</v>
      </c>
      <c r="G1503" s="12">
        <v>43908</v>
      </c>
      <c r="H1503" s="23">
        <f t="shared" si="160"/>
        <v>335490</v>
      </c>
      <c r="I1503" s="23"/>
      <c r="J1503" s="23"/>
      <c r="K1503" s="24"/>
      <c r="L1503" s="23">
        <v>246384</v>
      </c>
      <c r="M1503" s="22">
        <f t="shared" si="161"/>
        <v>89106</v>
      </c>
      <c r="N1503" s="22"/>
      <c r="O1503" s="30">
        <f t="shared" si="162"/>
        <v>0.26559957077707236</v>
      </c>
    </row>
    <row r="1504" spans="1:15" ht="19.5" customHeight="1" x14ac:dyDescent="0.25">
      <c r="A1504" s="33">
        <v>185</v>
      </c>
      <c r="B1504" s="9">
        <v>43895</v>
      </c>
      <c r="C1504" s="18" t="s">
        <v>353</v>
      </c>
      <c r="D1504" s="11">
        <v>3952</v>
      </c>
      <c r="E1504" s="9">
        <v>43901</v>
      </c>
      <c r="F1504" s="15" t="s">
        <v>28</v>
      </c>
      <c r="G1504" s="12">
        <v>43908</v>
      </c>
      <c r="H1504" s="23">
        <f t="shared" si="160"/>
        <v>3952</v>
      </c>
      <c r="I1504" s="23"/>
      <c r="J1504" s="23"/>
      <c r="K1504" s="24"/>
      <c r="L1504" s="23">
        <v>3083</v>
      </c>
      <c r="M1504" s="22">
        <f t="shared" si="161"/>
        <v>869</v>
      </c>
      <c r="N1504" s="22"/>
      <c r="O1504" s="30">
        <f t="shared" si="162"/>
        <v>0.21988866396761134</v>
      </c>
    </row>
    <row r="1505" spans="1:15" ht="15.75" x14ac:dyDescent="0.25">
      <c r="A1505" s="33">
        <v>176</v>
      </c>
      <c r="B1505" s="9">
        <v>43893</v>
      </c>
      <c r="C1505" s="18" t="s">
        <v>169</v>
      </c>
      <c r="D1505" s="11">
        <v>102084</v>
      </c>
      <c r="E1505" s="9">
        <v>43901</v>
      </c>
      <c r="F1505" s="15" t="s">
        <v>28</v>
      </c>
      <c r="G1505" s="12">
        <v>43907</v>
      </c>
      <c r="H1505" s="23">
        <f t="shared" si="160"/>
        <v>102084</v>
      </c>
      <c r="I1505" s="23"/>
      <c r="J1505" s="23"/>
      <c r="K1505" s="24">
        <v>600</v>
      </c>
      <c r="L1505" s="23">
        <v>72309</v>
      </c>
      <c r="M1505" s="22">
        <f t="shared" si="161"/>
        <v>29175</v>
      </c>
      <c r="N1505" s="22"/>
      <c r="O1505" s="30">
        <f t="shared" si="162"/>
        <v>0.28579405195721169</v>
      </c>
    </row>
    <row r="1506" spans="1:15" s="2" customFormat="1" ht="20.100000000000001" customHeight="1" x14ac:dyDescent="0.25">
      <c r="A1506" s="33">
        <v>171</v>
      </c>
      <c r="B1506" s="9">
        <v>43889</v>
      </c>
      <c r="C1506" s="18" t="s">
        <v>209</v>
      </c>
      <c r="D1506" s="11">
        <v>3959.3</v>
      </c>
      <c r="E1506" s="9">
        <v>43902</v>
      </c>
      <c r="F1506" s="15" t="s">
        <v>28</v>
      </c>
      <c r="G1506" s="12">
        <v>43889</v>
      </c>
      <c r="H1506" s="23">
        <f t="shared" si="160"/>
        <v>3959.3</v>
      </c>
      <c r="I1506" s="23"/>
      <c r="J1506" s="23"/>
      <c r="K1506" s="24"/>
      <c r="L1506" s="23">
        <v>3633</v>
      </c>
      <c r="M1506" s="22">
        <f t="shared" si="161"/>
        <v>326.30000000000018</v>
      </c>
      <c r="N1506" s="22"/>
      <c r="O1506" s="30">
        <f t="shared" si="162"/>
        <v>8.2413557952163305E-2</v>
      </c>
    </row>
    <row r="1507" spans="1:15" ht="20.100000000000001" customHeight="1" x14ac:dyDescent="0.25">
      <c r="A1507" s="33">
        <v>206</v>
      </c>
      <c r="B1507" s="9">
        <v>43901</v>
      </c>
      <c r="C1507" s="18" t="s">
        <v>209</v>
      </c>
      <c r="D1507" s="11">
        <v>2901.9</v>
      </c>
      <c r="E1507" s="9">
        <v>43902</v>
      </c>
      <c r="F1507" s="15" t="s">
        <v>28</v>
      </c>
      <c r="G1507" s="12">
        <v>43917</v>
      </c>
      <c r="H1507" s="23">
        <f t="shared" si="160"/>
        <v>2901.9</v>
      </c>
      <c r="I1507" s="23"/>
      <c r="J1507" s="23"/>
      <c r="K1507" s="24"/>
      <c r="L1507" s="23">
        <v>2619</v>
      </c>
      <c r="M1507" s="22">
        <f t="shared" si="161"/>
        <v>282.90000000000009</v>
      </c>
      <c r="N1507" s="22"/>
      <c r="O1507" s="30">
        <f t="shared" si="162"/>
        <v>9.748785278610568E-2</v>
      </c>
    </row>
    <row r="1508" spans="1:15" ht="20.100000000000001" customHeight="1" x14ac:dyDescent="0.25">
      <c r="A1508" s="33">
        <v>214</v>
      </c>
      <c r="B1508" s="9">
        <v>43903</v>
      </c>
      <c r="C1508" s="20" t="s">
        <v>443</v>
      </c>
      <c r="D1508" s="11">
        <v>61125</v>
      </c>
      <c r="E1508" s="9">
        <v>43903</v>
      </c>
      <c r="F1508" s="15" t="s">
        <v>28</v>
      </c>
      <c r="G1508" s="12">
        <v>43906</v>
      </c>
      <c r="H1508" s="23">
        <f t="shared" si="160"/>
        <v>61125</v>
      </c>
      <c r="I1508" s="23">
        <f>H1508</f>
        <v>61125</v>
      </c>
      <c r="J1508" s="23"/>
      <c r="K1508" s="24"/>
      <c r="L1508" s="23">
        <v>44637</v>
      </c>
      <c r="M1508" s="22">
        <f t="shared" si="161"/>
        <v>16488</v>
      </c>
      <c r="N1508" s="22">
        <f>M1508</f>
        <v>16488</v>
      </c>
      <c r="O1508" s="30">
        <f t="shared" si="162"/>
        <v>0.26974233128834357</v>
      </c>
    </row>
    <row r="1509" spans="1:15" ht="20.100000000000001" customHeight="1" x14ac:dyDescent="0.25">
      <c r="A1509" s="33">
        <v>210</v>
      </c>
      <c r="B1509" s="9">
        <v>43902</v>
      </c>
      <c r="C1509" s="18" t="s">
        <v>281</v>
      </c>
      <c r="D1509" s="11">
        <v>20980</v>
      </c>
      <c r="E1509" s="9">
        <v>43903</v>
      </c>
      <c r="F1509" s="15" t="s">
        <v>28</v>
      </c>
      <c r="G1509" s="12">
        <v>43903</v>
      </c>
      <c r="H1509" s="23">
        <f t="shared" si="160"/>
        <v>20980</v>
      </c>
      <c r="I1509" s="23"/>
      <c r="J1509" s="23"/>
      <c r="K1509" s="24"/>
      <c r="L1509" s="23">
        <v>15406</v>
      </c>
      <c r="M1509" s="22">
        <f t="shared" si="161"/>
        <v>5574</v>
      </c>
      <c r="N1509" s="22"/>
      <c r="O1509" s="30">
        <f t="shared" si="162"/>
        <v>0.26568160152526216</v>
      </c>
    </row>
    <row r="1510" spans="1:15" ht="20.100000000000001" customHeight="1" x14ac:dyDescent="0.25">
      <c r="A1510" s="33">
        <v>201</v>
      </c>
      <c r="B1510" s="9">
        <v>43901</v>
      </c>
      <c r="C1510" s="18" t="s">
        <v>270</v>
      </c>
      <c r="D1510" s="11">
        <v>3423</v>
      </c>
      <c r="E1510" s="9">
        <v>43903</v>
      </c>
      <c r="F1510" s="15" t="s">
        <v>28</v>
      </c>
      <c r="G1510" s="12">
        <v>43910</v>
      </c>
      <c r="H1510" s="23">
        <f t="shared" si="160"/>
        <v>3423</v>
      </c>
      <c r="I1510" s="23"/>
      <c r="J1510" s="23"/>
      <c r="K1510" s="24"/>
      <c r="L1510" s="23">
        <v>2640</v>
      </c>
      <c r="M1510" s="22">
        <f t="shared" si="161"/>
        <v>783</v>
      </c>
      <c r="N1510" s="22"/>
      <c r="O1510" s="30">
        <f t="shared" si="162"/>
        <v>0.22874671340929009</v>
      </c>
    </row>
    <row r="1511" spans="1:15" ht="20.100000000000001" customHeight="1" x14ac:dyDescent="0.25">
      <c r="A1511" s="33">
        <v>177</v>
      </c>
      <c r="B1511" s="9">
        <v>43893</v>
      </c>
      <c r="C1511" s="18" t="s">
        <v>49</v>
      </c>
      <c r="D1511" s="11">
        <v>2697</v>
      </c>
      <c r="E1511" s="9">
        <v>43907</v>
      </c>
      <c r="F1511" s="15" t="s">
        <v>28</v>
      </c>
      <c r="G1511" s="12">
        <v>43894</v>
      </c>
      <c r="H1511" s="23">
        <f t="shared" si="160"/>
        <v>2697</v>
      </c>
      <c r="I1511" s="23"/>
      <c r="J1511" s="23"/>
      <c r="K1511" s="24"/>
      <c r="L1511" s="23">
        <v>1365</v>
      </c>
      <c r="M1511" s="22">
        <f t="shared" si="161"/>
        <v>1332</v>
      </c>
      <c r="N1511" s="22"/>
      <c r="O1511" s="30">
        <f t="shared" si="162"/>
        <v>0.4938820912124583</v>
      </c>
    </row>
    <row r="1512" spans="1:15" ht="20.100000000000001" customHeight="1" x14ac:dyDescent="0.25">
      <c r="A1512" s="33">
        <v>221</v>
      </c>
      <c r="B1512" s="9">
        <v>43907</v>
      </c>
      <c r="C1512" s="18" t="s">
        <v>444</v>
      </c>
      <c r="D1512" s="11">
        <v>1290</v>
      </c>
      <c r="E1512" s="9">
        <v>43907</v>
      </c>
      <c r="F1512" s="15" t="s">
        <v>28</v>
      </c>
      <c r="G1512" s="12">
        <v>43909</v>
      </c>
      <c r="H1512" s="23">
        <f t="shared" si="160"/>
        <v>1290</v>
      </c>
      <c r="I1512" s="23"/>
      <c r="J1512" s="23"/>
      <c r="K1512" s="24"/>
      <c r="L1512" s="23">
        <v>1005</v>
      </c>
      <c r="M1512" s="22">
        <f t="shared" si="161"/>
        <v>285</v>
      </c>
      <c r="N1512" s="22"/>
      <c r="O1512" s="30">
        <f t="shared" si="162"/>
        <v>0.22093023255813954</v>
      </c>
    </row>
    <row r="1513" spans="1:15" ht="20.100000000000001" customHeight="1" x14ac:dyDescent="0.25">
      <c r="A1513" s="33">
        <v>220</v>
      </c>
      <c r="B1513" s="9">
        <v>43907</v>
      </c>
      <c r="C1513" s="18" t="s">
        <v>169</v>
      </c>
      <c r="D1513" s="11">
        <v>12000</v>
      </c>
      <c r="E1513" s="9">
        <v>43908</v>
      </c>
      <c r="F1513" s="15" t="s">
        <v>28</v>
      </c>
      <c r="G1513" s="12">
        <v>43917</v>
      </c>
      <c r="H1513" s="23">
        <f t="shared" si="160"/>
        <v>12000</v>
      </c>
      <c r="I1513" s="23"/>
      <c r="J1513" s="23"/>
      <c r="K1513" s="24">
        <v>1200</v>
      </c>
      <c r="L1513" s="23">
        <v>3117</v>
      </c>
      <c r="M1513" s="22">
        <f t="shared" si="161"/>
        <v>7683</v>
      </c>
      <c r="N1513" s="22"/>
      <c r="O1513" s="30">
        <f t="shared" si="162"/>
        <v>0.64024999999999999</v>
      </c>
    </row>
    <row r="1514" spans="1:15" ht="20.100000000000001" customHeight="1" x14ac:dyDescent="0.25">
      <c r="A1514" s="33">
        <v>227</v>
      </c>
      <c r="B1514" s="9">
        <v>43908</v>
      </c>
      <c r="C1514" s="20" t="s">
        <v>445</v>
      </c>
      <c r="D1514" s="11">
        <v>8689</v>
      </c>
      <c r="E1514" s="9">
        <v>43909</v>
      </c>
      <c r="F1514" s="15" t="s">
        <v>28</v>
      </c>
      <c r="G1514" s="12">
        <v>43908</v>
      </c>
      <c r="H1514" s="23">
        <f t="shared" si="160"/>
        <v>8689</v>
      </c>
      <c r="I1514" s="23">
        <f>H1514</f>
        <v>8689</v>
      </c>
      <c r="J1514" s="23"/>
      <c r="K1514" s="24"/>
      <c r="L1514" s="23">
        <v>5682</v>
      </c>
      <c r="M1514" s="22">
        <f t="shared" si="161"/>
        <v>3007</v>
      </c>
      <c r="N1514" s="22">
        <f>M1514</f>
        <v>3007</v>
      </c>
      <c r="O1514" s="30">
        <f t="shared" si="162"/>
        <v>0.34606974335366553</v>
      </c>
    </row>
    <row r="1515" spans="1:15" ht="20.100000000000001" customHeight="1" x14ac:dyDescent="0.25">
      <c r="A1515" s="33">
        <v>216</v>
      </c>
      <c r="B1515" s="9">
        <v>43906</v>
      </c>
      <c r="C1515" s="18" t="s">
        <v>139</v>
      </c>
      <c r="D1515" s="11">
        <v>24920</v>
      </c>
      <c r="E1515" s="9">
        <v>43909</v>
      </c>
      <c r="F1515" s="15" t="s">
        <v>28</v>
      </c>
      <c r="G1515" s="12">
        <v>43930</v>
      </c>
      <c r="H1515" s="23">
        <f t="shared" si="160"/>
        <v>24920</v>
      </c>
      <c r="I1515" s="23"/>
      <c r="J1515" s="23"/>
      <c r="K1515" s="24"/>
      <c r="L1515" s="23">
        <v>18360</v>
      </c>
      <c r="M1515" s="22">
        <f t="shared" si="161"/>
        <v>6560</v>
      </c>
      <c r="N1515" s="22"/>
      <c r="O1515" s="30">
        <f t="shared" si="162"/>
        <v>0.26324237560192615</v>
      </c>
    </row>
    <row r="1516" spans="1:15" ht="20.100000000000001" customHeight="1" x14ac:dyDescent="0.25">
      <c r="A1516" s="33">
        <v>240</v>
      </c>
      <c r="B1516" s="9">
        <v>43910</v>
      </c>
      <c r="C1516" s="18" t="s">
        <v>209</v>
      </c>
      <c r="D1516" s="11">
        <v>7669.55</v>
      </c>
      <c r="E1516" s="9">
        <v>43910</v>
      </c>
      <c r="F1516" s="15" t="s">
        <v>28</v>
      </c>
      <c r="G1516" s="12">
        <v>43913</v>
      </c>
      <c r="H1516" s="23">
        <f t="shared" si="160"/>
        <v>7669.55</v>
      </c>
      <c r="I1516" s="23"/>
      <c r="J1516" s="23"/>
      <c r="K1516" s="24"/>
      <c r="L1516" s="23">
        <v>5952</v>
      </c>
      <c r="M1516" s="22">
        <f t="shared" si="161"/>
        <v>1717.5500000000002</v>
      </c>
      <c r="N1516" s="22"/>
      <c r="O1516" s="30">
        <f t="shared" si="162"/>
        <v>0.22394403843771801</v>
      </c>
    </row>
    <row r="1517" spans="1:15" ht="20.100000000000001" customHeight="1" x14ac:dyDescent="0.25">
      <c r="A1517" s="33">
        <v>235</v>
      </c>
      <c r="B1517" s="9">
        <v>43909</v>
      </c>
      <c r="C1517" s="18" t="s">
        <v>403</v>
      </c>
      <c r="D1517" s="11">
        <v>5486</v>
      </c>
      <c r="E1517" s="9">
        <v>43913</v>
      </c>
      <c r="F1517" s="15" t="s">
        <v>28</v>
      </c>
      <c r="G1517" s="12">
        <v>43914</v>
      </c>
      <c r="H1517" s="23">
        <f t="shared" si="160"/>
        <v>5486</v>
      </c>
      <c r="I1517" s="23"/>
      <c r="J1517" s="23"/>
      <c r="K1517" s="24"/>
      <c r="L1517" s="23">
        <v>4224</v>
      </c>
      <c r="M1517" s="22">
        <f t="shared" si="161"/>
        <v>1262</v>
      </c>
      <c r="N1517" s="22"/>
      <c r="O1517" s="30">
        <f t="shared" si="162"/>
        <v>0.23004010207801678</v>
      </c>
    </row>
    <row r="1518" spans="1:15" ht="20.100000000000001" customHeight="1" x14ac:dyDescent="0.25">
      <c r="A1518" s="33">
        <v>239</v>
      </c>
      <c r="B1518" s="9">
        <v>43910</v>
      </c>
      <c r="C1518" s="18" t="s">
        <v>179</v>
      </c>
      <c r="D1518" s="11">
        <v>5486</v>
      </c>
      <c r="E1518" s="9">
        <v>43913</v>
      </c>
      <c r="F1518" s="15" t="s">
        <v>28</v>
      </c>
      <c r="G1518" s="12">
        <v>43915</v>
      </c>
      <c r="H1518" s="23">
        <f t="shared" si="160"/>
        <v>5486</v>
      </c>
      <c r="I1518" s="23"/>
      <c r="J1518" s="23"/>
      <c r="K1518" s="24"/>
      <c r="L1518" s="23">
        <v>4224</v>
      </c>
      <c r="M1518" s="22">
        <f t="shared" si="161"/>
        <v>1262</v>
      </c>
      <c r="N1518" s="22"/>
      <c r="O1518" s="30">
        <f t="shared" si="162"/>
        <v>0.23004010207801678</v>
      </c>
    </row>
    <row r="1519" spans="1:15" ht="20.100000000000001" customHeight="1" x14ac:dyDescent="0.25">
      <c r="A1519" s="33">
        <v>242</v>
      </c>
      <c r="B1519" s="9">
        <v>43910</v>
      </c>
      <c r="C1519" s="18" t="s">
        <v>404</v>
      </c>
      <c r="D1519" s="11">
        <v>3858</v>
      </c>
      <c r="E1519" s="9">
        <v>43913</v>
      </c>
      <c r="F1519" s="15" t="s">
        <v>28</v>
      </c>
      <c r="G1519" s="12">
        <v>43931</v>
      </c>
      <c r="H1519" s="23">
        <f t="shared" si="160"/>
        <v>3858</v>
      </c>
      <c r="I1519" s="23"/>
      <c r="J1519" s="23"/>
      <c r="K1519" s="24"/>
      <c r="L1519" s="23">
        <v>2626</v>
      </c>
      <c r="M1519" s="22">
        <f t="shared" si="161"/>
        <v>1232</v>
      </c>
      <c r="N1519" s="22"/>
      <c r="O1519" s="30">
        <f t="shared" si="162"/>
        <v>0.31933644375324</v>
      </c>
    </row>
    <row r="1520" spans="1:15" ht="20.100000000000001" customHeight="1" x14ac:dyDescent="0.25">
      <c r="A1520" s="33">
        <v>245</v>
      </c>
      <c r="B1520" s="9">
        <v>43913</v>
      </c>
      <c r="C1520" s="18" t="s">
        <v>230</v>
      </c>
      <c r="D1520" s="11">
        <v>15043</v>
      </c>
      <c r="E1520" s="9">
        <v>43913</v>
      </c>
      <c r="F1520" s="15" t="s">
        <v>28</v>
      </c>
      <c r="G1520" s="12">
        <v>43920</v>
      </c>
      <c r="H1520" s="23">
        <f t="shared" si="160"/>
        <v>15043</v>
      </c>
      <c r="I1520" s="23"/>
      <c r="J1520" s="23"/>
      <c r="K1520" s="24"/>
      <c r="L1520" s="23">
        <v>8892</v>
      </c>
      <c r="M1520" s="22">
        <f t="shared" si="161"/>
        <v>6151</v>
      </c>
      <c r="N1520" s="22"/>
      <c r="O1520" s="30">
        <f t="shared" si="162"/>
        <v>0.4088945024263777</v>
      </c>
    </row>
    <row r="1521" spans="1:15" ht="20.100000000000001" customHeight="1" x14ac:dyDescent="0.25">
      <c r="A1521" s="33">
        <v>254</v>
      </c>
      <c r="B1521" s="9">
        <v>43914</v>
      </c>
      <c r="C1521" s="20" t="s">
        <v>446</v>
      </c>
      <c r="D1521" s="11">
        <v>7990</v>
      </c>
      <c r="E1521" s="9">
        <v>43914</v>
      </c>
      <c r="F1521" s="15" t="s">
        <v>28</v>
      </c>
      <c r="G1521" s="12">
        <v>43916</v>
      </c>
      <c r="H1521" s="23">
        <f t="shared" si="160"/>
        <v>7990</v>
      </c>
      <c r="I1521" s="23">
        <f>H1521</f>
        <v>7990</v>
      </c>
      <c r="J1521" s="23"/>
      <c r="K1521" s="24"/>
      <c r="L1521" s="23">
        <v>5505</v>
      </c>
      <c r="M1521" s="22">
        <f t="shared" si="161"/>
        <v>2485</v>
      </c>
      <c r="N1521" s="22">
        <f>M1521</f>
        <v>2485</v>
      </c>
      <c r="O1521" s="30">
        <f t="shared" si="162"/>
        <v>0.31101376720901125</v>
      </c>
    </row>
    <row r="1522" spans="1:15" ht="20.100000000000001" customHeight="1" x14ac:dyDescent="0.25">
      <c r="A1522" s="33">
        <v>251</v>
      </c>
      <c r="B1522" s="9">
        <v>43914</v>
      </c>
      <c r="C1522" s="18" t="s">
        <v>149</v>
      </c>
      <c r="D1522" s="11">
        <v>2055</v>
      </c>
      <c r="E1522" s="9">
        <v>43914</v>
      </c>
      <c r="F1522" s="15" t="s">
        <v>28</v>
      </c>
      <c r="G1522" s="12">
        <v>43917</v>
      </c>
      <c r="H1522" s="23">
        <f t="shared" si="160"/>
        <v>2055</v>
      </c>
      <c r="I1522" s="23"/>
      <c r="J1522" s="23"/>
      <c r="K1522" s="24"/>
      <c r="L1522" s="23">
        <v>613</v>
      </c>
      <c r="M1522" s="22">
        <f t="shared" si="161"/>
        <v>1442</v>
      </c>
      <c r="N1522" s="22"/>
      <c r="O1522" s="30">
        <f t="shared" si="162"/>
        <v>0.70170316301703162</v>
      </c>
    </row>
    <row r="1523" spans="1:15" ht="19.5" customHeight="1" x14ac:dyDescent="0.25">
      <c r="A1523" s="33">
        <v>116</v>
      </c>
      <c r="B1523" s="9">
        <v>43871</v>
      </c>
      <c r="C1523" s="18" t="s">
        <v>99</v>
      </c>
      <c r="D1523" s="11">
        <v>200523</v>
      </c>
      <c r="E1523" s="9">
        <v>43915</v>
      </c>
      <c r="F1523" s="15" t="s">
        <v>28</v>
      </c>
      <c r="G1523" s="12">
        <v>43878</v>
      </c>
      <c r="H1523" s="23">
        <f t="shared" si="160"/>
        <v>200523</v>
      </c>
      <c r="I1523" s="23"/>
      <c r="J1523" s="23">
        <v>30000</v>
      </c>
      <c r="K1523" s="24">
        <f>10*600</f>
        <v>6000</v>
      </c>
      <c r="L1523" s="23">
        <v>77148</v>
      </c>
      <c r="M1523" s="22">
        <f t="shared" si="161"/>
        <v>87375</v>
      </c>
      <c r="N1523" s="22"/>
      <c r="O1523" s="30">
        <f t="shared" si="162"/>
        <v>0.4357355515327419</v>
      </c>
    </row>
    <row r="1524" spans="1:15" ht="15.75" x14ac:dyDescent="0.25">
      <c r="A1524" s="33">
        <v>178</v>
      </c>
      <c r="B1524" s="9">
        <v>43893</v>
      </c>
      <c r="C1524" s="18" t="s">
        <v>77</v>
      </c>
      <c r="D1524" s="11">
        <v>6464</v>
      </c>
      <c r="E1524" s="9">
        <v>43916</v>
      </c>
      <c r="F1524" s="15" t="s">
        <v>28</v>
      </c>
      <c r="G1524" s="12">
        <v>43917</v>
      </c>
      <c r="H1524" s="23">
        <f t="shared" si="160"/>
        <v>6464</v>
      </c>
      <c r="I1524" s="23"/>
      <c r="J1524" s="23"/>
      <c r="K1524" s="24"/>
      <c r="L1524" s="23">
        <v>4995</v>
      </c>
      <c r="M1524" s="22">
        <f t="shared" si="161"/>
        <v>1469</v>
      </c>
      <c r="N1524" s="22"/>
      <c r="O1524" s="30">
        <f t="shared" si="162"/>
        <v>0.22725866336633663</v>
      </c>
    </row>
    <row r="1525" spans="1:15" s="2" customFormat="1" ht="20.100000000000001" customHeight="1" x14ac:dyDescent="0.25">
      <c r="A1525" s="33">
        <v>218</v>
      </c>
      <c r="B1525" s="9">
        <v>43907</v>
      </c>
      <c r="C1525" s="18" t="s">
        <v>13</v>
      </c>
      <c r="D1525" s="11">
        <v>615</v>
      </c>
      <c r="E1525" s="9">
        <v>43917</v>
      </c>
      <c r="F1525" s="15" t="s">
        <v>28</v>
      </c>
      <c r="G1525" s="12">
        <v>43907</v>
      </c>
      <c r="H1525" s="23">
        <f t="shared" si="160"/>
        <v>615</v>
      </c>
      <c r="I1525" s="23"/>
      <c r="J1525" s="23"/>
      <c r="K1525" s="24"/>
      <c r="L1525" s="23">
        <v>488</v>
      </c>
      <c r="M1525" s="22">
        <f t="shared" si="161"/>
        <v>127</v>
      </c>
      <c r="N1525" s="22"/>
      <c r="O1525" s="30">
        <f t="shared" si="162"/>
        <v>0.20650406504065041</v>
      </c>
    </row>
    <row r="1526" spans="1:15" ht="20.100000000000001" customHeight="1" x14ac:dyDescent="0.25">
      <c r="A1526" s="33">
        <v>223</v>
      </c>
      <c r="B1526" s="9">
        <v>43908</v>
      </c>
      <c r="C1526" s="18" t="s">
        <v>174</v>
      </c>
      <c r="D1526" s="11">
        <v>2690</v>
      </c>
      <c r="E1526" s="9">
        <v>43917</v>
      </c>
      <c r="F1526" s="15" t="s">
        <v>28</v>
      </c>
      <c r="G1526" s="9">
        <v>43938</v>
      </c>
      <c r="H1526" s="23">
        <f t="shared" si="160"/>
        <v>2690</v>
      </c>
      <c r="I1526" s="23"/>
      <c r="J1526" s="23"/>
      <c r="K1526" s="24"/>
      <c r="L1526" s="23">
        <v>2382</v>
      </c>
      <c r="M1526" s="22">
        <f t="shared" si="161"/>
        <v>308</v>
      </c>
      <c r="N1526" s="22"/>
      <c r="O1526" s="30">
        <f t="shared" si="162"/>
        <v>0.11449814126394052</v>
      </c>
    </row>
    <row r="1527" spans="1:15" ht="20.100000000000001" customHeight="1" x14ac:dyDescent="0.25">
      <c r="A1527" s="33">
        <v>69</v>
      </c>
      <c r="B1527" s="9">
        <v>43901</v>
      </c>
      <c r="C1527" s="18" t="s">
        <v>228</v>
      </c>
      <c r="D1527" s="11">
        <v>73382</v>
      </c>
      <c r="E1527" s="9">
        <v>43917</v>
      </c>
      <c r="F1527" s="15" t="s">
        <v>28</v>
      </c>
      <c r="G1527" s="12">
        <v>43903</v>
      </c>
      <c r="H1527" s="23">
        <f t="shared" si="160"/>
        <v>73382</v>
      </c>
      <c r="I1527" s="23"/>
      <c r="J1527" s="23"/>
      <c r="K1527" s="24">
        <v>1200</v>
      </c>
      <c r="L1527" s="23">
        <v>43493</v>
      </c>
      <c r="M1527" s="22">
        <f t="shared" si="161"/>
        <v>28689</v>
      </c>
      <c r="N1527" s="22"/>
      <c r="O1527" s="30">
        <f t="shared" si="162"/>
        <v>0.39095418494998774</v>
      </c>
    </row>
    <row r="1528" spans="1:15" ht="20.100000000000001" customHeight="1" x14ac:dyDescent="0.25">
      <c r="A1528" s="33">
        <v>204</v>
      </c>
      <c r="B1528" s="9">
        <v>43901</v>
      </c>
      <c r="C1528" s="18" t="s">
        <v>228</v>
      </c>
      <c r="D1528" s="11">
        <v>28055</v>
      </c>
      <c r="E1528" s="9">
        <v>43917</v>
      </c>
      <c r="F1528" s="15" t="s">
        <v>28</v>
      </c>
      <c r="G1528" s="12">
        <v>43959</v>
      </c>
      <c r="H1528" s="23">
        <f t="shared" si="160"/>
        <v>28055</v>
      </c>
      <c r="I1528" s="23"/>
      <c r="J1528" s="23"/>
      <c r="K1528" s="24"/>
      <c r="L1528" s="23">
        <v>19838</v>
      </c>
      <c r="M1528" s="22">
        <f t="shared" si="161"/>
        <v>8217</v>
      </c>
      <c r="N1528" s="22"/>
      <c r="O1528" s="30">
        <f t="shared" si="162"/>
        <v>0.29288896809837817</v>
      </c>
    </row>
    <row r="1529" spans="1:15" ht="20.100000000000001" customHeight="1" x14ac:dyDescent="0.25">
      <c r="A1529" s="33">
        <v>262</v>
      </c>
      <c r="B1529" s="9">
        <v>43917</v>
      </c>
      <c r="C1529" s="20" t="s">
        <v>447</v>
      </c>
      <c r="D1529" s="11">
        <v>22490</v>
      </c>
      <c r="E1529" s="9">
        <v>43920</v>
      </c>
      <c r="F1529" s="15" t="s">
        <v>28</v>
      </c>
      <c r="G1529" s="12">
        <v>43927</v>
      </c>
      <c r="H1529" s="23">
        <f t="shared" si="160"/>
        <v>22490</v>
      </c>
      <c r="I1529" s="23">
        <f>H1529</f>
        <v>22490</v>
      </c>
      <c r="J1529" s="23"/>
      <c r="K1529" s="24"/>
      <c r="L1529" s="23">
        <v>14112</v>
      </c>
      <c r="M1529" s="22">
        <f t="shared" si="161"/>
        <v>8378</v>
      </c>
      <c r="N1529" s="22">
        <f>M1529</f>
        <v>8378</v>
      </c>
      <c r="O1529" s="30">
        <f t="shared" si="162"/>
        <v>0.37252112049799913</v>
      </c>
    </row>
    <row r="1530" spans="1:15" ht="20.100000000000001" customHeight="1" x14ac:dyDescent="0.25">
      <c r="A1530" s="33">
        <v>249</v>
      </c>
      <c r="B1530" s="9">
        <v>43913</v>
      </c>
      <c r="C1530" s="18" t="s">
        <v>278</v>
      </c>
      <c r="D1530" s="11">
        <v>5458</v>
      </c>
      <c r="E1530" s="9">
        <v>43921</v>
      </c>
      <c r="F1530" s="15" t="s">
        <v>28</v>
      </c>
      <c r="G1530" s="12">
        <v>43934</v>
      </c>
      <c r="H1530" s="23">
        <f t="shared" si="160"/>
        <v>5458</v>
      </c>
      <c r="I1530" s="23"/>
      <c r="J1530" s="23"/>
      <c r="K1530" s="24"/>
      <c r="L1530" s="23">
        <v>4703</v>
      </c>
      <c r="M1530" s="22">
        <f t="shared" si="161"/>
        <v>755</v>
      </c>
      <c r="N1530" s="22"/>
      <c r="O1530" s="30">
        <f t="shared" si="162"/>
        <v>0.13832905826310005</v>
      </c>
    </row>
    <row r="1531" spans="1:15" ht="20.100000000000001" customHeight="1" x14ac:dyDescent="0.25">
      <c r="A1531" s="33">
        <v>264</v>
      </c>
      <c r="B1531" s="9">
        <v>43917</v>
      </c>
      <c r="C1531" s="18" t="s">
        <v>209</v>
      </c>
      <c r="D1531" s="11">
        <v>6093.95</v>
      </c>
      <c r="E1531" s="9">
        <v>43921</v>
      </c>
      <c r="F1531" s="15" t="s">
        <v>28</v>
      </c>
      <c r="G1531" s="12">
        <v>43966</v>
      </c>
      <c r="H1531" s="23">
        <f t="shared" si="160"/>
        <v>6093.95</v>
      </c>
      <c r="I1531" s="23"/>
      <c r="J1531" s="23"/>
      <c r="K1531" s="24"/>
      <c r="L1531" s="23">
        <v>5258</v>
      </c>
      <c r="M1531" s="22">
        <f t="shared" si="161"/>
        <v>835.94999999999982</v>
      </c>
      <c r="N1531" s="22"/>
      <c r="O1531" s="30">
        <f t="shared" si="162"/>
        <v>0.1371770362408618</v>
      </c>
    </row>
    <row r="1532" spans="1:15" ht="20.100000000000001" customHeight="1" x14ac:dyDescent="0.25">
      <c r="A1532" s="35" t="s">
        <v>535</v>
      </c>
      <c r="B1532" s="36"/>
      <c r="C1532" s="42"/>
      <c r="D1532" s="37"/>
      <c r="E1532" s="46" t="s">
        <v>577</v>
      </c>
      <c r="F1532" s="47">
        <f>M1532*0.17+N1532*0.06+10000</f>
        <v>83699.310500000007</v>
      </c>
      <c r="G1532" s="21">
        <f>H1532*0.05+I1532*0.02+10000</f>
        <v>75427.672500000015</v>
      </c>
      <c r="H1532" s="49">
        <f>SUBTOTAL(109,Март2020[Продажа])</f>
        <v>1267436.6500000001</v>
      </c>
      <c r="I1532" s="49">
        <f>SUBTOTAL(109,Март2020[Продажа НК])</f>
        <v>102792</v>
      </c>
      <c r="J1532" s="49">
        <f>SUBTOTAL(109,Март2020[отк])</f>
        <v>60000</v>
      </c>
      <c r="K1532" s="49">
        <f>SUBTOTAL(109,Март2020[шланги])</f>
        <v>15000</v>
      </c>
      <c r="L1532" s="49">
        <f>SUBTOTAL(109,Март2020[Закупка])</f>
        <v>769820</v>
      </c>
      <c r="M1532" s="49">
        <f>SUBTOTAL(109,Март2020[Маржа])</f>
        <v>422616.65</v>
      </c>
      <c r="N1532" s="49">
        <f>SUBTOTAL(109,Март2020[Маржа НК])</f>
        <v>30908</v>
      </c>
      <c r="O1532" s="44">
        <f t="shared" si="162"/>
        <v>0.33344203041627363</v>
      </c>
    </row>
    <row r="1533" spans="1:15" ht="20.100000000000001" customHeight="1" x14ac:dyDescent="0.25">
      <c r="A1533" s="41" t="s">
        <v>1</v>
      </c>
      <c r="B1533" s="1" t="s">
        <v>0</v>
      </c>
      <c r="C1533" s="1" t="s">
        <v>26</v>
      </c>
      <c r="D1533" s="1" t="s">
        <v>2</v>
      </c>
      <c r="E1533" s="1" t="s">
        <v>3</v>
      </c>
      <c r="F1533" s="1" t="s">
        <v>27</v>
      </c>
      <c r="G1533" s="1" t="s">
        <v>4</v>
      </c>
      <c r="H1533" s="2" t="s">
        <v>132</v>
      </c>
      <c r="I1533" s="2" t="s">
        <v>133</v>
      </c>
      <c r="J1533" s="40" t="s">
        <v>187</v>
      </c>
      <c r="K1533" s="40" t="s">
        <v>188</v>
      </c>
      <c r="L1533" s="40" t="s">
        <v>129</v>
      </c>
      <c r="M1533" s="40" t="s">
        <v>130</v>
      </c>
      <c r="N1533" s="2" t="s">
        <v>131</v>
      </c>
      <c r="O1533" s="2" t="s">
        <v>134</v>
      </c>
    </row>
    <row r="1534" spans="1:15" ht="20.100000000000001" customHeight="1" x14ac:dyDescent="0.25">
      <c r="A1534" s="33">
        <v>120</v>
      </c>
      <c r="B1534" s="9">
        <v>43872</v>
      </c>
      <c r="C1534" s="18" t="s">
        <v>60</v>
      </c>
      <c r="D1534" s="11">
        <v>10766</v>
      </c>
      <c r="E1534" s="9">
        <v>43922</v>
      </c>
      <c r="F1534" s="15" t="s">
        <v>28</v>
      </c>
      <c r="G1534" s="12">
        <v>43900</v>
      </c>
      <c r="H1534" s="23">
        <f>D1534</f>
        <v>10766</v>
      </c>
      <c r="I1534" s="23"/>
      <c r="J1534" s="23"/>
      <c r="K1534" s="24"/>
      <c r="L1534" s="23">
        <v>8369</v>
      </c>
      <c r="M1534" s="22">
        <f t="shared" ref="M1534:M1551" si="163">H1534-L1534-J1534-K1534</f>
        <v>2397</v>
      </c>
      <c r="N1534" s="22"/>
      <c r="O1534" s="30">
        <f t="shared" ref="O1534:O1552" si="164">M1534/H1534</f>
        <v>0.22264536503808285</v>
      </c>
    </row>
    <row r="1535" spans="1:15" ht="20.100000000000001" customHeight="1" x14ac:dyDescent="0.25">
      <c r="A1535" s="33">
        <v>166</v>
      </c>
      <c r="B1535" s="9">
        <v>43888</v>
      </c>
      <c r="C1535" s="18" t="s">
        <v>56</v>
      </c>
      <c r="D1535" s="11">
        <v>78992</v>
      </c>
      <c r="E1535" s="9">
        <v>43930</v>
      </c>
      <c r="F1535" s="15" t="s">
        <v>28</v>
      </c>
      <c r="G1535" s="12">
        <v>43896</v>
      </c>
      <c r="H1535" s="23">
        <f>D1535</f>
        <v>78992</v>
      </c>
      <c r="I1535" s="23"/>
      <c r="J1535" s="23"/>
      <c r="K1535" s="24"/>
      <c r="L1535" s="23">
        <v>59642</v>
      </c>
      <c r="M1535" s="22">
        <f t="shared" si="163"/>
        <v>19350</v>
      </c>
      <c r="N1535" s="22"/>
      <c r="O1535" s="30">
        <f t="shared" si="164"/>
        <v>0.24496151509013572</v>
      </c>
    </row>
    <row r="1536" spans="1:15" ht="20.100000000000001" customHeight="1" x14ac:dyDescent="0.25">
      <c r="A1536" s="33">
        <v>294</v>
      </c>
      <c r="B1536" s="9">
        <v>43934</v>
      </c>
      <c r="C1536" s="20" t="s">
        <v>448</v>
      </c>
      <c r="D1536" s="11">
        <v>23640</v>
      </c>
      <c r="E1536" s="9">
        <v>43938</v>
      </c>
      <c r="F1536" s="15" t="s">
        <v>28</v>
      </c>
      <c r="G1536" s="12">
        <v>43942</v>
      </c>
      <c r="H1536" s="23">
        <v>7092</v>
      </c>
      <c r="I1536" s="23">
        <f>H1536</f>
        <v>7092</v>
      </c>
      <c r="J1536" s="23"/>
      <c r="K1536" s="24"/>
      <c r="L1536" s="23">
        <v>5205</v>
      </c>
      <c r="M1536" s="22">
        <f t="shared" si="163"/>
        <v>1887</v>
      </c>
      <c r="N1536" s="22">
        <f>M1536</f>
        <v>1887</v>
      </c>
      <c r="O1536" s="30">
        <f t="shared" si="164"/>
        <v>0.26607445008460234</v>
      </c>
    </row>
    <row r="1537" spans="1:15" ht="20.100000000000001" customHeight="1" x14ac:dyDescent="0.25">
      <c r="A1537" s="33">
        <v>304</v>
      </c>
      <c r="B1537" s="9">
        <v>43937</v>
      </c>
      <c r="C1537" s="18" t="s">
        <v>169</v>
      </c>
      <c r="D1537" s="11">
        <v>6703</v>
      </c>
      <c r="E1537" s="9">
        <v>43938</v>
      </c>
      <c r="F1537" s="15" t="s">
        <v>28</v>
      </c>
      <c r="G1537" s="12">
        <v>43937</v>
      </c>
      <c r="H1537" s="23">
        <f t="shared" ref="H1537:H1543" si="165">D1537</f>
        <v>6703</v>
      </c>
      <c r="I1537" s="23"/>
      <c r="J1537" s="23"/>
      <c r="K1537" s="24"/>
      <c r="L1537" s="23">
        <v>4513</v>
      </c>
      <c r="M1537" s="22">
        <f t="shared" si="163"/>
        <v>2190</v>
      </c>
      <c r="N1537" s="22"/>
      <c r="O1537" s="30">
        <f t="shared" si="164"/>
        <v>0.32671937938236612</v>
      </c>
    </row>
    <row r="1538" spans="1:15" ht="20.100000000000001" customHeight="1" x14ac:dyDescent="0.25">
      <c r="A1538" s="33">
        <v>319</v>
      </c>
      <c r="B1538" s="9">
        <v>43942</v>
      </c>
      <c r="C1538" s="20" t="s">
        <v>449</v>
      </c>
      <c r="D1538" s="11">
        <v>41580</v>
      </c>
      <c r="E1538" s="9">
        <v>43943</v>
      </c>
      <c r="F1538" s="15" t="s">
        <v>28</v>
      </c>
      <c r="G1538" s="12">
        <v>43945</v>
      </c>
      <c r="H1538" s="23">
        <f t="shared" si="165"/>
        <v>41580</v>
      </c>
      <c r="I1538" s="23">
        <f>H1538</f>
        <v>41580</v>
      </c>
      <c r="J1538" s="23"/>
      <c r="K1538" s="24"/>
      <c r="L1538" s="23">
        <v>30630.400000000001</v>
      </c>
      <c r="M1538" s="22">
        <f t="shared" si="163"/>
        <v>10949.599999999999</v>
      </c>
      <c r="N1538" s="22">
        <f>M1538</f>
        <v>10949.599999999999</v>
      </c>
      <c r="O1538" s="30">
        <f t="shared" si="164"/>
        <v>0.26333814333814332</v>
      </c>
    </row>
    <row r="1539" spans="1:15" ht="20.100000000000001" customHeight="1" x14ac:dyDescent="0.25">
      <c r="A1539" s="33">
        <v>320</v>
      </c>
      <c r="B1539" s="9">
        <v>43942</v>
      </c>
      <c r="C1539" s="20" t="s">
        <v>450</v>
      </c>
      <c r="D1539" s="11">
        <v>257754</v>
      </c>
      <c r="E1539" s="9">
        <v>43944</v>
      </c>
      <c r="F1539" s="15" t="s">
        <v>28</v>
      </c>
      <c r="G1539" s="12">
        <v>43951</v>
      </c>
      <c r="H1539" s="23">
        <f t="shared" si="165"/>
        <v>257754</v>
      </c>
      <c r="I1539" s="23">
        <f>H1539</f>
        <v>257754</v>
      </c>
      <c r="J1539" s="23"/>
      <c r="K1539" s="24"/>
      <c r="L1539" s="23">
        <v>188013</v>
      </c>
      <c r="M1539" s="22">
        <f t="shared" si="163"/>
        <v>69741</v>
      </c>
      <c r="N1539" s="22">
        <f>M1539</f>
        <v>69741</v>
      </c>
      <c r="O1539" s="30">
        <f t="shared" si="164"/>
        <v>0.27057194068763241</v>
      </c>
    </row>
    <row r="1540" spans="1:15" ht="20.100000000000001" customHeight="1" x14ac:dyDescent="0.25">
      <c r="A1540" s="33">
        <v>321</v>
      </c>
      <c r="B1540" s="9">
        <v>43942</v>
      </c>
      <c r="C1540" s="20" t="s">
        <v>450</v>
      </c>
      <c r="D1540" s="11">
        <v>1350</v>
      </c>
      <c r="E1540" s="9">
        <v>43944</v>
      </c>
      <c r="F1540" s="15" t="s">
        <v>28</v>
      </c>
      <c r="G1540" s="12">
        <v>43951</v>
      </c>
      <c r="H1540" s="23">
        <f t="shared" si="165"/>
        <v>1350</v>
      </c>
      <c r="I1540" s="23">
        <f>H1540</f>
        <v>1350</v>
      </c>
      <c r="J1540" s="23"/>
      <c r="K1540" s="24"/>
      <c r="L1540" s="23">
        <v>1181</v>
      </c>
      <c r="M1540" s="22">
        <f t="shared" si="163"/>
        <v>169</v>
      </c>
      <c r="N1540" s="22">
        <f>M1540</f>
        <v>169</v>
      </c>
      <c r="O1540" s="30">
        <f t="shared" si="164"/>
        <v>0.12518518518518518</v>
      </c>
    </row>
    <row r="1541" spans="1:15" ht="20.100000000000001" customHeight="1" x14ac:dyDescent="0.25">
      <c r="A1541" s="33">
        <v>195</v>
      </c>
      <c r="B1541" s="9">
        <v>43896</v>
      </c>
      <c r="C1541" s="18" t="s">
        <v>99</v>
      </c>
      <c r="D1541" s="11">
        <v>190664</v>
      </c>
      <c r="E1541" s="9">
        <v>43944</v>
      </c>
      <c r="F1541" s="15" t="s">
        <v>28</v>
      </c>
      <c r="G1541" s="12">
        <v>43916</v>
      </c>
      <c r="H1541" s="23">
        <f t="shared" si="165"/>
        <v>190664</v>
      </c>
      <c r="I1541" s="23"/>
      <c r="J1541" s="23">
        <v>30000</v>
      </c>
      <c r="K1541" s="24">
        <f>10*600</f>
        <v>6000</v>
      </c>
      <c r="L1541" s="23">
        <v>68826</v>
      </c>
      <c r="M1541" s="22">
        <f t="shared" si="163"/>
        <v>85838</v>
      </c>
      <c r="N1541" s="22"/>
      <c r="O1541" s="30">
        <f t="shared" si="164"/>
        <v>0.45020559728108084</v>
      </c>
    </row>
    <row r="1542" spans="1:15" ht="20.100000000000001" customHeight="1" x14ac:dyDescent="0.25">
      <c r="A1542" s="33">
        <v>217</v>
      </c>
      <c r="B1542" s="9">
        <v>43906</v>
      </c>
      <c r="C1542" s="18" t="s">
        <v>99</v>
      </c>
      <c r="D1542" s="11">
        <v>9746</v>
      </c>
      <c r="E1542" s="9">
        <v>43944</v>
      </c>
      <c r="F1542" s="15" t="s">
        <v>28</v>
      </c>
      <c r="G1542" s="12">
        <v>43916</v>
      </c>
      <c r="H1542" s="23">
        <f t="shared" si="165"/>
        <v>9746</v>
      </c>
      <c r="I1542" s="23"/>
      <c r="J1542" s="23"/>
      <c r="K1542" s="24"/>
      <c r="L1542" s="23">
        <v>7530</v>
      </c>
      <c r="M1542" s="22">
        <f t="shared" si="163"/>
        <v>2216</v>
      </c>
      <c r="N1542" s="22"/>
      <c r="O1542" s="30">
        <f t="shared" si="164"/>
        <v>0.22737533347014161</v>
      </c>
    </row>
    <row r="1543" spans="1:15" ht="20.100000000000001" customHeight="1" x14ac:dyDescent="0.25">
      <c r="A1543" s="33">
        <v>332</v>
      </c>
      <c r="B1543" s="9">
        <v>43944</v>
      </c>
      <c r="C1543" s="18" t="s">
        <v>438</v>
      </c>
      <c r="D1543" s="11">
        <v>3726</v>
      </c>
      <c r="E1543" s="9">
        <v>43944</v>
      </c>
      <c r="F1543" s="15" t="s">
        <v>28</v>
      </c>
      <c r="G1543" s="12">
        <v>43945</v>
      </c>
      <c r="H1543" s="23">
        <f t="shared" si="165"/>
        <v>3726</v>
      </c>
      <c r="I1543" s="23"/>
      <c r="J1543" s="23"/>
      <c r="K1543" s="24"/>
      <c r="L1543" s="23">
        <v>2563</v>
      </c>
      <c r="M1543" s="22">
        <f t="shared" si="163"/>
        <v>1163</v>
      </c>
      <c r="N1543" s="22"/>
      <c r="O1543" s="30">
        <f t="shared" si="164"/>
        <v>0.3121309715512614</v>
      </c>
    </row>
    <row r="1544" spans="1:15" ht="20.100000000000001" customHeight="1" x14ac:dyDescent="0.25">
      <c r="A1544" s="33">
        <v>294</v>
      </c>
      <c r="B1544" s="9">
        <v>43934</v>
      </c>
      <c r="C1544" s="20" t="s">
        <v>448</v>
      </c>
      <c r="D1544" s="11">
        <v>23640</v>
      </c>
      <c r="E1544" s="9">
        <v>43944</v>
      </c>
      <c r="F1544" s="15" t="s">
        <v>28</v>
      </c>
      <c r="G1544" s="12">
        <v>43942</v>
      </c>
      <c r="H1544" s="23">
        <v>16548</v>
      </c>
      <c r="I1544" s="23">
        <f>H1544</f>
        <v>16548</v>
      </c>
      <c r="J1544" s="23"/>
      <c r="K1544" s="24"/>
      <c r="L1544" s="23">
        <v>12145</v>
      </c>
      <c r="M1544" s="22">
        <f t="shared" si="163"/>
        <v>4403</v>
      </c>
      <c r="N1544" s="22">
        <f>M1544</f>
        <v>4403</v>
      </c>
      <c r="O1544" s="30">
        <f t="shared" si="164"/>
        <v>0.26607445008460234</v>
      </c>
    </row>
    <row r="1545" spans="1:15" ht="20.100000000000001" customHeight="1" x14ac:dyDescent="0.25">
      <c r="A1545" s="33">
        <v>334</v>
      </c>
      <c r="B1545" s="9">
        <v>43945</v>
      </c>
      <c r="C1545" s="20" t="s">
        <v>451</v>
      </c>
      <c r="D1545" s="11">
        <v>32490</v>
      </c>
      <c r="E1545" s="9">
        <v>43945</v>
      </c>
      <c r="F1545" s="15" t="s">
        <v>28</v>
      </c>
      <c r="G1545" s="12">
        <v>43948</v>
      </c>
      <c r="H1545" s="23">
        <f>D1545</f>
        <v>32490</v>
      </c>
      <c r="I1545" s="23">
        <f>H1545</f>
        <v>32490</v>
      </c>
      <c r="J1545" s="23"/>
      <c r="K1545" s="24"/>
      <c r="L1545" s="23">
        <v>17909.43</v>
      </c>
      <c r="M1545" s="22">
        <f t="shared" si="163"/>
        <v>14580.57</v>
      </c>
      <c r="N1545" s="22">
        <f>M1545</f>
        <v>14580.57</v>
      </c>
      <c r="O1545" s="30">
        <f t="shared" si="164"/>
        <v>0.44877100646352724</v>
      </c>
    </row>
    <row r="1546" spans="1:15" ht="20.100000000000001" customHeight="1" x14ac:dyDescent="0.25">
      <c r="A1546" s="33">
        <v>322</v>
      </c>
      <c r="B1546" s="9">
        <v>43943</v>
      </c>
      <c r="C1546" s="18" t="s">
        <v>428</v>
      </c>
      <c r="D1546" s="11">
        <v>4000</v>
      </c>
      <c r="E1546" s="9">
        <v>43948</v>
      </c>
      <c r="F1546" s="15" t="s">
        <v>28</v>
      </c>
      <c r="G1546" s="12">
        <v>43950</v>
      </c>
      <c r="H1546" s="23">
        <f>D1546</f>
        <v>4000</v>
      </c>
      <c r="I1546" s="23"/>
      <c r="J1546" s="23"/>
      <c r="K1546" s="24">
        <v>600</v>
      </c>
      <c r="L1546" s="23">
        <v>2331.6999999999998</v>
      </c>
      <c r="M1546" s="22">
        <f t="shared" si="163"/>
        <v>1068.3000000000002</v>
      </c>
      <c r="N1546" s="22"/>
      <c r="O1546" s="30">
        <f t="shared" si="164"/>
        <v>0.26707500000000006</v>
      </c>
    </row>
    <row r="1547" spans="1:15" ht="20.100000000000001" customHeight="1" x14ac:dyDescent="0.25">
      <c r="A1547" s="33">
        <v>336</v>
      </c>
      <c r="B1547" s="9">
        <v>43948</v>
      </c>
      <c r="C1547" s="18" t="s">
        <v>361</v>
      </c>
      <c r="D1547" s="11">
        <v>2832</v>
      </c>
      <c r="E1547" s="9">
        <v>43948</v>
      </c>
      <c r="F1547" s="15" t="s">
        <v>28</v>
      </c>
      <c r="G1547" s="12">
        <v>43948</v>
      </c>
      <c r="H1547" s="23">
        <f>D1547</f>
        <v>2832</v>
      </c>
      <c r="I1547" s="23"/>
      <c r="J1547" s="23"/>
      <c r="K1547" s="24"/>
      <c r="L1547" s="23">
        <v>1948</v>
      </c>
      <c r="M1547" s="22">
        <f t="shared" si="163"/>
        <v>884</v>
      </c>
      <c r="N1547" s="22"/>
      <c r="O1547" s="30">
        <f t="shared" si="164"/>
        <v>0.31214689265536721</v>
      </c>
    </row>
    <row r="1548" spans="1:15" ht="20.100000000000001" customHeight="1" x14ac:dyDescent="0.25">
      <c r="A1548" s="33">
        <v>362</v>
      </c>
      <c r="B1548" s="4">
        <v>43950</v>
      </c>
      <c r="C1548" s="18" t="s">
        <v>452</v>
      </c>
      <c r="D1548" s="11">
        <v>56490</v>
      </c>
      <c r="E1548" s="9">
        <v>43951</v>
      </c>
      <c r="F1548" s="15" t="s">
        <v>28</v>
      </c>
      <c r="G1548" s="12">
        <v>43958</v>
      </c>
      <c r="H1548" s="23">
        <f>D1548</f>
        <v>56490</v>
      </c>
      <c r="I1548" s="23"/>
      <c r="J1548" s="23"/>
      <c r="K1548" s="24"/>
      <c r="L1548" s="23">
        <v>36712</v>
      </c>
      <c r="M1548" s="22">
        <f t="shared" si="163"/>
        <v>19778</v>
      </c>
      <c r="N1548" s="22"/>
      <c r="O1548" s="30">
        <f t="shared" si="164"/>
        <v>0.35011506461320585</v>
      </c>
    </row>
    <row r="1549" spans="1:15" ht="19.5" customHeight="1" x14ac:dyDescent="0.25">
      <c r="A1549" s="33">
        <v>61</v>
      </c>
      <c r="B1549" s="9">
        <v>43888</v>
      </c>
      <c r="C1549" s="18" t="s">
        <v>433</v>
      </c>
      <c r="D1549" s="11">
        <v>77077</v>
      </c>
      <c r="E1549" s="9">
        <v>43951</v>
      </c>
      <c r="F1549" s="15" t="s">
        <v>28</v>
      </c>
      <c r="G1549" s="12">
        <v>43935</v>
      </c>
      <c r="H1549" s="23">
        <v>63767</v>
      </c>
      <c r="I1549" s="23"/>
      <c r="J1549" s="23"/>
      <c r="K1549" s="24"/>
      <c r="L1549" s="23">
        <v>39204.85</v>
      </c>
      <c r="M1549" s="22">
        <f t="shared" si="163"/>
        <v>24562.15</v>
      </c>
      <c r="N1549" s="22"/>
      <c r="O1549" s="30">
        <f t="shared" si="164"/>
        <v>0.38518591120799162</v>
      </c>
    </row>
    <row r="1550" spans="1:15" ht="15.75" x14ac:dyDescent="0.25">
      <c r="A1550" s="33">
        <v>248</v>
      </c>
      <c r="B1550" s="9">
        <v>43913</v>
      </c>
      <c r="C1550" s="18" t="s">
        <v>433</v>
      </c>
      <c r="D1550" s="11">
        <v>2742</v>
      </c>
      <c r="E1550" s="9">
        <v>43951</v>
      </c>
      <c r="F1550" s="15" t="s">
        <v>28</v>
      </c>
      <c r="G1550" s="12">
        <v>43914</v>
      </c>
      <c r="H1550" s="23">
        <f>D1550</f>
        <v>2742</v>
      </c>
      <c r="I1550" s="23"/>
      <c r="J1550" s="23"/>
      <c r="K1550" s="24"/>
      <c r="L1550" s="23">
        <v>1886</v>
      </c>
      <c r="M1550" s="22">
        <f t="shared" si="163"/>
        <v>856</v>
      </c>
      <c r="N1550" s="22"/>
      <c r="O1550" s="30">
        <f t="shared" si="164"/>
        <v>0.31218088986141501</v>
      </c>
    </row>
    <row r="1551" spans="1:15" s="2" customFormat="1" ht="20.100000000000001" customHeight="1" x14ac:dyDescent="0.25">
      <c r="A1551" s="33">
        <v>76</v>
      </c>
      <c r="B1551" s="9">
        <v>43882</v>
      </c>
      <c r="C1551" s="20" t="s">
        <v>439</v>
      </c>
      <c r="D1551" s="11">
        <v>602770</v>
      </c>
      <c r="E1551" s="9">
        <v>43951</v>
      </c>
      <c r="F1551" s="15" t="s">
        <v>28</v>
      </c>
      <c r="G1551" s="12">
        <v>43928</v>
      </c>
      <c r="H1551" s="23">
        <v>301385</v>
      </c>
      <c r="I1551" s="23">
        <f>H1551</f>
        <v>301385</v>
      </c>
      <c r="J1551" s="23"/>
      <c r="K1551" s="24"/>
      <c r="L1551" s="23">
        <v>258092.5</v>
      </c>
      <c r="M1551" s="22">
        <f t="shared" si="163"/>
        <v>43292.5</v>
      </c>
      <c r="N1551" s="22">
        <f>M1551</f>
        <v>43292.5</v>
      </c>
      <c r="O1551" s="30">
        <f t="shared" si="164"/>
        <v>0.14364517145843356</v>
      </c>
    </row>
    <row r="1552" spans="1:15" ht="20.100000000000001" customHeight="1" x14ac:dyDescent="0.25">
      <c r="A1552" s="35" t="s">
        <v>535</v>
      </c>
      <c r="B1552" s="36"/>
      <c r="C1552" s="42"/>
      <c r="D1552" s="37"/>
      <c r="E1552" s="46" t="s">
        <v>578</v>
      </c>
      <c r="F1552" s="47">
        <f>M1552*0.17+N1552*0.06+10000</f>
        <v>70606.630600000004</v>
      </c>
      <c r="G1552" s="21">
        <f>H1552*0.05+I1552*0.02+10000</f>
        <v>77595.33</v>
      </c>
      <c r="H1552" s="49">
        <f>SUBTOTAL(109,Апрель2020[Продажа])</f>
        <v>1088627</v>
      </c>
      <c r="I1552" s="49">
        <f>SUBTOTAL(109,Апрель2020[Продажа НК])</f>
        <v>658199</v>
      </c>
      <c r="J1552" s="49">
        <f>SUBTOTAL(109,Апрель2020[отк])</f>
        <v>30000</v>
      </c>
      <c r="K1552" s="49">
        <f>SUBTOTAL(109,Апрель2020[шланги])</f>
        <v>6600</v>
      </c>
      <c r="L1552" s="49">
        <f>SUBTOTAL(109,Апрель2020[Закупка])</f>
        <v>746701.88</v>
      </c>
      <c r="M1552" s="49">
        <f>SUBTOTAL(109,Апрель2020[Маржа])</f>
        <v>305325.12</v>
      </c>
      <c r="N1552" s="49">
        <f>SUBTOTAL(109,Апрель2020[Маржа НК])</f>
        <v>145022.67000000001</v>
      </c>
      <c r="O1552" s="44">
        <f t="shared" si="164"/>
        <v>0.28046807584232247</v>
      </c>
    </row>
    <row r="1553" spans="1:15" ht="20.100000000000001" customHeight="1" x14ac:dyDescent="0.25">
      <c r="A1553" s="41" t="s">
        <v>1</v>
      </c>
      <c r="B1553" s="1" t="s">
        <v>0</v>
      </c>
      <c r="C1553" s="1" t="s">
        <v>26</v>
      </c>
      <c r="D1553" s="1" t="s">
        <v>2</v>
      </c>
      <c r="E1553" s="1" t="s">
        <v>3</v>
      </c>
      <c r="F1553" s="1" t="s">
        <v>27</v>
      </c>
      <c r="G1553" s="1" t="s">
        <v>4</v>
      </c>
      <c r="H1553" s="2" t="s">
        <v>132</v>
      </c>
      <c r="I1553" s="2" t="s">
        <v>133</v>
      </c>
      <c r="J1553" s="40" t="s">
        <v>187</v>
      </c>
      <c r="K1553" s="40" t="s">
        <v>188</v>
      </c>
      <c r="L1553" s="40" t="s">
        <v>129</v>
      </c>
      <c r="M1553" s="40" t="s">
        <v>130</v>
      </c>
      <c r="N1553" s="2" t="s">
        <v>131</v>
      </c>
      <c r="O1553" s="2" t="s">
        <v>134</v>
      </c>
    </row>
    <row r="1554" spans="1:15" ht="20.100000000000001" customHeight="1" x14ac:dyDescent="0.25">
      <c r="A1554" s="33">
        <v>325</v>
      </c>
      <c r="B1554" s="9">
        <v>43945</v>
      </c>
      <c r="C1554" s="18" t="s">
        <v>109</v>
      </c>
      <c r="D1554" s="11">
        <v>4000</v>
      </c>
      <c r="E1554" s="9">
        <v>43957</v>
      </c>
      <c r="F1554" s="15" t="s">
        <v>28</v>
      </c>
      <c r="G1554" s="12">
        <v>43948</v>
      </c>
      <c r="H1554" s="23">
        <f t="shared" ref="H1554:H1566" si="166">D1554</f>
        <v>4000</v>
      </c>
      <c r="I1554" s="23"/>
      <c r="J1554" s="23"/>
      <c r="K1554" s="24">
        <v>600</v>
      </c>
      <c r="L1554" s="23">
        <v>1450.7</v>
      </c>
      <c r="M1554" s="22">
        <f t="shared" ref="M1554:M1570" si="167">H1554-L1554-J1554-K1554</f>
        <v>1949.3000000000002</v>
      </c>
      <c r="N1554" s="22"/>
      <c r="O1554" s="30">
        <f t="shared" ref="O1554:O1571" si="168">M1554/H1554</f>
        <v>0.48732500000000006</v>
      </c>
    </row>
    <row r="1555" spans="1:15" ht="20.100000000000001" customHeight="1" x14ac:dyDescent="0.25">
      <c r="A1555" s="33">
        <v>342</v>
      </c>
      <c r="B1555" s="9">
        <v>43949</v>
      </c>
      <c r="C1555" s="18" t="s">
        <v>403</v>
      </c>
      <c r="D1555" s="11">
        <v>6218</v>
      </c>
      <c r="E1555" s="9">
        <v>43957</v>
      </c>
      <c r="F1555" s="15" t="s">
        <v>28</v>
      </c>
      <c r="G1555" s="12">
        <v>43969</v>
      </c>
      <c r="H1555" s="23">
        <f t="shared" si="166"/>
        <v>6218</v>
      </c>
      <c r="I1555" s="23"/>
      <c r="J1555" s="23"/>
      <c r="K1555" s="24"/>
      <c r="L1555" s="23">
        <v>4224</v>
      </c>
      <c r="M1555" s="22">
        <f t="shared" si="167"/>
        <v>1994</v>
      </c>
      <c r="N1555" s="22"/>
      <c r="O1555" s="30">
        <f t="shared" si="168"/>
        <v>0.32068189128337088</v>
      </c>
    </row>
    <row r="1556" spans="1:15" ht="20.100000000000001" customHeight="1" x14ac:dyDescent="0.25">
      <c r="A1556" s="33">
        <v>317</v>
      </c>
      <c r="B1556" s="9">
        <v>43943</v>
      </c>
      <c r="C1556" s="18" t="s">
        <v>228</v>
      </c>
      <c r="D1556" s="11">
        <v>23531</v>
      </c>
      <c r="E1556" s="9">
        <v>43963</v>
      </c>
      <c r="F1556" s="15" t="s">
        <v>28</v>
      </c>
      <c r="G1556" s="12">
        <v>43959</v>
      </c>
      <c r="H1556" s="23">
        <f t="shared" si="166"/>
        <v>23531</v>
      </c>
      <c r="I1556" s="23"/>
      <c r="J1556" s="23"/>
      <c r="K1556" s="24"/>
      <c r="L1556" s="23">
        <v>15942</v>
      </c>
      <c r="M1556" s="22">
        <f t="shared" si="167"/>
        <v>7589</v>
      </c>
      <c r="N1556" s="22"/>
      <c r="O1556" s="30">
        <f t="shared" si="168"/>
        <v>0.32251073052568952</v>
      </c>
    </row>
    <row r="1557" spans="1:15" ht="20.100000000000001" customHeight="1" x14ac:dyDescent="0.25">
      <c r="A1557" s="33">
        <v>192</v>
      </c>
      <c r="B1557" s="9">
        <v>43922</v>
      </c>
      <c r="C1557" s="18" t="s">
        <v>56</v>
      </c>
      <c r="D1557" s="11">
        <v>155989</v>
      </c>
      <c r="E1557" s="9">
        <v>43964</v>
      </c>
      <c r="F1557" s="15" t="s">
        <v>28</v>
      </c>
      <c r="G1557" s="12">
        <v>43943</v>
      </c>
      <c r="H1557" s="23">
        <f t="shared" si="166"/>
        <v>155989</v>
      </c>
      <c r="I1557" s="23"/>
      <c r="J1557" s="23"/>
      <c r="K1557" s="24">
        <v>1200</v>
      </c>
      <c r="L1557" s="23">
        <v>110320.4</v>
      </c>
      <c r="M1557" s="22">
        <f t="shared" si="167"/>
        <v>44468.600000000006</v>
      </c>
      <c r="N1557" s="22"/>
      <c r="O1557" s="30">
        <f t="shared" si="168"/>
        <v>0.28507522966363019</v>
      </c>
    </row>
    <row r="1558" spans="1:15" ht="20.100000000000001" customHeight="1" x14ac:dyDescent="0.25">
      <c r="A1558" s="33">
        <v>375</v>
      </c>
      <c r="B1558" s="9">
        <v>43958</v>
      </c>
      <c r="C1558" s="18" t="s">
        <v>175</v>
      </c>
      <c r="D1558" s="11">
        <v>21800</v>
      </c>
      <c r="E1558" s="9">
        <v>43964</v>
      </c>
      <c r="F1558" s="15" t="s">
        <v>28</v>
      </c>
      <c r="G1558" s="12">
        <v>43973</v>
      </c>
      <c r="H1558" s="23">
        <f t="shared" si="166"/>
        <v>21800</v>
      </c>
      <c r="I1558" s="23"/>
      <c r="J1558" s="23"/>
      <c r="K1558" s="24"/>
      <c r="L1558" s="23">
        <v>12692</v>
      </c>
      <c r="M1558" s="22">
        <f t="shared" si="167"/>
        <v>9108</v>
      </c>
      <c r="N1558" s="22"/>
      <c r="O1558" s="30">
        <f t="shared" si="168"/>
        <v>0.4177981651376147</v>
      </c>
    </row>
    <row r="1559" spans="1:15" ht="20.100000000000001" customHeight="1" x14ac:dyDescent="0.25">
      <c r="A1559" s="33">
        <v>345</v>
      </c>
      <c r="B1559" s="9">
        <v>43964</v>
      </c>
      <c r="C1559" s="20" t="s">
        <v>453</v>
      </c>
      <c r="D1559" s="11">
        <v>22490</v>
      </c>
      <c r="E1559" s="9">
        <v>43965</v>
      </c>
      <c r="F1559" s="15" t="s">
        <v>28</v>
      </c>
      <c r="G1559" s="12">
        <v>43977</v>
      </c>
      <c r="H1559" s="23">
        <f t="shared" si="166"/>
        <v>22490</v>
      </c>
      <c r="I1559" s="23">
        <f>H1559</f>
        <v>22490</v>
      </c>
      <c r="J1559" s="23"/>
      <c r="K1559" s="24"/>
      <c r="L1559" s="23">
        <v>16135</v>
      </c>
      <c r="M1559" s="22">
        <f t="shared" si="167"/>
        <v>6355</v>
      </c>
      <c r="N1559" s="22">
        <f>M1559</f>
        <v>6355</v>
      </c>
      <c r="O1559" s="30">
        <f t="shared" si="168"/>
        <v>0.28257003112494444</v>
      </c>
    </row>
    <row r="1560" spans="1:15" ht="20.100000000000001" customHeight="1" x14ac:dyDescent="0.25">
      <c r="A1560" s="33">
        <v>383</v>
      </c>
      <c r="B1560" s="9">
        <v>43959</v>
      </c>
      <c r="C1560" s="18" t="s">
        <v>353</v>
      </c>
      <c r="D1560" s="11">
        <v>2787</v>
      </c>
      <c r="E1560" s="9">
        <v>43965</v>
      </c>
      <c r="F1560" s="15" t="s">
        <v>28</v>
      </c>
      <c r="G1560" s="12">
        <v>43965</v>
      </c>
      <c r="H1560" s="23">
        <f t="shared" si="166"/>
        <v>2787</v>
      </c>
      <c r="I1560" s="23"/>
      <c r="J1560" s="23"/>
      <c r="K1560" s="24"/>
      <c r="L1560" s="23">
        <v>1764</v>
      </c>
      <c r="M1560" s="22">
        <f t="shared" si="167"/>
        <v>1023</v>
      </c>
      <c r="N1560" s="22"/>
      <c r="O1560" s="30">
        <f t="shared" si="168"/>
        <v>0.36706135629709363</v>
      </c>
    </row>
    <row r="1561" spans="1:15" ht="20.100000000000001" customHeight="1" x14ac:dyDescent="0.25">
      <c r="A1561" s="33">
        <v>388</v>
      </c>
      <c r="B1561" s="9">
        <v>43963</v>
      </c>
      <c r="C1561" s="18" t="s">
        <v>77</v>
      </c>
      <c r="D1561" s="11">
        <v>7324</v>
      </c>
      <c r="E1561" s="9">
        <v>43966</v>
      </c>
      <c r="F1561" s="15" t="s">
        <v>28</v>
      </c>
      <c r="G1561" s="12">
        <v>43966</v>
      </c>
      <c r="H1561" s="23">
        <f t="shared" si="166"/>
        <v>7324</v>
      </c>
      <c r="I1561" s="23"/>
      <c r="J1561" s="23"/>
      <c r="K1561" s="24"/>
      <c r="L1561" s="23">
        <v>5040</v>
      </c>
      <c r="M1561" s="22">
        <f t="shared" si="167"/>
        <v>2284</v>
      </c>
      <c r="N1561" s="22"/>
      <c r="O1561" s="30">
        <f t="shared" si="168"/>
        <v>0.31185144729655928</v>
      </c>
    </row>
    <row r="1562" spans="1:15" ht="20.100000000000001" customHeight="1" x14ac:dyDescent="0.25">
      <c r="A1562" s="33">
        <v>391</v>
      </c>
      <c r="B1562" s="9">
        <v>43964</v>
      </c>
      <c r="C1562" s="18" t="s">
        <v>147</v>
      </c>
      <c r="D1562" s="11">
        <v>33140</v>
      </c>
      <c r="E1562" s="9">
        <v>43969</v>
      </c>
      <c r="F1562" s="15" t="s">
        <v>28</v>
      </c>
      <c r="G1562" s="12">
        <v>43977</v>
      </c>
      <c r="H1562" s="23">
        <f t="shared" si="166"/>
        <v>33140</v>
      </c>
      <c r="I1562" s="23"/>
      <c r="J1562" s="23"/>
      <c r="K1562" s="24"/>
      <c r="L1562" s="23">
        <v>22333</v>
      </c>
      <c r="M1562" s="22">
        <f t="shared" si="167"/>
        <v>10807</v>
      </c>
      <c r="N1562" s="22"/>
      <c r="O1562" s="30">
        <f t="shared" si="168"/>
        <v>0.32610138805069405</v>
      </c>
    </row>
    <row r="1563" spans="1:15" ht="20.100000000000001" customHeight="1" x14ac:dyDescent="0.25">
      <c r="A1563" s="33">
        <v>409</v>
      </c>
      <c r="B1563" s="9">
        <v>43969</v>
      </c>
      <c r="C1563" s="18" t="s">
        <v>385</v>
      </c>
      <c r="D1563" s="11">
        <v>7162</v>
      </c>
      <c r="E1563" s="9">
        <v>43969</v>
      </c>
      <c r="F1563" s="15" t="s">
        <v>28</v>
      </c>
      <c r="G1563" s="12">
        <v>43970</v>
      </c>
      <c r="H1563" s="23">
        <f t="shared" si="166"/>
        <v>7162</v>
      </c>
      <c r="I1563" s="23"/>
      <c r="J1563" s="23"/>
      <c r="K1563" s="24"/>
      <c r="L1563" s="23">
        <v>5586</v>
      </c>
      <c r="M1563" s="22">
        <f t="shared" si="167"/>
        <v>1576</v>
      </c>
      <c r="N1563" s="22"/>
      <c r="O1563" s="30">
        <f t="shared" si="168"/>
        <v>0.22005026528902541</v>
      </c>
    </row>
    <row r="1564" spans="1:15" ht="20.100000000000001" customHeight="1" x14ac:dyDescent="0.25">
      <c r="A1564" s="33">
        <v>414</v>
      </c>
      <c r="B1564" s="9">
        <v>43970</v>
      </c>
      <c r="C1564" s="18" t="s">
        <v>216</v>
      </c>
      <c r="D1564" s="11">
        <v>1831</v>
      </c>
      <c r="E1564" s="9">
        <v>43971</v>
      </c>
      <c r="F1564" s="15" t="s">
        <v>28</v>
      </c>
      <c r="G1564" s="12">
        <v>44117</v>
      </c>
      <c r="H1564" s="23">
        <f t="shared" si="166"/>
        <v>1831</v>
      </c>
      <c r="I1564" s="23"/>
      <c r="J1564" s="23"/>
      <c r="K1564" s="24"/>
      <c r="L1564" s="23">
        <v>1260</v>
      </c>
      <c r="M1564" s="22">
        <f t="shared" si="167"/>
        <v>571</v>
      </c>
      <c r="N1564" s="22"/>
      <c r="O1564" s="30">
        <f t="shared" si="168"/>
        <v>0.31185144729655928</v>
      </c>
    </row>
    <row r="1565" spans="1:15" ht="20.100000000000001" customHeight="1" x14ac:dyDescent="0.25">
      <c r="A1565" s="33">
        <v>404</v>
      </c>
      <c r="B1565" s="9">
        <v>43966</v>
      </c>
      <c r="C1565" s="18" t="s">
        <v>209</v>
      </c>
      <c r="D1565" s="11">
        <v>7325</v>
      </c>
      <c r="E1565" s="9">
        <v>43972</v>
      </c>
      <c r="F1565" s="15" t="s">
        <v>28</v>
      </c>
      <c r="G1565" s="12">
        <v>43966</v>
      </c>
      <c r="H1565" s="23">
        <f t="shared" si="166"/>
        <v>7325</v>
      </c>
      <c r="I1565" s="23"/>
      <c r="J1565" s="23"/>
      <c r="K1565" s="24"/>
      <c r="L1565" s="23">
        <v>2694</v>
      </c>
      <c r="M1565" s="22">
        <f t="shared" si="167"/>
        <v>4631</v>
      </c>
      <c r="N1565" s="22"/>
      <c r="O1565" s="30">
        <f t="shared" si="168"/>
        <v>0.6322184300341297</v>
      </c>
    </row>
    <row r="1566" spans="1:15" ht="20.100000000000001" customHeight="1" x14ac:dyDescent="0.25">
      <c r="A1566" s="33">
        <v>296</v>
      </c>
      <c r="B1566" s="9">
        <v>43935</v>
      </c>
      <c r="C1566" s="18" t="s">
        <v>433</v>
      </c>
      <c r="D1566" s="11">
        <v>7909</v>
      </c>
      <c r="E1566" s="9">
        <v>43973</v>
      </c>
      <c r="F1566" s="15" t="s">
        <v>28</v>
      </c>
      <c r="G1566" s="12">
        <v>43935</v>
      </c>
      <c r="H1566" s="23">
        <f t="shared" si="166"/>
        <v>7909</v>
      </c>
      <c r="I1566" s="23"/>
      <c r="J1566" s="23"/>
      <c r="K1566" s="24"/>
      <c r="L1566" s="23">
        <v>5363</v>
      </c>
      <c r="M1566" s="22">
        <f t="shared" si="167"/>
        <v>2546</v>
      </c>
      <c r="N1566" s="22"/>
      <c r="O1566" s="30">
        <f t="shared" si="168"/>
        <v>0.32191174611202428</v>
      </c>
    </row>
    <row r="1567" spans="1:15" ht="20.100000000000001" customHeight="1" x14ac:dyDescent="0.25">
      <c r="A1567" s="33">
        <v>61</v>
      </c>
      <c r="B1567" s="9">
        <v>43888</v>
      </c>
      <c r="C1567" s="18" t="s">
        <v>433</v>
      </c>
      <c r="D1567" s="11">
        <v>77077</v>
      </c>
      <c r="E1567" s="9">
        <v>43973</v>
      </c>
      <c r="F1567" s="15" t="s">
        <v>28</v>
      </c>
      <c r="G1567" s="12">
        <v>43935</v>
      </c>
      <c r="H1567" s="23">
        <v>13310</v>
      </c>
      <c r="I1567" s="23"/>
      <c r="J1567" s="23"/>
      <c r="K1567" s="24"/>
      <c r="L1567" s="23">
        <v>11766</v>
      </c>
      <c r="M1567" s="22">
        <f t="shared" si="167"/>
        <v>1544</v>
      </c>
      <c r="N1567" s="22"/>
      <c r="O1567" s="30">
        <f t="shared" si="168"/>
        <v>0.11600300525920361</v>
      </c>
    </row>
    <row r="1568" spans="1:15" ht="20.100000000000001" customHeight="1" x14ac:dyDescent="0.25">
      <c r="A1568" s="33">
        <v>212</v>
      </c>
      <c r="B1568" s="9">
        <v>43906</v>
      </c>
      <c r="C1568" s="18" t="s">
        <v>433</v>
      </c>
      <c r="D1568" s="11">
        <v>30894</v>
      </c>
      <c r="E1568" s="9">
        <v>43973</v>
      </c>
      <c r="F1568" s="15" t="s">
        <v>28</v>
      </c>
      <c r="G1568" s="12">
        <v>43938</v>
      </c>
      <c r="H1568" s="23">
        <f>D1568</f>
        <v>30894</v>
      </c>
      <c r="I1568" s="23"/>
      <c r="J1568" s="23"/>
      <c r="K1568" s="24">
        <v>600</v>
      </c>
      <c r="L1568" s="23">
        <v>17218</v>
      </c>
      <c r="M1568" s="22">
        <f t="shared" si="167"/>
        <v>13076</v>
      </c>
      <c r="N1568" s="22"/>
      <c r="O1568" s="30">
        <f t="shared" si="168"/>
        <v>0.42325370622127273</v>
      </c>
    </row>
    <row r="1569" spans="1:15" ht="20.100000000000001" customHeight="1" x14ac:dyDescent="0.25">
      <c r="A1569" s="33">
        <v>306</v>
      </c>
      <c r="B1569" s="9">
        <v>43938</v>
      </c>
      <c r="C1569" s="18" t="s">
        <v>433</v>
      </c>
      <c r="D1569" s="3">
        <v>104490</v>
      </c>
      <c r="E1569" s="9">
        <v>43978</v>
      </c>
      <c r="F1569" s="15" t="s">
        <v>28</v>
      </c>
      <c r="G1569" s="12">
        <v>43938</v>
      </c>
      <c r="H1569" s="23">
        <f>D1569</f>
        <v>104490</v>
      </c>
      <c r="I1569" s="23"/>
      <c r="J1569" s="23"/>
      <c r="K1569" s="24"/>
      <c r="L1569" s="23">
        <v>76737</v>
      </c>
      <c r="M1569" s="22">
        <f t="shared" si="167"/>
        <v>27753</v>
      </c>
      <c r="N1569" s="22"/>
      <c r="O1569" s="30">
        <f t="shared" si="168"/>
        <v>0.26560436405397647</v>
      </c>
    </row>
    <row r="1570" spans="1:15" ht="20.100000000000001" customHeight="1" x14ac:dyDescent="0.25">
      <c r="A1570" s="33">
        <v>371</v>
      </c>
      <c r="B1570" s="9">
        <v>43957</v>
      </c>
      <c r="C1570" s="18" t="s">
        <v>228</v>
      </c>
      <c r="D1570" s="11">
        <v>49289</v>
      </c>
      <c r="E1570" s="9">
        <v>43979</v>
      </c>
      <c r="F1570" s="15" t="s">
        <v>28</v>
      </c>
      <c r="G1570" s="12">
        <v>43987</v>
      </c>
      <c r="H1570" s="23">
        <f>D1570</f>
        <v>49289</v>
      </c>
      <c r="I1570" s="23"/>
      <c r="J1570" s="23"/>
      <c r="K1570" s="24">
        <v>1200</v>
      </c>
      <c r="L1570" s="23">
        <v>29299.4</v>
      </c>
      <c r="M1570" s="22">
        <f t="shared" si="167"/>
        <v>18789.599999999999</v>
      </c>
      <c r="N1570" s="22"/>
      <c r="O1570" s="30">
        <f t="shared" si="168"/>
        <v>0.38121284667978655</v>
      </c>
    </row>
    <row r="1571" spans="1:15" ht="20.100000000000001" customHeight="1" x14ac:dyDescent="0.25">
      <c r="A1571" s="35" t="s">
        <v>535</v>
      </c>
      <c r="B1571" s="36"/>
      <c r="C1571" s="42"/>
      <c r="D1571" s="37"/>
      <c r="E1571" s="46" t="s">
        <v>579</v>
      </c>
      <c r="F1571" s="47">
        <f>M1571*0.12+N1571*0.06+10000</f>
        <v>29109.040000000001</v>
      </c>
      <c r="G1571" s="21">
        <f>H1571*0.02+I1571*0.02+10000</f>
        <v>20439.580000000002</v>
      </c>
      <c r="H1571" s="49">
        <f>SUBTOTAL(109,Май2020[Продажа])</f>
        <v>499489</v>
      </c>
      <c r="I1571" s="49">
        <f>SUBTOTAL(109,Май2020[Продажа НК])</f>
        <v>22490</v>
      </c>
      <c r="J1571" s="49">
        <f>SUBTOTAL(109,Май2020[отк])</f>
        <v>0</v>
      </c>
      <c r="K1571" s="49">
        <f>SUBTOTAL(109,Май2020[шланги])</f>
        <v>3600</v>
      </c>
      <c r="L1571" s="49">
        <f>SUBTOTAL(109,Май2020[Закупка])</f>
        <v>339824.5</v>
      </c>
      <c r="M1571" s="49">
        <f>SUBTOTAL(109,Май2020[Маржа])</f>
        <v>156064.50000000003</v>
      </c>
      <c r="N1571" s="49">
        <f>SUBTOTAL(109,Май2020[Маржа НК])</f>
        <v>6355</v>
      </c>
      <c r="O1571" s="44">
        <f t="shared" si="168"/>
        <v>0.31244832218527341</v>
      </c>
    </row>
    <row r="1572" spans="1:15" ht="20.100000000000001" customHeight="1" x14ac:dyDescent="0.25">
      <c r="A1572" s="41" t="s">
        <v>1</v>
      </c>
      <c r="B1572" s="1" t="s">
        <v>0</v>
      </c>
      <c r="C1572" s="1" t="s">
        <v>26</v>
      </c>
      <c r="D1572" s="1" t="s">
        <v>2</v>
      </c>
      <c r="E1572" s="1" t="s">
        <v>3</v>
      </c>
      <c r="F1572" s="1" t="s">
        <v>27</v>
      </c>
      <c r="G1572" s="1" t="s">
        <v>4</v>
      </c>
      <c r="H1572" s="2" t="s">
        <v>132</v>
      </c>
      <c r="I1572" s="2" t="s">
        <v>133</v>
      </c>
      <c r="J1572" s="40" t="s">
        <v>187</v>
      </c>
      <c r="K1572" s="40" t="s">
        <v>188</v>
      </c>
      <c r="L1572" s="40" t="s">
        <v>129</v>
      </c>
      <c r="M1572" s="40" t="s">
        <v>130</v>
      </c>
      <c r="N1572" s="2" t="s">
        <v>131</v>
      </c>
      <c r="O1572" s="2" t="s">
        <v>134</v>
      </c>
    </row>
    <row r="1573" spans="1:15" ht="20.100000000000001" customHeight="1" x14ac:dyDescent="0.25">
      <c r="A1573" s="33">
        <v>428</v>
      </c>
      <c r="B1573" s="9">
        <v>43976</v>
      </c>
      <c r="C1573" s="18" t="s">
        <v>454</v>
      </c>
      <c r="D1573" s="11">
        <v>4682</v>
      </c>
      <c r="E1573" s="9">
        <v>43983</v>
      </c>
      <c r="F1573" s="15" t="s">
        <v>28</v>
      </c>
      <c r="G1573" s="12">
        <v>43976</v>
      </c>
      <c r="H1573" s="23">
        <f t="shared" ref="H1573:H1597" si="169">D1573</f>
        <v>4682</v>
      </c>
      <c r="I1573" s="23"/>
      <c r="J1573" s="23"/>
      <c r="K1573" s="24"/>
      <c r="L1573" s="23">
        <v>3090</v>
      </c>
      <c r="M1573" s="22">
        <f t="shared" ref="M1573:M1597" si="170">H1573-L1573-J1573-K1573</f>
        <v>1592</v>
      </c>
      <c r="N1573" s="22"/>
      <c r="O1573" s="30">
        <f t="shared" ref="O1573:O1598" si="171">M1573/H1573</f>
        <v>0.34002563007261855</v>
      </c>
    </row>
    <row r="1574" spans="1:15" ht="20.100000000000001" customHeight="1" x14ac:dyDescent="0.25">
      <c r="A1574" s="33">
        <v>367</v>
      </c>
      <c r="B1574" s="9">
        <v>43951</v>
      </c>
      <c r="C1574" s="18" t="s">
        <v>433</v>
      </c>
      <c r="D1574" s="11">
        <v>101966</v>
      </c>
      <c r="E1574" s="9">
        <v>43983</v>
      </c>
      <c r="F1574" s="15" t="s">
        <v>28</v>
      </c>
      <c r="G1574" s="12">
        <v>43951</v>
      </c>
      <c r="H1574" s="23">
        <f t="shared" si="169"/>
        <v>101966</v>
      </c>
      <c r="I1574" s="23"/>
      <c r="J1574" s="23"/>
      <c r="K1574" s="24"/>
      <c r="L1574" s="23">
        <v>57743.25</v>
      </c>
      <c r="M1574" s="22">
        <f t="shared" si="170"/>
        <v>44222.75</v>
      </c>
      <c r="N1574" s="22"/>
      <c r="O1574" s="30">
        <f t="shared" si="171"/>
        <v>0.43370093952886257</v>
      </c>
    </row>
    <row r="1575" spans="1:15" ht="20.100000000000001" customHeight="1" x14ac:dyDescent="0.25">
      <c r="A1575" s="33">
        <v>457</v>
      </c>
      <c r="B1575" s="9">
        <v>43980</v>
      </c>
      <c r="C1575" s="18" t="s">
        <v>437</v>
      </c>
      <c r="D1575" s="11">
        <v>9023</v>
      </c>
      <c r="E1575" s="9">
        <v>43983</v>
      </c>
      <c r="F1575" s="15" t="s">
        <v>28</v>
      </c>
      <c r="G1575" s="12">
        <v>43984</v>
      </c>
      <c r="H1575" s="23">
        <f t="shared" si="169"/>
        <v>9023</v>
      </c>
      <c r="I1575" s="23"/>
      <c r="J1575" s="23"/>
      <c r="K1575" s="24"/>
      <c r="L1575" s="23">
        <v>6710</v>
      </c>
      <c r="M1575" s="22">
        <f t="shared" si="170"/>
        <v>2313</v>
      </c>
      <c r="N1575" s="22"/>
      <c r="O1575" s="30">
        <f t="shared" si="171"/>
        <v>0.25634489637592817</v>
      </c>
    </row>
    <row r="1576" spans="1:15" ht="20.100000000000001" customHeight="1" x14ac:dyDescent="0.25">
      <c r="A1576" s="33">
        <v>435</v>
      </c>
      <c r="B1576" s="9">
        <v>43977</v>
      </c>
      <c r="C1576" s="20" t="s">
        <v>455</v>
      </c>
      <c r="D1576" s="11">
        <v>90882</v>
      </c>
      <c r="E1576" s="9">
        <v>43984</v>
      </c>
      <c r="F1576" s="15" t="s">
        <v>28</v>
      </c>
      <c r="G1576" s="12">
        <v>43991</v>
      </c>
      <c r="H1576" s="23">
        <f t="shared" si="169"/>
        <v>90882</v>
      </c>
      <c r="I1576" s="23">
        <f>H1576</f>
        <v>90882</v>
      </c>
      <c r="J1576" s="23"/>
      <c r="K1576" s="24">
        <v>7200</v>
      </c>
      <c r="L1576" s="23">
        <v>53934</v>
      </c>
      <c r="M1576" s="22">
        <f t="shared" si="170"/>
        <v>29748</v>
      </c>
      <c r="N1576" s="22">
        <f>M1576</f>
        <v>29748</v>
      </c>
      <c r="O1576" s="30">
        <f t="shared" si="171"/>
        <v>0.32732554301181754</v>
      </c>
    </row>
    <row r="1577" spans="1:15" ht="20.100000000000001" customHeight="1" x14ac:dyDescent="0.25">
      <c r="A1577" s="33">
        <v>293</v>
      </c>
      <c r="B1577" s="9">
        <v>43946</v>
      </c>
      <c r="C1577" s="18" t="s">
        <v>69</v>
      </c>
      <c r="D1577" s="11">
        <v>56490</v>
      </c>
      <c r="E1577" s="9">
        <v>43985</v>
      </c>
      <c r="F1577" s="15" t="s">
        <v>28</v>
      </c>
      <c r="G1577" s="12">
        <v>43992</v>
      </c>
      <c r="H1577" s="23">
        <f t="shared" si="169"/>
        <v>56490</v>
      </c>
      <c r="I1577" s="23"/>
      <c r="J1577" s="23"/>
      <c r="K1577" s="24"/>
      <c r="L1577" s="23">
        <v>36712.65</v>
      </c>
      <c r="M1577" s="22">
        <f t="shared" si="170"/>
        <v>19777.349999999999</v>
      </c>
      <c r="N1577" s="22"/>
      <c r="O1577" s="30">
        <f t="shared" si="171"/>
        <v>0.35010355815188526</v>
      </c>
    </row>
    <row r="1578" spans="1:15" ht="20.100000000000001" customHeight="1" x14ac:dyDescent="0.25">
      <c r="A1578" s="33">
        <v>399</v>
      </c>
      <c r="B1578" s="9">
        <v>43985</v>
      </c>
      <c r="C1578" s="18" t="s">
        <v>270</v>
      </c>
      <c r="D1578" s="11">
        <v>4905</v>
      </c>
      <c r="E1578" s="9">
        <v>43986</v>
      </c>
      <c r="F1578" s="15" t="s">
        <v>28</v>
      </c>
      <c r="G1578" s="12">
        <v>44014</v>
      </c>
      <c r="H1578" s="23">
        <f t="shared" si="169"/>
        <v>4905</v>
      </c>
      <c r="I1578" s="23"/>
      <c r="J1578" s="23"/>
      <c r="K1578" s="24"/>
      <c r="L1578" s="23">
        <v>3826</v>
      </c>
      <c r="M1578" s="22">
        <f t="shared" si="170"/>
        <v>1079</v>
      </c>
      <c r="N1578" s="22"/>
      <c r="O1578" s="30">
        <f t="shared" si="171"/>
        <v>0.21997961264016311</v>
      </c>
    </row>
    <row r="1579" spans="1:15" ht="20.100000000000001" customHeight="1" x14ac:dyDescent="0.25">
      <c r="A1579" s="33">
        <v>324</v>
      </c>
      <c r="B1579" s="9">
        <v>43949</v>
      </c>
      <c r="C1579" s="18" t="s">
        <v>56</v>
      </c>
      <c r="D1579" s="11">
        <v>204290</v>
      </c>
      <c r="E1579" s="9">
        <v>43990</v>
      </c>
      <c r="F1579" s="15" t="s">
        <v>28</v>
      </c>
      <c r="G1579" s="12">
        <v>43971</v>
      </c>
      <c r="H1579" s="23">
        <f t="shared" si="169"/>
        <v>204290</v>
      </c>
      <c r="I1579" s="23"/>
      <c r="J1579" s="23"/>
      <c r="K1579" s="24">
        <v>3000</v>
      </c>
      <c r="L1579" s="23">
        <v>134402.5</v>
      </c>
      <c r="M1579" s="22">
        <f t="shared" si="170"/>
        <v>66887.5</v>
      </c>
      <c r="N1579" s="22"/>
      <c r="O1579" s="30">
        <f t="shared" si="171"/>
        <v>0.32741445983650691</v>
      </c>
    </row>
    <row r="1580" spans="1:15" ht="19.5" customHeight="1" x14ac:dyDescent="0.25">
      <c r="A1580" s="33">
        <v>488</v>
      </c>
      <c r="B1580" s="9">
        <v>43987</v>
      </c>
      <c r="C1580" s="20" t="s">
        <v>456</v>
      </c>
      <c r="D1580" s="11">
        <v>71693</v>
      </c>
      <c r="E1580" s="9">
        <v>43990</v>
      </c>
      <c r="F1580" s="15" t="s">
        <v>28</v>
      </c>
      <c r="G1580" s="12">
        <v>43990</v>
      </c>
      <c r="H1580" s="23">
        <f t="shared" si="169"/>
        <v>71693</v>
      </c>
      <c r="I1580" s="23">
        <f>H1580</f>
        <v>71693</v>
      </c>
      <c r="J1580" s="23"/>
      <c r="K1580" s="24"/>
      <c r="L1580" s="23">
        <v>47522</v>
      </c>
      <c r="M1580" s="22">
        <f t="shared" si="170"/>
        <v>24171</v>
      </c>
      <c r="N1580" s="22">
        <f>M1580</f>
        <v>24171</v>
      </c>
      <c r="O1580" s="30">
        <f t="shared" si="171"/>
        <v>0.3371458859302861</v>
      </c>
    </row>
    <row r="1581" spans="1:15" ht="15.75" x14ac:dyDescent="0.25">
      <c r="A1581" s="33">
        <v>488</v>
      </c>
      <c r="B1581" s="9">
        <v>43990</v>
      </c>
      <c r="C1581" s="18" t="s">
        <v>182</v>
      </c>
      <c r="D1581" s="11">
        <v>38990</v>
      </c>
      <c r="E1581" s="9">
        <v>43990</v>
      </c>
      <c r="F1581" s="15" t="s">
        <v>28</v>
      </c>
      <c r="G1581" s="12">
        <v>43991</v>
      </c>
      <c r="H1581" s="23">
        <f t="shared" si="169"/>
        <v>38990</v>
      </c>
      <c r="I1581" s="23"/>
      <c r="J1581" s="23"/>
      <c r="K1581" s="24"/>
      <c r="L1581" s="23">
        <v>28567</v>
      </c>
      <c r="M1581" s="22">
        <f t="shared" si="170"/>
        <v>10423</v>
      </c>
      <c r="N1581" s="22"/>
      <c r="O1581" s="30">
        <f t="shared" si="171"/>
        <v>0.26732495511669657</v>
      </c>
    </row>
    <row r="1582" spans="1:15" s="2" customFormat="1" ht="20.100000000000001" customHeight="1" x14ac:dyDescent="0.25">
      <c r="A1582" s="33">
        <v>475</v>
      </c>
      <c r="B1582" s="9">
        <v>43985</v>
      </c>
      <c r="C1582" s="18" t="s">
        <v>217</v>
      </c>
      <c r="D1582" s="11">
        <v>9904</v>
      </c>
      <c r="E1582" s="9">
        <v>43990</v>
      </c>
      <c r="F1582" s="15" t="s">
        <v>28</v>
      </c>
      <c r="G1582" s="12">
        <v>43991</v>
      </c>
      <c r="H1582" s="23">
        <f t="shared" si="169"/>
        <v>9904</v>
      </c>
      <c r="I1582" s="23"/>
      <c r="J1582" s="23"/>
      <c r="K1582" s="24"/>
      <c r="L1582" s="23">
        <v>7724</v>
      </c>
      <c r="M1582" s="22">
        <f t="shared" si="170"/>
        <v>2180</v>
      </c>
      <c r="N1582" s="22"/>
      <c r="O1582" s="30">
        <f t="shared" si="171"/>
        <v>0.22011308562197093</v>
      </c>
    </row>
    <row r="1583" spans="1:15" ht="20.100000000000001" customHeight="1" x14ac:dyDescent="0.25">
      <c r="A1583" s="33">
        <v>445</v>
      </c>
      <c r="B1583" s="9">
        <v>43979</v>
      </c>
      <c r="C1583" s="18" t="s">
        <v>13</v>
      </c>
      <c r="D1583" s="11">
        <v>4203</v>
      </c>
      <c r="E1583" s="9">
        <v>43990</v>
      </c>
      <c r="F1583" s="15" t="s">
        <v>28</v>
      </c>
      <c r="G1583" s="12">
        <v>43993</v>
      </c>
      <c r="H1583" s="23">
        <f t="shared" si="169"/>
        <v>4203</v>
      </c>
      <c r="I1583" s="23"/>
      <c r="J1583" s="23"/>
      <c r="K1583" s="24"/>
      <c r="L1583" s="23">
        <v>2950</v>
      </c>
      <c r="M1583" s="22">
        <f t="shared" si="170"/>
        <v>1253</v>
      </c>
      <c r="N1583" s="22"/>
      <c r="O1583" s="30">
        <f t="shared" si="171"/>
        <v>0.29812039019747799</v>
      </c>
    </row>
    <row r="1584" spans="1:15" ht="20.100000000000001" customHeight="1" x14ac:dyDescent="0.25">
      <c r="A1584" s="33">
        <v>479</v>
      </c>
      <c r="B1584" s="9">
        <v>43986</v>
      </c>
      <c r="C1584" s="18" t="s">
        <v>33</v>
      </c>
      <c r="D1584" s="11">
        <v>1536</v>
      </c>
      <c r="E1584" s="9">
        <v>43990</v>
      </c>
      <c r="F1584" s="15" t="s">
        <v>28</v>
      </c>
      <c r="G1584" s="12">
        <v>44011</v>
      </c>
      <c r="H1584" s="23">
        <f t="shared" si="169"/>
        <v>1536</v>
      </c>
      <c r="I1584" s="23"/>
      <c r="J1584" s="23"/>
      <c r="K1584" s="24"/>
      <c r="L1584" s="23">
        <v>1180</v>
      </c>
      <c r="M1584" s="22">
        <f t="shared" si="170"/>
        <v>356</v>
      </c>
      <c r="N1584" s="22"/>
      <c r="O1584" s="30">
        <f t="shared" si="171"/>
        <v>0.23177083333333334</v>
      </c>
    </row>
    <row r="1585" spans="1:15" ht="20.100000000000001" customHeight="1" x14ac:dyDescent="0.25">
      <c r="A1585" s="33">
        <v>498</v>
      </c>
      <c r="B1585" s="9">
        <v>43991</v>
      </c>
      <c r="C1585" s="20" t="s">
        <v>457</v>
      </c>
      <c r="D1585" s="11">
        <v>38990</v>
      </c>
      <c r="E1585" s="9">
        <v>43991</v>
      </c>
      <c r="F1585" s="15" t="s">
        <v>28</v>
      </c>
      <c r="G1585" s="12">
        <v>43993</v>
      </c>
      <c r="H1585" s="23">
        <f t="shared" si="169"/>
        <v>38990</v>
      </c>
      <c r="I1585" s="23">
        <f>H1585</f>
        <v>38990</v>
      </c>
      <c r="J1585" s="23"/>
      <c r="K1585" s="24"/>
      <c r="L1585" s="23">
        <v>28567</v>
      </c>
      <c r="M1585" s="22">
        <f t="shared" si="170"/>
        <v>10423</v>
      </c>
      <c r="N1585" s="22">
        <f>M1585</f>
        <v>10423</v>
      </c>
      <c r="O1585" s="30">
        <f t="shared" si="171"/>
        <v>0.26732495511669657</v>
      </c>
    </row>
    <row r="1586" spans="1:15" ht="20.100000000000001" customHeight="1" x14ac:dyDescent="0.25">
      <c r="A1586" s="33">
        <v>512</v>
      </c>
      <c r="B1586" s="9">
        <v>43992</v>
      </c>
      <c r="C1586" s="18" t="s">
        <v>166</v>
      </c>
      <c r="D1586" s="11">
        <v>53665.5</v>
      </c>
      <c r="E1586" s="9">
        <v>43998</v>
      </c>
      <c r="F1586" s="15" t="s">
        <v>28</v>
      </c>
      <c r="G1586" s="12">
        <v>44032</v>
      </c>
      <c r="H1586" s="23">
        <f t="shared" si="169"/>
        <v>53665.5</v>
      </c>
      <c r="I1586" s="23"/>
      <c r="J1586" s="23"/>
      <c r="K1586" s="24"/>
      <c r="L1586" s="23">
        <v>36712.65</v>
      </c>
      <c r="M1586" s="22">
        <f t="shared" si="170"/>
        <v>16952.849999999999</v>
      </c>
      <c r="N1586" s="22"/>
      <c r="O1586" s="30">
        <f t="shared" si="171"/>
        <v>0.31589848226514239</v>
      </c>
    </row>
    <row r="1587" spans="1:15" ht="20.100000000000001" customHeight="1" x14ac:dyDescent="0.25">
      <c r="A1587" s="33">
        <v>485</v>
      </c>
      <c r="B1587" s="9">
        <v>43987</v>
      </c>
      <c r="C1587" s="18" t="s">
        <v>265</v>
      </c>
      <c r="D1587" s="11">
        <v>2020</v>
      </c>
      <c r="E1587" s="9">
        <v>43998</v>
      </c>
      <c r="F1587" s="15" t="s">
        <v>28</v>
      </c>
      <c r="G1587" s="9"/>
      <c r="H1587" s="23">
        <f t="shared" si="169"/>
        <v>2020</v>
      </c>
      <c r="I1587" s="23"/>
      <c r="J1587" s="23"/>
      <c r="K1587" s="24"/>
      <c r="L1587" s="23">
        <v>1316</v>
      </c>
      <c r="M1587" s="22">
        <f t="shared" si="170"/>
        <v>704</v>
      </c>
      <c r="N1587" s="22"/>
      <c r="O1587" s="30">
        <f t="shared" si="171"/>
        <v>0.34851485148514849</v>
      </c>
    </row>
    <row r="1588" spans="1:15" ht="20.100000000000001" customHeight="1" x14ac:dyDescent="0.25">
      <c r="A1588" s="33">
        <v>521</v>
      </c>
      <c r="B1588" s="9">
        <v>43993</v>
      </c>
      <c r="C1588" s="18" t="s">
        <v>392</v>
      </c>
      <c r="D1588" s="11">
        <v>17456</v>
      </c>
      <c r="E1588" s="9">
        <v>44000</v>
      </c>
      <c r="F1588" s="15" t="s">
        <v>28</v>
      </c>
      <c r="G1588" s="12">
        <v>44014</v>
      </c>
      <c r="H1588" s="23">
        <f t="shared" si="169"/>
        <v>17456</v>
      </c>
      <c r="I1588" s="23"/>
      <c r="J1588" s="23"/>
      <c r="K1588" s="24"/>
      <c r="L1588" s="23">
        <v>13614</v>
      </c>
      <c r="M1588" s="22">
        <f t="shared" si="170"/>
        <v>3842</v>
      </c>
      <c r="N1588" s="22"/>
      <c r="O1588" s="30">
        <f t="shared" si="171"/>
        <v>0.22009624197983502</v>
      </c>
    </row>
    <row r="1589" spans="1:15" ht="20.100000000000001" customHeight="1" x14ac:dyDescent="0.25">
      <c r="A1589" s="33">
        <v>295</v>
      </c>
      <c r="B1589" s="9">
        <v>43935</v>
      </c>
      <c r="C1589" s="18" t="s">
        <v>99</v>
      </c>
      <c r="D1589" s="11">
        <v>259378</v>
      </c>
      <c r="E1589" s="9">
        <v>44000</v>
      </c>
      <c r="F1589" s="15" t="s">
        <v>28</v>
      </c>
      <c r="G1589" s="12">
        <v>43971</v>
      </c>
      <c r="H1589" s="23">
        <f t="shared" si="169"/>
        <v>259378</v>
      </c>
      <c r="I1589" s="23"/>
      <c r="J1589" s="23">
        <v>30000</v>
      </c>
      <c r="K1589" s="24">
        <f>10*600</f>
        <v>6000</v>
      </c>
      <c r="L1589" s="23">
        <v>124329</v>
      </c>
      <c r="M1589" s="22">
        <f t="shared" si="170"/>
        <v>99049</v>
      </c>
      <c r="N1589" s="22"/>
      <c r="O1589" s="30">
        <f t="shared" si="171"/>
        <v>0.3818712458265543</v>
      </c>
    </row>
    <row r="1590" spans="1:15" ht="20.100000000000001" customHeight="1" x14ac:dyDescent="0.25">
      <c r="A1590" s="33">
        <v>351</v>
      </c>
      <c r="B1590" s="9">
        <v>43950</v>
      </c>
      <c r="C1590" s="18" t="s">
        <v>99</v>
      </c>
      <c r="D1590" s="11">
        <v>212603</v>
      </c>
      <c r="E1590" s="9">
        <v>44000</v>
      </c>
      <c r="F1590" s="15" t="s">
        <v>28</v>
      </c>
      <c r="G1590" s="12">
        <v>43971</v>
      </c>
      <c r="H1590" s="23">
        <f t="shared" si="169"/>
        <v>212603</v>
      </c>
      <c r="I1590" s="23"/>
      <c r="J1590" s="23">
        <v>12000</v>
      </c>
      <c r="K1590" s="24">
        <v>2400</v>
      </c>
      <c r="L1590" s="23">
        <v>127987.8</v>
      </c>
      <c r="M1590" s="22">
        <f t="shared" si="170"/>
        <v>70215.199999999997</v>
      </c>
      <c r="N1590" s="22"/>
      <c r="O1590" s="30">
        <f t="shared" si="171"/>
        <v>0.33026438949591491</v>
      </c>
    </row>
    <row r="1591" spans="1:15" ht="20.100000000000001" customHeight="1" x14ac:dyDescent="0.25">
      <c r="A1591" s="33">
        <v>542</v>
      </c>
      <c r="B1591" s="9">
        <v>43999</v>
      </c>
      <c r="C1591" s="18" t="s">
        <v>403</v>
      </c>
      <c r="D1591" s="11">
        <v>6218</v>
      </c>
      <c r="E1591" s="9">
        <v>44004</v>
      </c>
      <c r="F1591" s="15" t="s">
        <v>28</v>
      </c>
      <c r="G1591" s="12">
        <v>44007</v>
      </c>
      <c r="H1591" s="23">
        <f t="shared" si="169"/>
        <v>6218</v>
      </c>
      <c r="I1591" s="23"/>
      <c r="J1591" s="23"/>
      <c r="K1591" s="24"/>
      <c r="L1591" s="23">
        <v>4787</v>
      </c>
      <c r="M1591" s="22">
        <f t="shared" si="170"/>
        <v>1431</v>
      </c>
      <c r="N1591" s="22"/>
      <c r="O1591" s="30">
        <f t="shared" si="171"/>
        <v>0.23013830813766484</v>
      </c>
    </row>
    <row r="1592" spans="1:15" ht="20.100000000000001" customHeight="1" x14ac:dyDescent="0.25">
      <c r="A1592" s="33">
        <v>569</v>
      </c>
      <c r="B1592" s="9">
        <v>44007</v>
      </c>
      <c r="C1592" s="18" t="s">
        <v>179</v>
      </c>
      <c r="D1592" s="11">
        <v>21171</v>
      </c>
      <c r="E1592" s="9">
        <v>43977</v>
      </c>
      <c r="F1592" s="15" t="s">
        <v>28</v>
      </c>
      <c r="G1592" s="12">
        <v>44011</v>
      </c>
      <c r="H1592" s="23">
        <f t="shared" si="169"/>
        <v>21171</v>
      </c>
      <c r="I1592" s="23"/>
      <c r="J1592" s="23"/>
      <c r="K1592" s="24"/>
      <c r="L1592" s="23">
        <v>14489</v>
      </c>
      <c r="M1592" s="22">
        <f t="shared" si="170"/>
        <v>6682</v>
      </c>
      <c r="N1592" s="22"/>
      <c r="O1592" s="30">
        <f t="shared" si="171"/>
        <v>0.31562042416513153</v>
      </c>
    </row>
    <row r="1593" spans="1:15" ht="20.100000000000001" customHeight="1" x14ac:dyDescent="0.25">
      <c r="A1593" s="33">
        <v>481</v>
      </c>
      <c r="B1593" s="9">
        <v>43986</v>
      </c>
      <c r="C1593" s="18" t="s">
        <v>56</v>
      </c>
      <c r="D1593" s="11">
        <v>71718</v>
      </c>
      <c r="E1593" s="9">
        <v>44011</v>
      </c>
      <c r="F1593" s="15" t="s">
        <v>28</v>
      </c>
      <c r="G1593" s="12">
        <v>43992</v>
      </c>
      <c r="H1593" s="23">
        <f t="shared" si="169"/>
        <v>71718</v>
      </c>
      <c r="I1593" s="23"/>
      <c r="J1593" s="23"/>
      <c r="K1593" s="24">
        <v>3000</v>
      </c>
      <c r="L1593" s="23">
        <v>46820.5</v>
      </c>
      <c r="M1593" s="22">
        <f t="shared" si="170"/>
        <v>21897.5</v>
      </c>
      <c r="N1593" s="22"/>
      <c r="O1593" s="30">
        <f t="shared" si="171"/>
        <v>0.30532781170696338</v>
      </c>
    </row>
    <row r="1594" spans="1:15" ht="20.100000000000001" customHeight="1" x14ac:dyDescent="0.25">
      <c r="A1594" s="33">
        <v>572</v>
      </c>
      <c r="B1594" s="9">
        <v>44011</v>
      </c>
      <c r="C1594" s="18" t="s">
        <v>281</v>
      </c>
      <c r="D1594" s="11">
        <v>4325</v>
      </c>
      <c r="E1594" s="9">
        <v>44011</v>
      </c>
      <c r="F1594" s="15" t="s">
        <v>28</v>
      </c>
      <c r="G1594" s="12">
        <v>44012</v>
      </c>
      <c r="H1594" s="23">
        <f t="shared" si="169"/>
        <v>4325</v>
      </c>
      <c r="I1594" s="23"/>
      <c r="J1594" s="23"/>
      <c r="K1594" s="24"/>
      <c r="L1594" s="23">
        <v>2943</v>
      </c>
      <c r="M1594" s="22">
        <f t="shared" si="170"/>
        <v>1382</v>
      </c>
      <c r="N1594" s="22"/>
      <c r="O1594" s="30">
        <f t="shared" si="171"/>
        <v>0.31953757225433527</v>
      </c>
    </row>
    <row r="1595" spans="1:15" ht="20.100000000000001" customHeight="1" x14ac:dyDescent="0.25">
      <c r="A1595" s="33">
        <v>581</v>
      </c>
      <c r="B1595" s="9">
        <v>44011</v>
      </c>
      <c r="C1595" s="20" t="s">
        <v>458</v>
      </c>
      <c r="D1595" s="11">
        <v>2824</v>
      </c>
      <c r="E1595" s="9">
        <v>44012</v>
      </c>
      <c r="F1595" s="15" t="s">
        <v>28</v>
      </c>
      <c r="G1595" s="12">
        <v>44029</v>
      </c>
      <c r="H1595" s="23">
        <f t="shared" si="169"/>
        <v>2824</v>
      </c>
      <c r="I1595" s="23">
        <f>H1595</f>
        <v>2824</v>
      </c>
      <c r="J1595" s="23"/>
      <c r="K1595" s="24"/>
      <c r="L1595" s="23">
        <v>1864</v>
      </c>
      <c r="M1595" s="22">
        <f t="shared" si="170"/>
        <v>960</v>
      </c>
      <c r="N1595" s="22">
        <f>M1595</f>
        <v>960</v>
      </c>
      <c r="O1595" s="30">
        <f t="shared" si="171"/>
        <v>0.33994334277620397</v>
      </c>
    </row>
    <row r="1596" spans="1:15" ht="20.100000000000001" customHeight="1" x14ac:dyDescent="0.25">
      <c r="A1596" s="33">
        <v>585</v>
      </c>
      <c r="B1596" s="9">
        <v>44012</v>
      </c>
      <c r="C1596" s="20" t="s">
        <v>459</v>
      </c>
      <c r="D1596" s="11">
        <v>22490</v>
      </c>
      <c r="E1596" s="9">
        <v>44012</v>
      </c>
      <c r="F1596" s="15" t="s">
        <v>28</v>
      </c>
      <c r="G1596" s="12">
        <v>44019</v>
      </c>
      <c r="H1596" s="23">
        <f t="shared" si="169"/>
        <v>22490</v>
      </c>
      <c r="I1596" s="23">
        <f>H1596</f>
        <v>22490</v>
      </c>
      <c r="J1596" s="23"/>
      <c r="K1596" s="24"/>
      <c r="L1596" s="23">
        <v>16530</v>
      </c>
      <c r="M1596" s="22">
        <f t="shared" si="170"/>
        <v>5960</v>
      </c>
      <c r="N1596" s="22">
        <f>M1596</f>
        <v>5960</v>
      </c>
      <c r="O1596" s="30">
        <f t="shared" si="171"/>
        <v>0.2650066696309471</v>
      </c>
    </row>
    <row r="1597" spans="1:15" ht="20.100000000000001" customHeight="1" x14ac:dyDescent="0.25">
      <c r="A1597" s="33">
        <v>586</v>
      </c>
      <c r="B1597" s="9">
        <v>44012</v>
      </c>
      <c r="C1597" s="18" t="s">
        <v>209</v>
      </c>
      <c r="D1597" s="11">
        <v>2301.8000000000002</v>
      </c>
      <c r="E1597" s="9">
        <v>44012</v>
      </c>
      <c r="F1597" s="15" t="s">
        <v>28</v>
      </c>
      <c r="G1597" s="12">
        <v>44016</v>
      </c>
      <c r="H1597" s="23">
        <f t="shared" si="169"/>
        <v>2301.8000000000002</v>
      </c>
      <c r="I1597" s="23"/>
      <c r="J1597" s="23"/>
      <c r="K1597" s="24"/>
      <c r="L1597" s="23">
        <v>2112</v>
      </c>
      <c r="M1597" s="22">
        <f t="shared" si="170"/>
        <v>189.80000000000018</v>
      </c>
      <c r="N1597" s="22"/>
      <c r="O1597" s="30">
        <f t="shared" si="171"/>
        <v>8.2457207402902147E-2</v>
      </c>
    </row>
    <row r="1598" spans="1:15" ht="20.100000000000001" customHeight="1" x14ac:dyDescent="0.25">
      <c r="A1598" s="35" t="s">
        <v>535</v>
      </c>
      <c r="B1598" s="36"/>
      <c r="C1598" s="42"/>
      <c r="D1598" s="37"/>
      <c r="E1598" s="46" t="s">
        <v>580</v>
      </c>
      <c r="F1598" s="47">
        <f>M1598*0.17+N1598*0.06+10000</f>
        <v>89703.181500000006</v>
      </c>
      <c r="G1598" s="21">
        <f>H1598*0.05+I1598*0.02+10000</f>
        <v>80223.795000000013</v>
      </c>
      <c r="H1598" s="49">
        <f>SUBTOTAL(109,Июнь2020[Продажа])</f>
        <v>1313724.3</v>
      </c>
      <c r="I1598" s="49">
        <f>SUBTOTAL(109,Июнь2020[Продажа НК])</f>
        <v>226879</v>
      </c>
      <c r="J1598" s="49">
        <f>SUBTOTAL(109,Июнь2020[отк])</f>
        <v>42000</v>
      </c>
      <c r="K1598" s="49">
        <f>SUBTOTAL(109,Июнь2020[шланги])</f>
        <v>21600</v>
      </c>
      <c r="L1598" s="49">
        <f>SUBTOTAL(109,Июнь2020[Закупка])</f>
        <v>806433.35000000009</v>
      </c>
      <c r="M1598" s="49">
        <f>SUBTOTAL(109,Июнь2020[Маржа])</f>
        <v>443690.95</v>
      </c>
      <c r="N1598" s="49">
        <f>SUBTOTAL(109,Июнь2020[Маржа НК])</f>
        <v>71262</v>
      </c>
      <c r="O1598" s="44">
        <f t="shared" si="171"/>
        <v>0.33773520821682296</v>
      </c>
    </row>
    <row r="1599" spans="1:15" ht="20.100000000000001" customHeight="1" x14ac:dyDescent="0.25">
      <c r="A1599" s="41" t="s">
        <v>1</v>
      </c>
      <c r="B1599" s="1" t="s">
        <v>0</v>
      </c>
      <c r="C1599" s="1" t="s">
        <v>26</v>
      </c>
      <c r="D1599" s="1" t="s">
        <v>2</v>
      </c>
      <c r="E1599" s="1" t="s">
        <v>3</v>
      </c>
      <c r="F1599" s="1" t="s">
        <v>27</v>
      </c>
      <c r="G1599" s="1" t="s">
        <v>4</v>
      </c>
      <c r="H1599" s="2" t="s">
        <v>132</v>
      </c>
      <c r="I1599" s="2" t="s">
        <v>133</v>
      </c>
      <c r="J1599" s="40" t="s">
        <v>187</v>
      </c>
      <c r="K1599" s="40" t="s">
        <v>188</v>
      </c>
      <c r="L1599" s="40" t="s">
        <v>129</v>
      </c>
      <c r="M1599" s="40" t="s">
        <v>130</v>
      </c>
      <c r="N1599" s="2" t="s">
        <v>131</v>
      </c>
      <c r="O1599" s="2" t="s">
        <v>134</v>
      </c>
    </row>
    <row r="1600" spans="1:15" ht="20.100000000000001" customHeight="1" x14ac:dyDescent="0.25">
      <c r="A1600" s="33">
        <v>567</v>
      </c>
      <c r="B1600" s="9">
        <v>44012</v>
      </c>
      <c r="C1600" s="18" t="s">
        <v>455</v>
      </c>
      <c r="D1600" s="11">
        <v>21290</v>
      </c>
      <c r="E1600" s="9">
        <v>44014</v>
      </c>
      <c r="F1600" s="15" t="s">
        <v>28</v>
      </c>
      <c r="G1600" s="12">
        <v>44032</v>
      </c>
      <c r="H1600" s="23">
        <f t="shared" ref="H1600:H1630" si="172">D1600</f>
        <v>21290</v>
      </c>
      <c r="I1600" s="23"/>
      <c r="J1600" s="23"/>
      <c r="K1600" s="23">
        <f>1200*3</f>
        <v>3600</v>
      </c>
      <c r="L1600" s="23">
        <v>8104.64</v>
      </c>
      <c r="M1600" s="22">
        <f t="shared" ref="M1600:M1630" si="173">H1600-L1600-J1600-K1600</f>
        <v>9585.36</v>
      </c>
      <c r="N1600" s="22"/>
      <c r="O1600" s="30">
        <f t="shared" ref="O1600:O1631" si="174">M1600/H1600</f>
        <v>0.45022827618600286</v>
      </c>
    </row>
    <row r="1601" spans="1:15" ht="20.100000000000001" customHeight="1" x14ac:dyDescent="0.25">
      <c r="A1601" s="33">
        <v>566</v>
      </c>
      <c r="B1601" s="9">
        <v>44007</v>
      </c>
      <c r="C1601" s="18" t="s">
        <v>83</v>
      </c>
      <c r="D1601" s="11">
        <v>60990</v>
      </c>
      <c r="E1601" s="9">
        <v>44015</v>
      </c>
      <c r="F1601" s="15" t="s">
        <v>28</v>
      </c>
      <c r="G1601" s="12">
        <v>44040</v>
      </c>
      <c r="H1601" s="23">
        <f t="shared" si="172"/>
        <v>60990</v>
      </c>
      <c r="I1601" s="23"/>
      <c r="J1601" s="23"/>
      <c r="K1601" s="24"/>
      <c r="L1601" s="23">
        <v>44791</v>
      </c>
      <c r="M1601" s="22">
        <f t="shared" si="173"/>
        <v>16199</v>
      </c>
      <c r="N1601" s="22"/>
      <c r="O1601" s="30">
        <f t="shared" si="174"/>
        <v>0.26560091818330872</v>
      </c>
    </row>
    <row r="1602" spans="1:15" ht="20.100000000000001" customHeight="1" x14ac:dyDescent="0.25">
      <c r="A1602" s="33">
        <v>349</v>
      </c>
      <c r="B1602" s="9">
        <v>43969</v>
      </c>
      <c r="C1602" s="18" t="s">
        <v>38</v>
      </c>
      <c r="D1602" s="11">
        <v>10577</v>
      </c>
      <c r="E1602" s="9">
        <v>44015</v>
      </c>
      <c r="F1602" s="15" t="s">
        <v>28</v>
      </c>
      <c r="G1602" s="12">
        <v>43984</v>
      </c>
      <c r="H1602" s="23">
        <f t="shared" si="172"/>
        <v>10577</v>
      </c>
      <c r="I1602" s="23"/>
      <c r="J1602" s="23"/>
      <c r="K1602" s="24"/>
      <c r="L1602" s="23">
        <v>5154</v>
      </c>
      <c r="M1602" s="22">
        <f t="shared" si="173"/>
        <v>5423</v>
      </c>
      <c r="N1602" s="22"/>
      <c r="O1602" s="30">
        <f t="shared" si="174"/>
        <v>0.51271627115439156</v>
      </c>
    </row>
    <row r="1603" spans="1:15" ht="20.100000000000001" customHeight="1" x14ac:dyDescent="0.25">
      <c r="A1603" s="33">
        <v>610</v>
      </c>
      <c r="B1603" s="9">
        <v>44015</v>
      </c>
      <c r="C1603" s="18" t="s">
        <v>437</v>
      </c>
      <c r="D1603" s="11">
        <v>741</v>
      </c>
      <c r="E1603" s="9">
        <v>44018</v>
      </c>
      <c r="F1603" s="15" t="s">
        <v>28</v>
      </c>
      <c r="G1603" s="12">
        <v>44015</v>
      </c>
      <c r="H1603" s="23">
        <f t="shared" si="172"/>
        <v>741</v>
      </c>
      <c r="I1603" s="23"/>
      <c r="J1603" s="23"/>
      <c r="K1603" s="24"/>
      <c r="L1603" s="23">
        <v>489</v>
      </c>
      <c r="M1603" s="22">
        <f t="shared" si="173"/>
        <v>252</v>
      </c>
      <c r="N1603" s="22"/>
      <c r="O1603" s="30">
        <f t="shared" si="174"/>
        <v>0.34008097165991902</v>
      </c>
    </row>
    <row r="1604" spans="1:15" ht="20.100000000000001" customHeight="1" x14ac:dyDescent="0.25">
      <c r="A1604" s="33">
        <v>350</v>
      </c>
      <c r="B1604" s="9">
        <v>43976</v>
      </c>
      <c r="C1604" s="18" t="s">
        <v>275</v>
      </c>
      <c r="D1604" s="11">
        <v>36256</v>
      </c>
      <c r="E1604" s="9">
        <v>44019</v>
      </c>
      <c r="F1604" s="15" t="s">
        <v>28</v>
      </c>
      <c r="G1604" s="12">
        <v>43991</v>
      </c>
      <c r="H1604" s="23">
        <f t="shared" si="172"/>
        <v>36256</v>
      </c>
      <c r="I1604" s="23"/>
      <c r="J1604" s="23"/>
      <c r="K1604" s="24"/>
      <c r="L1604" s="23">
        <v>27133</v>
      </c>
      <c r="M1604" s="22">
        <f t="shared" si="173"/>
        <v>9123</v>
      </c>
      <c r="N1604" s="22"/>
      <c r="O1604" s="30">
        <f t="shared" si="174"/>
        <v>0.25162731685789941</v>
      </c>
    </row>
    <row r="1605" spans="1:15" ht="20.100000000000001" customHeight="1" x14ac:dyDescent="0.25">
      <c r="A1605" s="33">
        <v>427</v>
      </c>
      <c r="B1605" s="9">
        <v>43976</v>
      </c>
      <c r="C1605" s="18" t="s">
        <v>228</v>
      </c>
      <c r="D1605" s="11">
        <v>38423</v>
      </c>
      <c r="E1605" s="9">
        <v>44019</v>
      </c>
      <c r="F1605" s="15" t="s">
        <v>28</v>
      </c>
      <c r="G1605" s="12">
        <v>44027</v>
      </c>
      <c r="H1605" s="23">
        <f t="shared" si="172"/>
        <v>38423</v>
      </c>
      <c r="I1605" s="23"/>
      <c r="J1605" s="23"/>
      <c r="K1605" s="24"/>
      <c r="L1605" s="23">
        <v>25354</v>
      </c>
      <c r="M1605" s="22">
        <f t="shared" si="173"/>
        <v>13069</v>
      </c>
      <c r="N1605" s="22"/>
      <c r="O1605" s="30">
        <f t="shared" si="174"/>
        <v>0.34013481508471488</v>
      </c>
    </row>
    <row r="1606" spans="1:15" ht="20.100000000000001" customHeight="1" x14ac:dyDescent="0.25">
      <c r="A1606" s="33">
        <v>614</v>
      </c>
      <c r="B1606" s="9">
        <v>44018</v>
      </c>
      <c r="C1606" s="18" t="s">
        <v>91</v>
      </c>
      <c r="D1606" s="11">
        <v>5928</v>
      </c>
      <c r="E1606" s="9">
        <v>44019</v>
      </c>
      <c r="F1606" s="15" t="s">
        <v>28</v>
      </c>
      <c r="G1606" s="12">
        <v>44040</v>
      </c>
      <c r="H1606" s="23">
        <f t="shared" si="172"/>
        <v>5928</v>
      </c>
      <c r="I1606" s="23"/>
      <c r="J1606" s="23"/>
      <c r="K1606" s="24"/>
      <c r="L1606" s="23">
        <v>4036</v>
      </c>
      <c r="M1606" s="22">
        <f t="shared" si="173"/>
        <v>1892</v>
      </c>
      <c r="N1606" s="22"/>
      <c r="O1606" s="30">
        <f t="shared" si="174"/>
        <v>0.31916329284750339</v>
      </c>
    </row>
    <row r="1607" spans="1:15" ht="19.5" customHeight="1" x14ac:dyDescent="0.25">
      <c r="A1607" s="33">
        <v>639</v>
      </c>
      <c r="B1607" s="9">
        <v>44020</v>
      </c>
      <c r="C1607" s="18" t="s">
        <v>460</v>
      </c>
      <c r="D1607" s="11">
        <v>20237</v>
      </c>
      <c r="E1607" s="9">
        <v>44020</v>
      </c>
      <c r="F1607" s="15" t="s">
        <v>28</v>
      </c>
      <c r="G1607" s="12">
        <v>44020</v>
      </c>
      <c r="H1607" s="23">
        <f t="shared" si="172"/>
        <v>20237</v>
      </c>
      <c r="I1607" s="23"/>
      <c r="J1607" s="23"/>
      <c r="K1607" s="24">
        <v>600</v>
      </c>
      <c r="L1607" s="23">
        <v>13926</v>
      </c>
      <c r="M1607" s="22">
        <f t="shared" si="173"/>
        <v>5711</v>
      </c>
      <c r="N1607" s="22"/>
      <c r="O1607" s="30">
        <f t="shared" si="174"/>
        <v>0.28220586055245345</v>
      </c>
    </row>
    <row r="1608" spans="1:15" ht="15.75" x14ac:dyDescent="0.25">
      <c r="A1608" s="33">
        <v>638</v>
      </c>
      <c r="B1608" s="9">
        <v>44020</v>
      </c>
      <c r="C1608" s="18" t="s">
        <v>83</v>
      </c>
      <c r="D1608" s="11">
        <v>2964</v>
      </c>
      <c r="E1608" s="9">
        <v>44021</v>
      </c>
      <c r="F1608" s="15" t="s">
        <v>28</v>
      </c>
      <c r="G1608" s="12">
        <v>44022</v>
      </c>
      <c r="H1608" s="23">
        <f t="shared" si="172"/>
        <v>2964</v>
      </c>
      <c r="I1608" s="23"/>
      <c r="J1608" s="23"/>
      <c r="K1608" s="24"/>
      <c r="L1608" s="23">
        <v>2018</v>
      </c>
      <c r="M1608" s="22">
        <f t="shared" si="173"/>
        <v>946</v>
      </c>
      <c r="N1608" s="22"/>
      <c r="O1608" s="30">
        <f t="shared" si="174"/>
        <v>0.31916329284750339</v>
      </c>
    </row>
    <row r="1609" spans="1:15" s="2" customFormat="1" ht="20.100000000000001" customHeight="1" x14ac:dyDescent="0.25">
      <c r="A1609" s="33">
        <v>595</v>
      </c>
      <c r="B1609" s="9">
        <v>44021</v>
      </c>
      <c r="C1609" s="20" t="s">
        <v>461</v>
      </c>
      <c r="D1609" s="11">
        <v>205990</v>
      </c>
      <c r="E1609" s="9">
        <v>44021</v>
      </c>
      <c r="F1609" s="15" t="s">
        <v>28</v>
      </c>
      <c r="G1609" s="12">
        <v>44028</v>
      </c>
      <c r="H1609" s="23">
        <f t="shared" si="172"/>
        <v>205990</v>
      </c>
      <c r="I1609" s="23">
        <f>H1609</f>
        <v>205990</v>
      </c>
      <c r="J1609" s="23"/>
      <c r="K1609" s="24"/>
      <c r="L1609" s="23">
        <v>151279</v>
      </c>
      <c r="M1609" s="22">
        <f t="shared" si="173"/>
        <v>54711</v>
      </c>
      <c r="N1609" s="22">
        <f>M1609</f>
        <v>54711</v>
      </c>
      <c r="O1609" s="30">
        <f t="shared" si="174"/>
        <v>0.26560027185785717</v>
      </c>
    </row>
    <row r="1610" spans="1:15" ht="20.100000000000001" customHeight="1" x14ac:dyDescent="0.25">
      <c r="A1610" s="33">
        <v>630</v>
      </c>
      <c r="B1610" s="9">
        <v>44019</v>
      </c>
      <c r="C1610" s="18" t="s">
        <v>462</v>
      </c>
      <c r="D1610" s="11">
        <v>5944</v>
      </c>
      <c r="E1610" s="9">
        <v>44021</v>
      </c>
      <c r="F1610" s="15" t="s">
        <v>28</v>
      </c>
      <c r="G1610" s="12">
        <v>44042</v>
      </c>
      <c r="H1610" s="23">
        <f t="shared" si="172"/>
        <v>5944</v>
      </c>
      <c r="I1610" s="23"/>
      <c r="J1610" s="23"/>
      <c r="K1610" s="24"/>
      <c r="L1610" s="23">
        <v>3642</v>
      </c>
      <c r="M1610" s="22">
        <f t="shared" si="173"/>
        <v>2302</v>
      </c>
      <c r="N1610" s="22"/>
      <c r="O1610" s="30">
        <f t="shared" si="174"/>
        <v>0.38728129205921941</v>
      </c>
    </row>
    <row r="1611" spans="1:15" ht="20.100000000000001" customHeight="1" x14ac:dyDescent="0.25">
      <c r="A1611" s="33">
        <v>275</v>
      </c>
      <c r="B1611" s="9">
        <v>43983</v>
      </c>
      <c r="C1611" s="18" t="s">
        <v>65</v>
      </c>
      <c r="D1611" s="11">
        <v>62640</v>
      </c>
      <c r="E1611" s="9">
        <v>44021</v>
      </c>
      <c r="F1611" s="15" t="s">
        <v>28</v>
      </c>
      <c r="G1611" s="12">
        <v>43986</v>
      </c>
      <c r="H1611" s="23">
        <f t="shared" si="172"/>
        <v>62640</v>
      </c>
      <c r="I1611" s="23"/>
      <c r="J1611" s="23"/>
      <c r="K1611" s="24"/>
      <c r="L1611" s="23">
        <v>49964</v>
      </c>
      <c r="M1611" s="22">
        <f t="shared" si="173"/>
        <v>12676</v>
      </c>
      <c r="N1611" s="22"/>
      <c r="O1611" s="30">
        <f t="shared" si="174"/>
        <v>0.20236270753512134</v>
      </c>
    </row>
    <row r="1612" spans="1:15" ht="20.100000000000001" customHeight="1" x14ac:dyDescent="0.25">
      <c r="A1612" s="33">
        <v>657</v>
      </c>
      <c r="B1612" s="9">
        <v>44022</v>
      </c>
      <c r="C1612" s="18" t="s">
        <v>424</v>
      </c>
      <c r="D1612" s="11">
        <v>3434</v>
      </c>
      <c r="E1612" s="9">
        <v>44022</v>
      </c>
      <c r="F1612" s="15" t="s">
        <v>28</v>
      </c>
      <c r="G1612" s="12">
        <v>44035</v>
      </c>
      <c r="H1612" s="23">
        <f t="shared" si="172"/>
        <v>3434</v>
      </c>
      <c r="I1612" s="23"/>
      <c r="J1612" s="23"/>
      <c r="K1612" s="24"/>
      <c r="L1612" s="23">
        <v>2677</v>
      </c>
      <c r="M1612" s="22">
        <f t="shared" si="173"/>
        <v>757</v>
      </c>
      <c r="N1612" s="22"/>
      <c r="O1612" s="30">
        <f t="shared" si="174"/>
        <v>0.22044263249854398</v>
      </c>
    </row>
    <row r="1613" spans="1:15" ht="20.100000000000001" customHeight="1" x14ac:dyDescent="0.25">
      <c r="A1613" s="33">
        <v>623</v>
      </c>
      <c r="B1613" s="9">
        <v>44020</v>
      </c>
      <c r="C1613" s="18" t="s">
        <v>228</v>
      </c>
      <c r="D1613" s="11">
        <v>9122</v>
      </c>
      <c r="E1613" s="9">
        <v>44026</v>
      </c>
      <c r="F1613" s="15" t="s">
        <v>28</v>
      </c>
      <c r="G1613" s="12">
        <v>44027</v>
      </c>
      <c r="H1613" s="23">
        <f t="shared" si="172"/>
        <v>9122</v>
      </c>
      <c r="I1613" s="23"/>
      <c r="J1613" s="23"/>
      <c r="K1613" s="24"/>
      <c r="L1613" s="23">
        <v>7650</v>
      </c>
      <c r="M1613" s="22">
        <f t="shared" si="173"/>
        <v>1472</v>
      </c>
      <c r="N1613" s="22"/>
      <c r="O1613" s="30">
        <f t="shared" si="174"/>
        <v>0.16136812102609077</v>
      </c>
    </row>
    <row r="1614" spans="1:15" ht="20.100000000000001" customHeight="1" x14ac:dyDescent="0.25">
      <c r="A1614" s="33">
        <v>668</v>
      </c>
      <c r="B1614" s="9">
        <v>44026</v>
      </c>
      <c r="C1614" s="20" t="s">
        <v>463</v>
      </c>
      <c r="D1614" s="11">
        <v>169090</v>
      </c>
      <c r="E1614" s="9">
        <v>44026</v>
      </c>
      <c r="F1614" s="15" t="s">
        <v>28</v>
      </c>
      <c r="G1614" s="12">
        <v>44028</v>
      </c>
      <c r="H1614" s="23">
        <f t="shared" si="172"/>
        <v>169090</v>
      </c>
      <c r="I1614" s="23">
        <f>H1614</f>
        <v>169090</v>
      </c>
      <c r="J1614" s="23"/>
      <c r="K1614" s="24"/>
      <c r="L1614" s="23">
        <v>118161.44</v>
      </c>
      <c r="M1614" s="22">
        <f t="shared" si="173"/>
        <v>50928.56</v>
      </c>
      <c r="N1614" s="22">
        <f>M1614</f>
        <v>50928.56</v>
      </c>
      <c r="O1614" s="30">
        <f t="shared" si="174"/>
        <v>0.30119202791412858</v>
      </c>
    </row>
    <row r="1615" spans="1:15" ht="20.100000000000001" customHeight="1" x14ac:dyDescent="0.25">
      <c r="A1615" s="33">
        <v>681</v>
      </c>
      <c r="B1615" s="9">
        <v>44028</v>
      </c>
      <c r="C1615" s="18" t="s">
        <v>124</v>
      </c>
      <c r="D1615" s="11">
        <v>3476</v>
      </c>
      <c r="E1615" s="9">
        <v>44028</v>
      </c>
      <c r="F1615" s="15" t="s">
        <v>28</v>
      </c>
      <c r="G1615" s="12">
        <v>44028</v>
      </c>
      <c r="H1615" s="23">
        <f t="shared" si="172"/>
        <v>3476</v>
      </c>
      <c r="I1615" s="23"/>
      <c r="J1615" s="23"/>
      <c r="K1615" s="24"/>
      <c r="L1615" s="23">
        <v>2580</v>
      </c>
      <c r="M1615" s="22">
        <f t="shared" si="173"/>
        <v>896</v>
      </c>
      <c r="N1615" s="22"/>
      <c r="O1615" s="30">
        <f t="shared" si="174"/>
        <v>0.25776754890678943</v>
      </c>
    </row>
    <row r="1616" spans="1:15" ht="20.100000000000001" customHeight="1" x14ac:dyDescent="0.25">
      <c r="A1616" s="33">
        <v>684</v>
      </c>
      <c r="B1616" s="9">
        <v>44028</v>
      </c>
      <c r="C1616" s="20" t="s">
        <v>464</v>
      </c>
      <c r="D1616" s="11">
        <v>1921</v>
      </c>
      <c r="E1616" s="9">
        <v>44029</v>
      </c>
      <c r="F1616" s="15" t="s">
        <v>28</v>
      </c>
      <c r="G1616" s="12">
        <v>44042</v>
      </c>
      <c r="H1616" s="23">
        <f t="shared" si="172"/>
        <v>1921</v>
      </c>
      <c r="I1616" s="23">
        <f>H1616</f>
        <v>1921</v>
      </c>
      <c r="J1616" s="23"/>
      <c r="K1616" s="24"/>
      <c r="L1616" s="23">
        <v>1498</v>
      </c>
      <c r="M1616" s="22">
        <f t="shared" si="173"/>
        <v>423</v>
      </c>
      <c r="N1616" s="22">
        <f>M1616</f>
        <v>423</v>
      </c>
      <c r="O1616" s="30">
        <f t="shared" si="174"/>
        <v>0.22019781363872984</v>
      </c>
    </row>
    <row r="1617" spans="1:15" ht="20.100000000000001" customHeight="1" x14ac:dyDescent="0.25">
      <c r="A1617" s="33">
        <v>685</v>
      </c>
      <c r="B1617" s="9">
        <v>44028</v>
      </c>
      <c r="C1617" s="18" t="s">
        <v>435</v>
      </c>
      <c r="D1617" s="11">
        <v>10179</v>
      </c>
      <c r="E1617" s="9">
        <v>44029</v>
      </c>
      <c r="F1617" s="15" t="s">
        <v>28</v>
      </c>
      <c r="G1617" s="12">
        <v>44033</v>
      </c>
      <c r="H1617" s="23">
        <f t="shared" si="172"/>
        <v>10179</v>
      </c>
      <c r="I1617" s="23"/>
      <c r="J1617" s="23"/>
      <c r="K1617" s="24"/>
      <c r="L1617" s="23">
        <v>7536</v>
      </c>
      <c r="M1617" s="22">
        <f t="shared" si="173"/>
        <v>2643</v>
      </c>
      <c r="N1617" s="22"/>
      <c r="O1617" s="30">
        <f t="shared" si="174"/>
        <v>0.25965222516946657</v>
      </c>
    </row>
    <row r="1618" spans="1:15" ht="20.100000000000001" customHeight="1" x14ac:dyDescent="0.25">
      <c r="A1618" s="33">
        <v>648</v>
      </c>
      <c r="B1618" s="9">
        <v>44020</v>
      </c>
      <c r="C1618" s="18" t="s">
        <v>49</v>
      </c>
      <c r="D1618" s="11">
        <v>5442</v>
      </c>
      <c r="E1618" s="9">
        <v>44029</v>
      </c>
      <c r="F1618" s="15" t="s">
        <v>28</v>
      </c>
      <c r="G1618" s="12">
        <v>44057</v>
      </c>
      <c r="H1618" s="23">
        <f t="shared" si="172"/>
        <v>5442</v>
      </c>
      <c r="I1618" s="23"/>
      <c r="J1618" s="23"/>
      <c r="K1618" s="24"/>
      <c r="L1618" s="23">
        <v>3102</v>
      </c>
      <c r="M1618" s="22">
        <f t="shared" si="173"/>
        <v>2340</v>
      </c>
      <c r="N1618" s="22"/>
      <c r="O1618" s="30">
        <f t="shared" si="174"/>
        <v>0.42998897464167585</v>
      </c>
    </row>
    <row r="1619" spans="1:15" ht="20.100000000000001" customHeight="1" x14ac:dyDescent="0.25">
      <c r="A1619" s="33">
        <v>686</v>
      </c>
      <c r="B1619" s="9">
        <v>44029</v>
      </c>
      <c r="C1619" s="18" t="s">
        <v>251</v>
      </c>
      <c r="D1619" s="11">
        <v>7567</v>
      </c>
      <c r="E1619" s="9">
        <v>44029</v>
      </c>
      <c r="F1619" s="15" t="s">
        <v>28</v>
      </c>
      <c r="G1619" s="12">
        <v>44032</v>
      </c>
      <c r="H1619" s="23">
        <f t="shared" si="172"/>
        <v>7567</v>
      </c>
      <c r="I1619" s="23"/>
      <c r="J1619" s="23"/>
      <c r="K1619" s="24"/>
      <c r="L1619" s="23">
        <v>4802</v>
      </c>
      <c r="M1619" s="22">
        <f t="shared" si="173"/>
        <v>2765</v>
      </c>
      <c r="N1619" s="22"/>
      <c r="O1619" s="30">
        <f t="shared" si="174"/>
        <v>0.36540240518038852</v>
      </c>
    </row>
    <row r="1620" spans="1:15" ht="20.100000000000001" customHeight="1" x14ac:dyDescent="0.25">
      <c r="A1620" s="33">
        <v>423</v>
      </c>
      <c r="B1620" s="9">
        <v>43972</v>
      </c>
      <c r="C1620" s="18" t="s">
        <v>433</v>
      </c>
      <c r="D1620" s="11">
        <v>18990</v>
      </c>
      <c r="E1620" s="9">
        <v>44033</v>
      </c>
      <c r="F1620" s="15" t="s">
        <v>28</v>
      </c>
      <c r="G1620" s="12">
        <v>43978</v>
      </c>
      <c r="H1620" s="23">
        <f t="shared" si="172"/>
        <v>18990</v>
      </c>
      <c r="I1620" s="23"/>
      <c r="J1620" s="23"/>
      <c r="K1620" s="24"/>
      <c r="L1620" s="23">
        <v>12487</v>
      </c>
      <c r="M1620" s="22">
        <f t="shared" si="173"/>
        <v>6503</v>
      </c>
      <c r="N1620" s="22"/>
      <c r="O1620" s="30">
        <f t="shared" si="174"/>
        <v>0.34244339125855716</v>
      </c>
    </row>
    <row r="1621" spans="1:15" ht="20.100000000000001" customHeight="1" x14ac:dyDescent="0.25">
      <c r="A1621" s="33">
        <v>436</v>
      </c>
      <c r="B1621" s="9">
        <v>43977</v>
      </c>
      <c r="C1621" s="18" t="s">
        <v>14</v>
      </c>
      <c r="D1621" s="11">
        <v>3328</v>
      </c>
      <c r="E1621" s="9">
        <v>44033</v>
      </c>
      <c r="F1621" s="15" t="s">
        <v>28</v>
      </c>
      <c r="G1621" s="12">
        <v>44049</v>
      </c>
      <c r="H1621" s="23">
        <f t="shared" si="172"/>
        <v>3328</v>
      </c>
      <c r="I1621" s="23"/>
      <c r="J1621" s="23"/>
      <c r="K1621" s="24"/>
      <c r="L1621" s="23">
        <v>2198</v>
      </c>
      <c r="M1621" s="22">
        <f t="shared" si="173"/>
        <v>1130</v>
      </c>
      <c r="N1621" s="22"/>
      <c r="O1621" s="30">
        <f t="shared" si="174"/>
        <v>0.33954326923076922</v>
      </c>
    </row>
    <row r="1622" spans="1:15" ht="20.100000000000001" customHeight="1" x14ac:dyDescent="0.25">
      <c r="A1622" s="33">
        <v>693</v>
      </c>
      <c r="B1622" s="9">
        <v>44003</v>
      </c>
      <c r="C1622" s="18" t="s">
        <v>139</v>
      </c>
      <c r="D1622" s="11">
        <v>3012</v>
      </c>
      <c r="E1622" s="9">
        <v>44035</v>
      </c>
      <c r="F1622" s="15" t="s">
        <v>28</v>
      </c>
      <c r="G1622" s="12">
        <v>44048</v>
      </c>
      <c r="H1622" s="23">
        <f t="shared" si="172"/>
        <v>3012</v>
      </c>
      <c r="I1622" s="23"/>
      <c r="J1622" s="23"/>
      <c r="K1622" s="24"/>
      <c r="L1622" s="23">
        <v>3128</v>
      </c>
      <c r="M1622" s="22">
        <f t="shared" si="173"/>
        <v>-116</v>
      </c>
      <c r="N1622" s="22"/>
      <c r="O1622" s="30">
        <f t="shared" si="174"/>
        <v>-3.851261620185923E-2</v>
      </c>
    </row>
    <row r="1623" spans="1:15" ht="20.100000000000001" customHeight="1" x14ac:dyDescent="0.25">
      <c r="A1623" s="33">
        <v>712</v>
      </c>
      <c r="B1623" s="9">
        <v>44035</v>
      </c>
      <c r="C1623" s="18" t="s">
        <v>209</v>
      </c>
      <c r="D1623" s="11">
        <v>20390.650000000001</v>
      </c>
      <c r="E1623" s="9">
        <v>44036</v>
      </c>
      <c r="F1623" s="15" t="s">
        <v>28</v>
      </c>
      <c r="G1623" s="12">
        <v>44055</v>
      </c>
      <c r="H1623" s="23">
        <f t="shared" si="172"/>
        <v>20390.650000000001</v>
      </c>
      <c r="I1623" s="23"/>
      <c r="J1623" s="23"/>
      <c r="K1623" s="24"/>
      <c r="L1623" s="23">
        <v>18004</v>
      </c>
      <c r="M1623" s="22">
        <f t="shared" si="173"/>
        <v>2386.6500000000015</v>
      </c>
      <c r="N1623" s="22"/>
      <c r="O1623" s="30">
        <f t="shared" si="174"/>
        <v>0.11704629327657536</v>
      </c>
    </row>
    <row r="1624" spans="1:15" ht="20.100000000000001" customHeight="1" x14ac:dyDescent="0.25">
      <c r="A1624" s="33">
        <v>631</v>
      </c>
      <c r="B1624" s="9">
        <v>44019</v>
      </c>
      <c r="C1624" s="18" t="s">
        <v>367</v>
      </c>
      <c r="D1624" s="11">
        <v>2478</v>
      </c>
      <c r="E1624" s="9">
        <v>44040</v>
      </c>
      <c r="F1624" s="15" t="s">
        <v>28</v>
      </c>
      <c r="G1624" s="12">
        <v>44041</v>
      </c>
      <c r="H1624" s="23">
        <f t="shared" si="172"/>
        <v>2478</v>
      </c>
      <c r="I1624" s="23"/>
      <c r="J1624" s="23"/>
      <c r="K1624" s="24"/>
      <c r="L1624" s="23">
        <v>1932</v>
      </c>
      <c r="M1624" s="22">
        <f t="shared" si="173"/>
        <v>546</v>
      </c>
      <c r="N1624" s="22"/>
      <c r="O1624" s="30">
        <f t="shared" si="174"/>
        <v>0.22033898305084745</v>
      </c>
    </row>
    <row r="1625" spans="1:15" ht="20.100000000000001" customHeight="1" x14ac:dyDescent="0.25">
      <c r="A1625" s="33">
        <v>624</v>
      </c>
      <c r="B1625" s="9">
        <v>44040</v>
      </c>
      <c r="C1625" s="18" t="s">
        <v>228</v>
      </c>
      <c r="D1625" s="11">
        <v>3060</v>
      </c>
      <c r="E1625" s="9">
        <v>44040</v>
      </c>
      <c r="F1625" s="15" t="s">
        <v>28</v>
      </c>
      <c r="G1625" s="12">
        <v>44041</v>
      </c>
      <c r="H1625" s="23">
        <f t="shared" si="172"/>
        <v>3060</v>
      </c>
      <c r="I1625" s="23"/>
      <c r="J1625" s="23"/>
      <c r="K1625" s="24"/>
      <c r="L1625" s="23">
        <v>2170</v>
      </c>
      <c r="M1625" s="22">
        <f t="shared" si="173"/>
        <v>890</v>
      </c>
      <c r="N1625" s="22"/>
      <c r="O1625" s="30">
        <f t="shared" si="174"/>
        <v>0.2908496732026144</v>
      </c>
    </row>
    <row r="1626" spans="1:15" ht="20.100000000000001" customHeight="1" x14ac:dyDescent="0.25">
      <c r="A1626" s="33">
        <v>724</v>
      </c>
      <c r="B1626" s="9">
        <v>44036</v>
      </c>
      <c r="C1626" s="18" t="s">
        <v>139</v>
      </c>
      <c r="D1626" s="11">
        <v>15888</v>
      </c>
      <c r="E1626" s="9">
        <v>44041</v>
      </c>
      <c r="F1626" s="15" t="s">
        <v>28</v>
      </c>
      <c r="G1626" s="12">
        <v>44069</v>
      </c>
      <c r="H1626" s="23">
        <f t="shared" si="172"/>
        <v>15888</v>
      </c>
      <c r="I1626" s="23"/>
      <c r="J1626" s="23"/>
      <c r="K1626" s="24"/>
      <c r="L1626" s="23">
        <v>12216</v>
      </c>
      <c r="M1626" s="22">
        <f t="shared" si="173"/>
        <v>3672</v>
      </c>
      <c r="N1626" s="22"/>
      <c r="O1626" s="30">
        <f t="shared" si="174"/>
        <v>0.23111782477341389</v>
      </c>
    </row>
    <row r="1627" spans="1:15" ht="20.100000000000001" customHeight="1" x14ac:dyDescent="0.25">
      <c r="A1627" s="33">
        <v>738</v>
      </c>
      <c r="B1627" s="9">
        <v>44040</v>
      </c>
      <c r="C1627" s="20" t="s">
        <v>466</v>
      </c>
      <c r="D1627" s="11">
        <v>15490</v>
      </c>
      <c r="E1627" s="9">
        <v>44041</v>
      </c>
      <c r="F1627" s="15" t="s">
        <v>28</v>
      </c>
      <c r="G1627" s="12">
        <v>44056</v>
      </c>
      <c r="H1627" s="23">
        <f t="shared" si="172"/>
        <v>15490</v>
      </c>
      <c r="I1627" s="23">
        <f>H1627</f>
        <v>15490</v>
      </c>
      <c r="J1627" s="23"/>
      <c r="K1627" s="24"/>
      <c r="L1627" s="23">
        <v>11385</v>
      </c>
      <c r="M1627" s="22">
        <f t="shared" si="173"/>
        <v>4105</v>
      </c>
      <c r="N1627" s="22">
        <f>M1627</f>
        <v>4105</v>
      </c>
      <c r="O1627" s="30">
        <f t="shared" si="174"/>
        <v>0.26500968366688188</v>
      </c>
    </row>
    <row r="1628" spans="1:15" ht="19.5" customHeight="1" x14ac:dyDescent="0.25">
      <c r="A1628" s="33">
        <v>634</v>
      </c>
      <c r="B1628" s="9">
        <v>44019</v>
      </c>
      <c r="C1628" s="18" t="s">
        <v>56</v>
      </c>
      <c r="D1628" s="11">
        <v>54379</v>
      </c>
      <c r="E1628" s="9">
        <v>44042</v>
      </c>
      <c r="F1628" s="15" t="s">
        <v>28</v>
      </c>
      <c r="G1628" s="12">
        <v>44039</v>
      </c>
      <c r="H1628" s="23">
        <f t="shared" si="172"/>
        <v>54379</v>
      </c>
      <c r="I1628" s="23"/>
      <c r="J1628" s="23"/>
      <c r="K1628" s="24"/>
      <c r="L1628" s="23">
        <v>39553</v>
      </c>
      <c r="M1628" s="22">
        <f t="shared" si="173"/>
        <v>14826</v>
      </c>
      <c r="N1628" s="22"/>
      <c r="O1628" s="30">
        <f t="shared" si="174"/>
        <v>0.27264201254160614</v>
      </c>
    </row>
    <row r="1629" spans="1:15" ht="15.75" x14ac:dyDescent="0.25">
      <c r="A1629" s="33">
        <v>743</v>
      </c>
      <c r="B1629" s="9">
        <v>44042</v>
      </c>
      <c r="C1629" s="18" t="s">
        <v>361</v>
      </c>
      <c r="D1629" s="11">
        <v>4248</v>
      </c>
      <c r="E1629" s="9">
        <v>44042</v>
      </c>
      <c r="F1629" s="15" t="s">
        <v>28</v>
      </c>
      <c r="G1629" s="12">
        <v>44042</v>
      </c>
      <c r="H1629" s="23">
        <f t="shared" si="172"/>
        <v>4248</v>
      </c>
      <c r="I1629" s="23"/>
      <c r="J1629" s="23"/>
      <c r="K1629" s="24"/>
      <c r="L1629" s="23">
        <v>3312</v>
      </c>
      <c r="M1629" s="22">
        <f t="shared" si="173"/>
        <v>936</v>
      </c>
      <c r="N1629" s="22"/>
      <c r="O1629" s="30">
        <f t="shared" si="174"/>
        <v>0.22033898305084745</v>
      </c>
    </row>
    <row r="1630" spans="1:15" s="2" customFormat="1" ht="20.100000000000001" customHeight="1" x14ac:dyDescent="0.25">
      <c r="A1630" s="33">
        <v>659</v>
      </c>
      <c r="B1630" s="9">
        <v>44025</v>
      </c>
      <c r="C1630" s="18" t="s">
        <v>166</v>
      </c>
      <c r="D1630" s="11">
        <v>53665.5</v>
      </c>
      <c r="E1630" s="9">
        <v>44043</v>
      </c>
      <c r="F1630" s="15" t="s">
        <v>28</v>
      </c>
      <c r="G1630" s="12">
        <v>44064</v>
      </c>
      <c r="H1630" s="23">
        <f t="shared" si="172"/>
        <v>53665.5</v>
      </c>
      <c r="I1630" s="23"/>
      <c r="J1630" s="23"/>
      <c r="K1630" s="24"/>
      <c r="L1630" s="23">
        <v>36712.65</v>
      </c>
      <c r="M1630" s="22">
        <f t="shared" si="173"/>
        <v>16952.849999999999</v>
      </c>
      <c r="N1630" s="22"/>
      <c r="O1630" s="30">
        <f t="shared" si="174"/>
        <v>0.31589848226514239</v>
      </c>
    </row>
    <row r="1631" spans="1:15" ht="20.100000000000001" customHeight="1" x14ac:dyDescent="0.25">
      <c r="A1631" s="35" t="s">
        <v>535</v>
      </c>
      <c r="B1631" s="36"/>
      <c r="C1631" s="42"/>
      <c r="D1631" s="37"/>
      <c r="E1631" s="46" t="s">
        <v>581</v>
      </c>
      <c r="F1631" s="47">
        <f>M1631*0.17+N1631*0.06+10000</f>
        <v>58420.775000000001</v>
      </c>
      <c r="G1631" s="21">
        <f>H1631*0.05+I1631*0.02+10000</f>
        <v>61706.827500000007</v>
      </c>
      <c r="H1631" s="49">
        <f>SUBTOTAL(109,Июль2020[Продажа])</f>
        <v>877140.15</v>
      </c>
      <c r="I1631" s="49">
        <f>SUBTOTAL(109,Июль2020[Продажа НК])</f>
        <v>392491</v>
      </c>
      <c r="J1631" s="49">
        <f>SUBTOTAL(109,Июль2020[отк])</f>
        <v>0</v>
      </c>
      <c r="K1631" s="49">
        <f>SUBTOTAL(109,Июль2020[шланги])</f>
        <v>4200</v>
      </c>
      <c r="L1631" s="49">
        <f>SUBTOTAL(109,Июль2020[Закупка])</f>
        <v>626994.7300000001</v>
      </c>
      <c r="M1631" s="49">
        <f>SUBTOTAL(109,Июль2020[Маржа])</f>
        <v>245945.41999999998</v>
      </c>
      <c r="N1631" s="49">
        <f>SUBTOTAL(109,Июль2020[Маржа НК])</f>
        <v>110167.56</v>
      </c>
      <c r="O1631" s="44">
        <f t="shared" si="174"/>
        <v>0.28039466669038005</v>
      </c>
    </row>
    <row r="1632" spans="1:15" ht="20.100000000000001" customHeight="1" x14ac:dyDescent="0.25">
      <c r="A1632" s="41" t="s">
        <v>1</v>
      </c>
      <c r="B1632" s="1" t="s">
        <v>0</v>
      </c>
      <c r="C1632" s="1" t="s">
        <v>26</v>
      </c>
      <c r="D1632" s="1" t="s">
        <v>2</v>
      </c>
      <c r="E1632" s="1" t="s">
        <v>3</v>
      </c>
      <c r="F1632" s="1" t="s">
        <v>27</v>
      </c>
      <c r="G1632" s="1" t="s">
        <v>4</v>
      </c>
      <c r="H1632" s="2" t="s">
        <v>132</v>
      </c>
      <c r="I1632" s="2" t="s">
        <v>133</v>
      </c>
      <c r="J1632" s="40" t="s">
        <v>187</v>
      </c>
      <c r="K1632" s="40" t="s">
        <v>188</v>
      </c>
      <c r="L1632" s="40" t="s">
        <v>129</v>
      </c>
      <c r="M1632" s="40" t="s">
        <v>130</v>
      </c>
      <c r="N1632" s="2" t="s">
        <v>131</v>
      </c>
      <c r="O1632" s="2" t="s">
        <v>134</v>
      </c>
    </row>
    <row r="1633" spans="1:15" ht="20.100000000000001" customHeight="1" x14ac:dyDescent="0.25">
      <c r="A1633" s="33">
        <v>574</v>
      </c>
      <c r="B1633" s="9">
        <v>44011</v>
      </c>
      <c r="C1633" s="18" t="s">
        <v>13</v>
      </c>
      <c r="D1633" s="11">
        <v>26190</v>
      </c>
      <c r="E1633" s="9">
        <v>44046</v>
      </c>
      <c r="F1633" s="15" t="s">
        <v>28</v>
      </c>
      <c r="G1633" s="12">
        <v>44034</v>
      </c>
      <c r="H1633" s="23">
        <f t="shared" ref="H1633:H1658" si="175">D1633</f>
        <v>26190</v>
      </c>
      <c r="I1633" s="23"/>
      <c r="J1633" s="23"/>
      <c r="K1633" s="24"/>
      <c r="L1633" s="23">
        <v>18580</v>
      </c>
      <c r="M1633" s="22">
        <f t="shared" ref="M1633:M1658" si="176">H1633-L1633-J1633-K1633</f>
        <v>7610</v>
      </c>
      <c r="N1633" s="22"/>
      <c r="O1633" s="30">
        <f t="shared" ref="O1633:O1659" si="177">M1633/H1633</f>
        <v>0.29056891943489882</v>
      </c>
    </row>
    <row r="1634" spans="1:15" ht="20.100000000000001" customHeight="1" x14ac:dyDescent="0.25">
      <c r="A1634" s="33">
        <v>752</v>
      </c>
      <c r="B1634" s="9">
        <v>44046</v>
      </c>
      <c r="C1634" s="18" t="s">
        <v>467</v>
      </c>
      <c r="D1634" s="11">
        <v>816</v>
      </c>
      <c r="E1634" s="9">
        <v>44049</v>
      </c>
      <c r="F1634" s="15" t="s">
        <v>28</v>
      </c>
      <c r="G1634" s="12">
        <v>44069</v>
      </c>
      <c r="H1634" s="23">
        <f t="shared" si="175"/>
        <v>816</v>
      </c>
      <c r="I1634" s="23"/>
      <c r="J1634" s="23"/>
      <c r="K1634" s="24"/>
      <c r="L1634" s="23">
        <v>539</v>
      </c>
      <c r="M1634" s="22">
        <f t="shared" si="176"/>
        <v>277</v>
      </c>
      <c r="N1634" s="22"/>
      <c r="O1634" s="30">
        <f t="shared" si="177"/>
        <v>0.33946078431372551</v>
      </c>
    </row>
    <row r="1635" spans="1:15" ht="20.100000000000001" customHeight="1" x14ac:dyDescent="0.25">
      <c r="A1635" s="33">
        <v>407</v>
      </c>
      <c r="B1635" s="9">
        <v>43965</v>
      </c>
      <c r="C1635" s="18" t="s">
        <v>38</v>
      </c>
      <c r="D1635" s="11">
        <v>886680</v>
      </c>
      <c r="E1635" s="9">
        <v>44050</v>
      </c>
      <c r="F1635" s="15" t="s">
        <v>28</v>
      </c>
      <c r="G1635" s="12">
        <v>43966</v>
      </c>
      <c r="H1635" s="23">
        <f t="shared" si="175"/>
        <v>886680</v>
      </c>
      <c r="I1635" s="23"/>
      <c r="J1635" s="23"/>
      <c r="K1635" s="24"/>
      <c r="L1635" s="23">
        <v>780000</v>
      </c>
      <c r="M1635" s="22">
        <f t="shared" si="176"/>
        <v>106680</v>
      </c>
      <c r="N1635" s="22"/>
      <c r="O1635" s="30">
        <f t="shared" si="177"/>
        <v>0.12031398024089864</v>
      </c>
    </row>
    <row r="1636" spans="1:15" ht="20.100000000000001" customHeight="1" x14ac:dyDescent="0.25">
      <c r="A1636" s="33">
        <v>424</v>
      </c>
      <c r="B1636" s="9">
        <v>43972</v>
      </c>
      <c r="C1636" s="18" t="s">
        <v>38</v>
      </c>
      <c r="D1636" s="11">
        <v>110793</v>
      </c>
      <c r="E1636" s="9">
        <v>44050</v>
      </c>
      <c r="F1636" s="15" t="s">
        <v>28</v>
      </c>
      <c r="G1636" s="12">
        <v>43972</v>
      </c>
      <c r="H1636" s="23">
        <f t="shared" si="175"/>
        <v>110793</v>
      </c>
      <c r="I1636" s="23"/>
      <c r="J1636" s="23"/>
      <c r="K1636" s="24">
        <v>4800</v>
      </c>
      <c r="L1636" s="23">
        <v>80416.600000000006</v>
      </c>
      <c r="M1636" s="22">
        <f t="shared" si="176"/>
        <v>25576.399999999994</v>
      </c>
      <c r="N1636" s="22"/>
      <c r="O1636" s="30">
        <f t="shared" si="177"/>
        <v>0.23084851931078673</v>
      </c>
    </row>
    <row r="1637" spans="1:15" ht="20.100000000000001" customHeight="1" x14ac:dyDescent="0.25">
      <c r="A1637" s="33">
        <v>253</v>
      </c>
      <c r="B1637" s="9">
        <v>43976</v>
      </c>
      <c r="C1637" s="18" t="s">
        <v>38</v>
      </c>
      <c r="D1637" s="11">
        <v>740092</v>
      </c>
      <c r="E1637" s="9">
        <v>44050</v>
      </c>
      <c r="F1637" s="15" t="s">
        <v>28</v>
      </c>
      <c r="G1637" s="12">
        <v>43983</v>
      </c>
      <c r="H1637" s="23">
        <f t="shared" si="175"/>
        <v>740092</v>
      </c>
      <c r="I1637" s="23"/>
      <c r="J1637" s="23"/>
      <c r="K1637" s="24"/>
      <c r="L1637" s="23">
        <v>631552</v>
      </c>
      <c r="M1637" s="22">
        <f t="shared" si="176"/>
        <v>108540</v>
      </c>
      <c r="N1637" s="22"/>
      <c r="O1637" s="30">
        <f t="shared" si="177"/>
        <v>0.14665744258821875</v>
      </c>
    </row>
    <row r="1638" spans="1:15" ht="20.100000000000001" customHeight="1" x14ac:dyDescent="0.25">
      <c r="A1638" s="33">
        <v>431</v>
      </c>
      <c r="B1638" s="9">
        <v>43976</v>
      </c>
      <c r="C1638" s="18" t="s">
        <v>38</v>
      </c>
      <c r="D1638" s="11">
        <v>1442508</v>
      </c>
      <c r="E1638" s="9">
        <v>44050</v>
      </c>
      <c r="F1638" s="15" t="s">
        <v>28</v>
      </c>
      <c r="G1638" s="12">
        <v>43983</v>
      </c>
      <c r="H1638" s="23">
        <f t="shared" si="175"/>
        <v>1442508</v>
      </c>
      <c r="I1638" s="23"/>
      <c r="J1638" s="23"/>
      <c r="K1638" s="24"/>
      <c r="L1638" s="23">
        <v>1252922</v>
      </c>
      <c r="M1638" s="22">
        <f t="shared" si="176"/>
        <v>189586</v>
      </c>
      <c r="N1638" s="22"/>
      <c r="O1638" s="30">
        <f t="shared" si="177"/>
        <v>0.13142804060705382</v>
      </c>
    </row>
    <row r="1639" spans="1:15" ht="20.100000000000001" customHeight="1" x14ac:dyDescent="0.25">
      <c r="A1639" s="33">
        <v>401</v>
      </c>
      <c r="B1639" s="9">
        <v>43983</v>
      </c>
      <c r="C1639" s="18" t="s">
        <v>38</v>
      </c>
      <c r="D1639" s="11">
        <v>1329777</v>
      </c>
      <c r="E1639" s="9">
        <v>44050</v>
      </c>
      <c r="F1639" s="15" t="s">
        <v>28</v>
      </c>
      <c r="G1639" s="12">
        <v>44034</v>
      </c>
      <c r="H1639" s="23">
        <f t="shared" si="175"/>
        <v>1329777</v>
      </c>
      <c r="I1639" s="23"/>
      <c r="J1639" s="23"/>
      <c r="K1639" s="24">
        <v>42000</v>
      </c>
      <c r="L1639" s="23">
        <v>673282.17</v>
      </c>
      <c r="M1639" s="22">
        <f t="shared" si="176"/>
        <v>614494.82999999996</v>
      </c>
      <c r="N1639" s="22"/>
      <c r="O1639" s="30">
        <f t="shared" si="177"/>
        <v>0.46210366850983281</v>
      </c>
    </row>
    <row r="1640" spans="1:15" ht="20.100000000000001" customHeight="1" x14ac:dyDescent="0.25">
      <c r="A1640" s="33">
        <v>430</v>
      </c>
      <c r="B1640" s="9">
        <v>43983</v>
      </c>
      <c r="C1640" s="18" t="s">
        <v>38</v>
      </c>
      <c r="D1640" s="11">
        <v>1034720</v>
      </c>
      <c r="E1640" s="9">
        <v>44050</v>
      </c>
      <c r="F1640" s="15" t="s">
        <v>28</v>
      </c>
      <c r="G1640" s="12">
        <v>44034</v>
      </c>
      <c r="H1640" s="23">
        <f t="shared" si="175"/>
        <v>1034720</v>
      </c>
      <c r="I1640" s="23"/>
      <c r="J1640" s="23">
        <v>120000</v>
      </c>
      <c r="K1640" s="24">
        <v>46800</v>
      </c>
      <c r="L1640" s="23">
        <v>432397.4</v>
      </c>
      <c r="M1640" s="22">
        <f t="shared" si="176"/>
        <v>435522.6</v>
      </c>
      <c r="N1640" s="22"/>
      <c r="O1640" s="30">
        <f t="shared" si="177"/>
        <v>0.42090865161589608</v>
      </c>
    </row>
    <row r="1641" spans="1:15" ht="20.100000000000001" customHeight="1" x14ac:dyDescent="0.25">
      <c r="A1641" s="33">
        <v>776</v>
      </c>
      <c r="B1641" s="9">
        <v>44050</v>
      </c>
      <c r="C1641" s="18" t="s">
        <v>179</v>
      </c>
      <c r="D1641" s="11">
        <v>12436</v>
      </c>
      <c r="E1641" s="9">
        <v>44053</v>
      </c>
      <c r="F1641" s="15" t="s">
        <v>28</v>
      </c>
      <c r="G1641" s="12">
        <v>44062</v>
      </c>
      <c r="H1641" s="23">
        <f t="shared" si="175"/>
        <v>12436</v>
      </c>
      <c r="I1641" s="23"/>
      <c r="J1641" s="23"/>
      <c r="K1641" s="24"/>
      <c r="L1641" s="23">
        <v>9574</v>
      </c>
      <c r="M1641" s="22">
        <f t="shared" si="176"/>
        <v>2862</v>
      </c>
      <c r="N1641" s="22"/>
      <c r="O1641" s="30">
        <f t="shared" si="177"/>
        <v>0.23013830813766484</v>
      </c>
    </row>
    <row r="1642" spans="1:15" ht="20.100000000000001" customHeight="1" x14ac:dyDescent="0.25">
      <c r="A1642" s="33">
        <v>784</v>
      </c>
      <c r="B1642" s="9">
        <v>44053</v>
      </c>
      <c r="C1642" s="18" t="s">
        <v>149</v>
      </c>
      <c r="D1642" s="11">
        <v>5528</v>
      </c>
      <c r="E1642" s="9">
        <v>44053</v>
      </c>
      <c r="F1642" s="15" t="s">
        <v>28</v>
      </c>
      <c r="G1642" s="12">
        <v>44057</v>
      </c>
      <c r="H1642" s="23">
        <f t="shared" si="175"/>
        <v>5528</v>
      </c>
      <c r="I1642" s="23"/>
      <c r="J1642" s="23"/>
      <c r="K1642" s="24"/>
      <c r="L1642" s="23">
        <v>3752</v>
      </c>
      <c r="M1642" s="22">
        <f t="shared" si="176"/>
        <v>1776</v>
      </c>
      <c r="N1642" s="22"/>
      <c r="O1642" s="30">
        <f t="shared" si="177"/>
        <v>0.32127351664254705</v>
      </c>
    </row>
    <row r="1643" spans="1:15" ht="20.100000000000001" customHeight="1" x14ac:dyDescent="0.25">
      <c r="A1643" s="33">
        <v>773</v>
      </c>
      <c r="B1643" s="9">
        <v>44050</v>
      </c>
      <c r="C1643" s="18" t="s">
        <v>182</v>
      </c>
      <c r="D1643" s="11">
        <v>11017.04</v>
      </c>
      <c r="E1643" s="9">
        <v>44056</v>
      </c>
      <c r="F1643" s="15" t="s">
        <v>28</v>
      </c>
      <c r="G1643" s="12">
        <v>44076</v>
      </c>
      <c r="H1643" s="23">
        <f t="shared" si="175"/>
        <v>11017.04</v>
      </c>
      <c r="I1643" s="23"/>
      <c r="J1643" s="23"/>
      <c r="K1643" s="24"/>
      <c r="L1643" s="23">
        <v>8475</v>
      </c>
      <c r="M1643" s="22">
        <f t="shared" si="176"/>
        <v>2542.0400000000009</v>
      </c>
      <c r="N1643" s="22"/>
      <c r="O1643" s="30">
        <f t="shared" si="177"/>
        <v>0.23073711269088618</v>
      </c>
    </row>
    <row r="1644" spans="1:15" ht="20.100000000000001" customHeight="1" x14ac:dyDescent="0.25">
      <c r="A1644" s="33">
        <v>725</v>
      </c>
      <c r="B1644" s="9">
        <v>44039</v>
      </c>
      <c r="C1644" s="18" t="s">
        <v>11</v>
      </c>
      <c r="D1644" s="11">
        <v>10533</v>
      </c>
      <c r="E1644" s="9">
        <v>44057</v>
      </c>
      <c r="F1644" s="15" t="s">
        <v>28</v>
      </c>
      <c r="G1644" s="12">
        <v>44062</v>
      </c>
      <c r="H1644" s="23">
        <f t="shared" si="175"/>
        <v>10533</v>
      </c>
      <c r="I1644" s="23"/>
      <c r="J1644" s="23"/>
      <c r="K1644" s="24"/>
      <c r="L1644" s="23">
        <v>6660</v>
      </c>
      <c r="M1644" s="22">
        <f t="shared" si="176"/>
        <v>3873</v>
      </c>
      <c r="N1644" s="22"/>
      <c r="O1644" s="30">
        <f t="shared" si="177"/>
        <v>0.36770150954144121</v>
      </c>
    </row>
    <row r="1645" spans="1:15" ht="20.100000000000001" customHeight="1" x14ac:dyDescent="0.25">
      <c r="A1645" s="33">
        <v>800</v>
      </c>
      <c r="B1645" s="9">
        <v>44057</v>
      </c>
      <c r="C1645" s="18" t="s">
        <v>403</v>
      </c>
      <c r="D1645" s="11">
        <v>6218</v>
      </c>
      <c r="E1645" s="9">
        <v>44060</v>
      </c>
      <c r="F1645" s="15" t="s">
        <v>28</v>
      </c>
      <c r="G1645" s="12">
        <v>44067</v>
      </c>
      <c r="H1645" s="23">
        <f t="shared" si="175"/>
        <v>6218</v>
      </c>
      <c r="I1645" s="23"/>
      <c r="J1645" s="23"/>
      <c r="K1645" s="24"/>
      <c r="L1645" s="23">
        <v>4787</v>
      </c>
      <c r="M1645" s="22">
        <f t="shared" si="176"/>
        <v>1431</v>
      </c>
      <c r="N1645" s="22"/>
      <c r="O1645" s="30">
        <f t="shared" si="177"/>
        <v>0.23013830813766484</v>
      </c>
    </row>
    <row r="1646" spans="1:15" ht="20.100000000000001" customHeight="1" x14ac:dyDescent="0.25">
      <c r="A1646" s="33">
        <v>771</v>
      </c>
      <c r="B1646" s="9">
        <v>44056</v>
      </c>
      <c r="C1646" s="20" t="s">
        <v>468</v>
      </c>
      <c r="D1646" s="11">
        <v>712000</v>
      </c>
      <c r="E1646" s="9">
        <v>44060</v>
      </c>
      <c r="F1646" s="15" t="s">
        <v>28</v>
      </c>
      <c r="G1646" s="12">
        <v>44090</v>
      </c>
      <c r="H1646" s="23">
        <f t="shared" si="175"/>
        <v>712000</v>
      </c>
      <c r="I1646" s="23">
        <f>H1646</f>
        <v>712000</v>
      </c>
      <c r="J1646" s="23"/>
      <c r="K1646" s="24"/>
      <c r="L1646" s="23">
        <v>627563</v>
      </c>
      <c r="M1646" s="22">
        <f t="shared" si="176"/>
        <v>84437</v>
      </c>
      <c r="N1646" s="22">
        <f>M1646</f>
        <v>84437</v>
      </c>
      <c r="O1646" s="30">
        <f t="shared" si="177"/>
        <v>0.11859129213483147</v>
      </c>
    </row>
    <row r="1647" spans="1:15" ht="20.100000000000001" customHeight="1" x14ac:dyDescent="0.25">
      <c r="A1647" s="33">
        <v>652</v>
      </c>
      <c r="B1647" s="9">
        <v>44021</v>
      </c>
      <c r="C1647" s="18" t="s">
        <v>311</v>
      </c>
      <c r="D1647" s="11">
        <v>5667</v>
      </c>
      <c r="E1647" s="9">
        <v>44062</v>
      </c>
      <c r="F1647" s="15" t="s">
        <v>28</v>
      </c>
      <c r="G1647" s="12">
        <v>44039</v>
      </c>
      <c r="H1647" s="23">
        <f t="shared" si="175"/>
        <v>5667</v>
      </c>
      <c r="I1647" s="23"/>
      <c r="J1647" s="23"/>
      <c r="K1647" s="24"/>
      <c r="L1647" s="23">
        <v>4416</v>
      </c>
      <c r="M1647" s="22">
        <f t="shared" si="176"/>
        <v>1251</v>
      </c>
      <c r="N1647" s="22"/>
      <c r="O1647" s="30">
        <f t="shared" si="177"/>
        <v>0.22075172048703018</v>
      </c>
    </row>
    <row r="1648" spans="1:15" ht="20.100000000000001" customHeight="1" x14ac:dyDescent="0.25">
      <c r="A1648" s="33">
        <v>711</v>
      </c>
      <c r="B1648" s="9">
        <v>44035</v>
      </c>
      <c r="C1648" s="20" t="s">
        <v>465</v>
      </c>
      <c r="D1648" s="11">
        <v>38990</v>
      </c>
      <c r="E1648" s="9">
        <v>44063</v>
      </c>
      <c r="F1648" s="15" t="s">
        <v>28</v>
      </c>
      <c r="G1648" s="12">
        <v>44083</v>
      </c>
      <c r="H1648" s="23">
        <f t="shared" si="175"/>
        <v>38990</v>
      </c>
      <c r="I1648" s="23">
        <f>H1648</f>
        <v>38990</v>
      </c>
      <c r="J1648" s="23"/>
      <c r="K1648" s="24"/>
      <c r="L1648" s="23">
        <v>28657</v>
      </c>
      <c r="M1648" s="22">
        <f t="shared" si="176"/>
        <v>10333</v>
      </c>
      <c r="N1648" s="22">
        <f>M1648</f>
        <v>10333</v>
      </c>
      <c r="O1648" s="30">
        <f t="shared" si="177"/>
        <v>0.26501667094126702</v>
      </c>
    </row>
    <row r="1649" spans="1:15" ht="20.100000000000001" customHeight="1" x14ac:dyDescent="0.25">
      <c r="A1649" s="33">
        <v>713</v>
      </c>
      <c r="B1649" s="9">
        <v>44035</v>
      </c>
      <c r="C1649" s="20" t="s">
        <v>465</v>
      </c>
      <c r="D1649" s="11">
        <v>31570</v>
      </c>
      <c r="E1649" s="9">
        <v>44063</v>
      </c>
      <c r="F1649" s="15" t="s">
        <v>28</v>
      </c>
      <c r="G1649" s="12">
        <v>44083</v>
      </c>
      <c r="H1649" s="23">
        <f t="shared" si="175"/>
        <v>31570</v>
      </c>
      <c r="I1649" s="23">
        <f>H1649</f>
        <v>31570</v>
      </c>
      <c r="J1649" s="23"/>
      <c r="K1649" s="24"/>
      <c r="L1649" s="23">
        <v>23609</v>
      </c>
      <c r="M1649" s="22">
        <f t="shared" si="176"/>
        <v>7961</v>
      </c>
      <c r="N1649" s="22">
        <f>M1649</f>
        <v>7961</v>
      </c>
      <c r="O1649" s="30">
        <f t="shared" si="177"/>
        <v>0.25216978143807411</v>
      </c>
    </row>
    <row r="1650" spans="1:15" ht="20.100000000000001" customHeight="1" x14ac:dyDescent="0.25">
      <c r="A1650" s="33">
        <v>802</v>
      </c>
      <c r="B1650" s="9">
        <v>44057</v>
      </c>
      <c r="C1650" s="18" t="s">
        <v>186</v>
      </c>
      <c r="D1650" s="11">
        <v>7100</v>
      </c>
      <c r="E1650" s="9">
        <v>44064</v>
      </c>
      <c r="F1650" s="15" t="s">
        <v>28</v>
      </c>
      <c r="G1650" s="12">
        <v>44104</v>
      </c>
      <c r="H1650" s="23">
        <f t="shared" si="175"/>
        <v>7100</v>
      </c>
      <c r="I1650" s="23"/>
      <c r="J1650" s="23"/>
      <c r="K1650" s="24"/>
      <c r="L1650" s="23">
        <v>4686</v>
      </c>
      <c r="M1650" s="22">
        <f t="shared" si="176"/>
        <v>2414</v>
      </c>
      <c r="N1650" s="22"/>
      <c r="O1650" s="30">
        <f t="shared" si="177"/>
        <v>0.34</v>
      </c>
    </row>
    <row r="1651" spans="1:15" ht="19.5" customHeight="1" x14ac:dyDescent="0.25">
      <c r="A1651" s="33">
        <v>809</v>
      </c>
      <c r="B1651" s="9">
        <v>44060</v>
      </c>
      <c r="C1651" s="18" t="s">
        <v>270</v>
      </c>
      <c r="D1651" s="11">
        <v>3879</v>
      </c>
      <c r="E1651" s="9">
        <v>44067</v>
      </c>
      <c r="F1651" s="15" t="s">
        <v>28</v>
      </c>
      <c r="G1651" s="12">
        <v>44064</v>
      </c>
      <c r="H1651" s="23">
        <f t="shared" si="175"/>
        <v>3879</v>
      </c>
      <c r="I1651" s="23"/>
      <c r="J1651" s="23"/>
      <c r="K1651" s="24"/>
      <c r="L1651" s="23">
        <v>3024</v>
      </c>
      <c r="M1651" s="22">
        <f t="shared" si="176"/>
        <v>855</v>
      </c>
      <c r="N1651" s="22"/>
      <c r="O1651" s="30">
        <f t="shared" si="177"/>
        <v>0.22041763341067286</v>
      </c>
    </row>
    <row r="1652" spans="1:15" ht="15.75" x14ac:dyDescent="0.25">
      <c r="A1652" s="33">
        <v>515</v>
      </c>
      <c r="B1652" s="9">
        <v>43992</v>
      </c>
      <c r="C1652" s="18" t="s">
        <v>99</v>
      </c>
      <c r="D1652" s="11">
        <v>246624</v>
      </c>
      <c r="E1652" s="9">
        <v>44068</v>
      </c>
      <c r="F1652" s="15" t="s">
        <v>28</v>
      </c>
      <c r="G1652" s="12">
        <v>44022</v>
      </c>
      <c r="H1652" s="23">
        <f t="shared" si="175"/>
        <v>246624</v>
      </c>
      <c r="I1652" s="23"/>
      <c r="J1652" s="23">
        <v>30000</v>
      </c>
      <c r="K1652" s="24">
        <f>10*600</f>
        <v>6000</v>
      </c>
      <c r="L1652" s="23">
        <v>113784</v>
      </c>
      <c r="M1652" s="22">
        <f t="shared" si="176"/>
        <v>96840</v>
      </c>
      <c r="N1652" s="22"/>
      <c r="O1652" s="30">
        <f t="shared" si="177"/>
        <v>0.39266251459711948</v>
      </c>
    </row>
    <row r="1653" spans="1:15" s="2" customFormat="1" ht="20.100000000000001" customHeight="1" x14ac:dyDescent="0.25">
      <c r="A1653" s="33">
        <v>821</v>
      </c>
      <c r="B1653" s="9">
        <v>44061</v>
      </c>
      <c r="C1653" s="18" t="s">
        <v>228</v>
      </c>
      <c r="D1653" s="11">
        <v>23866</v>
      </c>
      <c r="E1653" s="9">
        <v>44068</v>
      </c>
      <c r="F1653" s="15" t="s">
        <v>28</v>
      </c>
      <c r="G1653" s="12">
        <v>44090</v>
      </c>
      <c r="H1653" s="23">
        <f t="shared" si="175"/>
        <v>23866</v>
      </c>
      <c r="I1653" s="23"/>
      <c r="J1653" s="23"/>
      <c r="K1653" s="24"/>
      <c r="L1653" s="23">
        <v>17041</v>
      </c>
      <c r="M1653" s="22">
        <f t="shared" si="176"/>
        <v>6825</v>
      </c>
      <c r="N1653" s="22"/>
      <c r="O1653" s="30">
        <f t="shared" si="177"/>
        <v>0.28597167518645772</v>
      </c>
    </row>
    <row r="1654" spans="1:15" ht="20.100000000000001" customHeight="1" x14ac:dyDescent="0.25">
      <c r="A1654" s="33">
        <v>376</v>
      </c>
      <c r="B1654" s="9">
        <v>43983</v>
      </c>
      <c r="C1654" s="18" t="s">
        <v>38</v>
      </c>
      <c r="D1654" s="11">
        <v>108426</v>
      </c>
      <c r="E1654" s="9">
        <v>44069</v>
      </c>
      <c r="F1654" s="15" t="s">
        <v>28</v>
      </c>
      <c r="G1654" s="12">
        <v>44034</v>
      </c>
      <c r="H1654" s="23">
        <f t="shared" si="175"/>
        <v>108426</v>
      </c>
      <c r="I1654" s="23"/>
      <c r="J1654" s="23"/>
      <c r="K1654" s="24"/>
      <c r="L1654" s="23">
        <v>79628</v>
      </c>
      <c r="M1654" s="22">
        <f t="shared" si="176"/>
        <v>28798</v>
      </c>
      <c r="N1654" s="22"/>
      <c r="O1654" s="30">
        <f t="shared" si="177"/>
        <v>0.26560050172467858</v>
      </c>
    </row>
    <row r="1655" spans="1:15" ht="20.100000000000001" customHeight="1" x14ac:dyDescent="0.25">
      <c r="A1655" s="33">
        <v>739</v>
      </c>
      <c r="B1655" s="9">
        <v>44040</v>
      </c>
      <c r="C1655" s="18" t="s">
        <v>209</v>
      </c>
      <c r="D1655" s="11">
        <v>2204.9</v>
      </c>
      <c r="E1655" s="9">
        <v>44074</v>
      </c>
      <c r="F1655" s="15" t="s">
        <v>28</v>
      </c>
      <c r="G1655" s="12">
        <v>44040</v>
      </c>
      <c r="H1655" s="23">
        <f t="shared" si="175"/>
        <v>2204.9</v>
      </c>
      <c r="I1655" s="23"/>
      <c r="J1655" s="23"/>
      <c r="K1655" s="24"/>
      <c r="L1655" s="23">
        <v>1764</v>
      </c>
      <c r="M1655" s="22">
        <f t="shared" si="176"/>
        <v>440.90000000000009</v>
      </c>
      <c r="N1655" s="22"/>
      <c r="O1655" s="30">
        <f t="shared" si="177"/>
        <v>0.19996371717538214</v>
      </c>
    </row>
    <row r="1656" spans="1:15" ht="20.100000000000001" customHeight="1" x14ac:dyDescent="0.25">
      <c r="A1656" s="33">
        <v>867</v>
      </c>
      <c r="B1656" s="9">
        <v>44074</v>
      </c>
      <c r="C1656" s="18" t="s">
        <v>209</v>
      </c>
      <c r="D1656" s="11">
        <v>4400</v>
      </c>
      <c r="E1656" s="9">
        <v>44074</v>
      </c>
      <c r="F1656" s="15" t="s">
        <v>28</v>
      </c>
      <c r="G1656" s="12">
        <v>44081</v>
      </c>
      <c r="H1656" s="23">
        <f t="shared" si="175"/>
        <v>4400</v>
      </c>
      <c r="I1656" s="23"/>
      <c r="J1656" s="23"/>
      <c r="K1656" s="24"/>
      <c r="L1656" s="23">
        <v>4000</v>
      </c>
      <c r="M1656" s="22">
        <f t="shared" si="176"/>
        <v>400</v>
      </c>
      <c r="N1656" s="22"/>
      <c r="O1656" s="30">
        <f t="shared" si="177"/>
        <v>9.0909090909090912E-2</v>
      </c>
    </row>
    <row r="1657" spans="1:15" ht="20.100000000000001" customHeight="1" x14ac:dyDescent="0.25">
      <c r="A1657" s="33">
        <v>772</v>
      </c>
      <c r="B1657" s="9">
        <v>44050</v>
      </c>
      <c r="C1657" s="18" t="s">
        <v>11</v>
      </c>
      <c r="D1657" s="11">
        <v>2381</v>
      </c>
      <c r="E1657" s="9">
        <v>44074</v>
      </c>
      <c r="F1657" s="15" t="s">
        <v>28</v>
      </c>
      <c r="G1657" s="12">
        <v>44076</v>
      </c>
      <c r="H1657" s="23">
        <f t="shared" si="175"/>
        <v>2381</v>
      </c>
      <c r="I1657" s="23"/>
      <c r="J1657" s="23"/>
      <c r="K1657" s="24"/>
      <c r="L1657" s="23">
        <v>1449</v>
      </c>
      <c r="M1657" s="22">
        <f t="shared" si="176"/>
        <v>932</v>
      </c>
      <c r="N1657" s="22"/>
      <c r="O1657" s="30">
        <f t="shared" si="177"/>
        <v>0.39143217135657288</v>
      </c>
    </row>
    <row r="1658" spans="1:15" ht="20.100000000000001" customHeight="1" x14ac:dyDescent="0.25">
      <c r="A1658" s="33">
        <v>756</v>
      </c>
      <c r="B1658" s="9">
        <v>44047</v>
      </c>
      <c r="C1658" s="18" t="s">
        <v>11</v>
      </c>
      <c r="D1658" s="11">
        <v>19041</v>
      </c>
      <c r="E1658" s="9">
        <v>44074</v>
      </c>
      <c r="F1658" s="15" t="s">
        <v>28</v>
      </c>
      <c r="G1658" s="12">
        <v>44076</v>
      </c>
      <c r="H1658" s="23">
        <f t="shared" si="175"/>
        <v>19041</v>
      </c>
      <c r="I1658" s="23"/>
      <c r="J1658" s="23"/>
      <c r="K1658" s="24"/>
      <c r="L1658" s="23">
        <v>14850</v>
      </c>
      <c r="M1658" s="22">
        <f t="shared" si="176"/>
        <v>4191</v>
      </c>
      <c r="N1658" s="22"/>
      <c r="O1658" s="30">
        <f t="shared" si="177"/>
        <v>0.22010398613518198</v>
      </c>
    </row>
    <row r="1659" spans="1:15" ht="20.100000000000001" customHeight="1" x14ac:dyDescent="0.25">
      <c r="A1659" s="35" t="s">
        <v>535</v>
      </c>
      <c r="B1659" s="36"/>
      <c r="C1659" s="42"/>
      <c r="D1659" s="37"/>
      <c r="E1659" s="46" t="s">
        <v>582</v>
      </c>
      <c r="F1659" s="47">
        <f>M1659*0.17+N1659*0.06+10000</f>
        <v>313060.15090000001</v>
      </c>
      <c r="G1659" s="21">
        <f>H1659*0.05+I1659*0.02+10000</f>
        <v>366824.04700000008</v>
      </c>
      <c r="H1659" s="49">
        <f>SUBTOTAL(109,Август2020[Продажа])</f>
        <v>6823456.9400000004</v>
      </c>
      <c r="I1659" s="49">
        <f>SUBTOTAL(109,Август2020[Продажа НК])</f>
        <v>782560</v>
      </c>
      <c r="J1659" s="49">
        <f>SUBTOTAL(109,Август2020[отк])</f>
        <v>150000</v>
      </c>
      <c r="K1659" s="49">
        <f>SUBTOTAL(109,Август2020[шланги])</f>
        <v>99600</v>
      </c>
      <c r="L1659" s="49">
        <f>SUBTOTAL(109,Август2020[Закупка])</f>
        <v>4827408.17</v>
      </c>
      <c r="M1659" s="49">
        <f>SUBTOTAL(109,Август2020[Маржа])</f>
        <v>1746448.77</v>
      </c>
      <c r="N1659" s="49">
        <f>SUBTOTAL(109,Август2020[Маржа НК])</f>
        <v>102731</v>
      </c>
      <c r="O1659" s="44">
        <f t="shared" si="177"/>
        <v>0.25594779674831508</v>
      </c>
    </row>
    <row r="1660" spans="1:15" ht="20.100000000000001" customHeight="1" x14ac:dyDescent="0.25">
      <c r="A1660" s="41" t="s">
        <v>1</v>
      </c>
      <c r="B1660" s="1" t="s">
        <v>0</v>
      </c>
      <c r="C1660" s="1" t="s">
        <v>26</v>
      </c>
      <c r="D1660" s="1" t="s">
        <v>2</v>
      </c>
      <c r="E1660" s="1" t="s">
        <v>3</v>
      </c>
      <c r="F1660" s="1" t="s">
        <v>27</v>
      </c>
      <c r="G1660" s="1" t="s">
        <v>4</v>
      </c>
      <c r="H1660" s="2" t="s">
        <v>132</v>
      </c>
      <c r="I1660" s="2" t="s">
        <v>133</v>
      </c>
      <c r="J1660" s="40" t="s">
        <v>187</v>
      </c>
      <c r="K1660" s="40" t="s">
        <v>188</v>
      </c>
      <c r="L1660" s="40" t="s">
        <v>129</v>
      </c>
      <c r="M1660" s="40" t="s">
        <v>130</v>
      </c>
      <c r="N1660" s="2" t="s">
        <v>131</v>
      </c>
      <c r="O1660" s="2" t="s">
        <v>134</v>
      </c>
    </row>
    <row r="1661" spans="1:15" ht="20.100000000000001" customHeight="1" x14ac:dyDescent="0.25">
      <c r="A1661" s="33">
        <v>851</v>
      </c>
      <c r="B1661" s="9">
        <v>44070</v>
      </c>
      <c r="C1661" s="18" t="s">
        <v>468</v>
      </c>
      <c r="D1661" s="11">
        <v>42147</v>
      </c>
      <c r="E1661" s="9">
        <v>44076</v>
      </c>
      <c r="F1661" s="15" t="s">
        <v>28</v>
      </c>
      <c r="G1661" s="12">
        <v>44147</v>
      </c>
      <c r="H1661" s="23">
        <f t="shared" ref="H1661:H1678" si="178">D1661</f>
        <v>42147</v>
      </c>
      <c r="I1661" s="23"/>
      <c r="J1661" s="23"/>
      <c r="K1661" s="24"/>
      <c r="L1661" s="23">
        <v>32875</v>
      </c>
      <c r="M1661" s="22">
        <f t="shared" ref="M1661:M1679" si="179">H1661-L1661-J1661-K1661</f>
        <v>9272</v>
      </c>
      <c r="N1661" s="22"/>
      <c r="O1661" s="30">
        <f t="shared" ref="O1661:O1680" si="180">M1661/H1661</f>
        <v>0.21999193299641731</v>
      </c>
    </row>
    <row r="1662" spans="1:15" ht="20.100000000000001" customHeight="1" x14ac:dyDescent="0.25">
      <c r="A1662" s="33">
        <v>888</v>
      </c>
      <c r="B1662" s="9">
        <v>44077</v>
      </c>
      <c r="C1662" s="18" t="s">
        <v>91</v>
      </c>
      <c r="D1662" s="11">
        <v>8892</v>
      </c>
      <c r="E1662" s="9">
        <v>44077</v>
      </c>
      <c r="F1662" s="15" t="s">
        <v>28</v>
      </c>
      <c r="G1662" s="12">
        <v>44084</v>
      </c>
      <c r="H1662" s="23">
        <f t="shared" si="178"/>
        <v>8892</v>
      </c>
      <c r="I1662" s="23"/>
      <c r="J1662" s="23"/>
      <c r="K1662" s="24"/>
      <c r="L1662" s="23">
        <v>6054</v>
      </c>
      <c r="M1662" s="22">
        <f t="shared" si="179"/>
        <v>2838</v>
      </c>
      <c r="N1662" s="22"/>
      <c r="O1662" s="30">
        <f t="shared" si="180"/>
        <v>0.31916329284750339</v>
      </c>
    </row>
    <row r="1663" spans="1:15" ht="20.100000000000001" customHeight="1" x14ac:dyDescent="0.25">
      <c r="A1663" s="33">
        <v>883</v>
      </c>
      <c r="B1663" s="9">
        <v>44076</v>
      </c>
      <c r="C1663" s="18" t="s">
        <v>372</v>
      </c>
      <c r="D1663" s="11">
        <v>2964</v>
      </c>
      <c r="E1663" s="9">
        <v>44077</v>
      </c>
      <c r="F1663" s="15" t="s">
        <v>28</v>
      </c>
      <c r="G1663" s="12">
        <v>44081</v>
      </c>
      <c r="H1663" s="23">
        <f t="shared" si="178"/>
        <v>2964</v>
      </c>
      <c r="I1663" s="23"/>
      <c r="J1663" s="23"/>
      <c r="K1663" s="24"/>
      <c r="L1663" s="23">
        <v>2018</v>
      </c>
      <c r="M1663" s="22">
        <f t="shared" si="179"/>
        <v>946</v>
      </c>
      <c r="N1663" s="22"/>
      <c r="O1663" s="30">
        <f t="shared" si="180"/>
        <v>0.31916329284750339</v>
      </c>
    </row>
    <row r="1664" spans="1:15" ht="20.100000000000001" customHeight="1" x14ac:dyDescent="0.25">
      <c r="A1664" s="33">
        <v>890</v>
      </c>
      <c r="B1664" s="9">
        <v>44077</v>
      </c>
      <c r="C1664" s="20" t="s">
        <v>469</v>
      </c>
      <c r="D1664" s="11">
        <v>2119</v>
      </c>
      <c r="E1664" s="9">
        <v>44077</v>
      </c>
      <c r="F1664" s="15" t="s">
        <v>28</v>
      </c>
      <c r="G1664" s="12">
        <v>44103</v>
      </c>
      <c r="H1664" s="23">
        <f t="shared" si="178"/>
        <v>2119</v>
      </c>
      <c r="I1664" s="23">
        <f>H1664</f>
        <v>2119</v>
      </c>
      <c r="J1664" s="23"/>
      <c r="K1664" s="24"/>
      <c r="L1664" s="23">
        <v>1750</v>
      </c>
      <c r="M1664" s="22">
        <f t="shared" si="179"/>
        <v>369</v>
      </c>
      <c r="N1664" s="22">
        <f>M1664</f>
        <v>369</v>
      </c>
      <c r="O1664" s="30">
        <f t="shared" si="180"/>
        <v>0.17413874469089194</v>
      </c>
    </row>
    <row r="1665" spans="1:15" ht="20.100000000000001" customHeight="1" x14ac:dyDescent="0.25">
      <c r="A1665" s="33">
        <v>914</v>
      </c>
      <c r="B1665" s="9">
        <v>44083</v>
      </c>
      <c r="C1665" s="20" t="s">
        <v>470</v>
      </c>
      <c r="D1665" s="11">
        <v>4389</v>
      </c>
      <c r="E1665" s="9">
        <v>44084</v>
      </c>
      <c r="F1665" s="15" t="s">
        <v>28</v>
      </c>
      <c r="G1665" s="12">
        <v>44103</v>
      </c>
      <c r="H1665" s="23">
        <f t="shared" si="178"/>
        <v>4389</v>
      </c>
      <c r="I1665" s="23">
        <f>H1665</f>
        <v>4389</v>
      </c>
      <c r="J1665" s="23"/>
      <c r="K1665" s="24"/>
      <c r="L1665" s="23">
        <v>3423</v>
      </c>
      <c r="M1665" s="22">
        <f t="shared" si="179"/>
        <v>966</v>
      </c>
      <c r="N1665" s="22">
        <f>M1665</f>
        <v>966</v>
      </c>
      <c r="O1665" s="30">
        <f t="shared" si="180"/>
        <v>0.22009569377990432</v>
      </c>
    </row>
    <row r="1666" spans="1:15" ht="20.100000000000001" customHeight="1" x14ac:dyDescent="0.25">
      <c r="A1666" s="33">
        <v>910</v>
      </c>
      <c r="B1666" s="9">
        <v>44083</v>
      </c>
      <c r="C1666" s="18" t="s">
        <v>404</v>
      </c>
      <c r="D1666" s="11">
        <v>68297</v>
      </c>
      <c r="E1666" s="9">
        <v>44084</v>
      </c>
      <c r="F1666" s="15" t="s">
        <v>28</v>
      </c>
      <c r="G1666" s="12">
        <v>44084</v>
      </c>
      <c r="H1666" s="23">
        <f t="shared" si="178"/>
        <v>68297</v>
      </c>
      <c r="I1666" s="23"/>
      <c r="J1666" s="23"/>
      <c r="K1666" s="24"/>
      <c r="L1666" s="23">
        <v>47514</v>
      </c>
      <c r="M1666" s="22">
        <f t="shared" si="179"/>
        <v>20783</v>
      </c>
      <c r="N1666" s="22"/>
      <c r="O1666" s="30">
        <f t="shared" si="180"/>
        <v>0.30430326368654553</v>
      </c>
    </row>
    <row r="1667" spans="1:15" ht="20.100000000000001" customHeight="1" x14ac:dyDescent="0.25">
      <c r="A1667" s="33">
        <v>916</v>
      </c>
      <c r="B1667" s="9">
        <v>44084</v>
      </c>
      <c r="C1667" s="18" t="s">
        <v>354</v>
      </c>
      <c r="D1667" s="3">
        <v>211450.3</v>
      </c>
      <c r="E1667" s="9">
        <v>44088</v>
      </c>
      <c r="F1667" s="15" t="s">
        <v>28</v>
      </c>
      <c r="G1667" s="12">
        <v>44109</v>
      </c>
      <c r="H1667" s="23">
        <f t="shared" si="178"/>
        <v>211450.3</v>
      </c>
      <c r="I1667" s="23"/>
      <c r="J1667" s="23"/>
      <c r="K1667" s="24"/>
      <c r="L1667" s="23">
        <v>160092</v>
      </c>
      <c r="M1667" s="22">
        <f t="shared" si="179"/>
        <v>51358.299999999988</v>
      </c>
      <c r="N1667" s="22"/>
      <c r="O1667" s="30">
        <f t="shared" si="180"/>
        <v>0.24288591692705089</v>
      </c>
    </row>
    <row r="1668" spans="1:15" ht="20.100000000000001" customHeight="1" x14ac:dyDescent="0.25">
      <c r="A1668" s="33">
        <v>921</v>
      </c>
      <c r="B1668" s="9">
        <v>44085</v>
      </c>
      <c r="C1668" s="18" t="s">
        <v>16</v>
      </c>
      <c r="D1668" s="11">
        <v>19278</v>
      </c>
      <c r="E1668" s="9">
        <v>44088</v>
      </c>
      <c r="F1668" s="15" t="s">
        <v>28</v>
      </c>
      <c r="G1668" s="12">
        <v>44103</v>
      </c>
      <c r="H1668" s="23">
        <f t="shared" si="178"/>
        <v>19278</v>
      </c>
      <c r="I1668" s="23"/>
      <c r="J1668" s="23"/>
      <c r="K1668" s="24"/>
      <c r="L1668" s="23">
        <v>15036</v>
      </c>
      <c r="M1668" s="22">
        <f t="shared" si="179"/>
        <v>4242</v>
      </c>
      <c r="N1668" s="22"/>
      <c r="O1668" s="30">
        <f t="shared" si="180"/>
        <v>0.22004357298474944</v>
      </c>
    </row>
    <row r="1669" spans="1:15" ht="20.100000000000001" customHeight="1" x14ac:dyDescent="0.25">
      <c r="A1669" s="33">
        <v>709</v>
      </c>
      <c r="B1669" s="9">
        <v>44035</v>
      </c>
      <c r="C1669" s="18" t="s">
        <v>56</v>
      </c>
      <c r="D1669" s="11">
        <v>184248</v>
      </c>
      <c r="E1669" s="9">
        <v>44091</v>
      </c>
      <c r="F1669" s="15" t="s">
        <v>28</v>
      </c>
      <c r="G1669" s="12">
        <v>44084</v>
      </c>
      <c r="H1669" s="23">
        <f t="shared" si="178"/>
        <v>184248</v>
      </c>
      <c r="I1669" s="23"/>
      <c r="J1669" s="23"/>
      <c r="K1669" s="24">
        <v>5400</v>
      </c>
      <c r="L1669" s="23">
        <v>118244.6</v>
      </c>
      <c r="M1669" s="22">
        <f t="shared" si="179"/>
        <v>60603.399999999994</v>
      </c>
      <c r="N1669" s="22"/>
      <c r="O1669" s="30">
        <f t="shared" si="180"/>
        <v>0.32892297338370019</v>
      </c>
    </row>
    <row r="1670" spans="1:15" ht="19.5" customHeight="1" x14ac:dyDescent="0.25">
      <c r="A1670" s="33">
        <v>573</v>
      </c>
      <c r="B1670" s="9">
        <v>44011</v>
      </c>
      <c r="C1670" s="18" t="s">
        <v>66</v>
      </c>
      <c r="D1670" s="11">
        <v>14636</v>
      </c>
      <c r="E1670" s="9">
        <v>44091</v>
      </c>
      <c r="F1670" s="15" t="s">
        <v>28</v>
      </c>
      <c r="G1670" s="12">
        <v>44033</v>
      </c>
      <c r="H1670" s="23">
        <f t="shared" si="178"/>
        <v>14636</v>
      </c>
      <c r="I1670" s="23"/>
      <c r="J1670" s="23"/>
      <c r="K1670" s="24"/>
      <c r="L1670" s="23">
        <v>11266</v>
      </c>
      <c r="M1670" s="22">
        <f t="shared" si="179"/>
        <v>3370</v>
      </c>
      <c r="N1670" s="22"/>
      <c r="O1670" s="30">
        <f t="shared" si="180"/>
        <v>0.2302541678054113</v>
      </c>
    </row>
    <row r="1671" spans="1:15" ht="15.75" x14ac:dyDescent="0.25">
      <c r="A1671" s="33">
        <v>751</v>
      </c>
      <c r="B1671" s="9">
        <v>44046</v>
      </c>
      <c r="C1671" s="18" t="s">
        <v>66</v>
      </c>
      <c r="D1671" s="11">
        <v>6620</v>
      </c>
      <c r="E1671" s="9">
        <v>44091</v>
      </c>
      <c r="F1671" s="15" t="s">
        <v>28</v>
      </c>
      <c r="G1671" s="12">
        <v>44047</v>
      </c>
      <c r="H1671" s="23">
        <f t="shared" si="178"/>
        <v>6620</v>
      </c>
      <c r="I1671" s="23"/>
      <c r="J1671" s="23"/>
      <c r="K1671" s="24"/>
      <c r="L1671" s="23">
        <v>5090</v>
      </c>
      <c r="M1671" s="22">
        <f t="shared" si="179"/>
        <v>1530</v>
      </c>
      <c r="N1671" s="22"/>
      <c r="O1671" s="30">
        <f t="shared" si="180"/>
        <v>0.23111782477341389</v>
      </c>
    </row>
    <row r="1672" spans="1:15" s="2" customFormat="1" ht="20.100000000000001" customHeight="1" x14ac:dyDescent="0.25">
      <c r="A1672" s="33">
        <v>589</v>
      </c>
      <c r="B1672" s="9">
        <v>44014</v>
      </c>
      <c r="C1672" s="18" t="s">
        <v>99</v>
      </c>
      <c r="D1672" s="11">
        <v>220412</v>
      </c>
      <c r="E1672" s="9">
        <v>44096</v>
      </c>
      <c r="F1672" s="15" t="s">
        <v>28</v>
      </c>
      <c r="G1672" s="12">
        <v>44062</v>
      </c>
      <c r="H1672" s="23">
        <f t="shared" si="178"/>
        <v>220412</v>
      </c>
      <c r="I1672" s="23"/>
      <c r="J1672" s="23">
        <v>30000</v>
      </c>
      <c r="K1672" s="24">
        <f>10*600</f>
        <v>6000</v>
      </c>
      <c r="L1672" s="23">
        <v>93822</v>
      </c>
      <c r="M1672" s="22">
        <f t="shared" si="179"/>
        <v>90590</v>
      </c>
      <c r="N1672" s="22"/>
      <c r="O1672" s="30">
        <f t="shared" si="180"/>
        <v>0.41100303068798433</v>
      </c>
    </row>
    <row r="1673" spans="1:15" ht="20.100000000000001" customHeight="1" x14ac:dyDescent="0.25">
      <c r="A1673" s="33">
        <v>939</v>
      </c>
      <c r="B1673" s="9">
        <v>44095</v>
      </c>
      <c r="C1673" s="18" t="s">
        <v>270</v>
      </c>
      <c r="D1673" s="11">
        <v>4391</v>
      </c>
      <c r="E1673" s="9">
        <v>44096</v>
      </c>
      <c r="F1673" s="15" t="s">
        <v>28</v>
      </c>
      <c r="G1673" s="12">
        <v>44116</v>
      </c>
      <c r="H1673" s="23">
        <f t="shared" si="178"/>
        <v>4391</v>
      </c>
      <c r="I1673" s="23"/>
      <c r="J1673" s="23"/>
      <c r="K1673" s="24"/>
      <c r="L1673" s="23">
        <v>3425</v>
      </c>
      <c r="M1673" s="22">
        <f t="shared" si="179"/>
        <v>966</v>
      </c>
      <c r="N1673" s="22"/>
      <c r="O1673" s="30">
        <f t="shared" si="180"/>
        <v>0.21999544522887726</v>
      </c>
    </row>
    <row r="1674" spans="1:15" ht="20.100000000000001" customHeight="1" x14ac:dyDescent="0.25">
      <c r="A1674" s="33">
        <v>949</v>
      </c>
      <c r="B1674" s="9">
        <v>44097</v>
      </c>
      <c r="C1674" s="18" t="s">
        <v>211</v>
      </c>
      <c r="D1674" s="11">
        <v>9554</v>
      </c>
      <c r="E1674" s="9">
        <v>44097</v>
      </c>
      <c r="F1674" s="15" t="s">
        <v>28</v>
      </c>
      <c r="G1674" s="12">
        <v>44103</v>
      </c>
      <c r="H1674" s="23">
        <f t="shared" si="178"/>
        <v>9554</v>
      </c>
      <c r="I1674" s="23"/>
      <c r="J1674" s="23"/>
      <c r="K1674" s="24"/>
      <c r="L1674" s="23">
        <v>6947</v>
      </c>
      <c r="M1674" s="22">
        <f t="shared" si="179"/>
        <v>2607</v>
      </c>
      <c r="N1674" s="22"/>
      <c r="O1674" s="30">
        <f t="shared" si="180"/>
        <v>0.27287000209336404</v>
      </c>
    </row>
    <row r="1675" spans="1:15" ht="20.100000000000001" customHeight="1" x14ac:dyDescent="0.25">
      <c r="A1675" s="33">
        <v>937</v>
      </c>
      <c r="B1675" s="9">
        <v>44097</v>
      </c>
      <c r="C1675" s="18" t="s">
        <v>12</v>
      </c>
      <c r="D1675" s="11">
        <v>3138</v>
      </c>
      <c r="E1675" s="9">
        <v>44097</v>
      </c>
      <c r="F1675" s="15" t="s">
        <v>28</v>
      </c>
      <c r="G1675" s="12">
        <v>44098</v>
      </c>
      <c r="H1675" s="23">
        <f t="shared" si="178"/>
        <v>3138</v>
      </c>
      <c r="I1675" s="23"/>
      <c r="J1675" s="23"/>
      <c r="K1675" s="24"/>
      <c r="L1675" s="23">
        <v>2018</v>
      </c>
      <c r="M1675" s="22">
        <f t="shared" si="179"/>
        <v>1120</v>
      </c>
      <c r="N1675" s="22"/>
      <c r="O1675" s="30">
        <f t="shared" si="180"/>
        <v>0.35691523263224983</v>
      </c>
    </row>
    <row r="1676" spans="1:15" ht="20.100000000000001" customHeight="1" x14ac:dyDescent="0.25">
      <c r="A1676" s="33">
        <v>905</v>
      </c>
      <c r="B1676" s="9">
        <v>44082</v>
      </c>
      <c r="C1676" s="18" t="s">
        <v>56</v>
      </c>
      <c r="D1676" s="11">
        <v>65687</v>
      </c>
      <c r="E1676" s="9">
        <v>44099</v>
      </c>
      <c r="F1676" s="15" t="s">
        <v>28</v>
      </c>
      <c r="G1676" s="12">
        <v>44090</v>
      </c>
      <c r="H1676" s="23">
        <f t="shared" si="178"/>
        <v>65687</v>
      </c>
      <c r="I1676" s="23"/>
      <c r="J1676" s="23"/>
      <c r="K1676" s="24">
        <v>4200</v>
      </c>
      <c r="L1676" s="23">
        <v>37866.300000000003</v>
      </c>
      <c r="M1676" s="22">
        <f t="shared" si="179"/>
        <v>23620.699999999997</v>
      </c>
      <c r="N1676" s="22"/>
      <c r="O1676" s="30">
        <f t="shared" si="180"/>
        <v>0.35959474477446063</v>
      </c>
    </row>
    <row r="1677" spans="1:15" ht="20.100000000000001" customHeight="1" x14ac:dyDescent="0.25">
      <c r="A1677" s="33">
        <v>946</v>
      </c>
      <c r="B1677" s="9">
        <v>44096</v>
      </c>
      <c r="C1677" s="18" t="s">
        <v>403</v>
      </c>
      <c r="D1677" s="11">
        <v>7106</v>
      </c>
      <c r="E1677" s="9">
        <v>44102</v>
      </c>
      <c r="F1677" s="15" t="s">
        <v>28</v>
      </c>
      <c r="G1677" s="12">
        <v>44111</v>
      </c>
      <c r="H1677" s="23">
        <f t="shared" si="178"/>
        <v>7106</v>
      </c>
      <c r="I1677" s="23"/>
      <c r="J1677" s="23"/>
      <c r="K1677" s="24"/>
      <c r="L1677" s="23">
        <v>5168</v>
      </c>
      <c r="M1677" s="22">
        <f t="shared" si="179"/>
        <v>1938</v>
      </c>
      <c r="N1677" s="22"/>
      <c r="O1677" s="30">
        <f t="shared" si="180"/>
        <v>0.27272727272727271</v>
      </c>
    </row>
    <row r="1678" spans="1:15" ht="20.100000000000001" customHeight="1" x14ac:dyDescent="0.25">
      <c r="A1678" s="33">
        <v>925</v>
      </c>
      <c r="B1678" s="9">
        <v>44088</v>
      </c>
      <c r="C1678" s="18" t="s">
        <v>13</v>
      </c>
      <c r="D1678" s="11">
        <v>3138</v>
      </c>
      <c r="E1678" s="9">
        <v>44103</v>
      </c>
      <c r="F1678" s="15" t="s">
        <v>28</v>
      </c>
      <c r="G1678" s="12">
        <v>44092</v>
      </c>
      <c r="H1678" s="23">
        <f t="shared" si="178"/>
        <v>3138</v>
      </c>
      <c r="I1678" s="23"/>
      <c r="J1678" s="23"/>
      <c r="K1678" s="24"/>
      <c r="L1678" s="23">
        <v>2018</v>
      </c>
      <c r="M1678" s="22">
        <f t="shared" si="179"/>
        <v>1120</v>
      </c>
      <c r="N1678" s="22"/>
      <c r="O1678" s="30">
        <f t="shared" si="180"/>
        <v>0.35691523263224983</v>
      </c>
    </row>
    <row r="1679" spans="1:15" ht="20.100000000000001" customHeight="1" x14ac:dyDescent="0.25">
      <c r="A1679" s="33">
        <v>852</v>
      </c>
      <c r="B1679" s="9">
        <v>44084</v>
      </c>
      <c r="C1679" s="18" t="s">
        <v>13</v>
      </c>
      <c r="D1679" s="11">
        <v>195634</v>
      </c>
      <c r="E1679" s="9">
        <v>44104</v>
      </c>
      <c r="F1679" s="15" t="s">
        <v>28</v>
      </c>
      <c r="G1679" s="12">
        <v>44116</v>
      </c>
      <c r="H1679" s="23">
        <v>146725.5</v>
      </c>
      <c r="I1679" s="23"/>
      <c r="J1679" s="23"/>
      <c r="K1679" s="24"/>
      <c r="L1679" s="23">
        <v>107410</v>
      </c>
      <c r="M1679" s="22">
        <f t="shared" si="179"/>
        <v>39315.5</v>
      </c>
      <c r="N1679" s="22"/>
      <c r="O1679" s="30">
        <f t="shared" si="180"/>
        <v>0.26795274168430167</v>
      </c>
    </row>
    <row r="1680" spans="1:15" ht="20.100000000000001" customHeight="1" x14ac:dyDescent="0.25">
      <c r="A1680" s="35" t="s">
        <v>535</v>
      </c>
      <c r="B1680" s="36"/>
      <c r="C1680" s="42"/>
      <c r="D1680" s="37"/>
      <c r="E1680" s="46" t="s">
        <v>583</v>
      </c>
      <c r="F1680" s="47">
        <f>M1680*0.17+N1680*0.06+10000</f>
        <v>64064.432999999997</v>
      </c>
      <c r="G1680" s="21">
        <f>H1680*0.05+I1680*0.02+10000</f>
        <v>61389.750000000007</v>
      </c>
      <c r="H1680" s="49">
        <f>SUBTOTAL(109,Сентябрь2020[Продажа])</f>
        <v>1025191.8</v>
      </c>
      <c r="I1680" s="49">
        <f>SUBTOTAL(109,Сентябрь2020[Продажа НК])</f>
        <v>6508</v>
      </c>
      <c r="J1680" s="49">
        <f>SUBTOTAL(109,Сентябрь2020[отк])</f>
        <v>30000</v>
      </c>
      <c r="K1680" s="49">
        <f>SUBTOTAL(109,Сентябрь2020[шланги])</f>
        <v>15600</v>
      </c>
      <c r="L1680" s="49">
        <f>SUBTOTAL(109,Сентябрь2020[Закупка])</f>
        <v>662036.9</v>
      </c>
      <c r="M1680" s="49">
        <f>SUBTOTAL(109,Сентябрь2020[Маржа])</f>
        <v>317554.89999999997</v>
      </c>
      <c r="N1680" s="49">
        <f>SUBTOTAL(109,Сентябрь2020[Маржа НК])</f>
        <v>1335</v>
      </c>
      <c r="O1680" s="44">
        <f t="shared" si="180"/>
        <v>0.30975169719461271</v>
      </c>
    </row>
    <row r="1681" spans="1:15" ht="20.100000000000001" customHeight="1" x14ac:dyDescent="0.25">
      <c r="A1681" s="41" t="s">
        <v>1</v>
      </c>
      <c r="B1681" s="1" t="s">
        <v>0</v>
      </c>
      <c r="C1681" s="1" t="s">
        <v>26</v>
      </c>
      <c r="D1681" s="1" t="s">
        <v>2</v>
      </c>
      <c r="E1681" s="1" t="s">
        <v>3</v>
      </c>
      <c r="F1681" s="1" t="s">
        <v>27</v>
      </c>
      <c r="G1681" s="1" t="s">
        <v>4</v>
      </c>
      <c r="H1681" s="2" t="s">
        <v>132</v>
      </c>
      <c r="I1681" s="2" t="s">
        <v>133</v>
      </c>
      <c r="J1681" s="40" t="s">
        <v>187</v>
      </c>
      <c r="K1681" s="40" t="s">
        <v>188</v>
      </c>
      <c r="L1681" s="40" t="s">
        <v>129</v>
      </c>
      <c r="M1681" s="40" t="s">
        <v>130</v>
      </c>
      <c r="N1681" s="2" t="s">
        <v>131</v>
      </c>
      <c r="O1681" s="2" t="s">
        <v>134</v>
      </c>
    </row>
    <row r="1682" spans="1:15" ht="20.100000000000001" customHeight="1" x14ac:dyDescent="0.25">
      <c r="A1682" s="33">
        <v>588</v>
      </c>
      <c r="B1682" s="9">
        <v>44014</v>
      </c>
      <c r="C1682" s="18" t="s">
        <v>433</v>
      </c>
      <c r="D1682" s="11">
        <v>2742</v>
      </c>
      <c r="E1682" s="9">
        <v>44105</v>
      </c>
      <c r="F1682" s="15" t="s">
        <v>28</v>
      </c>
      <c r="G1682" s="12">
        <v>44019</v>
      </c>
      <c r="H1682" s="23">
        <f>D1682</f>
        <v>2742</v>
      </c>
      <c r="I1682" s="23"/>
      <c r="J1682" s="23"/>
      <c r="K1682" s="24"/>
      <c r="L1682" s="23">
        <v>1864</v>
      </c>
      <c r="M1682" s="22">
        <f t="shared" ref="M1682:M1703" si="181">H1682-L1682-J1682-K1682</f>
        <v>878</v>
      </c>
      <c r="N1682" s="22"/>
      <c r="O1682" s="30">
        <f t="shared" ref="O1682:O1704" si="182">M1682/H1682</f>
        <v>0.3202042304886944</v>
      </c>
    </row>
    <row r="1683" spans="1:15" ht="20.100000000000001" customHeight="1" x14ac:dyDescent="0.25">
      <c r="A1683" s="33">
        <v>973</v>
      </c>
      <c r="B1683" s="9">
        <v>44106</v>
      </c>
      <c r="C1683" s="18" t="s">
        <v>211</v>
      </c>
      <c r="D1683" s="11">
        <v>13690</v>
      </c>
      <c r="E1683" s="9">
        <v>44109</v>
      </c>
      <c r="F1683" s="15" t="s">
        <v>28</v>
      </c>
      <c r="G1683" s="12">
        <v>44123</v>
      </c>
      <c r="H1683" s="23">
        <f>D1683</f>
        <v>13690</v>
      </c>
      <c r="I1683" s="23"/>
      <c r="J1683" s="23"/>
      <c r="K1683" s="24"/>
      <c r="L1683" s="23">
        <v>11280</v>
      </c>
      <c r="M1683" s="22">
        <f t="shared" si="181"/>
        <v>2410</v>
      </c>
      <c r="N1683" s="22"/>
      <c r="O1683" s="30">
        <f t="shared" si="182"/>
        <v>0.1760409057706355</v>
      </c>
    </row>
    <row r="1684" spans="1:15" ht="20.100000000000001" customHeight="1" x14ac:dyDescent="0.25">
      <c r="A1684" s="33">
        <v>1008</v>
      </c>
      <c r="B1684" s="9">
        <v>44117</v>
      </c>
      <c r="C1684" s="18" t="s">
        <v>372</v>
      </c>
      <c r="D1684" s="11">
        <v>3665</v>
      </c>
      <c r="E1684" s="9">
        <v>44117</v>
      </c>
      <c r="F1684" s="15" t="s">
        <v>28</v>
      </c>
      <c r="G1684" s="12">
        <v>44119</v>
      </c>
      <c r="H1684" s="23">
        <f>D1684</f>
        <v>3665</v>
      </c>
      <c r="I1684" s="23"/>
      <c r="J1684" s="23"/>
      <c r="K1684" s="24"/>
      <c r="L1684" s="23">
        <v>2858</v>
      </c>
      <c r="M1684" s="22">
        <f t="shared" si="181"/>
        <v>807</v>
      </c>
      <c r="N1684" s="22"/>
      <c r="O1684" s="30">
        <f t="shared" si="182"/>
        <v>0.22019099590723057</v>
      </c>
    </row>
    <row r="1685" spans="1:15" ht="20.100000000000001" customHeight="1" x14ac:dyDescent="0.25">
      <c r="A1685" s="33">
        <v>827</v>
      </c>
      <c r="B1685" s="9">
        <v>44082</v>
      </c>
      <c r="C1685" s="18" t="s">
        <v>65</v>
      </c>
      <c r="D1685" s="11">
        <v>272424.03999999998</v>
      </c>
      <c r="E1685" s="9">
        <v>44119</v>
      </c>
      <c r="F1685" s="15" t="s">
        <v>28</v>
      </c>
      <c r="G1685" s="12">
        <v>44084</v>
      </c>
      <c r="H1685" s="23">
        <v>246537.07</v>
      </c>
      <c r="I1685" s="23"/>
      <c r="J1685" s="23"/>
      <c r="K1685" s="24">
        <f>16*1200</f>
        <v>19200</v>
      </c>
      <c r="L1685" s="23">
        <v>147569.68</v>
      </c>
      <c r="M1685" s="22">
        <f t="shared" si="181"/>
        <v>79767.390000000014</v>
      </c>
      <c r="N1685" s="22"/>
      <c r="O1685" s="30">
        <f t="shared" si="182"/>
        <v>0.32355130204151455</v>
      </c>
    </row>
    <row r="1686" spans="1:15" ht="20.100000000000001" customHeight="1" x14ac:dyDescent="0.25">
      <c r="A1686" s="33">
        <v>901</v>
      </c>
      <c r="B1686" s="9">
        <v>44081</v>
      </c>
      <c r="C1686" s="18" t="s">
        <v>303</v>
      </c>
      <c r="D1686" s="11">
        <v>6043.5</v>
      </c>
      <c r="E1686" s="9">
        <v>44120</v>
      </c>
      <c r="F1686" s="15" t="s">
        <v>28</v>
      </c>
      <c r="G1686" s="12">
        <v>44120</v>
      </c>
      <c r="H1686" s="23">
        <f t="shared" ref="H1686:H1693" si="183">D1686</f>
        <v>6043.5</v>
      </c>
      <c r="I1686" s="23"/>
      <c r="J1686" s="23"/>
      <c r="K1686" s="24"/>
      <c r="L1686" s="23">
        <v>5425</v>
      </c>
      <c r="M1686" s="22">
        <f t="shared" si="181"/>
        <v>618.5</v>
      </c>
      <c r="N1686" s="22"/>
      <c r="O1686" s="30">
        <f t="shared" si="182"/>
        <v>0.10234135848432199</v>
      </c>
    </row>
    <row r="1687" spans="1:15" ht="20.100000000000001" customHeight="1" x14ac:dyDescent="0.25">
      <c r="A1687" s="33">
        <v>1035</v>
      </c>
      <c r="B1687" s="9">
        <v>44124</v>
      </c>
      <c r="C1687" s="20" t="s">
        <v>471</v>
      </c>
      <c r="D1687" s="11">
        <v>2156</v>
      </c>
      <c r="E1687" s="9">
        <v>44126</v>
      </c>
      <c r="F1687" s="15" t="s">
        <v>28</v>
      </c>
      <c r="G1687" s="12">
        <v>44127</v>
      </c>
      <c r="H1687" s="23">
        <f t="shared" si="183"/>
        <v>2156</v>
      </c>
      <c r="I1687" s="23">
        <f>H1687</f>
        <v>2156</v>
      </c>
      <c r="J1687" s="23"/>
      <c r="K1687" s="24"/>
      <c r="L1687" s="23">
        <v>1504</v>
      </c>
      <c r="M1687" s="22">
        <f t="shared" si="181"/>
        <v>652</v>
      </c>
      <c r="N1687" s="22">
        <f>M1687</f>
        <v>652</v>
      </c>
      <c r="O1687" s="30">
        <f t="shared" si="182"/>
        <v>0.30241187384044527</v>
      </c>
    </row>
    <row r="1688" spans="1:15" ht="20.100000000000001" customHeight="1" x14ac:dyDescent="0.25">
      <c r="A1688" s="33">
        <v>1045</v>
      </c>
      <c r="B1688" s="9">
        <v>44126</v>
      </c>
      <c r="C1688" s="18" t="s">
        <v>179</v>
      </c>
      <c r="D1688" s="11">
        <v>12144</v>
      </c>
      <c r="E1688" s="9">
        <v>44130</v>
      </c>
      <c r="F1688" s="15" t="s">
        <v>28</v>
      </c>
      <c r="G1688" s="12">
        <v>44162</v>
      </c>
      <c r="H1688" s="23">
        <f t="shared" si="183"/>
        <v>12144</v>
      </c>
      <c r="I1688" s="23"/>
      <c r="J1688" s="23"/>
      <c r="K1688" s="24"/>
      <c r="L1688" s="23">
        <v>8607</v>
      </c>
      <c r="M1688" s="22">
        <f t="shared" si="181"/>
        <v>3537</v>
      </c>
      <c r="N1688" s="22"/>
      <c r="O1688" s="30">
        <f t="shared" si="182"/>
        <v>0.29125494071146246</v>
      </c>
    </row>
    <row r="1689" spans="1:15" ht="19.5" customHeight="1" x14ac:dyDescent="0.25">
      <c r="A1689" s="33">
        <v>867</v>
      </c>
      <c r="B1689" s="9">
        <v>44074</v>
      </c>
      <c r="C1689" s="18" t="s">
        <v>209</v>
      </c>
      <c r="D1689" s="11">
        <v>3269.55</v>
      </c>
      <c r="E1689" s="9">
        <v>44130</v>
      </c>
      <c r="F1689" s="15" t="s">
        <v>28</v>
      </c>
      <c r="G1689" s="12">
        <v>44081</v>
      </c>
      <c r="H1689" s="23">
        <f t="shared" si="183"/>
        <v>3269.55</v>
      </c>
      <c r="I1689" s="23"/>
      <c r="J1689" s="23"/>
      <c r="K1689" s="24"/>
      <c r="L1689" s="23">
        <v>2947</v>
      </c>
      <c r="M1689" s="22">
        <f t="shared" si="181"/>
        <v>322.55000000000018</v>
      </c>
      <c r="N1689" s="22"/>
      <c r="O1689" s="30">
        <f t="shared" si="182"/>
        <v>9.8652719793243762E-2</v>
      </c>
    </row>
    <row r="1690" spans="1:15" ht="15.75" x14ac:dyDescent="0.25">
      <c r="A1690" s="33">
        <v>1041</v>
      </c>
      <c r="B1690" s="9">
        <v>44125</v>
      </c>
      <c r="C1690" s="18" t="s">
        <v>403</v>
      </c>
      <c r="D1690" s="11">
        <v>7501</v>
      </c>
      <c r="E1690" s="9">
        <v>44130</v>
      </c>
      <c r="F1690" s="15" t="s">
        <v>28</v>
      </c>
      <c r="G1690" s="12">
        <v>44133</v>
      </c>
      <c r="H1690" s="23">
        <f t="shared" si="183"/>
        <v>7501</v>
      </c>
      <c r="I1690" s="23"/>
      <c r="J1690" s="23"/>
      <c r="K1690" s="24"/>
      <c r="L1690" s="23">
        <v>5168</v>
      </c>
      <c r="M1690" s="22">
        <f t="shared" si="181"/>
        <v>2333</v>
      </c>
      <c r="N1690" s="22"/>
      <c r="O1690" s="30">
        <f t="shared" si="182"/>
        <v>0.31102519664044792</v>
      </c>
    </row>
    <row r="1691" spans="1:15" s="2" customFormat="1" ht="20.100000000000001" customHeight="1" x14ac:dyDescent="0.25">
      <c r="A1691" s="33">
        <v>1055</v>
      </c>
      <c r="B1691" s="9">
        <v>44127</v>
      </c>
      <c r="C1691" s="18" t="s">
        <v>372</v>
      </c>
      <c r="D1691" s="11">
        <v>5702</v>
      </c>
      <c r="E1691" s="9">
        <v>44130</v>
      </c>
      <c r="F1691" s="15" t="s">
        <v>28</v>
      </c>
      <c r="G1691" s="12">
        <v>44154</v>
      </c>
      <c r="H1691" s="23">
        <f t="shared" si="183"/>
        <v>5702</v>
      </c>
      <c r="I1691" s="23"/>
      <c r="J1691" s="23"/>
      <c r="K1691" s="24"/>
      <c r="L1691" s="23">
        <v>4448</v>
      </c>
      <c r="M1691" s="22">
        <f t="shared" si="181"/>
        <v>1254</v>
      </c>
      <c r="N1691" s="22"/>
      <c r="O1691" s="30">
        <f t="shared" si="182"/>
        <v>0.2199228340933006</v>
      </c>
    </row>
    <row r="1692" spans="1:15" ht="20.100000000000001" customHeight="1" x14ac:dyDescent="0.25">
      <c r="A1692" s="33">
        <v>1032</v>
      </c>
      <c r="B1692" s="9">
        <v>44124</v>
      </c>
      <c r="C1692" s="18" t="s">
        <v>206</v>
      </c>
      <c r="D1692" s="11">
        <v>9874</v>
      </c>
      <c r="E1692" s="9">
        <v>44131</v>
      </c>
      <c r="F1692" s="15" t="s">
        <v>28</v>
      </c>
      <c r="G1692" s="12">
        <v>44124</v>
      </c>
      <c r="H1692" s="23">
        <f t="shared" si="183"/>
        <v>9874</v>
      </c>
      <c r="I1692" s="23"/>
      <c r="J1692" s="23"/>
      <c r="K1692" s="24"/>
      <c r="L1692" s="23">
        <v>7366</v>
      </c>
      <c r="M1692" s="22">
        <f t="shared" si="181"/>
        <v>2508</v>
      </c>
      <c r="N1692" s="22"/>
      <c r="O1692" s="30">
        <f t="shared" si="182"/>
        <v>0.25400040510431438</v>
      </c>
    </row>
    <row r="1693" spans="1:15" ht="20.100000000000001" customHeight="1" x14ac:dyDescent="0.25">
      <c r="A1693" s="33">
        <v>1033</v>
      </c>
      <c r="B1693" s="9">
        <v>44124</v>
      </c>
      <c r="C1693" s="18" t="s">
        <v>206</v>
      </c>
      <c r="D1693" s="11">
        <v>9054</v>
      </c>
      <c r="E1693" s="9">
        <v>44131</v>
      </c>
      <c r="F1693" s="15" t="s">
        <v>28</v>
      </c>
      <c r="G1693" s="12">
        <v>44124</v>
      </c>
      <c r="H1693" s="23">
        <f t="shared" si="183"/>
        <v>9054</v>
      </c>
      <c r="I1693" s="23"/>
      <c r="J1693" s="23"/>
      <c r="K1693" s="24"/>
      <c r="L1693" s="23">
        <v>6368</v>
      </c>
      <c r="M1693" s="22">
        <f t="shared" si="181"/>
        <v>2686</v>
      </c>
      <c r="N1693" s="22"/>
      <c r="O1693" s="30">
        <f t="shared" si="182"/>
        <v>0.29666445769825489</v>
      </c>
    </row>
    <row r="1694" spans="1:15" ht="20.100000000000001" customHeight="1" x14ac:dyDescent="0.25">
      <c r="A1694" s="33">
        <v>944</v>
      </c>
      <c r="B1694" s="9">
        <v>44133</v>
      </c>
      <c r="C1694" s="18" t="s">
        <v>387</v>
      </c>
      <c r="D1694" s="11">
        <v>3164</v>
      </c>
      <c r="E1694" s="9">
        <v>44133</v>
      </c>
      <c r="F1694" s="15" t="s">
        <v>28</v>
      </c>
      <c r="G1694" s="12">
        <v>44148</v>
      </c>
      <c r="H1694" s="23">
        <v>2998</v>
      </c>
      <c r="I1694" s="23"/>
      <c r="J1694" s="23"/>
      <c r="K1694" s="24"/>
      <c r="L1694" s="23">
        <v>2000</v>
      </c>
      <c r="M1694" s="22">
        <f t="shared" si="181"/>
        <v>998</v>
      </c>
      <c r="N1694" s="22"/>
      <c r="O1694" s="30">
        <f t="shared" si="182"/>
        <v>0.33288859239492996</v>
      </c>
    </row>
    <row r="1695" spans="1:15" ht="20.100000000000001" customHeight="1" x14ac:dyDescent="0.25">
      <c r="A1695" s="33">
        <v>1081</v>
      </c>
      <c r="B1695" s="9">
        <v>44133</v>
      </c>
      <c r="C1695" s="18" t="s">
        <v>443</v>
      </c>
      <c r="D1695" s="11">
        <v>5799.98</v>
      </c>
      <c r="E1695" s="9">
        <v>44133</v>
      </c>
      <c r="F1695" s="15" t="s">
        <v>28</v>
      </c>
      <c r="G1695" s="12">
        <v>44138</v>
      </c>
      <c r="H1695" s="23">
        <f>D1695</f>
        <v>5799.98</v>
      </c>
      <c r="I1695" s="23"/>
      <c r="J1695" s="23"/>
      <c r="K1695" s="24"/>
      <c r="L1695" s="23">
        <v>4044</v>
      </c>
      <c r="M1695" s="22">
        <f t="shared" si="181"/>
        <v>1755.9799999999996</v>
      </c>
      <c r="N1695" s="22"/>
      <c r="O1695" s="30">
        <f t="shared" si="182"/>
        <v>0.30275621640074618</v>
      </c>
    </row>
    <row r="1696" spans="1:15" ht="20.100000000000001" customHeight="1" x14ac:dyDescent="0.25">
      <c r="A1696" s="33">
        <v>951</v>
      </c>
      <c r="B1696" s="9">
        <v>44098</v>
      </c>
      <c r="C1696" s="18" t="s">
        <v>433</v>
      </c>
      <c r="D1696" s="11">
        <v>40990</v>
      </c>
      <c r="E1696" s="9">
        <v>44133</v>
      </c>
      <c r="F1696" s="15" t="s">
        <v>28</v>
      </c>
      <c r="G1696" s="12">
        <v>44099</v>
      </c>
      <c r="H1696" s="23">
        <f>D1696</f>
        <v>40990</v>
      </c>
      <c r="I1696" s="23"/>
      <c r="J1696" s="23"/>
      <c r="K1696" s="24"/>
      <c r="L1696" s="23">
        <v>30127</v>
      </c>
      <c r="M1696" s="22">
        <f t="shared" si="181"/>
        <v>10863</v>
      </c>
      <c r="N1696" s="22"/>
      <c r="O1696" s="30">
        <f t="shared" si="182"/>
        <v>0.26501585752622592</v>
      </c>
    </row>
    <row r="1697" spans="1:15" ht="20.100000000000001" customHeight="1" x14ac:dyDescent="0.25">
      <c r="A1697" s="33">
        <v>827</v>
      </c>
      <c r="B1697" s="9">
        <v>44082</v>
      </c>
      <c r="C1697" s="18" t="s">
        <v>65</v>
      </c>
      <c r="D1697" s="11">
        <v>272424.03999999998</v>
      </c>
      <c r="E1697" s="9">
        <v>44133</v>
      </c>
      <c r="F1697" s="15" t="s">
        <v>28</v>
      </c>
      <c r="G1697" s="12">
        <v>44102</v>
      </c>
      <c r="H1697" s="23">
        <v>25886.97</v>
      </c>
      <c r="I1697" s="23"/>
      <c r="J1697" s="23"/>
      <c r="K1697" s="24"/>
      <c r="L1697" s="23">
        <v>21378</v>
      </c>
      <c r="M1697" s="22">
        <f t="shared" si="181"/>
        <v>4508.9700000000012</v>
      </c>
      <c r="N1697" s="22"/>
      <c r="O1697" s="30">
        <f t="shared" si="182"/>
        <v>0.17417913336323257</v>
      </c>
    </row>
    <row r="1698" spans="1:15" ht="20.100000000000001" customHeight="1" x14ac:dyDescent="0.25">
      <c r="A1698" s="33">
        <v>1062</v>
      </c>
      <c r="B1698" s="9">
        <v>44130</v>
      </c>
      <c r="C1698" s="18" t="s">
        <v>209</v>
      </c>
      <c r="D1698" s="11">
        <v>10291.799999999999</v>
      </c>
      <c r="E1698" s="9">
        <v>44133</v>
      </c>
      <c r="F1698" s="15" t="s">
        <v>28</v>
      </c>
      <c r="G1698" s="12">
        <v>44158</v>
      </c>
      <c r="H1698" s="23">
        <v>698</v>
      </c>
      <c r="I1698" s="23"/>
      <c r="J1698" s="23"/>
      <c r="K1698" s="24"/>
      <c r="L1698" s="23">
        <v>630</v>
      </c>
      <c r="M1698" s="22">
        <f t="shared" si="181"/>
        <v>68</v>
      </c>
      <c r="N1698" s="22"/>
      <c r="O1698" s="30">
        <f t="shared" si="182"/>
        <v>9.7421203438395415E-2</v>
      </c>
    </row>
    <row r="1699" spans="1:15" ht="20.100000000000001" customHeight="1" x14ac:dyDescent="0.25">
      <c r="A1699" s="33">
        <v>852</v>
      </c>
      <c r="B1699" s="9">
        <v>44084</v>
      </c>
      <c r="C1699" s="18" t="s">
        <v>13</v>
      </c>
      <c r="D1699" s="11">
        <v>195634</v>
      </c>
      <c r="E1699" s="9">
        <v>44134</v>
      </c>
      <c r="F1699" s="15" t="s">
        <v>28</v>
      </c>
      <c r="G1699" s="12">
        <v>44116</v>
      </c>
      <c r="H1699" s="23">
        <v>48908.5</v>
      </c>
      <c r="I1699" s="23"/>
      <c r="J1699" s="23"/>
      <c r="K1699" s="24"/>
      <c r="L1699" s="23">
        <v>35803</v>
      </c>
      <c r="M1699" s="22">
        <f t="shared" si="181"/>
        <v>13105.5</v>
      </c>
      <c r="N1699" s="22"/>
      <c r="O1699" s="30">
        <f t="shared" si="182"/>
        <v>0.26795955713219582</v>
      </c>
    </row>
    <row r="1700" spans="1:15" ht="20.100000000000001" customHeight="1" x14ac:dyDescent="0.25">
      <c r="A1700" s="33">
        <v>1089</v>
      </c>
      <c r="B1700" s="9">
        <v>44133</v>
      </c>
      <c r="C1700" s="18" t="s">
        <v>16</v>
      </c>
      <c r="D1700" s="11">
        <v>15002</v>
      </c>
      <c r="E1700" s="9">
        <v>44134</v>
      </c>
      <c r="F1700" s="15" t="s">
        <v>28</v>
      </c>
      <c r="G1700" s="12">
        <v>44137</v>
      </c>
      <c r="H1700" s="23">
        <f>D1700</f>
        <v>15002</v>
      </c>
      <c r="I1700" s="23"/>
      <c r="J1700" s="23"/>
      <c r="K1700" s="24"/>
      <c r="L1700" s="23">
        <v>10336</v>
      </c>
      <c r="M1700" s="22">
        <f t="shared" si="181"/>
        <v>4666</v>
      </c>
      <c r="N1700" s="22"/>
      <c r="O1700" s="30">
        <f t="shared" si="182"/>
        <v>0.31102519664044792</v>
      </c>
    </row>
    <row r="1701" spans="1:15" ht="19.5" customHeight="1" x14ac:dyDescent="0.25">
      <c r="A1701" s="33">
        <v>1091</v>
      </c>
      <c r="B1701" s="9">
        <v>44133</v>
      </c>
      <c r="C1701" s="18" t="s">
        <v>440</v>
      </c>
      <c r="D1701" s="11">
        <v>2303</v>
      </c>
      <c r="E1701" s="9">
        <v>44134</v>
      </c>
      <c r="F1701" s="15" t="s">
        <v>28</v>
      </c>
      <c r="G1701" s="12">
        <v>44133</v>
      </c>
      <c r="H1701" s="23">
        <f>D1701</f>
        <v>2303</v>
      </c>
      <c r="I1701" s="23"/>
      <c r="J1701" s="23"/>
      <c r="K1701" s="24"/>
      <c r="L1701" s="23">
        <v>1796</v>
      </c>
      <c r="M1701" s="22">
        <f t="shared" si="181"/>
        <v>507</v>
      </c>
      <c r="N1701" s="22"/>
      <c r="O1701" s="30">
        <f t="shared" si="182"/>
        <v>0.22014763352149369</v>
      </c>
    </row>
    <row r="1702" spans="1:15" ht="15.75" x14ac:dyDescent="0.25">
      <c r="A1702" s="33">
        <v>920</v>
      </c>
      <c r="B1702" s="9">
        <v>44130</v>
      </c>
      <c r="C1702" s="18" t="s">
        <v>301</v>
      </c>
      <c r="D1702" s="11">
        <v>7400</v>
      </c>
      <c r="E1702" s="9">
        <v>44134</v>
      </c>
      <c r="F1702" s="15" t="s">
        <v>28</v>
      </c>
      <c r="G1702" s="12">
        <v>44162</v>
      </c>
      <c r="H1702" s="23">
        <f>D1702</f>
        <v>7400</v>
      </c>
      <c r="I1702" s="23"/>
      <c r="J1702" s="23"/>
      <c r="K1702" s="24"/>
      <c r="L1702" s="23">
        <v>5090</v>
      </c>
      <c r="M1702" s="22">
        <f t="shared" si="181"/>
        <v>2310</v>
      </c>
      <c r="N1702" s="22"/>
      <c r="O1702" s="30">
        <f t="shared" si="182"/>
        <v>0.31216216216216214</v>
      </c>
    </row>
    <row r="1703" spans="1:15" s="2" customFormat="1" ht="20.100000000000001" customHeight="1" x14ac:dyDescent="0.25">
      <c r="A1703" s="33">
        <v>965</v>
      </c>
      <c r="B1703" s="9">
        <v>44105</v>
      </c>
      <c r="C1703" s="18" t="s">
        <v>56</v>
      </c>
      <c r="D1703" s="11">
        <v>69929</v>
      </c>
      <c r="E1703" s="9">
        <v>44134</v>
      </c>
      <c r="F1703" s="15" t="s">
        <v>28</v>
      </c>
      <c r="G1703" s="12">
        <v>44110</v>
      </c>
      <c r="H1703" s="23">
        <f>D1703</f>
        <v>69929</v>
      </c>
      <c r="I1703" s="23"/>
      <c r="J1703" s="23"/>
      <c r="K1703" s="24">
        <v>2400</v>
      </c>
      <c r="L1703" s="23">
        <v>44184.1</v>
      </c>
      <c r="M1703" s="22">
        <f t="shared" si="181"/>
        <v>23344.9</v>
      </c>
      <c r="N1703" s="22"/>
      <c r="O1703" s="30">
        <f t="shared" si="182"/>
        <v>0.33383717770881899</v>
      </c>
    </row>
    <row r="1704" spans="1:15" ht="20.100000000000001" customHeight="1" x14ac:dyDescent="0.25">
      <c r="A1704" s="35" t="s">
        <v>535</v>
      </c>
      <c r="B1704" s="36"/>
      <c r="C1704" s="42"/>
      <c r="D1704" s="37"/>
      <c r="E1704" s="46" t="s">
        <v>584</v>
      </c>
      <c r="F1704" s="47">
        <f>M1704*0.12+N1704*0.06+10000</f>
        <v>29227.214799999998</v>
      </c>
      <c r="G1704" s="21">
        <f>H1704*0.05+I1704*0.02+10000</f>
        <v>37157.798499999997</v>
      </c>
      <c r="H1704" s="49">
        <f>SUBTOTAL(109,Октябрь2020[Продажа])</f>
        <v>542293.56999999995</v>
      </c>
      <c r="I1704" s="49">
        <f>SUBTOTAL(109,Октябрь2020[Продажа НК])</f>
        <v>2156</v>
      </c>
      <c r="J1704" s="49">
        <f>SUBTOTAL(109,Октябрь2020[отк])</f>
        <v>0</v>
      </c>
      <c r="K1704" s="49">
        <f>SUBTOTAL(109,Октябрь2020[шланги])</f>
        <v>21600</v>
      </c>
      <c r="L1704" s="49">
        <f>SUBTOTAL(109,Октябрь2020[Закупка])</f>
        <v>360792.77999999997</v>
      </c>
      <c r="M1704" s="49">
        <f>SUBTOTAL(109,Октябрь2020[Маржа])</f>
        <v>159900.79</v>
      </c>
      <c r="N1704" s="49">
        <f>SUBTOTAL(109,Октябрь2020[Маржа НК])</f>
        <v>652</v>
      </c>
      <c r="O1704" s="44">
        <f t="shared" si="182"/>
        <v>0.29486019906155264</v>
      </c>
    </row>
    <row r="1705" spans="1:15" ht="20.100000000000001" customHeight="1" x14ac:dyDescent="0.25">
      <c r="A1705" s="41" t="s">
        <v>1</v>
      </c>
      <c r="B1705" s="1" t="s">
        <v>0</v>
      </c>
      <c r="C1705" s="1" t="s">
        <v>26</v>
      </c>
      <c r="D1705" s="1" t="s">
        <v>2</v>
      </c>
      <c r="E1705" s="1" t="s">
        <v>3</v>
      </c>
      <c r="F1705" s="1" t="s">
        <v>27</v>
      </c>
      <c r="G1705" s="1" t="s">
        <v>4</v>
      </c>
      <c r="H1705" s="2" t="s">
        <v>132</v>
      </c>
      <c r="I1705" s="2" t="s">
        <v>133</v>
      </c>
      <c r="J1705" s="40" t="s">
        <v>187</v>
      </c>
      <c r="K1705" s="40" t="s">
        <v>188</v>
      </c>
      <c r="L1705" s="40" t="s">
        <v>129</v>
      </c>
      <c r="M1705" s="40" t="s">
        <v>130</v>
      </c>
      <c r="N1705" s="2" t="s">
        <v>131</v>
      </c>
      <c r="O1705" s="2" t="s">
        <v>134</v>
      </c>
    </row>
    <row r="1706" spans="1:15" ht="20.100000000000001" customHeight="1" x14ac:dyDescent="0.25">
      <c r="A1706" s="33">
        <v>1114</v>
      </c>
      <c r="B1706" s="9">
        <v>44140</v>
      </c>
      <c r="C1706" s="20" t="s">
        <v>473</v>
      </c>
      <c r="D1706" s="11">
        <v>4128</v>
      </c>
      <c r="E1706" s="9">
        <v>44140</v>
      </c>
      <c r="F1706" s="15" t="s">
        <v>28</v>
      </c>
      <c r="G1706" s="12">
        <v>44189</v>
      </c>
      <c r="H1706" s="23">
        <f>D1706</f>
        <v>4128</v>
      </c>
      <c r="I1706" s="23">
        <f>H1706</f>
        <v>4128</v>
      </c>
      <c r="J1706" s="23"/>
      <c r="K1706" s="24"/>
      <c r="L1706" s="23">
        <v>2724</v>
      </c>
      <c r="M1706" s="22">
        <f t="shared" ref="M1706:M1723" si="184">H1706-L1706-J1706-K1706</f>
        <v>1404</v>
      </c>
      <c r="N1706" s="22">
        <f>M1706</f>
        <v>1404</v>
      </c>
      <c r="O1706" s="30">
        <f t="shared" ref="O1706:O1724" si="185">M1706/H1706</f>
        <v>0.34011627906976744</v>
      </c>
    </row>
    <row r="1707" spans="1:15" ht="20.100000000000001" customHeight="1" x14ac:dyDescent="0.25">
      <c r="A1707" s="33">
        <v>1029</v>
      </c>
      <c r="B1707" s="9">
        <v>44124</v>
      </c>
      <c r="C1707" s="18" t="s">
        <v>13</v>
      </c>
      <c r="D1707" s="11">
        <v>18750</v>
      </c>
      <c r="E1707" s="9">
        <v>44141</v>
      </c>
      <c r="F1707" s="15" t="s">
        <v>28</v>
      </c>
      <c r="G1707" s="12">
        <v>44132</v>
      </c>
      <c r="H1707" s="23">
        <f>D1707</f>
        <v>18750</v>
      </c>
      <c r="I1707" s="23"/>
      <c r="J1707" s="23"/>
      <c r="K1707" s="24"/>
      <c r="L1707" s="23">
        <v>11420</v>
      </c>
      <c r="M1707" s="22">
        <f t="shared" si="184"/>
        <v>7330</v>
      </c>
      <c r="N1707" s="22"/>
      <c r="O1707" s="30">
        <f t="shared" si="185"/>
        <v>0.39093333333333335</v>
      </c>
    </row>
    <row r="1708" spans="1:15" ht="20.100000000000001" customHeight="1" x14ac:dyDescent="0.25">
      <c r="A1708" s="33">
        <v>1078</v>
      </c>
      <c r="B1708" s="9">
        <v>44132</v>
      </c>
      <c r="C1708" s="20" t="s">
        <v>472</v>
      </c>
      <c r="D1708" s="11">
        <v>91482</v>
      </c>
      <c r="E1708" s="9">
        <v>44141</v>
      </c>
      <c r="F1708" s="15" t="s">
        <v>28</v>
      </c>
      <c r="G1708" s="12">
        <v>44134</v>
      </c>
      <c r="H1708" s="23">
        <f>D1708</f>
        <v>91482</v>
      </c>
      <c r="I1708" s="23">
        <f>H1708</f>
        <v>91482</v>
      </c>
      <c r="J1708" s="23"/>
      <c r="K1708" s="24"/>
      <c r="L1708" s="23">
        <v>60300</v>
      </c>
      <c r="M1708" s="22">
        <f t="shared" si="184"/>
        <v>31182</v>
      </c>
      <c r="N1708" s="22">
        <f>M1708</f>
        <v>31182</v>
      </c>
      <c r="O1708" s="30">
        <f t="shared" si="185"/>
        <v>0.34085393847970091</v>
      </c>
    </row>
    <row r="1709" spans="1:15" ht="20.100000000000001" customHeight="1" x14ac:dyDescent="0.25">
      <c r="A1709" s="33">
        <v>944</v>
      </c>
      <c r="B1709" s="9">
        <v>44133</v>
      </c>
      <c r="C1709" s="18" t="s">
        <v>387</v>
      </c>
      <c r="D1709" s="11">
        <v>3164</v>
      </c>
      <c r="E1709" s="9">
        <v>44141</v>
      </c>
      <c r="F1709" s="15" t="s">
        <v>28</v>
      </c>
      <c r="G1709" s="12">
        <v>44148</v>
      </c>
      <c r="H1709" s="23">
        <v>166</v>
      </c>
      <c r="I1709" s="23"/>
      <c r="J1709" s="23"/>
      <c r="K1709" s="24"/>
      <c r="L1709" s="23">
        <v>208</v>
      </c>
      <c r="M1709" s="22">
        <f t="shared" si="184"/>
        <v>-42</v>
      </c>
      <c r="N1709" s="22"/>
      <c r="O1709" s="30">
        <f t="shared" si="185"/>
        <v>-0.25301204819277107</v>
      </c>
    </row>
    <row r="1710" spans="1:15" ht="20.100000000000001" customHeight="1" x14ac:dyDescent="0.25">
      <c r="A1710" s="33">
        <v>1060</v>
      </c>
      <c r="B1710" s="9">
        <v>44130</v>
      </c>
      <c r="C1710" s="20" t="s">
        <v>474</v>
      </c>
      <c r="D1710" s="11">
        <v>13990</v>
      </c>
      <c r="E1710" s="9">
        <v>44144</v>
      </c>
      <c r="F1710" s="15" t="s">
        <v>28</v>
      </c>
      <c r="G1710" s="12">
        <v>44171</v>
      </c>
      <c r="H1710" s="23">
        <f t="shared" ref="H1710:H1717" si="186">D1710</f>
        <v>13990</v>
      </c>
      <c r="I1710" s="23">
        <f>H1710</f>
        <v>13990</v>
      </c>
      <c r="J1710" s="23"/>
      <c r="K1710" s="24"/>
      <c r="L1710" s="23">
        <v>10282</v>
      </c>
      <c r="M1710" s="22">
        <f t="shared" si="184"/>
        <v>3708</v>
      </c>
      <c r="N1710" s="22">
        <f>M1710</f>
        <v>3708</v>
      </c>
      <c r="O1710" s="30">
        <f t="shared" si="185"/>
        <v>0.26504646175839885</v>
      </c>
    </row>
    <row r="1711" spans="1:15" ht="20.100000000000001" customHeight="1" x14ac:dyDescent="0.25">
      <c r="A1711" s="33">
        <v>1066</v>
      </c>
      <c r="B1711" s="9">
        <v>44131</v>
      </c>
      <c r="C1711" s="18" t="s">
        <v>11</v>
      </c>
      <c r="D1711" s="11">
        <v>7492</v>
      </c>
      <c r="E1711" s="9">
        <v>44151</v>
      </c>
      <c r="F1711" s="15" t="s">
        <v>28</v>
      </c>
      <c r="G1711" s="12">
        <v>44153</v>
      </c>
      <c r="H1711" s="23">
        <f t="shared" si="186"/>
        <v>7492</v>
      </c>
      <c r="I1711" s="23"/>
      <c r="J1711" s="23"/>
      <c r="K1711" s="24"/>
      <c r="L1711" s="23">
        <v>5228</v>
      </c>
      <c r="M1711" s="22">
        <f t="shared" si="184"/>
        <v>2264</v>
      </c>
      <c r="N1711" s="22"/>
      <c r="O1711" s="30">
        <f t="shared" si="185"/>
        <v>0.30218900160170847</v>
      </c>
    </row>
    <row r="1712" spans="1:15" ht="20.100000000000001" customHeight="1" x14ac:dyDescent="0.25">
      <c r="A1712" s="33">
        <v>1141</v>
      </c>
      <c r="B1712" s="9">
        <v>44148</v>
      </c>
      <c r="C1712" s="18" t="s">
        <v>410</v>
      </c>
      <c r="D1712" s="11">
        <v>48970</v>
      </c>
      <c r="E1712" s="9">
        <v>44151</v>
      </c>
      <c r="F1712" s="15" t="s">
        <v>28</v>
      </c>
      <c r="G1712" s="12">
        <v>44208</v>
      </c>
      <c r="H1712" s="23">
        <f t="shared" si="186"/>
        <v>48970</v>
      </c>
      <c r="I1712" s="23"/>
      <c r="J1712" s="23"/>
      <c r="K1712" s="24"/>
      <c r="L1712" s="23">
        <v>32650</v>
      </c>
      <c r="M1712" s="22">
        <f t="shared" si="184"/>
        <v>16320</v>
      </c>
      <c r="N1712" s="22"/>
      <c r="O1712" s="30">
        <f t="shared" si="185"/>
        <v>0.333265264447621</v>
      </c>
    </row>
    <row r="1713" spans="1:15" ht="20.100000000000001" customHeight="1" x14ac:dyDescent="0.25">
      <c r="A1713" s="33">
        <v>1156</v>
      </c>
      <c r="B1713" s="9">
        <v>44152</v>
      </c>
      <c r="C1713" s="18" t="s">
        <v>437</v>
      </c>
      <c r="D1713" s="11">
        <v>828</v>
      </c>
      <c r="E1713" s="9">
        <v>44153</v>
      </c>
      <c r="F1713" s="15" t="s">
        <v>28</v>
      </c>
      <c r="G1713" s="12">
        <v>44154</v>
      </c>
      <c r="H1713" s="23">
        <f t="shared" si="186"/>
        <v>828</v>
      </c>
      <c r="I1713" s="23"/>
      <c r="J1713" s="23"/>
      <c r="K1713" s="24"/>
      <c r="L1713" s="23">
        <v>489</v>
      </c>
      <c r="M1713" s="22">
        <f t="shared" si="184"/>
        <v>339</v>
      </c>
      <c r="N1713" s="22"/>
      <c r="O1713" s="30">
        <f t="shared" si="185"/>
        <v>0.40942028985507245</v>
      </c>
    </row>
    <row r="1714" spans="1:15" ht="20.100000000000001" customHeight="1" x14ac:dyDescent="0.25">
      <c r="A1714" s="33">
        <v>1161</v>
      </c>
      <c r="B1714" s="9">
        <v>44153</v>
      </c>
      <c r="C1714" s="18" t="s">
        <v>149</v>
      </c>
      <c r="D1714" s="11">
        <v>17870</v>
      </c>
      <c r="E1714" s="9">
        <v>44155</v>
      </c>
      <c r="F1714" s="15" t="s">
        <v>28</v>
      </c>
      <c r="G1714" s="12">
        <v>44208</v>
      </c>
      <c r="H1714" s="23">
        <f t="shared" si="186"/>
        <v>17870</v>
      </c>
      <c r="I1714" s="23"/>
      <c r="J1714" s="23"/>
      <c r="K1714" s="24"/>
      <c r="L1714" s="23">
        <v>11794</v>
      </c>
      <c r="M1714" s="22">
        <f t="shared" si="184"/>
        <v>6076</v>
      </c>
      <c r="N1714" s="22"/>
      <c r="O1714" s="30">
        <f t="shared" si="185"/>
        <v>0.3400111919418019</v>
      </c>
    </row>
    <row r="1715" spans="1:15" ht="20.100000000000001" customHeight="1" x14ac:dyDescent="0.25">
      <c r="A1715" s="33">
        <v>1158</v>
      </c>
      <c r="B1715" s="9">
        <v>44152</v>
      </c>
      <c r="C1715" s="18" t="s">
        <v>403</v>
      </c>
      <c r="D1715" s="11">
        <v>7501</v>
      </c>
      <c r="E1715" s="9">
        <v>44158</v>
      </c>
      <c r="F1715" s="15" t="s">
        <v>28</v>
      </c>
      <c r="G1715" s="12">
        <v>44160</v>
      </c>
      <c r="H1715" s="23">
        <f t="shared" si="186"/>
        <v>7501</v>
      </c>
      <c r="I1715" s="23"/>
      <c r="J1715" s="23"/>
      <c r="K1715" s="24"/>
      <c r="L1715" s="23">
        <v>5775</v>
      </c>
      <c r="M1715" s="22">
        <f t="shared" si="184"/>
        <v>1726</v>
      </c>
      <c r="N1715" s="22"/>
      <c r="O1715" s="30">
        <f t="shared" si="185"/>
        <v>0.23010265297960272</v>
      </c>
    </row>
    <row r="1716" spans="1:15" ht="20.100000000000001" customHeight="1" x14ac:dyDescent="0.25">
      <c r="A1716" s="33">
        <v>1149</v>
      </c>
      <c r="B1716" s="9">
        <v>44151</v>
      </c>
      <c r="C1716" s="18" t="s">
        <v>403</v>
      </c>
      <c r="D1716" s="11">
        <v>9498</v>
      </c>
      <c r="E1716" s="9">
        <v>44158</v>
      </c>
      <c r="F1716" s="15" t="s">
        <v>28</v>
      </c>
      <c r="G1716" s="12">
        <v>44160</v>
      </c>
      <c r="H1716" s="23">
        <f t="shared" si="186"/>
        <v>9498</v>
      </c>
      <c r="I1716" s="23"/>
      <c r="J1716" s="23"/>
      <c r="K1716" s="24"/>
      <c r="L1716" s="23">
        <v>7019</v>
      </c>
      <c r="M1716" s="22">
        <f t="shared" si="184"/>
        <v>2479</v>
      </c>
      <c r="N1716" s="22"/>
      <c r="O1716" s="30">
        <f t="shared" si="185"/>
        <v>0.26100231627711096</v>
      </c>
    </row>
    <row r="1717" spans="1:15" ht="20.100000000000001" customHeight="1" x14ac:dyDescent="0.25">
      <c r="A1717" s="33">
        <v>1176</v>
      </c>
      <c r="B1717" s="9">
        <v>44155</v>
      </c>
      <c r="C1717" s="18" t="s">
        <v>45</v>
      </c>
      <c r="D1717" s="11">
        <v>3027</v>
      </c>
      <c r="E1717" s="9">
        <v>44158</v>
      </c>
      <c r="F1717" s="15" t="s">
        <v>28</v>
      </c>
      <c r="G1717" s="12">
        <v>44169</v>
      </c>
      <c r="H1717" s="23">
        <f t="shared" si="186"/>
        <v>3027</v>
      </c>
      <c r="I1717" s="23"/>
      <c r="J1717" s="23"/>
      <c r="K1717" s="24"/>
      <c r="L1717" s="23">
        <v>2361</v>
      </c>
      <c r="M1717" s="22">
        <f t="shared" si="184"/>
        <v>666</v>
      </c>
      <c r="N1717" s="22"/>
      <c r="O1717" s="30">
        <f t="shared" si="185"/>
        <v>0.22001982160555006</v>
      </c>
    </row>
    <row r="1718" spans="1:15" ht="20.100000000000001" customHeight="1" x14ac:dyDescent="0.25">
      <c r="A1718" s="33">
        <v>1062</v>
      </c>
      <c r="B1718" s="9">
        <v>44130</v>
      </c>
      <c r="C1718" s="18" t="s">
        <v>209</v>
      </c>
      <c r="D1718" s="11">
        <v>10291.799999999999</v>
      </c>
      <c r="E1718" s="9">
        <v>44159</v>
      </c>
      <c r="F1718" s="15" t="s">
        <v>28</v>
      </c>
      <c r="G1718" s="12">
        <v>44158</v>
      </c>
      <c r="H1718" s="23">
        <v>9593.7999999999993</v>
      </c>
      <c r="I1718" s="23"/>
      <c r="J1718" s="23"/>
      <c r="K1718" s="24"/>
      <c r="L1718" s="23">
        <v>8814</v>
      </c>
      <c r="M1718" s="22">
        <f t="shared" si="184"/>
        <v>779.79999999999927</v>
      </c>
      <c r="N1718" s="22"/>
      <c r="O1718" s="30">
        <f t="shared" si="185"/>
        <v>8.1281661072776096E-2</v>
      </c>
    </row>
    <row r="1719" spans="1:15" ht="20.100000000000001" customHeight="1" x14ac:dyDescent="0.25">
      <c r="A1719" s="33">
        <v>1187</v>
      </c>
      <c r="B1719" s="9">
        <v>44159</v>
      </c>
      <c r="C1719" s="18" t="s">
        <v>372</v>
      </c>
      <c r="D1719" s="11">
        <v>37990</v>
      </c>
      <c r="E1719" s="9">
        <v>44160</v>
      </c>
      <c r="F1719" s="15" t="s">
        <v>28</v>
      </c>
      <c r="G1719" s="12">
        <v>44161</v>
      </c>
      <c r="H1719" s="23">
        <f>D1719</f>
        <v>37990</v>
      </c>
      <c r="I1719" s="23"/>
      <c r="J1719" s="23"/>
      <c r="K1719" s="24"/>
      <c r="L1719" s="23">
        <v>24982</v>
      </c>
      <c r="M1719" s="22">
        <f t="shared" si="184"/>
        <v>13008</v>
      </c>
      <c r="N1719" s="22"/>
      <c r="O1719" s="30">
        <f t="shared" si="185"/>
        <v>0.34240589628849699</v>
      </c>
    </row>
    <row r="1720" spans="1:15" ht="20.100000000000001" customHeight="1" x14ac:dyDescent="0.25">
      <c r="A1720" s="33">
        <v>1109</v>
      </c>
      <c r="B1720" s="9">
        <v>44138</v>
      </c>
      <c r="C1720" s="18" t="s">
        <v>475</v>
      </c>
      <c r="D1720" s="11">
        <v>42990</v>
      </c>
      <c r="E1720" s="9">
        <v>44160</v>
      </c>
      <c r="F1720" s="15" t="s">
        <v>28</v>
      </c>
      <c r="G1720" s="12">
        <v>44161</v>
      </c>
      <c r="H1720" s="23">
        <f>D1720</f>
        <v>42990</v>
      </c>
      <c r="I1720" s="23"/>
      <c r="J1720" s="23"/>
      <c r="K1720" s="24"/>
      <c r="L1720" s="23">
        <v>30127</v>
      </c>
      <c r="M1720" s="22">
        <f t="shared" si="184"/>
        <v>12863</v>
      </c>
      <c r="N1720" s="22"/>
      <c r="O1720" s="30">
        <f t="shared" si="185"/>
        <v>0.29920911839962783</v>
      </c>
    </row>
    <row r="1721" spans="1:15" ht="20.100000000000001" customHeight="1" x14ac:dyDescent="0.25">
      <c r="A1721" s="33">
        <v>1082</v>
      </c>
      <c r="B1721" s="9">
        <v>44134</v>
      </c>
      <c r="C1721" s="18" t="s">
        <v>65</v>
      </c>
      <c r="D1721" s="11">
        <v>151988.4</v>
      </c>
      <c r="E1721" s="9">
        <v>44161</v>
      </c>
      <c r="F1721" s="15" t="s">
        <v>28</v>
      </c>
      <c r="G1721" s="12">
        <v>44137</v>
      </c>
      <c r="H1721" s="23">
        <v>43300.800000000003</v>
      </c>
      <c r="I1721" s="23"/>
      <c r="J1721" s="23"/>
      <c r="K1721" s="24">
        <f>1200*4</f>
        <v>4800</v>
      </c>
      <c r="L1721" s="23">
        <v>21365.22</v>
      </c>
      <c r="M1721" s="22">
        <f t="shared" si="184"/>
        <v>17135.580000000002</v>
      </c>
      <c r="N1721" s="22"/>
      <c r="O1721" s="30">
        <f t="shared" si="185"/>
        <v>0.39573356612348964</v>
      </c>
    </row>
    <row r="1722" spans="1:15" ht="20.100000000000001" customHeight="1" x14ac:dyDescent="0.25">
      <c r="A1722" s="33">
        <v>1074</v>
      </c>
      <c r="B1722" s="9">
        <v>44132</v>
      </c>
      <c r="C1722" s="18" t="s">
        <v>13</v>
      </c>
      <c r="D1722" s="11">
        <v>19417</v>
      </c>
      <c r="E1722" s="9">
        <v>44165</v>
      </c>
      <c r="F1722" s="15" t="s">
        <v>28</v>
      </c>
      <c r="G1722" s="12">
        <v>44155</v>
      </c>
      <c r="H1722" s="23">
        <f>D1722</f>
        <v>19417</v>
      </c>
      <c r="I1722" s="23"/>
      <c r="J1722" s="23"/>
      <c r="K1722" s="24"/>
      <c r="L1722" s="23">
        <v>14190</v>
      </c>
      <c r="M1722" s="22">
        <f t="shared" si="184"/>
        <v>5227</v>
      </c>
      <c r="N1722" s="22"/>
      <c r="O1722" s="30">
        <f t="shared" si="185"/>
        <v>0.26919709532883557</v>
      </c>
    </row>
    <row r="1723" spans="1:15" ht="20.100000000000001" customHeight="1" x14ac:dyDescent="0.25">
      <c r="A1723" s="33">
        <v>1126</v>
      </c>
      <c r="B1723" s="9">
        <v>44145</v>
      </c>
      <c r="C1723" s="18" t="s">
        <v>56</v>
      </c>
      <c r="D1723" s="11">
        <v>46466</v>
      </c>
      <c r="E1723" s="9">
        <v>44165</v>
      </c>
      <c r="F1723" s="15" t="s">
        <v>28</v>
      </c>
      <c r="G1723" s="12">
        <v>44154</v>
      </c>
      <c r="H1723" s="23">
        <f>D1723</f>
        <v>46466</v>
      </c>
      <c r="I1723" s="23"/>
      <c r="J1723" s="23"/>
      <c r="K1723" s="24">
        <v>1200</v>
      </c>
      <c r="L1723" s="23">
        <v>30299.3</v>
      </c>
      <c r="M1723" s="22">
        <f t="shared" si="184"/>
        <v>14966.7</v>
      </c>
      <c r="N1723" s="22"/>
      <c r="O1723" s="30">
        <f t="shared" si="185"/>
        <v>0.32210003012955712</v>
      </c>
    </row>
    <row r="1724" spans="1:15" ht="20.100000000000001" customHeight="1" x14ac:dyDescent="0.25">
      <c r="A1724" s="35" t="s">
        <v>535</v>
      </c>
      <c r="B1724" s="36"/>
      <c r="C1724" s="42"/>
      <c r="D1724" s="37"/>
      <c r="E1724" s="46" t="s">
        <v>585</v>
      </c>
      <c r="F1724" s="47">
        <f>M1724*0.05+N1724*0.06+10000</f>
        <v>19049.243999999999</v>
      </c>
      <c r="G1724" s="21">
        <f>H1724*0.02+I1724*0.02+10000</f>
        <v>20661.191999999999</v>
      </c>
      <c r="H1724" s="49">
        <f>SUBTOTAL(109,Ноябрь2020[Продажа])</f>
        <v>423459.6</v>
      </c>
      <c r="I1724" s="49">
        <f>SUBTOTAL(109,Ноябрь2020[Продажа НК])</f>
        <v>109600</v>
      </c>
      <c r="J1724" s="49">
        <f>SUBTOTAL(109,Ноябрь2020[отк])</f>
        <v>0</v>
      </c>
      <c r="K1724" s="49">
        <f>SUBTOTAL(109,Ноябрь2020[шланги])</f>
        <v>6000</v>
      </c>
      <c r="L1724" s="49">
        <f>SUBTOTAL(109,Ноябрь2020[Закупка])</f>
        <v>280027.52000000002</v>
      </c>
      <c r="M1724" s="49">
        <f>SUBTOTAL(109,Ноябрь2020[Маржа])</f>
        <v>137432.08000000002</v>
      </c>
      <c r="N1724" s="49">
        <f>SUBTOTAL(109,Ноябрь2020[Маржа НК])</f>
        <v>36294</v>
      </c>
      <c r="O1724" s="44">
        <f t="shared" si="185"/>
        <v>0.3245459070947973</v>
      </c>
    </row>
    <row r="1725" spans="1:15" ht="20.100000000000001" customHeight="1" x14ac:dyDescent="0.25">
      <c r="A1725" s="41" t="s">
        <v>1</v>
      </c>
      <c r="B1725" s="1" t="s">
        <v>0</v>
      </c>
      <c r="C1725" s="1" t="s">
        <v>26</v>
      </c>
      <c r="D1725" s="1" t="s">
        <v>2</v>
      </c>
      <c r="E1725" s="1" t="s">
        <v>3</v>
      </c>
      <c r="F1725" s="1" t="s">
        <v>27</v>
      </c>
      <c r="G1725" s="1" t="s">
        <v>4</v>
      </c>
      <c r="H1725" s="2" t="s">
        <v>132</v>
      </c>
      <c r="I1725" s="2" t="s">
        <v>133</v>
      </c>
      <c r="J1725" s="40" t="s">
        <v>187</v>
      </c>
      <c r="K1725" s="40" t="s">
        <v>188</v>
      </c>
      <c r="L1725" s="40" t="s">
        <v>129</v>
      </c>
      <c r="M1725" s="40" t="s">
        <v>130</v>
      </c>
      <c r="N1725" s="2" t="s">
        <v>131</v>
      </c>
      <c r="O1725" s="2" t="s">
        <v>134</v>
      </c>
    </row>
    <row r="1726" spans="1:15" ht="19.5" customHeight="1" x14ac:dyDescent="0.25">
      <c r="A1726" s="33">
        <v>1197</v>
      </c>
      <c r="B1726" s="9">
        <v>44161</v>
      </c>
      <c r="C1726" s="18" t="s">
        <v>476</v>
      </c>
      <c r="D1726" s="11">
        <v>35561</v>
      </c>
      <c r="E1726" s="9">
        <v>44167</v>
      </c>
      <c r="F1726" s="15" t="s">
        <v>28</v>
      </c>
      <c r="G1726" s="12">
        <v>44168</v>
      </c>
      <c r="H1726" s="23">
        <f t="shared" ref="H1726:H1731" si="187">D1726</f>
        <v>35561</v>
      </c>
      <c r="I1726" s="23"/>
      <c r="J1726" s="23"/>
      <c r="K1726" s="24"/>
      <c r="L1726" s="23">
        <v>26023</v>
      </c>
      <c r="M1726" s="22">
        <f t="shared" ref="M1726:M1743" si="188">H1726-L1726-J1726-K1726</f>
        <v>9538</v>
      </c>
      <c r="N1726" s="22"/>
      <c r="O1726" s="30">
        <f t="shared" ref="O1726:O1744" si="189">M1726/H1726</f>
        <v>0.26821517955063129</v>
      </c>
    </row>
    <row r="1727" spans="1:15" ht="15.75" x14ac:dyDescent="0.25">
      <c r="A1727" s="33">
        <v>1215</v>
      </c>
      <c r="B1727" s="9">
        <v>44168</v>
      </c>
      <c r="C1727" s="18" t="s">
        <v>281</v>
      </c>
      <c r="D1727" s="11">
        <v>4836</v>
      </c>
      <c r="E1727" s="9">
        <v>44169</v>
      </c>
      <c r="F1727" s="15" t="s">
        <v>28</v>
      </c>
      <c r="G1727" s="12">
        <v>44169</v>
      </c>
      <c r="H1727" s="23">
        <f t="shared" si="187"/>
        <v>4836</v>
      </c>
      <c r="I1727" s="23"/>
      <c r="J1727" s="23"/>
      <c r="K1727" s="24"/>
      <c r="L1727" s="23">
        <v>3437</v>
      </c>
      <c r="M1727" s="22">
        <f t="shared" si="188"/>
        <v>1399</v>
      </c>
      <c r="N1727" s="22"/>
      <c r="O1727" s="30">
        <f t="shared" si="189"/>
        <v>0.28928866832092637</v>
      </c>
    </row>
    <row r="1728" spans="1:15" s="2" customFormat="1" ht="20.100000000000001" customHeight="1" x14ac:dyDescent="0.25">
      <c r="A1728" s="33">
        <v>1214</v>
      </c>
      <c r="B1728" s="9">
        <v>44168</v>
      </c>
      <c r="C1728" s="18" t="s">
        <v>69</v>
      </c>
      <c r="D1728" s="11">
        <v>7094</v>
      </c>
      <c r="E1728" s="9">
        <v>44169</v>
      </c>
      <c r="F1728" s="15" t="s">
        <v>28</v>
      </c>
      <c r="G1728" s="12">
        <v>44174</v>
      </c>
      <c r="H1728" s="23">
        <f t="shared" si="187"/>
        <v>7094</v>
      </c>
      <c r="I1728" s="23"/>
      <c r="J1728" s="23"/>
      <c r="K1728" s="24"/>
      <c r="L1728" s="23">
        <v>4950</v>
      </c>
      <c r="M1728" s="22">
        <f t="shared" si="188"/>
        <v>2144</v>
      </c>
      <c r="N1728" s="22"/>
      <c r="O1728" s="30">
        <f t="shared" si="189"/>
        <v>0.30222723428249226</v>
      </c>
    </row>
    <row r="1729" spans="1:15" ht="20.100000000000001" customHeight="1" x14ac:dyDescent="0.25">
      <c r="A1729" s="33">
        <v>1222</v>
      </c>
      <c r="B1729" s="9">
        <v>44162</v>
      </c>
      <c r="C1729" s="18" t="s">
        <v>365</v>
      </c>
      <c r="D1729" s="11">
        <v>1506</v>
      </c>
      <c r="E1729" s="9">
        <v>44174</v>
      </c>
      <c r="F1729" s="15" t="s">
        <v>28</v>
      </c>
      <c r="G1729" s="12">
        <v>44175</v>
      </c>
      <c r="H1729" s="23">
        <f t="shared" si="187"/>
        <v>1506</v>
      </c>
      <c r="I1729" s="23"/>
      <c r="J1729" s="23"/>
      <c r="K1729" s="24"/>
      <c r="L1729" s="23">
        <v>1595</v>
      </c>
      <c r="M1729" s="22">
        <f t="shared" si="188"/>
        <v>-89</v>
      </c>
      <c r="N1729" s="22"/>
      <c r="O1729" s="30">
        <f t="shared" si="189"/>
        <v>-5.9096945551128821E-2</v>
      </c>
    </row>
    <row r="1730" spans="1:15" ht="20.100000000000001" customHeight="1" x14ac:dyDescent="0.25">
      <c r="A1730" s="33">
        <v>1208</v>
      </c>
      <c r="B1730" s="9">
        <v>44166</v>
      </c>
      <c r="C1730" s="20" t="s">
        <v>477</v>
      </c>
      <c r="D1730" s="11">
        <v>26648</v>
      </c>
      <c r="E1730" s="9">
        <v>44174</v>
      </c>
      <c r="F1730" s="15" t="s">
        <v>28</v>
      </c>
      <c r="G1730" s="12">
        <v>44181</v>
      </c>
      <c r="H1730" s="23">
        <f t="shared" si="187"/>
        <v>26648</v>
      </c>
      <c r="I1730" s="23">
        <f>H1730</f>
        <v>26648</v>
      </c>
      <c r="J1730" s="23"/>
      <c r="K1730" s="24">
        <v>600</v>
      </c>
      <c r="L1730" s="23">
        <v>15596</v>
      </c>
      <c r="M1730" s="22">
        <f t="shared" si="188"/>
        <v>10452</v>
      </c>
      <c r="N1730" s="22">
        <f>M1730</f>
        <v>10452</v>
      </c>
      <c r="O1730" s="30">
        <f t="shared" si="189"/>
        <v>0.39222455719003302</v>
      </c>
    </row>
    <row r="1731" spans="1:15" ht="20.100000000000001" customHeight="1" x14ac:dyDescent="0.25">
      <c r="A1731" s="33">
        <v>1188</v>
      </c>
      <c r="B1731" s="9">
        <v>44166</v>
      </c>
      <c r="C1731" s="20" t="s">
        <v>477</v>
      </c>
      <c r="D1731" s="11">
        <v>324146</v>
      </c>
      <c r="E1731" s="9">
        <v>44174</v>
      </c>
      <c r="F1731" s="15" t="s">
        <v>28</v>
      </c>
      <c r="G1731" s="12">
        <v>44232</v>
      </c>
      <c r="H1731" s="23">
        <f t="shared" si="187"/>
        <v>324146</v>
      </c>
      <c r="I1731" s="23">
        <f>H1731</f>
        <v>324146</v>
      </c>
      <c r="J1731" s="23"/>
      <c r="K1731" s="24"/>
      <c r="L1731" s="23">
        <v>247625</v>
      </c>
      <c r="M1731" s="22">
        <f t="shared" si="188"/>
        <v>76521</v>
      </c>
      <c r="N1731" s="22">
        <f>M1731</f>
        <v>76521</v>
      </c>
      <c r="O1731" s="30">
        <f t="shared" si="189"/>
        <v>0.23606954890697401</v>
      </c>
    </row>
    <row r="1732" spans="1:15" ht="20.100000000000001" customHeight="1" x14ac:dyDescent="0.25">
      <c r="A1732" s="33">
        <v>1082</v>
      </c>
      <c r="B1732" s="9">
        <v>44134</v>
      </c>
      <c r="C1732" s="18" t="s">
        <v>65</v>
      </c>
      <c r="D1732" s="11">
        <v>151988.4</v>
      </c>
      <c r="E1732" s="9">
        <v>44175</v>
      </c>
      <c r="F1732" s="15" t="s">
        <v>28</v>
      </c>
      <c r="G1732" s="12">
        <v>44155</v>
      </c>
      <c r="H1732" s="23">
        <v>108687.6</v>
      </c>
      <c r="I1732" s="23"/>
      <c r="J1732" s="23"/>
      <c r="K1732" s="24">
        <f>1200*12</f>
        <v>14400</v>
      </c>
      <c r="L1732" s="22">
        <v>55443.4</v>
      </c>
      <c r="M1732" s="22">
        <f t="shared" si="188"/>
        <v>38844.200000000004</v>
      </c>
      <c r="N1732" s="22"/>
      <c r="O1732" s="30">
        <f t="shared" si="189"/>
        <v>0.35739311568200977</v>
      </c>
    </row>
    <row r="1733" spans="1:15" ht="20.100000000000001" customHeight="1" x14ac:dyDescent="0.25">
      <c r="A1733" s="33">
        <v>991</v>
      </c>
      <c r="B1733" s="9">
        <v>44133</v>
      </c>
      <c r="C1733" s="18" t="s">
        <v>65</v>
      </c>
      <c r="D1733" s="11">
        <v>874385.02</v>
      </c>
      <c r="E1733" s="9">
        <v>44175</v>
      </c>
      <c r="F1733" s="15" t="s">
        <v>28</v>
      </c>
      <c r="G1733" s="12">
        <v>44155</v>
      </c>
      <c r="H1733" s="23">
        <v>77347.199999999997</v>
      </c>
      <c r="I1733" s="23"/>
      <c r="J1733" s="23"/>
      <c r="K1733" s="24">
        <v>7200</v>
      </c>
      <c r="L1733" s="22">
        <v>34463.599999999999</v>
      </c>
      <c r="M1733" s="22">
        <f t="shared" si="188"/>
        <v>35683.599999999999</v>
      </c>
      <c r="N1733" s="22"/>
      <c r="O1733" s="30">
        <f t="shared" si="189"/>
        <v>0.46134313847172231</v>
      </c>
    </row>
    <row r="1734" spans="1:15" ht="20.100000000000001" customHeight="1" x14ac:dyDescent="0.25">
      <c r="A1734" s="33">
        <v>1180</v>
      </c>
      <c r="B1734" s="9">
        <v>44158</v>
      </c>
      <c r="C1734" s="18" t="s">
        <v>65</v>
      </c>
      <c r="D1734" s="11">
        <v>8280</v>
      </c>
      <c r="E1734" s="9">
        <v>44175</v>
      </c>
      <c r="F1734" s="15" t="s">
        <v>28</v>
      </c>
      <c r="G1734" s="12">
        <v>44161</v>
      </c>
      <c r="H1734" s="23">
        <f>D1734</f>
        <v>8280</v>
      </c>
      <c r="I1734" s="23"/>
      <c r="J1734" s="23"/>
      <c r="K1734" s="24"/>
      <c r="L1734" s="22">
        <v>7530</v>
      </c>
      <c r="M1734" s="22">
        <f t="shared" si="188"/>
        <v>750</v>
      </c>
      <c r="N1734" s="22"/>
      <c r="O1734" s="30">
        <f t="shared" si="189"/>
        <v>9.0579710144927536E-2</v>
      </c>
    </row>
    <row r="1735" spans="1:15" ht="20.100000000000001" customHeight="1" x14ac:dyDescent="0.25">
      <c r="A1735" s="33">
        <v>1024</v>
      </c>
      <c r="B1735" s="9">
        <v>44120</v>
      </c>
      <c r="C1735" s="18" t="s">
        <v>303</v>
      </c>
      <c r="D1735" s="11">
        <v>7730.75</v>
      </c>
      <c r="E1735" s="9">
        <v>44176</v>
      </c>
      <c r="F1735" s="15" t="s">
        <v>28</v>
      </c>
      <c r="G1735" s="12">
        <v>44176</v>
      </c>
      <c r="H1735" s="23">
        <v>5213.05</v>
      </c>
      <c r="I1735" s="23"/>
      <c r="J1735" s="23"/>
      <c r="K1735" s="24"/>
      <c r="L1735" s="22">
        <v>4909</v>
      </c>
      <c r="M1735" s="22">
        <f t="shared" si="188"/>
        <v>304.05000000000018</v>
      </c>
      <c r="N1735" s="22"/>
      <c r="O1735" s="30">
        <f t="shared" si="189"/>
        <v>5.8324781078255568E-2</v>
      </c>
    </row>
    <row r="1736" spans="1:15" ht="20.100000000000001" customHeight="1" x14ac:dyDescent="0.25">
      <c r="A1736" s="33">
        <v>1237</v>
      </c>
      <c r="B1736" s="9">
        <v>44175</v>
      </c>
      <c r="C1736" s="20" t="s">
        <v>479</v>
      </c>
      <c r="D1736" s="11">
        <v>11590</v>
      </c>
      <c r="E1736" s="9">
        <v>44180</v>
      </c>
      <c r="F1736" s="15" t="s">
        <v>28</v>
      </c>
      <c r="G1736" s="12">
        <v>44183</v>
      </c>
      <c r="H1736" s="23">
        <f>D1736</f>
        <v>11590</v>
      </c>
      <c r="I1736" s="23">
        <f>H1736</f>
        <v>11590</v>
      </c>
      <c r="J1736" s="23"/>
      <c r="K1736" s="24"/>
      <c r="L1736" s="22">
        <v>8518</v>
      </c>
      <c r="M1736" s="22">
        <f t="shared" si="188"/>
        <v>3072</v>
      </c>
      <c r="N1736" s="22">
        <f>M1736</f>
        <v>3072</v>
      </c>
      <c r="O1736" s="30">
        <f t="shared" si="189"/>
        <v>0.26505608283002591</v>
      </c>
    </row>
    <row r="1737" spans="1:15" ht="20.100000000000001" customHeight="1" x14ac:dyDescent="0.25">
      <c r="A1737" s="33">
        <v>1241</v>
      </c>
      <c r="B1737" s="9">
        <v>44175</v>
      </c>
      <c r="C1737" s="20" t="s">
        <v>480</v>
      </c>
      <c r="D1737" s="11">
        <v>400000</v>
      </c>
      <c r="E1737" s="9">
        <v>44186</v>
      </c>
      <c r="F1737" s="15" t="s">
        <v>28</v>
      </c>
      <c r="G1737" s="12">
        <v>44195</v>
      </c>
      <c r="H1737" s="23">
        <v>120000</v>
      </c>
      <c r="I1737" s="23">
        <f>H1737</f>
        <v>120000</v>
      </c>
      <c r="J1737" s="23"/>
      <c r="K1737" s="24"/>
      <c r="L1737" s="22">
        <v>78000</v>
      </c>
      <c r="M1737" s="22">
        <f t="shared" si="188"/>
        <v>42000</v>
      </c>
      <c r="N1737" s="22">
        <f>M1737</f>
        <v>42000</v>
      </c>
      <c r="O1737" s="30">
        <f t="shared" si="189"/>
        <v>0.35</v>
      </c>
    </row>
    <row r="1738" spans="1:15" ht="20.100000000000001" customHeight="1" x14ac:dyDescent="0.25">
      <c r="A1738" s="33">
        <v>1258</v>
      </c>
      <c r="B1738" s="9">
        <v>44182</v>
      </c>
      <c r="C1738" s="18" t="s">
        <v>443</v>
      </c>
      <c r="D1738" s="11">
        <v>2046</v>
      </c>
      <c r="E1738" s="9">
        <v>44186</v>
      </c>
      <c r="F1738" s="15" t="s">
        <v>28</v>
      </c>
      <c r="G1738" s="12">
        <v>44222</v>
      </c>
      <c r="H1738" s="23">
        <f>D1738</f>
        <v>2046</v>
      </c>
      <c r="I1738" s="23">
        <f>H1738</f>
        <v>2046</v>
      </c>
      <c r="J1738" s="23"/>
      <c r="K1738" s="24"/>
      <c r="L1738" s="22">
        <v>1104</v>
      </c>
      <c r="M1738" s="22">
        <f t="shared" si="188"/>
        <v>942</v>
      </c>
      <c r="N1738" s="22"/>
      <c r="O1738" s="30">
        <f t="shared" si="189"/>
        <v>0.46041055718475071</v>
      </c>
    </row>
    <row r="1739" spans="1:15" ht="20.100000000000001" customHeight="1" x14ac:dyDescent="0.25">
      <c r="A1739" s="33">
        <v>1072</v>
      </c>
      <c r="B1739" s="9">
        <v>44131</v>
      </c>
      <c r="C1739" s="18" t="s">
        <v>66</v>
      </c>
      <c r="D1739" s="11">
        <v>7400</v>
      </c>
      <c r="E1739" s="9">
        <v>44186</v>
      </c>
      <c r="F1739" s="15" t="s">
        <v>28</v>
      </c>
      <c r="G1739" s="12">
        <v>44132</v>
      </c>
      <c r="H1739" s="23">
        <f>D1739</f>
        <v>7400</v>
      </c>
      <c r="I1739" s="23"/>
      <c r="J1739" s="23"/>
      <c r="K1739" s="24"/>
      <c r="L1739" s="23">
        <v>5090</v>
      </c>
      <c r="M1739" s="22">
        <f t="shared" si="188"/>
        <v>2310</v>
      </c>
      <c r="N1739" s="22"/>
      <c r="O1739" s="30">
        <f t="shared" si="189"/>
        <v>0.31216216216216214</v>
      </c>
    </row>
    <row r="1740" spans="1:15" ht="20.100000000000001" customHeight="1" x14ac:dyDescent="0.25">
      <c r="A1740" s="33">
        <v>1111</v>
      </c>
      <c r="B1740" s="9">
        <v>44140</v>
      </c>
      <c r="C1740" s="18" t="s">
        <v>66</v>
      </c>
      <c r="D1740" s="11">
        <v>13909</v>
      </c>
      <c r="E1740" s="9">
        <v>44186</v>
      </c>
      <c r="F1740" s="15" t="s">
        <v>28</v>
      </c>
      <c r="G1740" s="12">
        <v>44141</v>
      </c>
      <c r="H1740" s="23">
        <f>D1740</f>
        <v>13909</v>
      </c>
      <c r="I1740" s="23"/>
      <c r="J1740" s="23"/>
      <c r="K1740" s="24"/>
      <c r="L1740" s="23">
        <v>9614</v>
      </c>
      <c r="M1740" s="22">
        <f t="shared" si="188"/>
        <v>4295</v>
      </c>
      <c r="N1740" s="22"/>
      <c r="O1740" s="30">
        <f t="shared" si="189"/>
        <v>0.30879286792724137</v>
      </c>
    </row>
    <row r="1741" spans="1:15" ht="20.100000000000001" customHeight="1" x14ac:dyDescent="0.25">
      <c r="A1741" s="33">
        <v>1219</v>
      </c>
      <c r="B1741" s="9">
        <v>44169</v>
      </c>
      <c r="C1741" s="18" t="s">
        <v>13</v>
      </c>
      <c r="D1741" s="11">
        <v>20502</v>
      </c>
      <c r="E1741" s="9">
        <v>44188</v>
      </c>
      <c r="F1741" s="15" t="s">
        <v>28</v>
      </c>
      <c r="G1741" s="12">
        <v>44174</v>
      </c>
      <c r="H1741" s="23">
        <v>17602</v>
      </c>
      <c r="I1741" s="23"/>
      <c r="J1741" s="23"/>
      <c r="K1741" s="24"/>
      <c r="L1741" s="23">
        <v>12224</v>
      </c>
      <c r="M1741" s="22">
        <f t="shared" si="188"/>
        <v>5378</v>
      </c>
      <c r="N1741" s="22"/>
      <c r="O1741" s="30">
        <f t="shared" si="189"/>
        <v>0.30553346210657878</v>
      </c>
    </row>
    <row r="1742" spans="1:15" ht="20.100000000000001" customHeight="1" x14ac:dyDescent="0.25">
      <c r="A1742" s="33">
        <v>1241</v>
      </c>
      <c r="B1742" s="9">
        <v>44175</v>
      </c>
      <c r="C1742" s="20" t="s">
        <v>480</v>
      </c>
      <c r="D1742" s="11">
        <v>400000</v>
      </c>
      <c r="E1742" s="9">
        <v>44193</v>
      </c>
      <c r="F1742" s="15" t="s">
        <v>28</v>
      </c>
      <c r="G1742" s="12">
        <v>44195</v>
      </c>
      <c r="H1742" s="23">
        <v>280000</v>
      </c>
      <c r="I1742" s="23">
        <f>H1742</f>
        <v>280000</v>
      </c>
      <c r="J1742" s="23"/>
      <c r="K1742" s="24"/>
      <c r="L1742" s="22">
        <v>182000</v>
      </c>
      <c r="M1742" s="22">
        <f t="shared" si="188"/>
        <v>98000</v>
      </c>
      <c r="N1742" s="22">
        <f>M1742</f>
        <v>98000</v>
      </c>
      <c r="O1742" s="30">
        <f t="shared" si="189"/>
        <v>0.35</v>
      </c>
    </row>
    <row r="1743" spans="1:15" ht="20.100000000000001" customHeight="1" x14ac:dyDescent="0.25">
      <c r="A1743" s="33">
        <v>1249</v>
      </c>
      <c r="B1743" s="9">
        <v>44179</v>
      </c>
      <c r="C1743" s="18" t="s">
        <v>11</v>
      </c>
      <c r="D1743" s="11">
        <v>11775</v>
      </c>
      <c r="E1743" s="9">
        <v>44195</v>
      </c>
      <c r="F1743" s="15" t="s">
        <v>28</v>
      </c>
      <c r="G1743" s="12">
        <v>44195</v>
      </c>
      <c r="H1743" s="23">
        <f>D1743</f>
        <v>11775</v>
      </c>
      <c r="I1743" s="23"/>
      <c r="J1743" s="23"/>
      <c r="K1743" s="24"/>
      <c r="L1743" s="22">
        <v>6985</v>
      </c>
      <c r="M1743" s="22">
        <f t="shared" si="188"/>
        <v>4790</v>
      </c>
      <c r="N1743" s="22"/>
      <c r="O1743" s="30">
        <f t="shared" si="189"/>
        <v>0.40679405520169853</v>
      </c>
    </row>
    <row r="1744" spans="1:15" ht="20.100000000000001" customHeight="1" x14ac:dyDescent="0.25">
      <c r="A1744" s="35" t="s">
        <v>535</v>
      </c>
      <c r="B1744" s="36"/>
      <c r="C1744" s="42"/>
      <c r="D1744" s="37"/>
      <c r="E1744" s="46" t="s">
        <v>586</v>
      </c>
      <c r="F1744" s="47">
        <f>M1744*0.17+N1744*0.06+10000</f>
        <v>80979.454500000007</v>
      </c>
      <c r="G1744" s="21">
        <f>H1744*0.05+I1744*0.02+10000</f>
        <v>78470.642500000016</v>
      </c>
      <c r="H1744" s="49">
        <f>SUBTOTAL(109,Декабрь2020[Продажа])</f>
        <v>1063640.8500000001</v>
      </c>
      <c r="I1744" s="49">
        <f>SUBTOTAL(109,Декабрь2020[Продажа НК])</f>
        <v>764430</v>
      </c>
      <c r="J1744" s="49">
        <f>SUBTOTAL(109,Декабрь2020[отк])</f>
        <v>0</v>
      </c>
      <c r="K1744" s="49">
        <f>SUBTOTAL(109,Декабрь2020[шланги])</f>
        <v>22200</v>
      </c>
      <c r="L1744" s="49">
        <f>SUBTOTAL(109,Декабрь2020[Закупка])</f>
        <v>705107</v>
      </c>
      <c r="M1744" s="49">
        <f>SUBTOTAL(109,Декабрь2020[Маржа])</f>
        <v>336333.85</v>
      </c>
      <c r="N1744" s="49">
        <f>SUBTOTAL(109,Декабрь2020[Маржа НК])</f>
        <v>230045</v>
      </c>
      <c r="O1744" s="44">
        <f t="shared" si="189"/>
        <v>0.31620997820833974</v>
      </c>
    </row>
    <row r="1745" spans="1:15" ht="20.100000000000001" customHeight="1" x14ac:dyDescent="0.25">
      <c r="A1745" s="41" t="s">
        <v>1</v>
      </c>
      <c r="B1745" s="1" t="s">
        <v>0</v>
      </c>
      <c r="C1745" s="1" t="s">
        <v>26</v>
      </c>
      <c r="D1745" s="1" t="s">
        <v>2</v>
      </c>
      <c r="E1745" s="1" t="s">
        <v>3</v>
      </c>
      <c r="F1745" s="1" t="s">
        <v>27</v>
      </c>
      <c r="G1745" s="1" t="s">
        <v>4</v>
      </c>
      <c r="H1745" s="2" t="s">
        <v>132</v>
      </c>
      <c r="I1745" s="2" t="s">
        <v>133</v>
      </c>
      <c r="J1745" s="40" t="s">
        <v>187</v>
      </c>
      <c r="K1745" s="40" t="s">
        <v>188</v>
      </c>
      <c r="L1745" s="40" t="s">
        <v>129</v>
      </c>
      <c r="M1745" s="40" t="s">
        <v>130</v>
      </c>
      <c r="N1745" s="2" t="s">
        <v>131</v>
      </c>
      <c r="O1745" s="2" t="s">
        <v>134</v>
      </c>
    </row>
    <row r="1746" spans="1:15" ht="20.100000000000001" customHeight="1" x14ac:dyDescent="0.25">
      <c r="A1746" s="33">
        <v>1281</v>
      </c>
      <c r="B1746" s="9">
        <v>44195</v>
      </c>
      <c r="C1746" s="18" t="s">
        <v>443</v>
      </c>
      <c r="D1746" s="11">
        <v>2658</v>
      </c>
      <c r="E1746" s="9">
        <v>44207</v>
      </c>
      <c r="F1746" s="15" t="s">
        <v>28</v>
      </c>
      <c r="G1746" s="12">
        <v>44222</v>
      </c>
      <c r="H1746" s="23">
        <f t="shared" ref="H1746:H1751" si="190">D1746</f>
        <v>2658</v>
      </c>
      <c r="I1746" s="23"/>
      <c r="J1746" s="23"/>
      <c r="K1746" s="24"/>
      <c r="L1746" s="22">
        <v>2094</v>
      </c>
      <c r="M1746" s="22">
        <f t="shared" ref="M1746:M1755" si="191">H1746-L1746-J1746-K1746</f>
        <v>564</v>
      </c>
      <c r="N1746" s="22"/>
      <c r="O1746" s="30">
        <f t="shared" ref="O1746:O1756" si="192">M1746/H1746</f>
        <v>0.21218961625282168</v>
      </c>
    </row>
    <row r="1747" spans="1:15" ht="20.100000000000001" customHeight="1" x14ac:dyDescent="0.25">
      <c r="A1747" s="33">
        <v>1183</v>
      </c>
      <c r="B1747" s="9">
        <v>44188</v>
      </c>
      <c r="C1747" s="18" t="s">
        <v>51</v>
      </c>
      <c r="D1747" s="11">
        <v>363398</v>
      </c>
      <c r="E1747" s="9">
        <v>44207</v>
      </c>
      <c r="F1747" s="15" t="s">
        <v>28</v>
      </c>
      <c r="G1747" s="12">
        <v>44216</v>
      </c>
      <c r="H1747" s="23">
        <f t="shared" si="190"/>
        <v>363398</v>
      </c>
      <c r="I1747" s="23"/>
      <c r="J1747" s="23"/>
      <c r="K1747" s="24"/>
      <c r="L1747" s="22">
        <v>186660</v>
      </c>
      <c r="M1747" s="22">
        <f t="shared" si="191"/>
        <v>176738</v>
      </c>
      <c r="N1747" s="22"/>
      <c r="O1747" s="30">
        <f t="shared" si="192"/>
        <v>0.48634830131150969</v>
      </c>
    </row>
    <row r="1748" spans="1:15" ht="20.100000000000001" customHeight="1" x14ac:dyDescent="0.25">
      <c r="A1748" s="33">
        <v>11</v>
      </c>
      <c r="B1748" s="9">
        <v>44208</v>
      </c>
      <c r="C1748" s="18" t="s">
        <v>118</v>
      </c>
      <c r="D1748" s="11">
        <v>15716.5</v>
      </c>
      <c r="E1748" s="9">
        <v>44208</v>
      </c>
      <c r="F1748" s="15" t="s">
        <v>28</v>
      </c>
      <c r="G1748" s="12">
        <v>44209</v>
      </c>
      <c r="H1748" s="23">
        <f t="shared" si="190"/>
        <v>15716.5</v>
      </c>
      <c r="I1748" s="23"/>
      <c r="J1748" s="23"/>
      <c r="K1748" s="24"/>
      <c r="L1748" s="22">
        <v>13579</v>
      </c>
      <c r="M1748" s="22">
        <f t="shared" si="191"/>
        <v>2137.5</v>
      </c>
      <c r="N1748" s="22"/>
      <c r="O1748" s="30">
        <f t="shared" si="192"/>
        <v>0.13600356313428563</v>
      </c>
    </row>
    <row r="1749" spans="1:15" ht="20.100000000000001" customHeight="1" x14ac:dyDescent="0.25">
      <c r="A1749" s="33">
        <v>12</v>
      </c>
      <c r="B1749" s="9">
        <v>44208</v>
      </c>
      <c r="C1749" s="18" t="s">
        <v>91</v>
      </c>
      <c r="D1749" s="11">
        <v>66990</v>
      </c>
      <c r="E1749" s="9">
        <v>44209</v>
      </c>
      <c r="F1749" s="15" t="s">
        <v>28</v>
      </c>
      <c r="G1749" s="12">
        <v>44238</v>
      </c>
      <c r="H1749" s="23">
        <f t="shared" si="190"/>
        <v>66990</v>
      </c>
      <c r="I1749" s="23"/>
      <c r="J1749" s="23"/>
      <c r="K1749" s="24"/>
      <c r="L1749" s="22">
        <v>49197</v>
      </c>
      <c r="M1749" s="22">
        <f t="shared" si="191"/>
        <v>17793</v>
      </c>
      <c r="N1749" s="22"/>
      <c r="O1749" s="30">
        <f t="shared" si="192"/>
        <v>0.26560680698611733</v>
      </c>
    </row>
    <row r="1750" spans="1:15" ht="20.100000000000001" customHeight="1" x14ac:dyDescent="0.25">
      <c r="A1750" s="33">
        <v>2</v>
      </c>
      <c r="B1750" s="9">
        <v>44207</v>
      </c>
      <c r="C1750" s="18" t="s">
        <v>270</v>
      </c>
      <c r="D1750" s="11">
        <v>5864</v>
      </c>
      <c r="E1750" s="9">
        <v>44210</v>
      </c>
      <c r="F1750" s="15" t="s">
        <v>28</v>
      </c>
      <c r="G1750" s="12">
        <v>44207</v>
      </c>
      <c r="H1750" s="23">
        <f t="shared" si="190"/>
        <v>5864</v>
      </c>
      <c r="I1750" s="23"/>
      <c r="J1750" s="23"/>
      <c r="K1750" s="24"/>
      <c r="L1750" s="22">
        <v>4659</v>
      </c>
      <c r="M1750" s="22">
        <f t="shared" si="191"/>
        <v>1205</v>
      </c>
      <c r="N1750" s="22"/>
      <c r="O1750" s="30">
        <f t="shared" si="192"/>
        <v>0.20549113233287858</v>
      </c>
    </row>
    <row r="1751" spans="1:15" ht="20.100000000000001" customHeight="1" x14ac:dyDescent="0.25">
      <c r="A1751" s="33">
        <v>3</v>
      </c>
      <c r="B1751" s="9">
        <v>44207</v>
      </c>
      <c r="C1751" s="18" t="s">
        <v>481</v>
      </c>
      <c r="D1751" s="11">
        <v>10000</v>
      </c>
      <c r="E1751" s="9">
        <v>44211</v>
      </c>
      <c r="F1751" s="15" t="s">
        <v>28</v>
      </c>
      <c r="G1751" s="12">
        <v>44221</v>
      </c>
      <c r="H1751" s="23">
        <f t="shared" si="190"/>
        <v>10000</v>
      </c>
      <c r="I1751" s="23"/>
      <c r="J1751" s="23"/>
      <c r="K1751" s="24">
        <v>1200</v>
      </c>
      <c r="L1751" s="22">
        <v>3085</v>
      </c>
      <c r="M1751" s="22">
        <f t="shared" si="191"/>
        <v>5715</v>
      </c>
      <c r="N1751" s="22"/>
      <c r="O1751" s="30">
        <f t="shared" si="192"/>
        <v>0.57150000000000001</v>
      </c>
    </row>
    <row r="1752" spans="1:15" ht="20.100000000000001" customHeight="1" x14ac:dyDescent="0.25">
      <c r="A1752" s="33">
        <v>991</v>
      </c>
      <c r="B1752" s="9">
        <v>44133</v>
      </c>
      <c r="C1752" s="18" t="s">
        <v>65</v>
      </c>
      <c r="D1752" s="11">
        <v>874385.02</v>
      </c>
      <c r="E1752" s="9">
        <v>44222</v>
      </c>
      <c r="F1752" s="15" t="s">
        <v>28</v>
      </c>
      <c r="G1752" s="12">
        <v>44189</v>
      </c>
      <c r="H1752" s="23">
        <v>744171.82</v>
      </c>
      <c r="I1752" s="23"/>
      <c r="J1752" s="23"/>
      <c r="K1752" s="24"/>
      <c r="L1752" s="23">
        <v>661422</v>
      </c>
      <c r="M1752" s="22">
        <f t="shared" si="191"/>
        <v>82749.819999999949</v>
      </c>
      <c r="N1752" s="22"/>
      <c r="O1752" s="30">
        <f t="shared" si="192"/>
        <v>0.11119719636790325</v>
      </c>
    </row>
    <row r="1753" spans="1:15" ht="20.100000000000001" customHeight="1" x14ac:dyDescent="0.25">
      <c r="A1753" s="33">
        <v>4</v>
      </c>
      <c r="B1753" s="9">
        <v>44209</v>
      </c>
      <c r="C1753" s="18" t="s">
        <v>228</v>
      </c>
      <c r="D1753" s="11">
        <v>12607</v>
      </c>
      <c r="E1753" s="9">
        <v>44222</v>
      </c>
      <c r="F1753" s="15" t="s">
        <v>28</v>
      </c>
      <c r="G1753" s="12">
        <v>44245</v>
      </c>
      <c r="H1753" s="23">
        <f>D1753</f>
        <v>12607</v>
      </c>
      <c r="I1753" s="23"/>
      <c r="J1753" s="23"/>
      <c r="K1753" s="24"/>
      <c r="L1753" s="23">
        <v>8320</v>
      </c>
      <c r="M1753" s="22">
        <f t="shared" si="191"/>
        <v>4287</v>
      </c>
      <c r="N1753" s="22"/>
      <c r="O1753" s="30">
        <f t="shared" si="192"/>
        <v>0.34004917902752441</v>
      </c>
    </row>
    <row r="1754" spans="1:15" ht="20.100000000000001" customHeight="1" x14ac:dyDescent="0.25">
      <c r="A1754" s="33">
        <v>1144</v>
      </c>
      <c r="B1754" s="9">
        <v>44165</v>
      </c>
      <c r="C1754" s="18" t="s">
        <v>433</v>
      </c>
      <c r="D1754" s="11">
        <v>84000</v>
      </c>
      <c r="E1754" s="9">
        <v>44223</v>
      </c>
      <c r="F1754" s="15" t="s">
        <v>28</v>
      </c>
      <c r="G1754" s="12">
        <v>44187</v>
      </c>
      <c r="H1754" s="23">
        <f>D1754</f>
        <v>84000</v>
      </c>
      <c r="I1754" s="23"/>
      <c r="J1754" s="23"/>
      <c r="K1754" s="24"/>
      <c r="L1754" s="23">
        <v>61222</v>
      </c>
      <c r="M1754" s="22">
        <f t="shared" si="191"/>
        <v>22778</v>
      </c>
      <c r="N1754" s="22"/>
      <c r="O1754" s="30">
        <f t="shared" si="192"/>
        <v>0.27116666666666667</v>
      </c>
    </row>
    <row r="1755" spans="1:15" ht="19.5" customHeight="1" x14ac:dyDescent="0.25">
      <c r="A1755" s="33">
        <v>48</v>
      </c>
      <c r="B1755" s="9">
        <v>44222</v>
      </c>
      <c r="C1755" s="18" t="s">
        <v>149</v>
      </c>
      <c r="D1755" s="11">
        <v>8534</v>
      </c>
      <c r="E1755" s="9">
        <v>44224</v>
      </c>
      <c r="F1755" s="15" t="s">
        <v>28</v>
      </c>
      <c r="G1755" s="12">
        <v>44225</v>
      </c>
      <c r="H1755" s="23">
        <f>D1755</f>
        <v>8534</v>
      </c>
      <c r="I1755" s="23"/>
      <c r="J1755" s="23"/>
      <c r="K1755" s="24"/>
      <c r="L1755" s="23">
        <v>6026</v>
      </c>
      <c r="M1755" s="22">
        <f t="shared" si="191"/>
        <v>2508</v>
      </c>
      <c r="N1755" s="22"/>
      <c r="O1755" s="30">
        <f t="shared" si="192"/>
        <v>0.29388329036794003</v>
      </c>
    </row>
    <row r="1756" spans="1:15" ht="15.75" x14ac:dyDescent="0.25">
      <c r="A1756" s="35" t="s">
        <v>535</v>
      </c>
      <c r="B1756" s="36"/>
      <c r="C1756" s="42"/>
      <c r="D1756" s="37"/>
      <c r="E1756" s="46" t="s">
        <v>587</v>
      </c>
      <c r="F1756" s="47">
        <f>M1756*0.17+N1756*0.06+10000</f>
        <v>63800.804399999994</v>
      </c>
      <c r="G1756" s="21">
        <f>H1756*0.05+I1756*0.02+10000</f>
        <v>75696.966</v>
      </c>
      <c r="H1756" s="49">
        <f>SUBTOTAL(109,Январь2021[Продажа])</f>
        <v>1313939.3199999998</v>
      </c>
      <c r="I1756" s="49">
        <f>SUBTOTAL(109,Январь2021[Продажа НК])</f>
        <v>0</v>
      </c>
      <c r="J1756" s="49">
        <f>SUBTOTAL(109,Январь2021[отк])</f>
        <v>0</v>
      </c>
      <c r="K1756" s="49">
        <f>SUBTOTAL(109,Январь2021[шланги])</f>
        <v>1200</v>
      </c>
      <c r="L1756" s="49">
        <f>SUBTOTAL(109,Январь2021[Закупка])</f>
        <v>996264</v>
      </c>
      <c r="M1756" s="49">
        <f>SUBTOTAL(109,Январь2021[Маржа])</f>
        <v>316475.31999999995</v>
      </c>
      <c r="N1756" s="49">
        <f>SUBTOTAL(109,Январь2021[Маржа НК])</f>
        <v>0</v>
      </c>
      <c r="O1756" s="44">
        <f t="shared" si="192"/>
        <v>0.24085992038049367</v>
      </c>
    </row>
    <row r="1757" spans="1:15" ht="20.100000000000001" customHeight="1" x14ac:dyDescent="0.25">
      <c r="A1757" s="41" t="s">
        <v>1</v>
      </c>
      <c r="B1757" s="1" t="s">
        <v>0</v>
      </c>
      <c r="C1757" s="1" t="s">
        <v>26</v>
      </c>
      <c r="D1757" s="1" t="s">
        <v>2</v>
      </c>
      <c r="E1757" s="1" t="s">
        <v>3</v>
      </c>
      <c r="F1757" s="1" t="s">
        <v>27</v>
      </c>
      <c r="G1757" s="1" t="s">
        <v>4</v>
      </c>
      <c r="H1757" s="2" t="s">
        <v>132</v>
      </c>
      <c r="I1757" s="2" t="s">
        <v>133</v>
      </c>
      <c r="J1757" s="40" t="s">
        <v>187</v>
      </c>
      <c r="K1757" s="40" t="s">
        <v>188</v>
      </c>
      <c r="L1757" s="40" t="s">
        <v>129</v>
      </c>
      <c r="M1757" s="40" t="s">
        <v>130</v>
      </c>
      <c r="N1757" s="2" t="s">
        <v>131</v>
      </c>
      <c r="O1757" s="2" t="s">
        <v>134</v>
      </c>
    </row>
    <row r="1758" spans="1:15" ht="20.100000000000001" customHeight="1" x14ac:dyDescent="0.25">
      <c r="A1758" s="33">
        <v>1146</v>
      </c>
      <c r="B1758" s="9">
        <v>44165</v>
      </c>
      <c r="C1758" s="18" t="s">
        <v>433</v>
      </c>
      <c r="D1758" s="11">
        <v>60300</v>
      </c>
      <c r="E1758" s="9">
        <v>44228</v>
      </c>
      <c r="F1758" s="15" t="s">
        <v>28</v>
      </c>
      <c r="G1758" s="12">
        <v>44187</v>
      </c>
      <c r="H1758" s="23">
        <f t="shared" ref="H1758:H1782" si="193">D1758</f>
        <v>60300</v>
      </c>
      <c r="I1758" s="23"/>
      <c r="J1758" s="23"/>
      <c r="K1758" s="24"/>
      <c r="L1758" s="23">
        <v>43012</v>
      </c>
      <c r="M1758" s="22">
        <f t="shared" ref="M1758:M1782" si="194">H1758-L1758-J1758-K1758</f>
        <v>17288</v>
      </c>
      <c r="N1758" s="22"/>
      <c r="O1758" s="30">
        <f t="shared" ref="O1758:O1783" si="195">M1758/H1758</f>
        <v>0.28669983416252071</v>
      </c>
    </row>
    <row r="1759" spans="1:15" ht="20.100000000000001" customHeight="1" x14ac:dyDescent="0.25">
      <c r="A1759" s="33">
        <v>1</v>
      </c>
      <c r="B1759" s="9">
        <v>44207</v>
      </c>
      <c r="C1759" s="18" t="s">
        <v>228</v>
      </c>
      <c r="D1759" s="11">
        <v>6724</v>
      </c>
      <c r="E1759" s="9">
        <v>44229</v>
      </c>
      <c r="F1759" s="15" t="s">
        <v>28</v>
      </c>
      <c r="G1759" s="12">
        <v>44209</v>
      </c>
      <c r="H1759" s="23">
        <f t="shared" si="193"/>
        <v>6724</v>
      </c>
      <c r="I1759" s="23"/>
      <c r="J1759" s="23"/>
      <c r="K1759" s="24"/>
      <c r="L1759" s="22">
        <v>4894</v>
      </c>
      <c r="M1759" s="22">
        <f t="shared" si="194"/>
        <v>1830</v>
      </c>
      <c r="N1759" s="22"/>
      <c r="O1759" s="30">
        <f t="shared" si="195"/>
        <v>0.2721594289113623</v>
      </c>
    </row>
    <row r="1760" spans="1:15" ht="20.100000000000001" customHeight="1" x14ac:dyDescent="0.25">
      <c r="A1760" s="33">
        <v>87</v>
      </c>
      <c r="B1760" s="9">
        <v>44230</v>
      </c>
      <c r="C1760" s="20" t="s">
        <v>482</v>
      </c>
      <c r="D1760" s="11">
        <v>8566</v>
      </c>
      <c r="E1760" s="9">
        <v>44230</v>
      </c>
      <c r="F1760" s="15" t="s">
        <v>28</v>
      </c>
      <c r="G1760" s="12">
        <v>44235</v>
      </c>
      <c r="H1760" s="23">
        <f t="shared" si="193"/>
        <v>8566</v>
      </c>
      <c r="I1760" s="23">
        <f>H1760</f>
        <v>8566</v>
      </c>
      <c r="J1760" s="23"/>
      <c r="K1760" s="24"/>
      <c r="L1760" s="22">
        <v>5826</v>
      </c>
      <c r="M1760" s="22">
        <f t="shared" si="194"/>
        <v>2740</v>
      </c>
      <c r="N1760" s="22">
        <f>M1760</f>
        <v>2740</v>
      </c>
      <c r="O1760" s="30">
        <f t="shared" si="195"/>
        <v>0.31986925052533272</v>
      </c>
    </row>
    <row r="1761" spans="1:15" ht="20.100000000000001" customHeight="1" x14ac:dyDescent="0.25">
      <c r="A1761" s="33">
        <v>57</v>
      </c>
      <c r="B1761" s="9">
        <v>44224</v>
      </c>
      <c r="C1761" s="20" t="s">
        <v>483</v>
      </c>
      <c r="D1761" s="11">
        <v>17713</v>
      </c>
      <c r="E1761" s="9">
        <v>44230</v>
      </c>
      <c r="F1761" s="15" t="s">
        <v>28</v>
      </c>
      <c r="G1761" s="12">
        <v>44264</v>
      </c>
      <c r="H1761" s="23">
        <f t="shared" si="193"/>
        <v>17713</v>
      </c>
      <c r="I1761" s="23">
        <f>H1761</f>
        <v>17713</v>
      </c>
      <c r="J1761" s="23"/>
      <c r="K1761" s="24"/>
      <c r="L1761" s="22">
        <v>13817</v>
      </c>
      <c r="M1761" s="22">
        <f t="shared" si="194"/>
        <v>3896</v>
      </c>
      <c r="N1761" s="22">
        <f>M1761</f>
        <v>3896</v>
      </c>
      <c r="O1761" s="30">
        <f t="shared" si="195"/>
        <v>0.21995144808897421</v>
      </c>
    </row>
    <row r="1762" spans="1:15" ht="20.100000000000001" customHeight="1" x14ac:dyDescent="0.25">
      <c r="A1762" s="33">
        <v>99</v>
      </c>
      <c r="B1762" s="9">
        <v>44231</v>
      </c>
      <c r="C1762" s="18" t="s">
        <v>470</v>
      </c>
      <c r="D1762" s="11">
        <v>24444</v>
      </c>
      <c r="E1762" s="9">
        <v>44231</v>
      </c>
      <c r="F1762" s="15" t="s">
        <v>28</v>
      </c>
      <c r="G1762" s="12">
        <v>44271</v>
      </c>
      <c r="H1762" s="23">
        <f t="shared" si="193"/>
        <v>24444</v>
      </c>
      <c r="I1762" s="23"/>
      <c r="J1762" s="23"/>
      <c r="K1762" s="24"/>
      <c r="L1762" s="22">
        <v>19068</v>
      </c>
      <c r="M1762" s="22">
        <f t="shared" si="194"/>
        <v>5376</v>
      </c>
      <c r="N1762" s="22"/>
      <c r="O1762" s="30">
        <f t="shared" si="195"/>
        <v>0.21993127147766323</v>
      </c>
    </row>
    <row r="1763" spans="1:15" ht="20.100000000000001" customHeight="1" x14ac:dyDescent="0.25">
      <c r="A1763" s="33">
        <v>92</v>
      </c>
      <c r="B1763" s="9">
        <v>44230</v>
      </c>
      <c r="C1763" s="18" t="s">
        <v>424</v>
      </c>
      <c r="D1763" s="11">
        <v>2710</v>
      </c>
      <c r="E1763" s="9">
        <v>44232</v>
      </c>
      <c r="F1763" s="15" t="s">
        <v>28</v>
      </c>
      <c r="G1763" s="12">
        <v>44235</v>
      </c>
      <c r="H1763" s="23">
        <f t="shared" si="193"/>
        <v>2710</v>
      </c>
      <c r="I1763" s="23"/>
      <c r="J1763" s="23"/>
      <c r="K1763" s="24"/>
      <c r="L1763" s="22">
        <v>2030.15</v>
      </c>
      <c r="M1763" s="22">
        <f t="shared" si="194"/>
        <v>679.84999999999991</v>
      </c>
      <c r="N1763" s="22"/>
      <c r="O1763" s="30">
        <f t="shared" si="195"/>
        <v>0.25086715867158671</v>
      </c>
    </row>
    <row r="1764" spans="1:15" ht="20.100000000000001" customHeight="1" x14ac:dyDescent="0.25">
      <c r="A1764" s="33">
        <v>1244</v>
      </c>
      <c r="B1764" s="9">
        <v>44176</v>
      </c>
      <c r="C1764" s="18" t="s">
        <v>56</v>
      </c>
      <c r="D1764" s="11">
        <v>5702</v>
      </c>
      <c r="E1764" s="9">
        <v>44235</v>
      </c>
      <c r="F1764" s="15" t="s">
        <v>28</v>
      </c>
      <c r="G1764" s="12">
        <v>44194</v>
      </c>
      <c r="H1764" s="23">
        <f t="shared" si="193"/>
        <v>5702</v>
      </c>
      <c r="I1764" s="23"/>
      <c r="J1764" s="23"/>
      <c r="K1764" s="24"/>
      <c r="L1764" s="23">
        <v>4447</v>
      </c>
      <c r="M1764" s="22">
        <f t="shared" si="194"/>
        <v>1255</v>
      </c>
      <c r="N1764" s="22"/>
      <c r="O1764" s="30">
        <f t="shared" si="195"/>
        <v>0.22009821115398107</v>
      </c>
    </row>
    <row r="1765" spans="1:15" ht="20.100000000000001" customHeight="1" x14ac:dyDescent="0.25">
      <c r="A1765" s="33">
        <v>15</v>
      </c>
      <c r="B1765" s="9">
        <v>44209</v>
      </c>
      <c r="C1765" s="18" t="s">
        <v>56</v>
      </c>
      <c r="D1765" s="11">
        <v>38947</v>
      </c>
      <c r="E1765" s="9">
        <v>44235</v>
      </c>
      <c r="F1765" s="15" t="s">
        <v>28</v>
      </c>
      <c r="G1765" s="12">
        <v>44221</v>
      </c>
      <c r="H1765" s="23">
        <f t="shared" si="193"/>
        <v>38947</v>
      </c>
      <c r="I1765" s="23"/>
      <c r="J1765" s="23"/>
      <c r="K1765" s="24"/>
      <c r="L1765" s="23">
        <v>28479</v>
      </c>
      <c r="M1765" s="22">
        <f t="shared" si="194"/>
        <v>10468</v>
      </c>
      <c r="N1765" s="22"/>
      <c r="O1765" s="30">
        <f t="shared" si="195"/>
        <v>0.26877551544406503</v>
      </c>
    </row>
    <row r="1766" spans="1:15" ht="20.100000000000001" customHeight="1" x14ac:dyDescent="0.25">
      <c r="A1766" s="33">
        <v>1211</v>
      </c>
      <c r="B1766" s="9">
        <v>44167</v>
      </c>
      <c r="C1766" s="18" t="s">
        <v>56</v>
      </c>
      <c r="D1766" s="11">
        <v>98783</v>
      </c>
      <c r="E1766" s="9">
        <v>44235</v>
      </c>
      <c r="F1766" s="15" t="s">
        <v>28</v>
      </c>
      <c r="G1766" s="12">
        <v>44221</v>
      </c>
      <c r="H1766" s="23">
        <f t="shared" si="193"/>
        <v>98783</v>
      </c>
      <c r="I1766" s="23"/>
      <c r="J1766" s="23"/>
      <c r="K1766" s="24"/>
      <c r="L1766" s="23">
        <v>70144</v>
      </c>
      <c r="M1766" s="22">
        <f t="shared" si="194"/>
        <v>28639</v>
      </c>
      <c r="N1766" s="22"/>
      <c r="O1766" s="30">
        <f t="shared" si="195"/>
        <v>0.28991830578135913</v>
      </c>
    </row>
    <row r="1767" spans="1:15" ht="20.100000000000001" customHeight="1" x14ac:dyDescent="0.25">
      <c r="A1767" s="33">
        <v>80</v>
      </c>
      <c r="B1767" s="9">
        <v>44229</v>
      </c>
      <c r="C1767" s="18" t="s">
        <v>206</v>
      </c>
      <c r="D1767" s="11">
        <v>2299</v>
      </c>
      <c r="E1767" s="9">
        <v>44237</v>
      </c>
      <c r="F1767" s="15" t="s">
        <v>28</v>
      </c>
      <c r="G1767" s="12">
        <v>44229</v>
      </c>
      <c r="H1767" s="23">
        <f t="shared" si="193"/>
        <v>2299</v>
      </c>
      <c r="I1767" s="23"/>
      <c r="J1767" s="23"/>
      <c r="K1767" s="24"/>
      <c r="L1767" s="22">
        <v>1767</v>
      </c>
      <c r="M1767" s="22">
        <f t="shared" si="194"/>
        <v>532</v>
      </c>
      <c r="N1767" s="22"/>
      <c r="O1767" s="30">
        <f t="shared" si="195"/>
        <v>0.23140495867768596</v>
      </c>
    </row>
    <row r="1768" spans="1:15" ht="20.100000000000001" customHeight="1" x14ac:dyDescent="0.25">
      <c r="A1768" s="33">
        <v>112</v>
      </c>
      <c r="B1768" s="9">
        <v>44235</v>
      </c>
      <c r="C1768" s="18" t="s">
        <v>443</v>
      </c>
      <c r="D1768" s="11">
        <v>3110</v>
      </c>
      <c r="E1768" s="9">
        <v>44237</v>
      </c>
      <c r="F1768" s="15" t="s">
        <v>28</v>
      </c>
      <c r="G1768" s="12">
        <v>44230</v>
      </c>
      <c r="H1768" s="23">
        <f t="shared" si="193"/>
        <v>3110</v>
      </c>
      <c r="I1768" s="23"/>
      <c r="J1768" s="23"/>
      <c r="K1768" s="24"/>
      <c r="L1768" s="22">
        <v>1864</v>
      </c>
      <c r="M1768" s="22">
        <f t="shared" si="194"/>
        <v>1246</v>
      </c>
      <c r="N1768" s="22"/>
      <c r="O1768" s="30">
        <f t="shared" si="195"/>
        <v>0.40064308681672028</v>
      </c>
    </row>
    <row r="1769" spans="1:15" ht="20.100000000000001" customHeight="1" x14ac:dyDescent="0.25">
      <c r="A1769" s="33">
        <v>1157</v>
      </c>
      <c r="B1769" s="9">
        <v>44152</v>
      </c>
      <c r="C1769" s="18" t="s">
        <v>275</v>
      </c>
      <c r="D1769" s="11">
        <v>2660</v>
      </c>
      <c r="E1769" s="9">
        <v>44238</v>
      </c>
      <c r="F1769" s="15" t="s">
        <v>28</v>
      </c>
      <c r="G1769" s="12">
        <v>44208</v>
      </c>
      <c r="H1769" s="23">
        <f t="shared" si="193"/>
        <v>2660</v>
      </c>
      <c r="I1769" s="23"/>
      <c r="J1769" s="23"/>
      <c r="K1769" s="24"/>
      <c r="L1769" s="22">
        <v>2044</v>
      </c>
      <c r="M1769" s="22">
        <f t="shared" si="194"/>
        <v>616</v>
      </c>
      <c r="N1769" s="22"/>
      <c r="O1769" s="30">
        <f t="shared" si="195"/>
        <v>0.23157894736842105</v>
      </c>
    </row>
    <row r="1770" spans="1:15" ht="20.100000000000001" customHeight="1" x14ac:dyDescent="0.25">
      <c r="A1770" s="33">
        <v>125</v>
      </c>
      <c r="B1770" s="9">
        <v>44239</v>
      </c>
      <c r="C1770" s="18" t="s">
        <v>443</v>
      </c>
      <c r="D1770" s="11">
        <v>13590</v>
      </c>
      <c r="E1770" s="9">
        <v>44243</v>
      </c>
      <c r="F1770" s="15" t="s">
        <v>28</v>
      </c>
      <c r="G1770" s="12">
        <v>44264</v>
      </c>
      <c r="H1770" s="23">
        <f t="shared" si="193"/>
        <v>13590</v>
      </c>
      <c r="I1770" s="23"/>
      <c r="J1770" s="23"/>
      <c r="K1770" s="24"/>
      <c r="L1770" s="22">
        <v>10600</v>
      </c>
      <c r="M1770" s="22">
        <f t="shared" si="194"/>
        <v>2990</v>
      </c>
      <c r="N1770" s="22"/>
      <c r="O1770" s="30">
        <f t="shared" si="195"/>
        <v>0.22001471670345843</v>
      </c>
    </row>
    <row r="1771" spans="1:15" ht="20.100000000000001" customHeight="1" x14ac:dyDescent="0.25">
      <c r="A1771" s="33">
        <v>123</v>
      </c>
      <c r="B1771" s="9">
        <v>44239</v>
      </c>
      <c r="C1771" s="18" t="s">
        <v>410</v>
      </c>
      <c r="D1771" s="11">
        <v>191394</v>
      </c>
      <c r="E1771" s="9">
        <v>44243</v>
      </c>
      <c r="F1771" s="15" t="s">
        <v>28</v>
      </c>
      <c r="G1771" s="12">
        <v>44270</v>
      </c>
      <c r="H1771" s="23">
        <f t="shared" si="193"/>
        <v>191394</v>
      </c>
      <c r="I1771" s="23"/>
      <c r="J1771" s="23"/>
      <c r="K1771" s="24"/>
      <c r="L1771" s="22">
        <v>138868</v>
      </c>
      <c r="M1771" s="22">
        <f t="shared" si="194"/>
        <v>52526</v>
      </c>
      <c r="N1771" s="22"/>
      <c r="O1771" s="30">
        <f t="shared" si="195"/>
        <v>0.27443911512377611</v>
      </c>
    </row>
    <row r="1772" spans="1:15" ht="20.100000000000001" customHeight="1" x14ac:dyDescent="0.25">
      <c r="A1772" s="33">
        <v>134</v>
      </c>
      <c r="B1772" s="9">
        <v>44243</v>
      </c>
      <c r="C1772" s="18" t="s">
        <v>442</v>
      </c>
      <c r="D1772" s="11">
        <v>3212</v>
      </c>
      <c r="E1772" s="9">
        <v>44243</v>
      </c>
      <c r="F1772" s="15" t="s">
        <v>28</v>
      </c>
      <c r="G1772" s="12">
        <v>44245</v>
      </c>
      <c r="H1772" s="23">
        <f t="shared" si="193"/>
        <v>3212</v>
      </c>
      <c r="I1772" s="23"/>
      <c r="J1772" s="23"/>
      <c r="K1772" s="24"/>
      <c r="L1772" s="22">
        <v>2208</v>
      </c>
      <c r="M1772" s="22">
        <f t="shared" si="194"/>
        <v>1004</v>
      </c>
      <c r="N1772" s="22"/>
      <c r="O1772" s="30">
        <f t="shared" si="195"/>
        <v>0.3125778331257783</v>
      </c>
    </row>
    <row r="1773" spans="1:15" ht="20.100000000000001" customHeight="1" x14ac:dyDescent="0.25">
      <c r="A1773" s="33">
        <v>130</v>
      </c>
      <c r="B1773" s="9">
        <v>44242</v>
      </c>
      <c r="C1773" s="20" t="s">
        <v>485</v>
      </c>
      <c r="D1773" s="11">
        <v>5000</v>
      </c>
      <c r="E1773" s="9">
        <v>44244</v>
      </c>
      <c r="F1773" s="15" t="s">
        <v>28</v>
      </c>
      <c r="G1773" s="12">
        <v>44257</v>
      </c>
      <c r="H1773" s="23">
        <f t="shared" si="193"/>
        <v>5000</v>
      </c>
      <c r="I1773" s="23">
        <f>H1773</f>
        <v>5000</v>
      </c>
      <c r="J1773" s="23"/>
      <c r="K1773" s="24">
        <v>600</v>
      </c>
      <c r="L1773" s="22">
        <v>1367</v>
      </c>
      <c r="M1773" s="22">
        <f t="shared" si="194"/>
        <v>3033</v>
      </c>
      <c r="N1773" s="22">
        <f>M1773</f>
        <v>3033</v>
      </c>
      <c r="O1773" s="30">
        <f t="shared" si="195"/>
        <v>0.60660000000000003</v>
      </c>
    </row>
    <row r="1774" spans="1:15" ht="20.100000000000001" customHeight="1" x14ac:dyDescent="0.25">
      <c r="A1774" s="33">
        <v>133</v>
      </c>
      <c r="B1774" s="9">
        <v>44243</v>
      </c>
      <c r="C1774" s="20" t="s">
        <v>486</v>
      </c>
      <c r="D1774" s="11">
        <v>102645.4</v>
      </c>
      <c r="E1774" s="9">
        <v>44245</v>
      </c>
      <c r="F1774" s="15" t="s">
        <v>28</v>
      </c>
      <c r="G1774" s="12">
        <v>44245</v>
      </c>
      <c r="H1774" s="23">
        <f t="shared" si="193"/>
        <v>102645.4</v>
      </c>
      <c r="I1774" s="23">
        <f>H1774</f>
        <v>102645.4</v>
      </c>
      <c r="J1774" s="23"/>
      <c r="K1774" s="24"/>
      <c r="L1774" s="22">
        <v>64033.93</v>
      </c>
      <c r="M1774" s="22">
        <f t="shared" si="194"/>
        <v>38611.469999999994</v>
      </c>
      <c r="N1774" s="22">
        <f>M1774</f>
        <v>38611.469999999994</v>
      </c>
      <c r="O1774" s="30">
        <f t="shared" si="195"/>
        <v>0.37616366636985188</v>
      </c>
    </row>
    <row r="1775" spans="1:15" ht="20.100000000000001" customHeight="1" x14ac:dyDescent="0.25">
      <c r="A1775" s="33">
        <v>132</v>
      </c>
      <c r="B1775" s="9">
        <v>44243</v>
      </c>
      <c r="C1775" s="18" t="s">
        <v>437</v>
      </c>
      <c r="D1775" s="11">
        <v>4020</v>
      </c>
      <c r="E1775" s="9">
        <v>44246</v>
      </c>
      <c r="F1775" s="15" t="s">
        <v>28</v>
      </c>
      <c r="G1775" s="12">
        <v>44245</v>
      </c>
      <c r="H1775" s="23">
        <f t="shared" si="193"/>
        <v>4020</v>
      </c>
      <c r="I1775" s="23"/>
      <c r="J1775" s="23"/>
      <c r="K1775" s="24"/>
      <c r="L1775" s="22">
        <v>2777</v>
      </c>
      <c r="M1775" s="22">
        <f t="shared" si="194"/>
        <v>1243</v>
      </c>
      <c r="N1775" s="22"/>
      <c r="O1775" s="30">
        <f t="shared" si="195"/>
        <v>0.30920398009950251</v>
      </c>
    </row>
    <row r="1776" spans="1:15" ht="20.100000000000001" customHeight="1" x14ac:dyDescent="0.25">
      <c r="A1776" s="33">
        <v>141</v>
      </c>
      <c r="B1776" s="9">
        <v>44245</v>
      </c>
      <c r="C1776" s="18" t="s">
        <v>16</v>
      </c>
      <c r="D1776" s="11">
        <v>20955</v>
      </c>
      <c r="E1776" s="9">
        <v>44246</v>
      </c>
      <c r="F1776" s="15" t="s">
        <v>28</v>
      </c>
      <c r="G1776" s="12">
        <v>44252</v>
      </c>
      <c r="H1776" s="23">
        <f t="shared" si="193"/>
        <v>20955</v>
      </c>
      <c r="I1776" s="23"/>
      <c r="J1776" s="23"/>
      <c r="K1776" s="24"/>
      <c r="L1776" s="22">
        <v>17325</v>
      </c>
      <c r="M1776" s="22">
        <f t="shared" si="194"/>
        <v>3630</v>
      </c>
      <c r="N1776" s="22"/>
      <c r="O1776" s="30">
        <f t="shared" si="195"/>
        <v>0.17322834645669291</v>
      </c>
    </row>
    <row r="1777" spans="1:15" ht="20.100000000000001" customHeight="1" x14ac:dyDescent="0.25">
      <c r="A1777" s="33">
        <v>77</v>
      </c>
      <c r="B1777" s="9">
        <v>44239</v>
      </c>
      <c r="C1777" s="18" t="s">
        <v>302</v>
      </c>
      <c r="D1777" s="11">
        <v>8564</v>
      </c>
      <c r="E1777" s="9">
        <v>44251</v>
      </c>
      <c r="F1777" s="15" t="s">
        <v>28</v>
      </c>
      <c r="G1777" s="12">
        <v>44239</v>
      </c>
      <c r="H1777" s="23">
        <f t="shared" si="193"/>
        <v>8564</v>
      </c>
      <c r="I1777" s="23"/>
      <c r="J1777" s="23"/>
      <c r="K1777" s="24"/>
      <c r="L1777" s="22">
        <v>6197</v>
      </c>
      <c r="M1777" s="22">
        <f t="shared" si="194"/>
        <v>2367</v>
      </c>
      <c r="N1777" s="22"/>
      <c r="O1777" s="30">
        <f t="shared" si="195"/>
        <v>0.27638953759925267</v>
      </c>
    </row>
    <row r="1778" spans="1:15" ht="19.5" customHeight="1" x14ac:dyDescent="0.25">
      <c r="A1778" s="33">
        <v>47</v>
      </c>
      <c r="B1778" s="9">
        <v>44222</v>
      </c>
      <c r="C1778" s="18" t="s">
        <v>56</v>
      </c>
      <c r="D1778" s="11">
        <v>54003</v>
      </c>
      <c r="E1778" s="9">
        <v>44252</v>
      </c>
      <c r="F1778" s="15" t="s">
        <v>28</v>
      </c>
      <c r="G1778" s="12">
        <v>44243</v>
      </c>
      <c r="H1778" s="23">
        <f t="shared" si="193"/>
        <v>54003</v>
      </c>
      <c r="I1778" s="23"/>
      <c r="J1778" s="23"/>
      <c r="K1778" s="24"/>
      <c r="L1778" s="23">
        <v>40601</v>
      </c>
      <c r="M1778" s="22">
        <f t="shared" si="194"/>
        <v>13402</v>
      </c>
      <c r="N1778" s="22"/>
      <c r="O1778" s="30">
        <f t="shared" si="195"/>
        <v>0.24817139788530268</v>
      </c>
    </row>
    <row r="1779" spans="1:15" ht="15.75" x14ac:dyDescent="0.25">
      <c r="A1779" s="33">
        <v>159</v>
      </c>
      <c r="B1779" s="9">
        <v>44252</v>
      </c>
      <c r="C1779" s="20" t="s">
        <v>487</v>
      </c>
      <c r="D1779" s="11">
        <v>3362</v>
      </c>
      <c r="E1779" s="9">
        <v>44252</v>
      </c>
      <c r="F1779" s="15" t="s">
        <v>28</v>
      </c>
      <c r="G1779" s="12">
        <v>44253</v>
      </c>
      <c r="H1779" s="23">
        <f t="shared" si="193"/>
        <v>3362</v>
      </c>
      <c r="I1779" s="23">
        <f>H1779</f>
        <v>3362</v>
      </c>
      <c r="J1779" s="23"/>
      <c r="K1779" s="24"/>
      <c r="L1779" s="23">
        <v>2447</v>
      </c>
      <c r="M1779" s="22">
        <f t="shared" si="194"/>
        <v>915</v>
      </c>
      <c r="N1779" s="22">
        <f>M1779</f>
        <v>915</v>
      </c>
      <c r="O1779" s="30">
        <f t="shared" si="195"/>
        <v>0.2721594289113623</v>
      </c>
    </row>
    <row r="1780" spans="1:15" s="2" customFormat="1" ht="20.100000000000001" customHeight="1" x14ac:dyDescent="0.25">
      <c r="A1780" s="33">
        <v>150</v>
      </c>
      <c r="B1780" s="9">
        <v>44247</v>
      </c>
      <c r="C1780" s="18" t="s">
        <v>83</v>
      </c>
      <c r="D1780" s="11">
        <v>7111</v>
      </c>
      <c r="E1780" s="9">
        <v>44252</v>
      </c>
      <c r="F1780" s="15" t="s">
        <v>28</v>
      </c>
      <c r="G1780" s="12">
        <v>44253</v>
      </c>
      <c r="H1780" s="23">
        <f t="shared" si="193"/>
        <v>7111</v>
      </c>
      <c r="I1780" s="23"/>
      <c r="J1780" s="23"/>
      <c r="K1780" s="24"/>
      <c r="L1780" s="23">
        <v>6375</v>
      </c>
      <c r="M1780" s="22">
        <f t="shared" si="194"/>
        <v>736</v>
      </c>
      <c r="N1780" s="22"/>
      <c r="O1780" s="30">
        <f t="shared" si="195"/>
        <v>0.10350161721276895</v>
      </c>
    </row>
    <row r="1781" spans="1:15" ht="20.100000000000001" customHeight="1" x14ac:dyDescent="0.25">
      <c r="A1781" s="33">
        <v>1248</v>
      </c>
      <c r="B1781" s="9">
        <v>44179</v>
      </c>
      <c r="C1781" s="18" t="s">
        <v>99</v>
      </c>
      <c r="D1781" s="11">
        <v>120490</v>
      </c>
      <c r="E1781" s="9">
        <v>44252</v>
      </c>
      <c r="F1781" s="15" t="s">
        <v>28</v>
      </c>
      <c r="G1781" s="12">
        <v>44222</v>
      </c>
      <c r="H1781" s="23">
        <f t="shared" si="193"/>
        <v>120490</v>
      </c>
      <c r="I1781" s="23"/>
      <c r="J1781" s="23"/>
      <c r="K1781" s="24">
        <f>12*600</f>
        <v>7200</v>
      </c>
      <c r="L1781" s="23">
        <v>93324</v>
      </c>
      <c r="M1781" s="22">
        <f t="shared" si="194"/>
        <v>19966</v>
      </c>
      <c r="N1781" s="22"/>
      <c r="O1781" s="30">
        <f t="shared" si="195"/>
        <v>0.16570669765125737</v>
      </c>
    </row>
    <row r="1782" spans="1:15" ht="20.100000000000001" customHeight="1" x14ac:dyDescent="0.25">
      <c r="A1782" s="33">
        <v>131</v>
      </c>
      <c r="B1782" s="9">
        <v>44242</v>
      </c>
      <c r="C1782" s="18" t="s">
        <v>403</v>
      </c>
      <c r="D1782" s="11">
        <v>6985</v>
      </c>
      <c r="E1782" s="9">
        <v>44253</v>
      </c>
      <c r="F1782" s="15" t="s">
        <v>28</v>
      </c>
      <c r="G1782" s="12">
        <v>44293</v>
      </c>
      <c r="H1782" s="23">
        <f t="shared" si="193"/>
        <v>6985</v>
      </c>
      <c r="I1782" s="23"/>
      <c r="J1782" s="23"/>
      <c r="K1782" s="24"/>
      <c r="L1782" s="23">
        <v>5378</v>
      </c>
      <c r="M1782" s="22">
        <f t="shared" si="194"/>
        <v>1607</v>
      </c>
      <c r="N1782" s="22"/>
      <c r="O1782" s="30">
        <f t="shared" si="195"/>
        <v>0.23006442376521116</v>
      </c>
    </row>
    <row r="1783" spans="1:15" ht="20.100000000000001" customHeight="1" x14ac:dyDescent="0.25">
      <c r="A1783" s="35" t="s">
        <v>535</v>
      </c>
      <c r="B1783" s="36"/>
      <c r="C1783" s="42"/>
      <c r="D1783" s="37"/>
      <c r="E1783" s="46" t="s">
        <v>588</v>
      </c>
      <c r="F1783" s="47">
        <f>M1783*0.12+N1783*0.06+10000</f>
        <v>38943.286599999999</v>
      </c>
      <c r="G1783" s="21">
        <f>H1783*0.05+I1783*0.02+10000</f>
        <v>53410.198000000004</v>
      </c>
      <c r="H1783" s="49">
        <f>SUBTOTAL(109,Февраль2021[Продажа])</f>
        <v>813289.4</v>
      </c>
      <c r="I1783" s="49">
        <f>SUBTOTAL(109,Февраль2021[Продажа НК])</f>
        <v>137286.39999999999</v>
      </c>
      <c r="J1783" s="49">
        <f>SUBTOTAL(109,Февраль2021[отк])</f>
        <v>0</v>
      </c>
      <c r="K1783" s="49">
        <f>SUBTOTAL(109,Февраль2021[шланги])</f>
        <v>7800</v>
      </c>
      <c r="L1783" s="49">
        <f>SUBTOTAL(109,Февраль2021[Закупка])</f>
        <v>588893.08000000007</v>
      </c>
      <c r="M1783" s="49">
        <f>SUBTOTAL(109,Февраль2021[Маржа])</f>
        <v>216596.32</v>
      </c>
      <c r="N1783" s="49">
        <f>SUBTOTAL(109,Февраль2021[Маржа НК])</f>
        <v>49195.469999999994</v>
      </c>
      <c r="O1783" s="44">
        <f t="shared" si="195"/>
        <v>0.26632133653776874</v>
      </c>
    </row>
    <row r="1784" spans="1:15" ht="20.100000000000001" customHeight="1" x14ac:dyDescent="0.25">
      <c r="A1784" s="41" t="s">
        <v>1</v>
      </c>
      <c r="B1784" s="1" t="s">
        <v>0</v>
      </c>
      <c r="C1784" s="1" t="s">
        <v>26</v>
      </c>
      <c r="D1784" s="1" t="s">
        <v>2</v>
      </c>
      <c r="E1784" s="1" t="s">
        <v>3</v>
      </c>
      <c r="F1784" s="1" t="s">
        <v>27</v>
      </c>
      <c r="G1784" s="1" t="s">
        <v>4</v>
      </c>
      <c r="H1784" s="2" t="s">
        <v>132</v>
      </c>
      <c r="I1784" s="2" t="s">
        <v>133</v>
      </c>
      <c r="J1784" s="40" t="s">
        <v>187</v>
      </c>
      <c r="K1784" s="40" t="s">
        <v>188</v>
      </c>
      <c r="L1784" s="40" t="s">
        <v>129</v>
      </c>
      <c r="M1784" s="40" t="s">
        <v>130</v>
      </c>
      <c r="N1784" s="2" t="s">
        <v>131</v>
      </c>
      <c r="O1784" s="2" t="s">
        <v>134</v>
      </c>
    </row>
    <row r="1785" spans="1:15" ht="20.100000000000001" customHeight="1" x14ac:dyDescent="0.25">
      <c r="A1785" s="33">
        <v>163</v>
      </c>
      <c r="B1785" s="9">
        <v>44256</v>
      </c>
      <c r="C1785" s="18" t="s">
        <v>303</v>
      </c>
      <c r="D1785" s="11">
        <v>4659.7</v>
      </c>
      <c r="E1785" s="9">
        <v>44256</v>
      </c>
      <c r="F1785" s="15" t="s">
        <v>28</v>
      </c>
      <c r="G1785" s="12">
        <v>44256</v>
      </c>
      <c r="H1785" s="23">
        <f t="shared" ref="H1785:H1797" si="196">D1785</f>
        <v>4659.7</v>
      </c>
      <c r="I1785" s="23"/>
      <c r="J1785" s="23"/>
      <c r="K1785" s="24"/>
      <c r="L1785" s="23">
        <v>3295</v>
      </c>
      <c r="M1785" s="22">
        <f t="shared" ref="M1785:M1812" si="197">H1785-L1785-J1785-K1785</f>
        <v>1364.6999999999998</v>
      </c>
      <c r="N1785" s="22"/>
      <c r="O1785" s="30">
        <f t="shared" ref="O1785:O1813" si="198">M1785/H1785</f>
        <v>0.29287293173380258</v>
      </c>
    </row>
    <row r="1786" spans="1:15" ht="20.100000000000001" customHeight="1" x14ac:dyDescent="0.25">
      <c r="A1786" s="33">
        <v>161</v>
      </c>
      <c r="B1786" s="9">
        <v>44253</v>
      </c>
      <c r="C1786" s="18" t="s">
        <v>410</v>
      </c>
      <c r="D1786" s="11">
        <v>39550</v>
      </c>
      <c r="E1786" s="9">
        <v>44256</v>
      </c>
      <c r="F1786" s="15" t="s">
        <v>28</v>
      </c>
      <c r="G1786" s="12">
        <v>44299</v>
      </c>
      <c r="H1786" s="23">
        <f t="shared" si="196"/>
        <v>39550</v>
      </c>
      <c r="I1786" s="23"/>
      <c r="J1786" s="23"/>
      <c r="K1786" s="24"/>
      <c r="L1786" s="23">
        <v>30450</v>
      </c>
      <c r="M1786" s="22">
        <f t="shared" si="197"/>
        <v>9100</v>
      </c>
      <c r="N1786" s="22"/>
      <c r="O1786" s="30">
        <f t="shared" si="198"/>
        <v>0.23008849557522124</v>
      </c>
    </row>
    <row r="1787" spans="1:15" ht="20.100000000000001" customHeight="1" x14ac:dyDescent="0.25">
      <c r="A1787" s="33">
        <v>127</v>
      </c>
      <c r="B1787" s="9">
        <v>44242</v>
      </c>
      <c r="C1787" s="20" t="s">
        <v>484</v>
      </c>
      <c r="D1787" s="11">
        <v>145656</v>
      </c>
      <c r="E1787" s="9">
        <v>44256</v>
      </c>
      <c r="F1787" s="15" t="s">
        <v>28</v>
      </c>
      <c r="G1787" s="12">
        <v>44265</v>
      </c>
      <c r="H1787" s="23">
        <f t="shared" si="196"/>
        <v>145656</v>
      </c>
      <c r="I1787" s="23">
        <f>H1787</f>
        <v>145656</v>
      </c>
      <c r="J1787" s="23"/>
      <c r="K1787" s="24"/>
      <c r="L1787" s="22">
        <v>105183</v>
      </c>
      <c r="M1787" s="22">
        <f t="shared" si="197"/>
        <v>40473</v>
      </c>
      <c r="N1787" s="22">
        <f>M1787</f>
        <v>40473</v>
      </c>
      <c r="O1787" s="30">
        <f t="shared" si="198"/>
        <v>0.27786702916460704</v>
      </c>
    </row>
    <row r="1788" spans="1:15" ht="20.100000000000001" customHeight="1" x14ac:dyDescent="0.25">
      <c r="A1788" s="33">
        <v>142</v>
      </c>
      <c r="B1788" s="9">
        <v>44245</v>
      </c>
      <c r="C1788" s="18" t="s">
        <v>14</v>
      </c>
      <c r="D1788" s="11">
        <v>31430</v>
      </c>
      <c r="E1788" s="9">
        <v>44257</v>
      </c>
      <c r="F1788" s="15" t="s">
        <v>28</v>
      </c>
      <c r="G1788" s="12">
        <v>44257</v>
      </c>
      <c r="H1788" s="23">
        <f t="shared" si="196"/>
        <v>31430</v>
      </c>
      <c r="I1788" s="23"/>
      <c r="J1788" s="23"/>
      <c r="K1788" s="24"/>
      <c r="L1788" s="22">
        <v>23136.5</v>
      </c>
      <c r="M1788" s="22">
        <f t="shared" si="197"/>
        <v>8293.5</v>
      </c>
      <c r="N1788" s="22"/>
      <c r="O1788" s="30">
        <f t="shared" si="198"/>
        <v>0.26387209672287626</v>
      </c>
    </row>
    <row r="1789" spans="1:15" ht="20.100000000000001" customHeight="1" x14ac:dyDescent="0.25">
      <c r="A1789" s="33">
        <v>31</v>
      </c>
      <c r="B1789" s="9">
        <v>44216</v>
      </c>
      <c r="C1789" s="18" t="s">
        <v>275</v>
      </c>
      <c r="D1789" s="11">
        <v>7416</v>
      </c>
      <c r="E1789" s="9">
        <v>44257</v>
      </c>
      <c r="F1789" s="15" t="s">
        <v>28</v>
      </c>
      <c r="G1789" s="12">
        <v>44224</v>
      </c>
      <c r="H1789" s="23">
        <f t="shared" si="196"/>
        <v>7416</v>
      </c>
      <c r="I1789" s="23"/>
      <c r="J1789" s="23"/>
      <c r="K1789" s="24"/>
      <c r="L1789" s="22">
        <v>5715</v>
      </c>
      <c r="M1789" s="22">
        <f t="shared" si="197"/>
        <v>1701</v>
      </c>
      <c r="N1789" s="22"/>
      <c r="O1789" s="30">
        <f t="shared" si="198"/>
        <v>0.22936893203883496</v>
      </c>
    </row>
    <row r="1790" spans="1:15" ht="20.100000000000001" customHeight="1" x14ac:dyDescent="0.25">
      <c r="A1790" s="33">
        <v>167</v>
      </c>
      <c r="B1790" s="9">
        <v>44257</v>
      </c>
      <c r="C1790" s="18" t="s">
        <v>211</v>
      </c>
      <c r="D1790" s="11">
        <v>9733</v>
      </c>
      <c r="E1790" s="9">
        <v>44258</v>
      </c>
      <c r="F1790" s="15" t="s">
        <v>28</v>
      </c>
      <c r="G1790" s="12">
        <v>44305</v>
      </c>
      <c r="H1790" s="23">
        <f t="shared" si="196"/>
        <v>9733</v>
      </c>
      <c r="I1790" s="23"/>
      <c r="J1790" s="23"/>
      <c r="K1790" s="24"/>
      <c r="L1790" s="22">
        <v>5228</v>
      </c>
      <c r="M1790" s="22">
        <f t="shared" si="197"/>
        <v>4505</v>
      </c>
      <c r="N1790" s="22"/>
      <c r="O1790" s="30">
        <f t="shared" si="198"/>
        <v>0.46285831706565295</v>
      </c>
    </row>
    <row r="1791" spans="1:15" ht="20.100000000000001" customHeight="1" x14ac:dyDescent="0.25">
      <c r="A1791" s="33">
        <v>169</v>
      </c>
      <c r="B1791" s="9">
        <v>44258</v>
      </c>
      <c r="C1791" s="18" t="s">
        <v>270</v>
      </c>
      <c r="D1791" s="11">
        <v>5512</v>
      </c>
      <c r="E1791" s="9">
        <v>44259</v>
      </c>
      <c r="F1791" s="15" t="s">
        <v>28</v>
      </c>
      <c r="G1791" s="12">
        <v>44270</v>
      </c>
      <c r="H1791" s="23">
        <f t="shared" si="196"/>
        <v>5512</v>
      </c>
      <c r="I1791" s="23"/>
      <c r="J1791" s="23"/>
      <c r="K1791" s="24"/>
      <c r="L1791" s="22">
        <v>4067</v>
      </c>
      <c r="M1791" s="22">
        <f t="shared" si="197"/>
        <v>1445</v>
      </c>
      <c r="N1791" s="22"/>
      <c r="O1791" s="30">
        <f t="shared" si="198"/>
        <v>0.26215529753265604</v>
      </c>
    </row>
    <row r="1792" spans="1:15" ht="20.100000000000001" customHeight="1" x14ac:dyDescent="0.25">
      <c r="A1792" s="33">
        <v>1205</v>
      </c>
      <c r="B1792" s="9">
        <v>44166</v>
      </c>
      <c r="C1792" s="20" t="s">
        <v>478</v>
      </c>
      <c r="D1792" s="11">
        <v>70599</v>
      </c>
      <c r="E1792" s="9">
        <v>44266</v>
      </c>
      <c r="F1792" s="15" t="s">
        <v>28</v>
      </c>
      <c r="G1792" s="12">
        <v>44218</v>
      </c>
      <c r="H1792" s="23">
        <f t="shared" si="196"/>
        <v>70599</v>
      </c>
      <c r="I1792" s="23">
        <f>H1792</f>
        <v>70599</v>
      </c>
      <c r="J1792" s="23"/>
      <c r="K1792" s="24">
        <f>6*1200</f>
        <v>7200</v>
      </c>
      <c r="L1792" s="23">
        <v>32694.560000000001</v>
      </c>
      <c r="M1792" s="22">
        <f t="shared" si="197"/>
        <v>30704.440000000002</v>
      </c>
      <c r="N1792" s="22">
        <f>M1792</f>
        <v>30704.440000000002</v>
      </c>
      <c r="O1792" s="30">
        <f t="shared" si="198"/>
        <v>0.43491324239720114</v>
      </c>
    </row>
    <row r="1793" spans="1:15" ht="20.100000000000001" customHeight="1" x14ac:dyDescent="0.25">
      <c r="A1793" s="33">
        <v>198</v>
      </c>
      <c r="B1793" s="9">
        <v>44266</v>
      </c>
      <c r="C1793" s="18" t="s">
        <v>307</v>
      </c>
      <c r="D1793" s="11">
        <v>108424</v>
      </c>
      <c r="E1793" s="9">
        <v>44266</v>
      </c>
      <c r="F1793" s="15" t="s">
        <v>28</v>
      </c>
      <c r="G1793" s="12">
        <v>44271</v>
      </c>
      <c r="H1793" s="23">
        <f t="shared" si="196"/>
        <v>108424</v>
      </c>
      <c r="I1793" s="23"/>
      <c r="J1793" s="23"/>
      <c r="K1793" s="24">
        <v>600</v>
      </c>
      <c r="L1793" s="23">
        <v>73152</v>
      </c>
      <c r="M1793" s="22">
        <f t="shared" si="197"/>
        <v>34672</v>
      </c>
      <c r="N1793" s="22"/>
      <c r="O1793" s="30">
        <f t="shared" si="198"/>
        <v>0.31978159817014684</v>
      </c>
    </row>
    <row r="1794" spans="1:15" ht="20.100000000000001" customHeight="1" x14ac:dyDescent="0.25">
      <c r="A1794" s="33">
        <v>199</v>
      </c>
      <c r="B1794" s="9">
        <v>44266</v>
      </c>
      <c r="C1794" s="18" t="s">
        <v>179</v>
      </c>
      <c r="D1794" s="11">
        <v>6332</v>
      </c>
      <c r="E1794" s="9">
        <v>44271</v>
      </c>
      <c r="F1794" s="15" t="s">
        <v>28</v>
      </c>
      <c r="G1794" s="12">
        <v>44298</v>
      </c>
      <c r="H1794" s="23">
        <f t="shared" si="196"/>
        <v>6332</v>
      </c>
      <c r="I1794" s="23"/>
      <c r="J1794" s="23"/>
      <c r="K1794" s="24"/>
      <c r="L1794" s="23">
        <v>4939</v>
      </c>
      <c r="M1794" s="22">
        <f t="shared" si="197"/>
        <v>1393</v>
      </c>
      <c r="N1794" s="22"/>
      <c r="O1794" s="30">
        <f t="shared" si="198"/>
        <v>0.21999368288060644</v>
      </c>
    </row>
    <row r="1795" spans="1:15" ht="20.100000000000001" customHeight="1" x14ac:dyDescent="0.25">
      <c r="A1795" s="33">
        <v>182</v>
      </c>
      <c r="B1795" s="9">
        <v>44259</v>
      </c>
      <c r="C1795" s="18" t="s">
        <v>228</v>
      </c>
      <c r="D1795" s="11">
        <v>20835</v>
      </c>
      <c r="E1795" s="9">
        <v>44271</v>
      </c>
      <c r="F1795" s="15" t="s">
        <v>28</v>
      </c>
      <c r="G1795" s="12">
        <v>44295</v>
      </c>
      <c r="H1795" s="23">
        <f t="shared" si="196"/>
        <v>20835</v>
      </c>
      <c r="I1795" s="23"/>
      <c r="J1795" s="23"/>
      <c r="K1795" s="24"/>
      <c r="L1795" s="22">
        <v>13751</v>
      </c>
      <c r="M1795" s="22">
        <f t="shared" si="197"/>
        <v>7084</v>
      </c>
      <c r="N1795" s="22"/>
      <c r="O1795" s="30">
        <f t="shared" si="198"/>
        <v>0.3400047996160307</v>
      </c>
    </row>
    <row r="1796" spans="1:15" ht="20.100000000000001" customHeight="1" x14ac:dyDescent="0.25">
      <c r="A1796" s="33">
        <v>213</v>
      </c>
      <c r="B1796" s="9">
        <v>44272</v>
      </c>
      <c r="C1796" s="18" t="s">
        <v>326</v>
      </c>
      <c r="D1796" s="11">
        <v>3576</v>
      </c>
      <c r="E1796" s="9">
        <v>44272</v>
      </c>
      <c r="F1796" s="15" t="s">
        <v>28</v>
      </c>
      <c r="G1796" s="12">
        <v>44272</v>
      </c>
      <c r="H1796" s="23">
        <f t="shared" si="196"/>
        <v>3576</v>
      </c>
      <c r="I1796" s="23"/>
      <c r="J1796" s="23"/>
      <c r="K1796" s="24"/>
      <c r="L1796" s="23">
        <v>2178</v>
      </c>
      <c r="M1796" s="22">
        <f t="shared" si="197"/>
        <v>1398</v>
      </c>
      <c r="N1796" s="22"/>
      <c r="O1796" s="30">
        <f t="shared" si="198"/>
        <v>0.39093959731543626</v>
      </c>
    </row>
    <row r="1797" spans="1:15" ht="20.100000000000001" customHeight="1" x14ac:dyDescent="0.25">
      <c r="A1797" s="33">
        <v>1051</v>
      </c>
      <c r="B1797" s="9">
        <v>44130</v>
      </c>
      <c r="C1797" s="18" t="s">
        <v>433</v>
      </c>
      <c r="D1797" s="11">
        <v>63920</v>
      </c>
      <c r="E1797" s="9">
        <v>44272</v>
      </c>
      <c r="F1797" s="15" t="s">
        <v>28</v>
      </c>
      <c r="G1797" s="12">
        <v>44238</v>
      </c>
      <c r="H1797" s="23">
        <f t="shared" si="196"/>
        <v>63920</v>
      </c>
      <c r="I1797" s="23"/>
      <c r="J1797" s="23"/>
      <c r="K1797" s="24"/>
      <c r="L1797" s="23">
        <v>53591</v>
      </c>
      <c r="M1797" s="22">
        <f t="shared" si="197"/>
        <v>10329</v>
      </c>
      <c r="N1797" s="22"/>
      <c r="O1797" s="30">
        <f t="shared" si="198"/>
        <v>0.16159261576971215</v>
      </c>
    </row>
    <row r="1798" spans="1:15" ht="20.100000000000001" customHeight="1" x14ac:dyDescent="0.25">
      <c r="A1798" s="33">
        <v>991</v>
      </c>
      <c r="B1798" s="9">
        <v>44133</v>
      </c>
      <c r="C1798" s="18" t="s">
        <v>65</v>
      </c>
      <c r="D1798" s="11">
        <v>874385.02</v>
      </c>
      <c r="E1798" s="9">
        <v>44273</v>
      </c>
      <c r="F1798" s="15" t="s">
        <v>28</v>
      </c>
      <c r="G1798" s="12">
        <v>44243</v>
      </c>
      <c r="H1798" s="23">
        <v>52866</v>
      </c>
      <c r="I1798" s="23"/>
      <c r="J1798" s="23"/>
      <c r="K1798" s="24"/>
      <c r="L1798" s="23">
        <v>47827</v>
      </c>
      <c r="M1798" s="22">
        <f t="shared" si="197"/>
        <v>5039</v>
      </c>
      <c r="N1798" s="22"/>
      <c r="O1798" s="30">
        <f t="shared" si="198"/>
        <v>9.531646048499981E-2</v>
      </c>
    </row>
    <row r="1799" spans="1:15" ht="20.100000000000001" customHeight="1" x14ac:dyDescent="0.25">
      <c r="A1799" s="33">
        <v>36</v>
      </c>
      <c r="B1799" s="9">
        <v>44229</v>
      </c>
      <c r="C1799" s="18" t="s">
        <v>65</v>
      </c>
      <c r="D1799" s="11">
        <v>453609.6</v>
      </c>
      <c r="E1799" s="9">
        <v>44273</v>
      </c>
      <c r="F1799" s="15" t="s">
        <v>28</v>
      </c>
      <c r="G1799" s="12">
        <v>44243</v>
      </c>
      <c r="H1799" s="23">
        <v>332587.2</v>
      </c>
      <c r="I1799" s="23"/>
      <c r="J1799" s="23"/>
      <c r="K1799" s="24">
        <f>32*1200</f>
        <v>38400</v>
      </c>
      <c r="L1799" s="23">
        <v>172763.85</v>
      </c>
      <c r="M1799" s="22">
        <f t="shared" si="197"/>
        <v>121423.35</v>
      </c>
      <c r="N1799" s="22"/>
      <c r="O1799" s="30">
        <f t="shared" si="198"/>
        <v>0.36508726132575159</v>
      </c>
    </row>
    <row r="1800" spans="1:15" ht="20.100000000000001" customHeight="1" x14ac:dyDescent="0.25">
      <c r="A1800" s="33">
        <v>168</v>
      </c>
      <c r="B1800" s="9">
        <v>44258</v>
      </c>
      <c r="C1800" s="18" t="s">
        <v>13</v>
      </c>
      <c r="D1800" s="11">
        <v>13448</v>
      </c>
      <c r="E1800" s="9">
        <v>44274</v>
      </c>
      <c r="F1800" s="15" t="s">
        <v>28</v>
      </c>
      <c r="G1800" s="12">
        <v>44259</v>
      </c>
      <c r="H1800" s="23">
        <f t="shared" ref="H1800:H1812" si="199">D1800</f>
        <v>13448</v>
      </c>
      <c r="I1800" s="23"/>
      <c r="J1800" s="23"/>
      <c r="K1800" s="24"/>
      <c r="L1800" s="22">
        <v>9788</v>
      </c>
      <c r="M1800" s="22">
        <f t="shared" si="197"/>
        <v>3660</v>
      </c>
      <c r="N1800" s="22"/>
      <c r="O1800" s="30">
        <f t="shared" si="198"/>
        <v>0.2721594289113623</v>
      </c>
    </row>
    <row r="1801" spans="1:15" ht="20.100000000000001" customHeight="1" x14ac:dyDescent="0.25">
      <c r="A1801" s="33">
        <v>18</v>
      </c>
      <c r="B1801" s="9">
        <v>44229</v>
      </c>
      <c r="C1801" s="18" t="s">
        <v>275</v>
      </c>
      <c r="D1801" s="11">
        <v>41220</v>
      </c>
      <c r="E1801" s="9">
        <v>44274</v>
      </c>
      <c r="F1801" s="15" t="s">
        <v>28</v>
      </c>
      <c r="G1801" s="12">
        <v>44243</v>
      </c>
      <c r="H1801" s="23">
        <f t="shared" si="199"/>
        <v>41220</v>
      </c>
      <c r="I1801" s="23"/>
      <c r="J1801" s="23"/>
      <c r="K1801" s="24"/>
      <c r="L1801" s="22">
        <v>28321</v>
      </c>
      <c r="M1801" s="22">
        <f t="shared" si="197"/>
        <v>12899</v>
      </c>
      <c r="N1801" s="22"/>
      <c r="O1801" s="30">
        <f t="shared" si="198"/>
        <v>0.31293061620572538</v>
      </c>
    </row>
    <row r="1802" spans="1:15" ht="20.100000000000001" customHeight="1" x14ac:dyDescent="0.25">
      <c r="A1802" s="33">
        <v>160</v>
      </c>
      <c r="B1802" s="9">
        <v>44253</v>
      </c>
      <c r="C1802" s="18" t="s">
        <v>403</v>
      </c>
      <c r="D1802" s="11">
        <v>7910</v>
      </c>
      <c r="E1802" s="9">
        <v>44277</v>
      </c>
      <c r="F1802" s="15" t="s">
        <v>28</v>
      </c>
      <c r="G1802" s="12">
        <v>44254</v>
      </c>
      <c r="H1802" s="23">
        <f t="shared" si="199"/>
        <v>7910</v>
      </c>
      <c r="I1802" s="23"/>
      <c r="J1802" s="23"/>
      <c r="K1802" s="24"/>
      <c r="L1802" s="23">
        <v>6788</v>
      </c>
      <c r="M1802" s="22">
        <f t="shared" si="197"/>
        <v>1122</v>
      </c>
      <c r="N1802" s="22"/>
      <c r="O1802" s="30">
        <f t="shared" si="198"/>
        <v>0.14184576485461442</v>
      </c>
    </row>
    <row r="1803" spans="1:15" ht="20.100000000000001" customHeight="1" x14ac:dyDescent="0.25">
      <c r="A1803" s="33">
        <v>227</v>
      </c>
      <c r="B1803" s="9">
        <v>44273</v>
      </c>
      <c r="C1803" s="18" t="s">
        <v>489</v>
      </c>
      <c r="D1803" s="11">
        <v>11756</v>
      </c>
      <c r="E1803" s="9">
        <v>44277</v>
      </c>
      <c r="F1803" s="15" t="s">
        <v>28</v>
      </c>
      <c r="G1803" s="12">
        <v>44277</v>
      </c>
      <c r="H1803" s="23">
        <f t="shared" si="199"/>
        <v>11756</v>
      </c>
      <c r="I1803" s="23"/>
      <c r="J1803" s="23"/>
      <c r="K1803" s="24"/>
      <c r="L1803" s="23">
        <v>7758</v>
      </c>
      <c r="M1803" s="22">
        <f t="shared" si="197"/>
        <v>3998</v>
      </c>
      <c r="N1803" s="22"/>
      <c r="O1803" s="30">
        <f t="shared" si="198"/>
        <v>0.34008166042871724</v>
      </c>
    </row>
    <row r="1804" spans="1:15" ht="20.100000000000001" customHeight="1" x14ac:dyDescent="0.25">
      <c r="A1804" s="33">
        <v>195</v>
      </c>
      <c r="B1804" s="9">
        <v>44265</v>
      </c>
      <c r="C1804" s="18" t="s">
        <v>488</v>
      </c>
      <c r="D1804" s="11">
        <v>24990</v>
      </c>
      <c r="E1804" s="9">
        <v>44279</v>
      </c>
      <c r="F1804" s="15" t="s">
        <v>28</v>
      </c>
      <c r="G1804" s="12">
        <v>44265</v>
      </c>
      <c r="H1804" s="23">
        <f t="shared" si="199"/>
        <v>24990</v>
      </c>
      <c r="I1804" s="23"/>
      <c r="J1804" s="23"/>
      <c r="K1804" s="24"/>
      <c r="L1804" s="23">
        <v>18367</v>
      </c>
      <c r="M1804" s="22">
        <f t="shared" si="197"/>
        <v>6623</v>
      </c>
      <c r="N1804" s="22"/>
      <c r="O1804" s="30">
        <f t="shared" si="198"/>
        <v>0.26502601040416168</v>
      </c>
    </row>
    <row r="1805" spans="1:15" ht="19.5" customHeight="1" x14ac:dyDescent="0.25">
      <c r="A1805" s="33">
        <v>239</v>
      </c>
      <c r="B1805" s="9">
        <v>44278</v>
      </c>
      <c r="C1805" s="18" t="s">
        <v>470</v>
      </c>
      <c r="D1805" s="11">
        <v>2150</v>
      </c>
      <c r="E1805" s="9">
        <v>44280</v>
      </c>
      <c r="F1805" s="15" t="s">
        <v>28</v>
      </c>
      <c r="G1805" s="12">
        <v>44284</v>
      </c>
      <c r="H1805" s="23">
        <f t="shared" si="199"/>
        <v>2150</v>
      </c>
      <c r="I1805" s="23"/>
      <c r="J1805" s="23"/>
      <c r="K1805" s="24"/>
      <c r="L1805" s="23">
        <v>1675</v>
      </c>
      <c r="M1805" s="22">
        <f t="shared" si="197"/>
        <v>475</v>
      </c>
      <c r="N1805" s="22"/>
      <c r="O1805" s="30">
        <f t="shared" si="198"/>
        <v>0.22093023255813954</v>
      </c>
    </row>
    <row r="1806" spans="1:15" ht="15.75" x14ac:dyDescent="0.25">
      <c r="A1806" s="33">
        <v>244</v>
      </c>
      <c r="B1806" s="9">
        <v>44280</v>
      </c>
      <c r="C1806" s="20" t="s">
        <v>490</v>
      </c>
      <c r="D1806" s="11">
        <v>11590</v>
      </c>
      <c r="E1806" s="9">
        <v>44280</v>
      </c>
      <c r="F1806" s="15" t="s">
        <v>28</v>
      </c>
      <c r="G1806" s="12">
        <v>44280</v>
      </c>
      <c r="H1806" s="23">
        <f t="shared" si="199"/>
        <v>11590</v>
      </c>
      <c r="I1806" s="23">
        <f>H1806</f>
        <v>11590</v>
      </c>
      <c r="J1806" s="23"/>
      <c r="K1806" s="24"/>
      <c r="L1806" s="23">
        <v>8407.75</v>
      </c>
      <c r="M1806" s="22">
        <f t="shared" si="197"/>
        <v>3182.25</v>
      </c>
      <c r="N1806" s="22">
        <f>M1806</f>
        <v>3182.25</v>
      </c>
      <c r="O1806" s="30">
        <f t="shared" si="198"/>
        <v>0.27456859361518549</v>
      </c>
    </row>
    <row r="1807" spans="1:15" s="2" customFormat="1" ht="20.100000000000001" customHeight="1" x14ac:dyDescent="0.25">
      <c r="A1807" s="33">
        <v>188</v>
      </c>
      <c r="B1807" s="9">
        <v>44264</v>
      </c>
      <c r="C1807" s="18" t="s">
        <v>60</v>
      </c>
      <c r="D1807" s="11">
        <v>31764</v>
      </c>
      <c r="E1807" s="9">
        <v>44281</v>
      </c>
      <c r="F1807" s="15" t="s">
        <v>28</v>
      </c>
      <c r="G1807" s="12">
        <v>44266</v>
      </c>
      <c r="H1807" s="23">
        <f t="shared" si="199"/>
        <v>31764</v>
      </c>
      <c r="I1807" s="23"/>
      <c r="J1807" s="23"/>
      <c r="K1807" s="24"/>
      <c r="L1807" s="23">
        <v>19184</v>
      </c>
      <c r="M1807" s="22">
        <f t="shared" si="197"/>
        <v>12580</v>
      </c>
      <c r="N1807" s="22"/>
      <c r="O1807" s="30">
        <f t="shared" si="198"/>
        <v>0.39604583805566052</v>
      </c>
    </row>
    <row r="1808" spans="1:15" ht="20.100000000000001" customHeight="1" x14ac:dyDescent="0.25">
      <c r="A1808" s="33">
        <v>140</v>
      </c>
      <c r="B1808" s="9">
        <v>44245</v>
      </c>
      <c r="C1808" s="18" t="s">
        <v>209</v>
      </c>
      <c r="D1808" s="11">
        <v>7587.95</v>
      </c>
      <c r="E1808" s="9">
        <v>44284</v>
      </c>
      <c r="F1808" s="15" t="s">
        <v>28</v>
      </c>
      <c r="G1808" s="12">
        <v>44252</v>
      </c>
      <c r="H1808" s="23">
        <f t="shared" si="199"/>
        <v>7587.95</v>
      </c>
      <c r="I1808" s="23"/>
      <c r="J1808" s="23"/>
      <c r="K1808" s="24"/>
      <c r="L1808" s="23">
        <v>6137</v>
      </c>
      <c r="M1808" s="22">
        <f t="shared" si="197"/>
        <v>1450.9499999999998</v>
      </c>
      <c r="N1808" s="22"/>
      <c r="O1808" s="30">
        <f t="shared" si="198"/>
        <v>0.19121765430715804</v>
      </c>
    </row>
    <row r="1809" spans="1:15" ht="20.100000000000001" customHeight="1" x14ac:dyDescent="0.25">
      <c r="A1809" s="33">
        <v>62</v>
      </c>
      <c r="B1809" s="9">
        <v>44228</v>
      </c>
      <c r="C1809" s="18" t="s">
        <v>228</v>
      </c>
      <c r="D1809" s="11">
        <v>30509</v>
      </c>
      <c r="E1809" s="9">
        <v>44285</v>
      </c>
      <c r="F1809" s="15" t="s">
        <v>28</v>
      </c>
      <c r="G1809" s="12">
        <v>44266</v>
      </c>
      <c r="H1809" s="23">
        <f t="shared" si="199"/>
        <v>30509</v>
      </c>
      <c r="I1809" s="23"/>
      <c r="J1809" s="23"/>
      <c r="K1809" s="24"/>
      <c r="L1809" s="23">
        <v>20118</v>
      </c>
      <c r="M1809" s="22">
        <f t="shared" si="197"/>
        <v>10391</v>
      </c>
      <c r="N1809" s="22"/>
      <c r="O1809" s="30">
        <f t="shared" si="198"/>
        <v>0.34058802320626702</v>
      </c>
    </row>
    <row r="1810" spans="1:15" ht="20.100000000000001" customHeight="1" x14ac:dyDescent="0.25">
      <c r="A1810" s="33">
        <v>264</v>
      </c>
      <c r="B1810" s="9">
        <v>44284</v>
      </c>
      <c r="C1810" s="18" t="s">
        <v>396</v>
      </c>
      <c r="D1810" s="11">
        <v>13990</v>
      </c>
      <c r="E1810" s="9">
        <v>44285</v>
      </c>
      <c r="F1810" s="15" t="s">
        <v>28</v>
      </c>
      <c r="G1810" s="12">
        <v>44302</v>
      </c>
      <c r="H1810" s="23">
        <f t="shared" si="199"/>
        <v>13990</v>
      </c>
      <c r="I1810" s="23"/>
      <c r="J1810" s="23"/>
      <c r="K1810" s="24"/>
      <c r="L1810" s="23">
        <v>10283</v>
      </c>
      <c r="M1810" s="22">
        <f t="shared" si="197"/>
        <v>3707</v>
      </c>
      <c r="N1810" s="22"/>
      <c r="O1810" s="30">
        <f t="shared" si="198"/>
        <v>0.26497498213009291</v>
      </c>
    </row>
    <row r="1811" spans="1:15" ht="20.100000000000001" customHeight="1" x14ac:dyDescent="0.25">
      <c r="A1811" s="33">
        <v>59</v>
      </c>
      <c r="B1811" s="9">
        <v>44225</v>
      </c>
      <c r="C1811" s="18" t="s">
        <v>99</v>
      </c>
      <c r="D1811" s="11">
        <v>207414</v>
      </c>
      <c r="E1811" s="9">
        <v>44285</v>
      </c>
      <c r="F1811" s="15" t="s">
        <v>28</v>
      </c>
      <c r="G1811" s="12">
        <v>44264</v>
      </c>
      <c r="H1811" s="23">
        <f t="shared" si="199"/>
        <v>207414</v>
      </c>
      <c r="I1811" s="23"/>
      <c r="J1811" s="23"/>
      <c r="K1811" s="24">
        <f>23*600</f>
        <v>13800</v>
      </c>
      <c r="L1811" s="23">
        <v>162389.9</v>
      </c>
      <c r="M1811" s="22">
        <f t="shared" si="197"/>
        <v>31224.100000000006</v>
      </c>
      <c r="N1811" s="22"/>
      <c r="O1811" s="30">
        <f t="shared" si="198"/>
        <v>0.15053998283625988</v>
      </c>
    </row>
    <row r="1812" spans="1:15" ht="20.100000000000001" customHeight="1" x14ac:dyDescent="0.25">
      <c r="A1812" s="33">
        <v>1247</v>
      </c>
      <c r="B1812" s="9">
        <v>44179</v>
      </c>
      <c r="C1812" s="18" t="s">
        <v>433</v>
      </c>
      <c r="D1812" s="11">
        <v>49564</v>
      </c>
      <c r="E1812" s="9">
        <v>44286</v>
      </c>
      <c r="F1812" s="15" t="s">
        <v>28</v>
      </c>
      <c r="G1812" s="12">
        <v>44222</v>
      </c>
      <c r="H1812" s="23">
        <f t="shared" si="199"/>
        <v>49564</v>
      </c>
      <c r="I1812" s="23"/>
      <c r="J1812" s="23"/>
      <c r="K1812" s="24"/>
      <c r="L1812" s="23">
        <v>35062</v>
      </c>
      <c r="M1812" s="22">
        <f t="shared" si="197"/>
        <v>14502</v>
      </c>
      <c r="N1812" s="22"/>
      <c r="O1812" s="30">
        <f t="shared" si="198"/>
        <v>0.29259139698168024</v>
      </c>
    </row>
    <row r="1813" spans="1:15" ht="20.100000000000001" customHeight="1" x14ac:dyDescent="0.25">
      <c r="A1813" s="35" t="s">
        <v>535</v>
      </c>
      <c r="B1813" s="36"/>
      <c r="C1813" s="42"/>
      <c r="D1813" s="37"/>
      <c r="E1813" s="46" t="s">
        <v>589</v>
      </c>
      <c r="F1813" s="47">
        <f>M1813*0.17+N1813*0.06+10000</f>
        <v>79867.260700000013</v>
      </c>
      <c r="G1813" s="21">
        <f>H1813*0.05+I1813*0.02+10000</f>
        <v>82406.342499999984</v>
      </c>
      <c r="H1813" s="49">
        <f>SUBTOTAL(109,Март2021[Продажа])</f>
        <v>1356988.8499999999</v>
      </c>
      <c r="I1813" s="49">
        <f>SUBTOTAL(109,Март2021[Продажа НК])</f>
        <v>227845</v>
      </c>
      <c r="J1813" s="49">
        <f>SUBTOTAL(109,Март2021[отк])</f>
        <v>0</v>
      </c>
      <c r="K1813" s="49">
        <f>SUBTOTAL(109,Март2021[шланги])</f>
        <v>60000</v>
      </c>
      <c r="L1813" s="49">
        <f>SUBTOTAL(109,Март2021[Закупка])</f>
        <v>912249.56</v>
      </c>
      <c r="M1813" s="49">
        <f>SUBTOTAL(109,Март2021[Маржа])</f>
        <v>384739.29000000004</v>
      </c>
      <c r="N1813" s="49">
        <f>SUBTOTAL(109,Март2021[Маржа НК])</f>
        <v>74359.69</v>
      </c>
      <c r="O1813" s="44">
        <f t="shared" si="198"/>
        <v>0.28352428245817946</v>
      </c>
    </row>
    <row r="1814" spans="1:15" ht="20.100000000000001" customHeight="1" x14ac:dyDescent="0.25">
      <c r="A1814" s="41" t="s">
        <v>1</v>
      </c>
      <c r="B1814" s="1" t="s">
        <v>0</v>
      </c>
      <c r="C1814" s="1" t="s">
        <v>26</v>
      </c>
      <c r="D1814" s="1" t="s">
        <v>2</v>
      </c>
      <c r="E1814" s="1" t="s">
        <v>3</v>
      </c>
      <c r="F1814" s="1" t="s">
        <v>27</v>
      </c>
      <c r="G1814" s="1" t="s">
        <v>4</v>
      </c>
      <c r="H1814" s="2" t="s">
        <v>132</v>
      </c>
      <c r="I1814" s="2" t="s">
        <v>133</v>
      </c>
      <c r="J1814" s="40" t="s">
        <v>187</v>
      </c>
      <c r="K1814" s="40" t="s">
        <v>188</v>
      </c>
      <c r="L1814" s="40" t="s">
        <v>129</v>
      </c>
      <c r="M1814" s="40" t="s">
        <v>130</v>
      </c>
      <c r="N1814" s="2" t="s">
        <v>131</v>
      </c>
      <c r="O1814" s="2" t="s">
        <v>134</v>
      </c>
    </row>
    <row r="1815" spans="1:15" ht="20.100000000000001" customHeight="1" x14ac:dyDescent="0.25">
      <c r="A1815" s="33">
        <v>1224</v>
      </c>
      <c r="B1815" s="9">
        <v>44173</v>
      </c>
      <c r="C1815" s="18" t="s">
        <v>38</v>
      </c>
      <c r="D1815" s="11">
        <v>137560</v>
      </c>
      <c r="E1815" s="9">
        <v>44287</v>
      </c>
      <c r="F1815" s="15" t="s">
        <v>28</v>
      </c>
      <c r="G1815" s="12">
        <v>44173</v>
      </c>
      <c r="H1815" s="23">
        <f t="shared" ref="H1815:H1824" si="200">D1815</f>
        <v>137560</v>
      </c>
      <c r="I1815" s="23"/>
      <c r="J1815" s="23"/>
      <c r="K1815" s="24"/>
      <c r="L1815" s="23">
        <v>94672.53</v>
      </c>
      <c r="M1815" s="22">
        <f t="shared" ref="M1815:M1836" si="201">H1815-L1815-J1815-K1815</f>
        <v>42887.47</v>
      </c>
      <c r="N1815" s="22"/>
      <c r="O1815" s="30">
        <f t="shared" ref="O1815:O1837" si="202">M1815/H1815</f>
        <v>0.31177282640302412</v>
      </c>
    </row>
    <row r="1816" spans="1:15" ht="20.100000000000001" customHeight="1" x14ac:dyDescent="0.25">
      <c r="A1816" s="33">
        <v>268</v>
      </c>
      <c r="B1816" s="9">
        <v>44285</v>
      </c>
      <c r="C1816" s="18" t="s">
        <v>443</v>
      </c>
      <c r="D1816" s="11">
        <v>6220</v>
      </c>
      <c r="E1816" s="9">
        <v>44287</v>
      </c>
      <c r="F1816" s="15" t="s">
        <v>28</v>
      </c>
      <c r="G1816" s="12">
        <v>44294</v>
      </c>
      <c r="H1816" s="23">
        <f t="shared" si="200"/>
        <v>6220</v>
      </c>
      <c r="I1816" s="23"/>
      <c r="J1816" s="23"/>
      <c r="K1816" s="24"/>
      <c r="L1816" s="23">
        <v>3728</v>
      </c>
      <c r="M1816" s="22">
        <f t="shared" si="201"/>
        <v>2492</v>
      </c>
      <c r="N1816" s="22"/>
      <c r="O1816" s="30">
        <f t="shared" si="202"/>
        <v>0.40064308681672028</v>
      </c>
    </row>
    <row r="1817" spans="1:15" ht="20.100000000000001" customHeight="1" x14ac:dyDescent="0.25">
      <c r="A1817" s="33">
        <v>100</v>
      </c>
      <c r="B1817" s="9">
        <v>44231</v>
      </c>
      <c r="C1817" s="18" t="s">
        <v>66</v>
      </c>
      <c r="D1817" s="11">
        <v>1250</v>
      </c>
      <c r="E1817" s="9">
        <v>44287</v>
      </c>
      <c r="F1817" s="15" t="s">
        <v>28</v>
      </c>
      <c r="G1817" s="12">
        <v>44232</v>
      </c>
      <c r="H1817" s="23">
        <f t="shared" si="200"/>
        <v>1250</v>
      </c>
      <c r="I1817" s="23"/>
      <c r="J1817" s="23"/>
      <c r="K1817" s="24"/>
      <c r="L1817" s="22">
        <v>893</v>
      </c>
      <c r="M1817" s="22">
        <f t="shared" si="201"/>
        <v>357</v>
      </c>
      <c r="N1817" s="22"/>
      <c r="O1817" s="30">
        <f t="shared" si="202"/>
        <v>0.28560000000000002</v>
      </c>
    </row>
    <row r="1818" spans="1:15" ht="20.100000000000001" customHeight="1" x14ac:dyDescent="0.25">
      <c r="A1818" s="33">
        <v>233</v>
      </c>
      <c r="B1818" s="9">
        <v>44284</v>
      </c>
      <c r="C1818" s="18" t="s">
        <v>11</v>
      </c>
      <c r="D1818" s="11">
        <v>9196</v>
      </c>
      <c r="E1818" s="9">
        <v>44288</v>
      </c>
      <c r="F1818" s="15" t="s">
        <v>28</v>
      </c>
      <c r="G1818" s="12">
        <v>44295</v>
      </c>
      <c r="H1818" s="23">
        <f t="shared" si="200"/>
        <v>9196</v>
      </c>
      <c r="I1818" s="23"/>
      <c r="J1818" s="23"/>
      <c r="K1818" s="24"/>
      <c r="L1818" s="22">
        <v>7120</v>
      </c>
      <c r="M1818" s="22">
        <f t="shared" si="201"/>
        <v>2076</v>
      </c>
      <c r="N1818" s="22"/>
      <c r="O1818" s="30">
        <f t="shared" si="202"/>
        <v>0.22575032622879512</v>
      </c>
    </row>
    <row r="1819" spans="1:15" ht="20.100000000000001" customHeight="1" x14ac:dyDescent="0.25">
      <c r="A1819" s="33">
        <v>292</v>
      </c>
      <c r="B1819" s="9">
        <v>44288</v>
      </c>
      <c r="C1819" s="18" t="s">
        <v>443</v>
      </c>
      <c r="D1819" s="11">
        <v>2336</v>
      </c>
      <c r="E1819" s="9">
        <v>44291</v>
      </c>
      <c r="F1819" s="15" t="s">
        <v>28</v>
      </c>
      <c r="G1819" s="12">
        <v>44294</v>
      </c>
      <c r="H1819" s="23">
        <f t="shared" si="200"/>
        <v>2336</v>
      </c>
      <c r="I1819" s="23"/>
      <c r="J1819" s="23"/>
      <c r="K1819" s="24"/>
      <c r="L1819" s="22">
        <v>1822</v>
      </c>
      <c r="M1819" s="22">
        <f t="shared" si="201"/>
        <v>514</v>
      </c>
      <c r="N1819" s="22"/>
      <c r="O1819" s="30">
        <f t="shared" si="202"/>
        <v>0.22003424657534246</v>
      </c>
    </row>
    <row r="1820" spans="1:15" ht="20.100000000000001" hidden="1" customHeight="1" x14ac:dyDescent="0.25">
      <c r="A1820" s="33">
        <v>277</v>
      </c>
      <c r="B1820" s="9">
        <v>44287</v>
      </c>
      <c r="C1820" s="18" t="s">
        <v>139</v>
      </c>
      <c r="D1820" s="11">
        <v>8976</v>
      </c>
      <c r="E1820" s="9">
        <v>44293</v>
      </c>
      <c r="F1820" s="15" t="s">
        <v>28</v>
      </c>
      <c r="G1820" s="12">
        <v>44306</v>
      </c>
      <c r="H1820" s="23">
        <f t="shared" si="200"/>
        <v>8976</v>
      </c>
      <c r="I1820" s="23"/>
      <c r="J1820" s="23"/>
      <c r="K1820" s="24"/>
      <c r="L1820" s="22">
        <v>6849</v>
      </c>
      <c r="M1820" s="22">
        <f t="shared" si="201"/>
        <v>2127</v>
      </c>
      <c r="N1820" s="22"/>
      <c r="O1820" s="30">
        <f t="shared" si="202"/>
        <v>0.23696524064171123</v>
      </c>
    </row>
    <row r="1821" spans="1:15" ht="20.100000000000001" hidden="1" customHeight="1" x14ac:dyDescent="0.25">
      <c r="A1821" s="33">
        <v>306</v>
      </c>
      <c r="B1821" s="9">
        <v>44293</v>
      </c>
      <c r="C1821" s="18" t="s">
        <v>171</v>
      </c>
      <c r="D1821" s="11">
        <v>72980</v>
      </c>
      <c r="E1821" s="9">
        <v>44294</v>
      </c>
      <c r="F1821" s="15" t="s">
        <v>28</v>
      </c>
      <c r="G1821" s="12">
        <v>44308</v>
      </c>
      <c r="H1821" s="23">
        <f t="shared" si="200"/>
        <v>72980</v>
      </c>
      <c r="I1821" s="23"/>
      <c r="J1821" s="23"/>
      <c r="K1821" s="24"/>
      <c r="L1821" s="22">
        <v>49417</v>
      </c>
      <c r="M1821" s="22">
        <f t="shared" si="201"/>
        <v>23563</v>
      </c>
      <c r="N1821" s="22"/>
      <c r="O1821" s="30">
        <f t="shared" si="202"/>
        <v>0.3228692792545903</v>
      </c>
    </row>
    <row r="1822" spans="1:15" ht="20.100000000000001" hidden="1" customHeight="1" x14ac:dyDescent="0.25">
      <c r="A1822" s="33">
        <v>253</v>
      </c>
      <c r="B1822" s="9">
        <v>44281</v>
      </c>
      <c r="C1822" s="18" t="s">
        <v>316</v>
      </c>
      <c r="D1822" s="11">
        <v>4280</v>
      </c>
      <c r="E1822" s="9">
        <v>44295</v>
      </c>
      <c r="F1822" s="15" t="s">
        <v>28</v>
      </c>
      <c r="G1822" s="12">
        <v>44307</v>
      </c>
      <c r="H1822" s="23">
        <f t="shared" si="200"/>
        <v>4280</v>
      </c>
      <c r="I1822" s="23"/>
      <c r="J1822" s="23"/>
      <c r="K1822" s="24"/>
      <c r="L1822" s="22">
        <v>2776</v>
      </c>
      <c r="M1822" s="22">
        <f t="shared" si="201"/>
        <v>1504</v>
      </c>
      <c r="N1822" s="22"/>
      <c r="O1822" s="30">
        <f t="shared" si="202"/>
        <v>0.3514018691588785</v>
      </c>
    </row>
    <row r="1823" spans="1:15" ht="20.100000000000001" customHeight="1" x14ac:dyDescent="0.25">
      <c r="A1823" s="33">
        <v>318</v>
      </c>
      <c r="B1823" s="9">
        <v>44295</v>
      </c>
      <c r="C1823" s="18" t="s">
        <v>338</v>
      </c>
      <c r="D1823" s="11">
        <v>6890</v>
      </c>
      <c r="E1823" s="9">
        <v>44298</v>
      </c>
      <c r="F1823" s="15" t="s">
        <v>28</v>
      </c>
      <c r="G1823" s="12">
        <v>44301</v>
      </c>
      <c r="H1823" s="23">
        <f t="shared" si="200"/>
        <v>6890</v>
      </c>
      <c r="I1823" s="23"/>
      <c r="J1823" s="23"/>
      <c r="K1823" s="24"/>
      <c r="L1823" s="22">
        <v>5060</v>
      </c>
      <c r="M1823" s="22">
        <f t="shared" si="201"/>
        <v>1830</v>
      </c>
      <c r="N1823" s="22"/>
      <c r="O1823" s="30">
        <f t="shared" si="202"/>
        <v>0.26560232220609581</v>
      </c>
    </row>
    <row r="1824" spans="1:15" ht="20.100000000000001" customHeight="1" x14ac:dyDescent="0.25">
      <c r="A1824" s="33">
        <v>293</v>
      </c>
      <c r="B1824" s="9">
        <v>44291</v>
      </c>
      <c r="C1824" s="18" t="s">
        <v>33</v>
      </c>
      <c r="D1824" s="11">
        <v>6985</v>
      </c>
      <c r="E1824" s="9">
        <v>44299</v>
      </c>
      <c r="F1824" s="15" t="s">
        <v>28</v>
      </c>
      <c r="G1824" s="12">
        <v>44308</v>
      </c>
      <c r="H1824" s="23">
        <f t="shared" si="200"/>
        <v>6985</v>
      </c>
      <c r="I1824" s="23"/>
      <c r="J1824" s="23"/>
      <c r="K1824" s="24"/>
      <c r="L1824" s="22">
        <v>5378</v>
      </c>
      <c r="M1824" s="22">
        <f t="shared" si="201"/>
        <v>1607</v>
      </c>
      <c r="N1824" s="22"/>
      <c r="O1824" s="30">
        <f t="shared" si="202"/>
        <v>0.23006442376521116</v>
      </c>
    </row>
    <row r="1825" spans="1:15" ht="20.100000000000001" customHeight="1" x14ac:dyDescent="0.25">
      <c r="A1825" s="33">
        <v>36</v>
      </c>
      <c r="B1825" s="9">
        <v>44229</v>
      </c>
      <c r="C1825" s="18" t="s">
        <v>65</v>
      </c>
      <c r="D1825" s="11">
        <v>453609.6</v>
      </c>
      <c r="E1825" s="9">
        <v>44301</v>
      </c>
      <c r="F1825" s="15" t="s">
        <v>28</v>
      </c>
      <c r="G1825" s="12">
        <v>44264</v>
      </c>
      <c r="H1825" s="23">
        <v>121022.39999999999</v>
      </c>
      <c r="I1825" s="23"/>
      <c r="J1825" s="23"/>
      <c r="K1825" s="24"/>
      <c r="L1825" s="23">
        <v>105735</v>
      </c>
      <c r="M1825" s="22">
        <f t="shared" si="201"/>
        <v>15287.399999999994</v>
      </c>
      <c r="N1825" s="22"/>
      <c r="O1825" s="30">
        <f t="shared" si="202"/>
        <v>0.12631876412961562</v>
      </c>
    </row>
    <row r="1826" spans="1:15" ht="20.100000000000001" customHeight="1" x14ac:dyDescent="0.25">
      <c r="A1826" s="33">
        <v>214</v>
      </c>
      <c r="B1826" s="9">
        <v>44272</v>
      </c>
      <c r="C1826" s="18" t="s">
        <v>11</v>
      </c>
      <c r="D1826" s="11">
        <v>7360</v>
      </c>
      <c r="E1826" s="9">
        <v>44301</v>
      </c>
      <c r="F1826" s="15" t="s">
        <v>28</v>
      </c>
      <c r="G1826" s="12">
        <v>44313</v>
      </c>
      <c r="H1826" s="23">
        <f t="shared" ref="H1826:H1836" si="203">D1826</f>
        <v>7360</v>
      </c>
      <c r="I1826" s="23"/>
      <c r="J1826" s="23"/>
      <c r="K1826" s="24"/>
      <c r="L1826" s="22">
        <v>5292.48</v>
      </c>
      <c r="M1826" s="22">
        <f t="shared" si="201"/>
        <v>2067.5200000000004</v>
      </c>
      <c r="N1826" s="22"/>
      <c r="O1826" s="30">
        <f t="shared" si="202"/>
        <v>0.2809130434782609</v>
      </c>
    </row>
    <row r="1827" spans="1:15" ht="20.100000000000001" customHeight="1" x14ac:dyDescent="0.25">
      <c r="A1827" s="33">
        <v>348</v>
      </c>
      <c r="B1827" s="9">
        <v>44305</v>
      </c>
      <c r="C1827" s="18" t="s">
        <v>435</v>
      </c>
      <c r="D1827" s="11">
        <v>775</v>
      </c>
      <c r="E1827" s="9">
        <v>44306</v>
      </c>
      <c r="F1827" s="15" t="s">
        <v>28</v>
      </c>
      <c r="G1827" s="12">
        <v>44307</v>
      </c>
      <c r="H1827" s="23">
        <f t="shared" si="203"/>
        <v>775</v>
      </c>
      <c r="I1827" s="23"/>
      <c r="J1827" s="23"/>
      <c r="K1827" s="24"/>
      <c r="L1827" s="22">
        <v>604</v>
      </c>
      <c r="M1827" s="22">
        <f t="shared" si="201"/>
        <v>171</v>
      </c>
      <c r="N1827" s="22"/>
      <c r="O1827" s="30">
        <f t="shared" si="202"/>
        <v>0.22064516129032258</v>
      </c>
    </row>
    <row r="1828" spans="1:15" ht="19.5" customHeight="1" x14ac:dyDescent="0.25">
      <c r="A1828" s="33">
        <v>342</v>
      </c>
      <c r="B1828" s="9">
        <v>44305</v>
      </c>
      <c r="C1828" s="18" t="s">
        <v>281</v>
      </c>
      <c r="D1828" s="11">
        <v>1466</v>
      </c>
      <c r="E1828" s="9">
        <v>44306</v>
      </c>
      <c r="F1828" s="15" t="s">
        <v>28</v>
      </c>
      <c r="G1828" s="12">
        <v>44307</v>
      </c>
      <c r="H1828" s="23">
        <f t="shared" si="203"/>
        <v>1466</v>
      </c>
      <c r="I1828" s="23"/>
      <c r="J1828" s="23"/>
      <c r="K1828" s="24"/>
      <c r="L1828" s="22">
        <v>1143</v>
      </c>
      <c r="M1828" s="22">
        <f t="shared" si="201"/>
        <v>323</v>
      </c>
      <c r="N1828" s="22"/>
      <c r="O1828" s="30">
        <f t="shared" si="202"/>
        <v>0.2203274215552524</v>
      </c>
    </row>
    <row r="1829" spans="1:15" ht="15.75" x14ac:dyDescent="0.25">
      <c r="A1829" s="33">
        <v>212</v>
      </c>
      <c r="B1829" s="9">
        <v>44294</v>
      </c>
      <c r="C1829" s="18" t="s">
        <v>13</v>
      </c>
      <c r="D1829" s="11">
        <v>86102.5</v>
      </c>
      <c r="E1829" s="9">
        <v>44306</v>
      </c>
      <c r="F1829" s="15" t="s">
        <v>28</v>
      </c>
      <c r="G1829" s="12">
        <v>44322</v>
      </c>
      <c r="H1829" s="23">
        <f t="shared" si="203"/>
        <v>86102.5</v>
      </c>
      <c r="I1829" s="23"/>
      <c r="J1829" s="23"/>
      <c r="K1829" s="24"/>
      <c r="L1829" s="22">
        <v>66076.740000000005</v>
      </c>
      <c r="M1829" s="22">
        <f t="shared" si="201"/>
        <v>20025.759999999995</v>
      </c>
      <c r="N1829" s="22"/>
      <c r="O1829" s="30">
        <f t="shared" si="202"/>
        <v>0.23258047095032078</v>
      </c>
    </row>
    <row r="1830" spans="1:15" s="2" customFormat="1" ht="20.100000000000001" customHeight="1" x14ac:dyDescent="0.25">
      <c r="A1830" s="33">
        <v>236</v>
      </c>
      <c r="B1830" s="9">
        <v>44277</v>
      </c>
      <c r="C1830" s="18" t="s">
        <v>65</v>
      </c>
      <c r="D1830" s="11">
        <v>24433.99</v>
      </c>
      <c r="E1830" s="9">
        <v>44308</v>
      </c>
      <c r="F1830" s="15" t="s">
        <v>28</v>
      </c>
      <c r="G1830" s="12">
        <v>44278</v>
      </c>
      <c r="H1830" s="23">
        <f t="shared" si="203"/>
        <v>24433.99</v>
      </c>
      <c r="I1830" s="23"/>
      <c r="J1830" s="23"/>
      <c r="K1830" s="24"/>
      <c r="L1830" s="23">
        <v>15970.52</v>
      </c>
      <c r="M1830" s="22">
        <f t="shared" si="201"/>
        <v>8463.4700000000012</v>
      </c>
      <c r="N1830" s="22"/>
      <c r="O1830" s="30">
        <f t="shared" si="202"/>
        <v>0.34638100449414938</v>
      </c>
    </row>
    <row r="1831" spans="1:15" ht="20.100000000000001" customHeight="1" x14ac:dyDescent="0.25">
      <c r="A1831" s="33">
        <v>179</v>
      </c>
      <c r="B1831" s="9">
        <v>44259</v>
      </c>
      <c r="C1831" s="18" t="s">
        <v>209</v>
      </c>
      <c r="D1831" s="11">
        <v>8126.85</v>
      </c>
      <c r="E1831" s="9">
        <v>44310</v>
      </c>
      <c r="F1831" s="15" t="s">
        <v>28</v>
      </c>
      <c r="G1831" s="12">
        <v>44333</v>
      </c>
      <c r="H1831" s="23">
        <f t="shared" si="203"/>
        <v>8126.85</v>
      </c>
      <c r="I1831" s="23"/>
      <c r="J1831" s="23"/>
      <c r="K1831" s="24"/>
      <c r="L1831" s="23">
        <v>7381</v>
      </c>
      <c r="M1831" s="22">
        <f t="shared" si="201"/>
        <v>745.85000000000036</v>
      </c>
      <c r="N1831" s="22"/>
      <c r="O1831" s="30">
        <f t="shared" si="202"/>
        <v>9.1776026381685444E-2</v>
      </c>
    </row>
    <row r="1832" spans="1:15" ht="20.100000000000001" customHeight="1" x14ac:dyDescent="0.25">
      <c r="A1832" s="33">
        <v>373</v>
      </c>
      <c r="B1832" s="9">
        <v>44312</v>
      </c>
      <c r="C1832" s="18" t="s">
        <v>149</v>
      </c>
      <c r="D1832" s="11">
        <v>18924</v>
      </c>
      <c r="E1832" s="9">
        <v>44313</v>
      </c>
      <c r="F1832" s="15" t="s">
        <v>28</v>
      </c>
      <c r="G1832" s="12">
        <v>44333</v>
      </c>
      <c r="H1832" s="23">
        <f t="shared" si="203"/>
        <v>18924</v>
      </c>
      <c r="I1832" s="23"/>
      <c r="J1832" s="23"/>
      <c r="K1832" s="24"/>
      <c r="L1832" s="23">
        <v>12490</v>
      </c>
      <c r="M1832" s="22">
        <f t="shared" si="201"/>
        <v>6434</v>
      </c>
      <c r="N1832" s="22"/>
      <c r="O1832" s="30">
        <f t="shared" si="202"/>
        <v>0.33999154512787993</v>
      </c>
    </row>
    <row r="1833" spans="1:15" ht="20.100000000000001" customHeight="1" x14ac:dyDescent="0.25">
      <c r="A1833" s="33">
        <v>351</v>
      </c>
      <c r="B1833" s="9">
        <v>44306</v>
      </c>
      <c r="C1833" s="20" t="s">
        <v>491</v>
      </c>
      <c r="D1833" s="11">
        <v>198990</v>
      </c>
      <c r="E1833" s="9">
        <v>44314</v>
      </c>
      <c r="F1833" s="15" t="s">
        <v>28</v>
      </c>
      <c r="G1833" s="12">
        <v>44315</v>
      </c>
      <c r="H1833" s="23">
        <f t="shared" si="203"/>
        <v>198990</v>
      </c>
      <c r="I1833" s="23">
        <f>H1833</f>
        <v>198990</v>
      </c>
      <c r="J1833" s="23"/>
      <c r="K1833" s="24"/>
      <c r="L1833" s="23">
        <v>146138</v>
      </c>
      <c r="M1833" s="22">
        <f t="shared" si="201"/>
        <v>52852</v>
      </c>
      <c r="N1833" s="22">
        <f>M1833</f>
        <v>52852</v>
      </c>
      <c r="O1833" s="30">
        <f t="shared" si="202"/>
        <v>0.26560128649680886</v>
      </c>
    </row>
    <row r="1834" spans="1:15" ht="20.100000000000001" customHeight="1" x14ac:dyDescent="0.25">
      <c r="A1834" s="33">
        <v>265</v>
      </c>
      <c r="B1834" s="9">
        <v>44285</v>
      </c>
      <c r="C1834" s="18" t="s">
        <v>53</v>
      </c>
      <c r="D1834" s="11">
        <v>14355</v>
      </c>
      <c r="E1834" s="9">
        <v>44314</v>
      </c>
      <c r="F1834" s="15" t="s">
        <v>28</v>
      </c>
      <c r="G1834" s="12">
        <v>44315</v>
      </c>
      <c r="H1834" s="23">
        <f t="shared" si="203"/>
        <v>14355</v>
      </c>
      <c r="I1834" s="23"/>
      <c r="J1834" s="23"/>
      <c r="K1834" s="24"/>
      <c r="L1834" s="23">
        <v>11196</v>
      </c>
      <c r="M1834" s="22">
        <f t="shared" si="201"/>
        <v>3159</v>
      </c>
      <c r="N1834" s="22"/>
      <c r="O1834" s="30">
        <f t="shared" si="202"/>
        <v>0.22006269592476488</v>
      </c>
    </row>
    <row r="1835" spans="1:15" ht="20.100000000000001" customHeight="1" x14ac:dyDescent="0.25">
      <c r="A1835" s="33">
        <v>334</v>
      </c>
      <c r="B1835" s="9">
        <v>44301</v>
      </c>
      <c r="C1835" s="18" t="s">
        <v>443</v>
      </c>
      <c r="D1835" s="11">
        <v>3212</v>
      </c>
      <c r="E1835" s="9">
        <v>44315</v>
      </c>
      <c r="F1835" s="15" t="s">
        <v>28</v>
      </c>
      <c r="G1835" s="12">
        <v>44321</v>
      </c>
      <c r="H1835" s="23">
        <f t="shared" si="203"/>
        <v>3212</v>
      </c>
      <c r="I1835" s="23"/>
      <c r="J1835" s="23"/>
      <c r="K1835" s="24"/>
      <c r="L1835" s="23">
        <v>2208</v>
      </c>
      <c r="M1835" s="22">
        <f t="shared" si="201"/>
        <v>1004</v>
      </c>
      <c r="N1835" s="22"/>
      <c r="O1835" s="30">
        <f t="shared" si="202"/>
        <v>0.3125778331257783</v>
      </c>
    </row>
    <row r="1836" spans="1:15" ht="20.100000000000001" customHeight="1" x14ac:dyDescent="0.25">
      <c r="A1836" s="33">
        <v>897</v>
      </c>
      <c r="B1836" s="9">
        <v>44110</v>
      </c>
      <c r="C1836" s="18" t="s">
        <v>38</v>
      </c>
      <c r="D1836" s="11">
        <v>1725817.5</v>
      </c>
      <c r="E1836" s="9">
        <v>44315</v>
      </c>
      <c r="F1836" s="15" t="s">
        <v>28</v>
      </c>
      <c r="G1836" s="12">
        <v>44189</v>
      </c>
      <c r="H1836" s="23">
        <f t="shared" si="203"/>
        <v>1725817.5</v>
      </c>
      <c r="I1836" s="23"/>
      <c r="J1836" s="23">
        <v>50000</v>
      </c>
      <c r="K1836" s="24">
        <f>30*1200+1800</f>
        <v>37800</v>
      </c>
      <c r="L1836" s="23">
        <v>1412214.45</v>
      </c>
      <c r="M1836" s="22">
        <f t="shared" si="201"/>
        <v>225803.05000000005</v>
      </c>
      <c r="N1836" s="22"/>
      <c r="O1836" s="30">
        <f t="shared" si="202"/>
        <v>0.13083831285752986</v>
      </c>
    </row>
    <row r="1837" spans="1:15" ht="20.100000000000001" customHeight="1" x14ac:dyDescent="0.25">
      <c r="A1837" s="35" t="s">
        <v>535</v>
      </c>
      <c r="B1837" s="36"/>
      <c r="C1837" s="42"/>
      <c r="D1837" s="37"/>
      <c r="E1837" s="46" t="s">
        <v>590</v>
      </c>
      <c r="F1837" s="47">
        <f>M1837*0.17+N1837*0.06+10000</f>
        <v>79148.038400000005</v>
      </c>
      <c r="G1837" s="21">
        <f>H1837*0.05+I1837*0.02+10000</f>
        <v>133030.91200000001</v>
      </c>
      <c r="H1837" s="49">
        <f>SUBTOTAL(109,Апрель2021[Продажа])</f>
        <v>2381022.2400000002</v>
      </c>
      <c r="I1837" s="49">
        <f>SUBTOTAL(109,Апрель2021[Продажа НК])</f>
        <v>198990</v>
      </c>
      <c r="J1837" s="49">
        <f>SUBTOTAL(109,Апрель2021[отк])</f>
        <v>50000</v>
      </c>
      <c r="K1837" s="49">
        <f>SUBTOTAL(109,Апрель2021[шланги])</f>
        <v>37800</v>
      </c>
      <c r="L1837" s="49">
        <f>SUBTOTAL(109,Апрель2021[Закупка])</f>
        <v>1905122.72</v>
      </c>
      <c r="M1837" s="49">
        <f>SUBTOTAL(109,Апрель2021[Маржа])</f>
        <v>388099.52</v>
      </c>
      <c r="N1837" s="49">
        <f>SUBTOTAL(109,Апрель2021[Маржа НК])</f>
        <v>52852</v>
      </c>
      <c r="O1837" s="44">
        <f t="shared" si="202"/>
        <v>0.16299701593715479</v>
      </c>
    </row>
    <row r="1838" spans="1:15" ht="20.100000000000001" customHeight="1" x14ac:dyDescent="0.25">
      <c r="A1838" s="41" t="s">
        <v>1</v>
      </c>
      <c r="B1838" s="1" t="s">
        <v>0</v>
      </c>
      <c r="C1838" s="1" t="s">
        <v>26</v>
      </c>
      <c r="D1838" s="1" t="s">
        <v>2</v>
      </c>
      <c r="E1838" s="1" t="s">
        <v>3</v>
      </c>
      <c r="F1838" s="1" t="s">
        <v>27</v>
      </c>
      <c r="G1838" s="1" t="s">
        <v>4</v>
      </c>
      <c r="H1838" s="2" t="s">
        <v>132</v>
      </c>
      <c r="I1838" s="2" t="s">
        <v>133</v>
      </c>
      <c r="J1838" s="40" t="s">
        <v>187</v>
      </c>
      <c r="K1838" s="40" t="s">
        <v>188</v>
      </c>
      <c r="L1838" s="40" t="s">
        <v>129</v>
      </c>
      <c r="M1838" s="40" t="s">
        <v>130</v>
      </c>
      <c r="N1838" s="2" t="s">
        <v>131</v>
      </c>
      <c r="O1838" s="2" t="s">
        <v>134</v>
      </c>
    </row>
    <row r="1839" spans="1:15" ht="20.100000000000001" customHeight="1" x14ac:dyDescent="0.25">
      <c r="A1839" s="33">
        <v>242</v>
      </c>
      <c r="B1839" s="9">
        <v>44279</v>
      </c>
      <c r="C1839" s="18" t="s">
        <v>99</v>
      </c>
      <c r="D1839" s="11">
        <v>70190</v>
      </c>
      <c r="E1839" s="9">
        <v>44320</v>
      </c>
      <c r="F1839" s="15" t="s">
        <v>28</v>
      </c>
      <c r="G1839" s="12">
        <v>44286</v>
      </c>
      <c r="H1839" s="23">
        <f t="shared" ref="H1839:H1862" si="204">D1839</f>
        <v>70190</v>
      </c>
      <c r="I1839" s="23"/>
      <c r="J1839" s="23"/>
      <c r="K1839" s="24"/>
      <c r="L1839" s="22">
        <v>54746</v>
      </c>
      <c r="M1839" s="22">
        <f t="shared" ref="M1839:M1864" si="205">H1839-L1839-J1839-K1839</f>
        <v>15444</v>
      </c>
      <c r="N1839" s="22"/>
      <c r="O1839" s="30">
        <f t="shared" ref="O1839:O1865" si="206">M1839/H1839</f>
        <v>0.22003134349622452</v>
      </c>
    </row>
    <row r="1840" spans="1:15" ht="20.100000000000001" customHeight="1" x14ac:dyDescent="0.25">
      <c r="A1840" s="33">
        <v>61</v>
      </c>
      <c r="B1840" s="9">
        <v>44232</v>
      </c>
      <c r="C1840" s="18" t="s">
        <v>65</v>
      </c>
      <c r="D1840" s="11">
        <v>84546</v>
      </c>
      <c r="E1840" s="9">
        <v>44322</v>
      </c>
      <c r="F1840" s="15" t="s">
        <v>28</v>
      </c>
      <c r="G1840" s="12">
        <v>44294</v>
      </c>
      <c r="H1840" s="23">
        <f t="shared" si="204"/>
        <v>84546</v>
      </c>
      <c r="I1840" s="23"/>
      <c r="J1840" s="23"/>
      <c r="K1840" s="24"/>
      <c r="L1840" s="23">
        <v>68281</v>
      </c>
      <c r="M1840" s="22">
        <f t="shared" si="205"/>
        <v>16265</v>
      </c>
      <c r="N1840" s="22"/>
      <c r="O1840" s="30">
        <f t="shared" si="206"/>
        <v>0.19238047926572516</v>
      </c>
    </row>
    <row r="1841" spans="1:15" ht="20.100000000000001" customHeight="1" x14ac:dyDescent="0.25">
      <c r="A1841" s="33">
        <v>276</v>
      </c>
      <c r="B1841" s="9">
        <v>44294</v>
      </c>
      <c r="C1841" s="18" t="s">
        <v>56</v>
      </c>
      <c r="D1841" s="11">
        <v>65583</v>
      </c>
      <c r="E1841" s="9">
        <v>44327</v>
      </c>
      <c r="F1841" s="15" t="s">
        <v>28</v>
      </c>
      <c r="G1841" s="12">
        <v>44314</v>
      </c>
      <c r="H1841" s="23">
        <f t="shared" si="204"/>
        <v>65583</v>
      </c>
      <c r="I1841" s="23"/>
      <c r="J1841" s="23"/>
      <c r="K1841" s="24"/>
      <c r="L1841" s="23">
        <v>44078</v>
      </c>
      <c r="M1841" s="22">
        <f t="shared" si="205"/>
        <v>21505</v>
      </c>
      <c r="N1841" s="22"/>
      <c r="O1841" s="30">
        <f t="shared" si="206"/>
        <v>0.32790509735754692</v>
      </c>
    </row>
    <row r="1842" spans="1:15" ht="20.100000000000001" customHeight="1" x14ac:dyDescent="0.25">
      <c r="A1842" s="33">
        <v>37</v>
      </c>
      <c r="B1842" s="9">
        <v>44256</v>
      </c>
      <c r="C1842" s="18" t="s">
        <v>56</v>
      </c>
      <c r="D1842" s="11">
        <v>394717</v>
      </c>
      <c r="E1842" s="9">
        <v>44327</v>
      </c>
      <c r="F1842" s="15" t="s">
        <v>28</v>
      </c>
      <c r="G1842" s="12">
        <v>44314</v>
      </c>
      <c r="H1842" s="23">
        <f t="shared" si="204"/>
        <v>394717</v>
      </c>
      <c r="I1842" s="23"/>
      <c r="J1842" s="23"/>
      <c r="K1842" s="24"/>
      <c r="L1842" s="23">
        <v>316386</v>
      </c>
      <c r="M1842" s="22">
        <f t="shared" si="205"/>
        <v>78331</v>
      </c>
      <c r="N1842" s="22"/>
      <c r="O1842" s="30">
        <f t="shared" si="206"/>
        <v>0.19844850867836958</v>
      </c>
    </row>
    <row r="1843" spans="1:15" ht="20.100000000000001" customHeight="1" x14ac:dyDescent="0.25">
      <c r="A1843" s="33">
        <v>399</v>
      </c>
      <c r="B1843" s="9">
        <v>44327</v>
      </c>
      <c r="C1843" s="18" t="s">
        <v>410</v>
      </c>
      <c r="D1843" s="11">
        <v>98720</v>
      </c>
      <c r="E1843" s="9">
        <v>44328</v>
      </c>
      <c r="F1843" s="15" t="s">
        <v>28</v>
      </c>
      <c r="G1843" s="12">
        <v>44342</v>
      </c>
      <c r="H1843" s="23">
        <f t="shared" si="204"/>
        <v>98720</v>
      </c>
      <c r="I1843" s="23"/>
      <c r="J1843" s="23"/>
      <c r="K1843" s="24"/>
      <c r="L1843" s="23">
        <v>76470</v>
      </c>
      <c r="M1843" s="22">
        <f t="shared" si="205"/>
        <v>22250</v>
      </c>
      <c r="N1843" s="22"/>
      <c r="O1843" s="30">
        <f t="shared" si="206"/>
        <v>0.22538492706645058</v>
      </c>
    </row>
    <row r="1844" spans="1:15" ht="20.100000000000001" customHeight="1" x14ac:dyDescent="0.25">
      <c r="A1844" s="33">
        <v>405</v>
      </c>
      <c r="B1844" s="9">
        <v>44327</v>
      </c>
      <c r="C1844" s="18" t="s">
        <v>230</v>
      </c>
      <c r="D1844" s="11">
        <v>8000</v>
      </c>
      <c r="E1844" s="9">
        <v>44328</v>
      </c>
      <c r="F1844" s="15" t="s">
        <v>28</v>
      </c>
      <c r="G1844" s="12">
        <v>44330</v>
      </c>
      <c r="H1844" s="23">
        <f t="shared" si="204"/>
        <v>8000</v>
      </c>
      <c r="I1844" s="23"/>
      <c r="J1844" s="23"/>
      <c r="K1844" s="24">
        <v>1200</v>
      </c>
      <c r="L1844" s="23">
        <v>2357</v>
      </c>
      <c r="M1844" s="22">
        <f t="shared" si="205"/>
        <v>4443</v>
      </c>
      <c r="N1844" s="22"/>
      <c r="O1844" s="30">
        <f t="shared" si="206"/>
        <v>0.55537499999999995</v>
      </c>
    </row>
    <row r="1845" spans="1:15" ht="20.100000000000001" customHeight="1" x14ac:dyDescent="0.25">
      <c r="A1845" s="33">
        <v>404</v>
      </c>
      <c r="B1845" s="9">
        <v>44327</v>
      </c>
      <c r="C1845" s="18" t="s">
        <v>430</v>
      </c>
      <c r="D1845" s="11">
        <v>4993</v>
      </c>
      <c r="E1845" s="9">
        <v>44328</v>
      </c>
      <c r="F1845" s="15" t="s">
        <v>28</v>
      </c>
      <c r="G1845" s="12">
        <v>44329</v>
      </c>
      <c r="H1845" s="23">
        <f t="shared" si="204"/>
        <v>4993</v>
      </c>
      <c r="I1845" s="23"/>
      <c r="J1845" s="23"/>
      <c r="K1845" s="24"/>
      <c r="L1845" s="23">
        <v>3295</v>
      </c>
      <c r="M1845" s="22">
        <f t="shared" si="205"/>
        <v>1698</v>
      </c>
      <c r="N1845" s="22"/>
      <c r="O1845" s="30">
        <f t="shared" si="206"/>
        <v>0.34007610654916881</v>
      </c>
    </row>
    <row r="1846" spans="1:15" ht="20.100000000000001" customHeight="1" x14ac:dyDescent="0.25">
      <c r="A1846" s="33">
        <v>400</v>
      </c>
      <c r="B1846" s="9">
        <v>44327</v>
      </c>
      <c r="C1846" s="18" t="s">
        <v>281</v>
      </c>
      <c r="D1846" s="11">
        <v>11377</v>
      </c>
      <c r="E1846" s="9">
        <v>44329</v>
      </c>
      <c r="F1846" s="15" t="s">
        <v>28</v>
      </c>
      <c r="G1846" s="12">
        <v>44328</v>
      </c>
      <c r="H1846" s="23">
        <f t="shared" si="204"/>
        <v>11377</v>
      </c>
      <c r="I1846" s="23"/>
      <c r="J1846" s="23"/>
      <c r="K1846" s="24"/>
      <c r="L1846" s="23">
        <v>7000</v>
      </c>
      <c r="M1846" s="22">
        <f t="shared" si="205"/>
        <v>4377</v>
      </c>
      <c r="N1846" s="22"/>
      <c r="O1846" s="30">
        <f t="shared" si="206"/>
        <v>0.38472356508745714</v>
      </c>
    </row>
    <row r="1847" spans="1:15" ht="20.100000000000001" customHeight="1" x14ac:dyDescent="0.25">
      <c r="A1847" s="33">
        <v>421</v>
      </c>
      <c r="B1847" s="9">
        <v>44329</v>
      </c>
      <c r="C1847" s="18" t="s">
        <v>492</v>
      </c>
      <c r="D1847" s="11">
        <v>9911</v>
      </c>
      <c r="E1847" s="9">
        <v>44329</v>
      </c>
      <c r="F1847" s="15" t="s">
        <v>28</v>
      </c>
      <c r="G1847" s="12">
        <v>44333</v>
      </c>
      <c r="H1847" s="23">
        <f t="shared" si="204"/>
        <v>9911</v>
      </c>
      <c r="I1847" s="23"/>
      <c r="J1847" s="23"/>
      <c r="K1847" s="24"/>
      <c r="L1847" s="23">
        <v>7305</v>
      </c>
      <c r="M1847" s="22">
        <f t="shared" si="205"/>
        <v>2606</v>
      </c>
      <c r="N1847" s="22"/>
      <c r="O1847" s="30">
        <f t="shared" si="206"/>
        <v>0.26294016749066695</v>
      </c>
    </row>
    <row r="1848" spans="1:15" ht="19.5" customHeight="1" x14ac:dyDescent="0.25">
      <c r="A1848" s="33">
        <v>148</v>
      </c>
      <c r="B1848" s="9">
        <v>44328</v>
      </c>
      <c r="C1848" s="18" t="s">
        <v>491</v>
      </c>
      <c r="D1848" s="11">
        <v>71485</v>
      </c>
      <c r="E1848" s="9">
        <v>44329</v>
      </c>
      <c r="F1848" s="15" t="s">
        <v>28</v>
      </c>
      <c r="G1848" s="12">
        <v>44333</v>
      </c>
      <c r="H1848" s="23">
        <f t="shared" si="204"/>
        <v>71485</v>
      </c>
      <c r="I1848" s="23"/>
      <c r="J1848" s="23"/>
      <c r="K1848" s="24"/>
      <c r="L1848" s="23">
        <v>48136.44</v>
      </c>
      <c r="M1848" s="22">
        <f t="shared" si="205"/>
        <v>23348.559999999998</v>
      </c>
      <c r="N1848" s="22"/>
      <c r="O1848" s="30">
        <f t="shared" si="206"/>
        <v>0.32662180877107083</v>
      </c>
    </row>
    <row r="1849" spans="1:15" ht="15.75" x14ac:dyDescent="0.25">
      <c r="A1849" s="33">
        <v>407</v>
      </c>
      <c r="B1849" s="9">
        <v>44330</v>
      </c>
      <c r="C1849" s="20" t="s">
        <v>493</v>
      </c>
      <c r="D1849" s="11">
        <v>26115.5</v>
      </c>
      <c r="E1849" s="9">
        <v>44330</v>
      </c>
      <c r="F1849" s="15" t="s">
        <v>28</v>
      </c>
      <c r="G1849" s="12">
        <v>44330</v>
      </c>
      <c r="H1849" s="23">
        <f t="shared" si="204"/>
        <v>26115.5</v>
      </c>
      <c r="I1849" s="23">
        <f>H1849</f>
        <v>26115.5</v>
      </c>
      <c r="J1849" s="23"/>
      <c r="K1849" s="24"/>
      <c r="L1849" s="23">
        <v>19697</v>
      </c>
      <c r="M1849" s="22">
        <f t="shared" si="205"/>
        <v>6418.5</v>
      </c>
      <c r="N1849" s="22">
        <f>M1849</f>
        <v>6418.5</v>
      </c>
      <c r="O1849" s="30">
        <f t="shared" si="206"/>
        <v>0.24577358273822059</v>
      </c>
    </row>
    <row r="1850" spans="1:15" s="2" customFormat="1" ht="20.100000000000001" customHeight="1" x14ac:dyDescent="0.25">
      <c r="A1850" s="33">
        <v>398</v>
      </c>
      <c r="B1850" s="9">
        <v>44323</v>
      </c>
      <c r="C1850" s="18" t="s">
        <v>494</v>
      </c>
      <c r="D1850" s="11">
        <v>2500</v>
      </c>
      <c r="E1850" s="9">
        <v>44330</v>
      </c>
      <c r="F1850" s="15" t="s">
        <v>28</v>
      </c>
      <c r="G1850" s="12">
        <v>44334</v>
      </c>
      <c r="H1850" s="23">
        <f t="shared" si="204"/>
        <v>2500</v>
      </c>
      <c r="I1850" s="23"/>
      <c r="J1850" s="23"/>
      <c r="K1850" s="24"/>
      <c r="L1850" s="23">
        <v>1330</v>
      </c>
      <c r="M1850" s="22">
        <f t="shared" si="205"/>
        <v>1170</v>
      </c>
      <c r="N1850" s="22"/>
      <c r="O1850" s="30">
        <f t="shared" si="206"/>
        <v>0.46800000000000003</v>
      </c>
    </row>
    <row r="1851" spans="1:15" ht="20.100000000000001" customHeight="1" x14ac:dyDescent="0.25">
      <c r="A1851" s="33">
        <v>427</v>
      </c>
      <c r="B1851" s="9">
        <v>44333</v>
      </c>
      <c r="C1851" s="18" t="s">
        <v>71</v>
      </c>
      <c r="D1851" s="11">
        <v>21056.5</v>
      </c>
      <c r="E1851" s="9">
        <v>44333</v>
      </c>
      <c r="F1851" s="15" t="s">
        <v>28</v>
      </c>
      <c r="G1851" s="12">
        <v>44334</v>
      </c>
      <c r="H1851" s="23">
        <f t="shared" si="204"/>
        <v>21056.5</v>
      </c>
      <c r="I1851" s="23"/>
      <c r="J1851" s="23"/>
      <c r="K1851" s="24"/>
      <c r="L1851" s="23">
        <v>15865</v>
      </c>
      <c r="M1851" s="22">
        <f t="shared" si="205"/>
        <v>5191.5</v>
      </c>
      <c r="N1851" s="22"/>
      <c r="O1851" s="30">
        <f t="shared" si="206"/>
        <v>0.24655094626362406</v>
      </c>
    </row>
    <row r="1852" spans="1:15" ht="20.100000000000001" customHeight="1" x14ac:dyDescent="0.25">
      <c r="A1852" s="33">
        <v>435</v>
      </c>
      <c r="B1852" s="9">
        <v>44333</v>
      </c>
      <c r="C1852" s="18" t="s">
        <v>492</v>
      </c>
      <c r="D1852" s="11">
        <v>19901</v>
      </c>
      <c r="E1852" s="9">
        <v>44333</v>
      </c>
      <c r="F1852" s="15" t="s">
        <v>28</v>
      </c>
      <c r="G1852" s="12">
        <v>44334</v>
      </c>
      <c r="H1852" s="23">
        <f t="shared" si="204"/>
        <v>19901</v>
      </c>
      <c r="I1852" s="23"/>
      <c r="J1852" s="23"/>
      <c r="K1852" s="24"/>
      <c r="L1852" s="23">
        <v>14647</v>
      </c>
      <c r="M1852" s="22">
        <f t="shared" si="205"/>
        <v>5254</v>
      </c>
      <c r="N1852" s="22"/>
      <c r="O1852" s="30">
        <f t="shared" si="206"/>
        <v>0.26400683382744583</v>
      </c>
    </row>
    <row r="1853" spans="1:15" ht="20.100000000000001" customHeight="1" x14ac:dyDescent="0.25">
      <c r="A1853" s="33">
        <v>444</v>
      </c>
      <c r="B1853" s="9">
        <v>44334</v>
      </c>
      <c r="C1853" s="18" t="s">
        <v>216</v>
      </c>
      <c r="D1853" s="11">
        <v>2248</v>
      </c>
      <c r="E1853" s="9">
        <v>44334</v>
      </c>
      <c r="F1853" s="15" t="s">
        <v>28</v>
      </c>
      <c r="G1853" s="12">
        <v>44336</v>
      </c>
      <c r="H1853" s="23">
        <f t="shared" si="204"/>
        <v>2248</v>
      </c>
      <c r="I1853" s="23"/>
      <c r="J1853" s="23"/>
      <c r="K1853" s="24"/>
      <c r="L1853" s="23">
        <v>1504</v>
      </c>
      <c r="M1853" s="22">
        <f t="shared" si="205"/>
        <v>744</v>
      </c>
      <c r="N1853" s="22"/>
      <c r="O1853" s="30">
        <f t="shared" si="206"/>
        <v>0.33096085409252668</v>
      </c>
    </row>
    <row r="1854" spans="1:15" ht="20.100000000000001" customHeight="1" x14ac:dyDescent="0.25">
      <c r="A1854" s="33">
        <v>406</v>
      </c>
      <c r="B1854" s="9">
        <v>44327</v>
      </c>
      <c r="C1854" s="18" t="s">
        <v>433</v>
      </c>
      <c r="D1854" s="11">
        <v>24990</v>
      </c>
      <c r="E1854" s="9">
        <v>44334</v>
      </c>
      <c r="F1854" s="15" t="s">
        <v>28</v>
      </c>
      <c r="G1854" s="12">
        <v>44327</v>
      </c>
      <c r="H1854" s="23">
        <f t="shared" si="204"/>
        <v>24990</v>
      </c>
      <c r="I1854" s="23"/>
      <c r="J1854" s="23"/>
      <c r="K1854" s="24"/>
      <c r="L1854" s="23">
        <v>18367</v>
      </c>
      <c r="M1854" s="22">
        <f t="shared" si="205"/>
        <v>6623</v>
      </c>
      <c r="N1854" s="22"/>
      <c r="O1854" s="30">
        <f t="shared" si="206"/>
        <v>0.26502601040416168</v>
      </c>
    </row>
    <row r="1855" spans="1:15" ht="20.100000000000001" customHeight="1" x14ac:dyDescent="0.25">
      <c r="A1855" s="33">
        <v>437</v>
      </c>
      <c r="B1855" s="9">
        <v>44333</v>
      </c>
      <c r="C1855" s="18" t="s">
        <v>353</v>
      </c>
      <c r="D1855" s="11">
        <v>43490</v>
      </c>
      <c r="E1855" s="9">
        <v>44335</v>
      </c>
      <c r="F1855" s="15" t="s">
        <v>28</v>
      </c>
      <c r="G1855" s="12">
        <v>44355</v>
      </c>
      <c r="H1855" s="23">
        <f t="shared" si="204"/>
        <v>43490</v>
      </c>
      <c r="I1855" s="23"/>
      <c r="J1855" s="23"/>
      <c r="K1855" s="24"/>
      <c r="L1855" s="23">
        <v>32182.6</v>
      </c>
      <c r="M1855" s="22">
        <f t="shared" si="205"/>
        <v>11307.400000000001</v>
      </c>
      <c r="N1855" s="22"/>
      <c r="O1855" s="30">
        <f t="shared" si="206"/>
        <v>0.26</v>
      </c>
    </row>
    <row r="1856" spans="1:15" ht="20.100000000000001" customHeight="1" x14ac:dyDescent="0.25">
      <c r="A1856" s="33">
        <v>340</v>
      </c>
      <c r="B1856" s="9">
        <v>44335</v>
      </c>
      <c r="C1856" s="18" t="s">
        <v>373</v>
      </c>
      <c r="D1856" s="3">
        <v>24964.1</v>
      </c>
      <c r="E1856" s="9">
        <v>44337</v>
      </c>
      <c r="F1856" s="15" t="s">
        <v>28</v>
      </c>
      <c r="G1856" s="12">
        <v>44349</v>
      </c>
      <c r="H1856" s="23">
        <f t="shared" si="204"/>
        <v>24964.1</v>
      </c>
      <c r="I1856" s="23"/>
      <c r="J1856" s="23"/>
      <c r="K1856" s="24"/>
      <c r="L1856" s="23">
        <v>18905</v>
      </c>
      <c r="M1856" s="22">
        <f t="shared" si="205"/>
        <v>6059.0999999999985</v>
      </c>
      <c r="N1856" s="22"/>
      <c r="O1856" s="30">
        <f t="shared" si="206"/>
        <v>0.24271253520054795</v>
      </c>
    </row>
    <row r="1857" spans="1:15" ht="20.100000000000001" customHeight="1" x14ac:dyDescent="0.25">
      <c r="A1857" s="33">
        <v>462</v>
      </c>
      <c r="B1857" s="9">
        <v>44336</v>
      </c>
      <c r="C1857" s="18" t="s">
        <v>470</v>
      </c>
      <c r="D1857" s="3">
        <v>4300</v>
      </c>
      <c r="E1857" s="9">
        <v>44337</v>
      </c>
      <c r="F1857" s="15" t="s">
        <v>28</v>
      </c>
      <c r="G1857" s="12">
        <v>44341</v>
      </c>
      <c r="H1857" s="23">
        <f t="shared" si="204"/>
        <v>4300</v>
      </c>
      <c r="I1857" s="23"/>
      <c r="J1857" s="23"/>
      <c r="K1857" s="24"/>
      <c r="L1857" s="23">
        <v>3350</v>
      </c>
      <c r="M1857" s="22">
        <f t="shared" si="205"/>
        <v>950</v>
      </c>
      <c r="N1857" s="22"/>
      <c r="O1857" s="30">
        <f t="shared" si="206"/>
        <v>0.22093023255813954</v>
      </c>
    </row>
    <row r="1858" spans="1:15" ht="20.100000000000001" customHeight="1" x14ac:dyDescent="0.25">
      <c r="A1858" s="33">
        <v>384</v>
      </c>
      <c r="B1858" s="9">
        <v>44327</v>
      </c>
      <c r="C1858" s="18" t="s">
        <v>443</v>
      </c>
      <c r="D1858" s="3">
        <v>24956</v>
      </c>
      <c r="E1858" s="9">
        <v>44340</v>
      </c>
      <c r="F1858" s="15" t="s">
        <v>28</v>
      </c>
      <c r="G1858" s="12">
        <v>44342</v>
      </c>
      <c r="H1858" s="23">
        <f t="shared" si="204"/>
        <v>24956</v>
      </c>
      <c r="I1858" s="23"/>
      <c r="J1858" s="23"/>
      <c r="K1858" s="24"/>
      <c r="L1858" s="23">
        <v>18142</v>
      </c>
      <c r="M1858" s="22">
        <f t="shared" si="205"/>
        <v>6814</v>
      </c>
      <c r="N1858" s="22"/>
      <c r="O1858" s="30">
        <f t="shared" si="206"/>
        <v>0.27304055137041194</v>
      </c>
    </row>
    <row r="1859" spans="1:15" ht="20.100000000000001" customHeight="1" x14ac:dyDescent="0.25">
      <c r="A1859" s="33">
        <v>495</v>
      </c>
      <c r="B1859" s="9">
        <v>44342</v>
      </c>
      <c r="C1859" s="18" t="s">
        <v>492</v>
      </c>
      <c r="D1859" s="3">
        <v>8683</v>
      </c>
      <c r="E1859" s="9">
        <v>44342</v>
      </c>
      <c r="F1859" s="15" t="s">
        <v>28</v>
      </c>
      <c r="G1859" s="12">
        <v>44343</v>
      </c>
      <c r="H1859" s="23">
        <f t="shared" si="204"/>
        <v>8683</v>
      </c>
      <c r="I1859" s="23"/>
      <c r="J1859" s="23"/>
      <c r="K1859" s="24"/>
      <c r="L1859" s="23">
        <v>6460</v>
      </c>
      <c r="M1859" s="22">
        <f t="shared" si="205"/>
        <v>2223</v>
      </c>
      <c r="N1859" s="22"/>
      <c r="O1859" s="30">
        <f t="shared" si="206"/>
        <v>0.25601750547045954</v>
      </c>
    </row>
    <row r="1860" spans="1:15" ht="20.100000000000001" customHeight="1" x14ac:dyDescent="0.25">
      <c r="A1860" s="33">
        <v>467</v>
      </c>
      <c r="B1860" s="9">
        <v>44336</v>
      </c>
      <c r="C1860" s="18" t="s">
        <v>443</v>
      </c>
      <c r="D1860" s="3">
        <v>6396</v>
      </c>
      <c r="E1860" s="9">
        <v>44342</v>
      </c>
      <c r="F1860" s="15" t="s">
        <v>28</v>
      </c>
      <c r="G1860" s="12">
        <v>44347</v>
      </c>
      <c r="H1860" s="23">
        <f t="shared" si="204"/>
        <v>6396</v>
      </c>
      <c r="I1860" s="23"/>
      <c r="J1860" s="23"/>
      <c r="K1860" s="24"/>
      <c r="L1860" s="23">
        <v>3728</v>
      </c>
      <c r="M1860" s="22">
        <f t="shared" si="205"/>
        <v>2668</v>
      </c>
      <c r="N1860" s="22"/>
      <c r="O1860" s="30">
        <f t="shared" si="206"/>
        <v>0.41713570981863662</v>
      </c>
    </row>
    <row r="1861" spans="1:15" ht="20.100000000000001" customHeight="1" x14ac:dyDescent="0.25">
      <c r="A1861" s="33">
        <v>494</v>
      </c>
      <c r="B1861" s="9">
        <v>44341</v>
      </c>
      <c r="C1861" s="18" t="s">
        <v>396</v>
      </c>
      <c r="D1861" s="3">
        <v>1032</v>
      </c>
      <c r="E1861" s="9">
        <v>44342</v>
      </c>
      <c r="F1861" s="15" t="s">
        <v>28</v>
      </c>
      <c r="G1861" s="12">
        <v>44344</v>
      </c>
      <c r="H1861" s="23">
        <f t="shared" si="204"/>
        <v>1032</v>
      </c>
      <c r="I1861" s="23"/>
      <c r="J1861" s="23"/>
      <c r="K1861" s="24"/>
      <c r="L1861" s="23">
        <v>681</v>
      </c>
      <c r="M1861" s="22">
        <f t="shared" si="205"/>
        <v>351</v>
      </c>
      <c r="N1861" s="22"/>
      <c r="O1861" s="30">
        <f t="shared" si="206"/>
        <v>0.34011627906976744</v>
      </c>
    </row>
    <row r="1862" spans="1:15" ht="20.100000000000001" customHeight="1" x14ac:dyDescent="0.25">
      <c r="A1862" s="33">
        <v>486</v>
      </c>
      <c r="B1862" s="9">
        <v>44340</v>
      </c>
      <c r="C1862" s="18" t="s">
        <v>495</v>
      </c>
      <c r="D1862" s="3">
        <v>13990</v>
      </c>
      <c r="E1862" s="9">
        <v>44343</v>
      </c>
      <c r="F1862" s="15" t="s">
        <v>28</v>
      </c>
      <c r="G1862" s="12">
        <v>44357</v>
      </c>
      <c r="H1862" s="23">
        <f t="shared" si="204"/>
        <v>13990</v>
      </c>
      <c r="I1862" s="23"/>
      <c r="J1862" s="23"/>
      <c r="K1862" s="24"/>
      <c r="L1862" s="23">
        <v>10282</v>
      </c>
      <c r="M1862" s="22">
        <f t="shared" si="205"/>
        <v>3708</v>
      </c>
      <c r="N1862" s="22"/>
      <c r="O1862" s="30">
        <f t="shared" si="206"/>
        <v>0.26504646175839885</v>
      </c>
    </row>
    <row r="1863" spans="1:15" ht="20.100000000000001" customHeight="1" x14ac:dyDescent="0.25">
      <c r="A1863" s="33">
        <v>515</v>
      </c>
      <c r="B1863" s="9">
        <v>44344</v>
      </c>
      <c r="C1863" s="18" t="s">
        <v>209</v>
      </c>
      <c r="D1863" s="3">
        <v>8894.4</v>
      </c>
      <c r="E1863" s="9">
        <v>44344</v>
      </c>
      <c r="F1863" s="15" t="s">
        <v>28</v>
      </c>
      <c r="G1863" s="12">
        <v>44371</v>
      </c>
      <c r="H1863" s="23">
        <v>1320</v>
      </c>
      <c r="I1863" s="23"/>
      <c r="J1863" s="23"/>
      <c r="K1863" s="24"/>
      <c r="L1863" s="23">
        <v>1050</v>
      </c>
      <c r="M1863" s="22">
        <f t="shared" si="205"/>
        <v>270</v>
      </c>
      <c r="N1863" s="22"/>
      <c r="O1863" s="30">
        <f t="shared" si="206"/>
        <v>0.20454545454545456</v>
      </c>
    </row>
    <row r="1864" spans="1:15" ht="20.100000000000001" customHeight="1" x14ac:dyDescent="0.25">
      <c r="A1864" s="33">
        <v>492</v>
      </c>
      <c r="B1864" s="9">
        <v>44341</v>
      </c>
      <c r="C1864" s="18" t="s">
        <v>403</v>
      </c>
      <c r="D1864" s="3">
        <v>7175</v>
      </c>
      <c r="E1864" s="4">
        <v>44347</v>
      </c>
      <c r="F1864" s="15" t="s">
        <v>28</v>
      </c>
      <c r="G1864" s="12">
        <v>44352</v>
      </c>
      <c r="H1864" s="23">
        <f>D1864</f>
        <v>7175</v>
      </c>
      <c r="I1864" s="23"/>
      <c r="J1864" s="23"/>
      <c r="K1864" s="24"/>
      <c r="L1864" s="23">
        <v>5378</v>
      </c>
      <c r="M1864" s="22">
        <f t="shared" si="205"/>
        <v>1797</v>
      </c>
      <c r="N1864" s="22"/>
      <c r="O1864" s="30">
        <f t="shared" si="206"/>
        <v>0.25045296167247388</v>
      </c>
    </row>
    <row r="1865" spans="1:15" ht="20.100000000000001" customHeight="1" x14ac:dyDescent="0.25">
      <c r="A1865" s="35" t="s">
        <v>535</v>
      </c>
      <c r="B1865" s="36"/>
      <c r="C1865" s="42"/>
      <c r="D1865" s="37"/>
      <c r="E1865" s="46" t="s">
        <v>591</v>
      </c>
      <c r="F1865" s="47">
        <f>M1865*0.17+N1865*0.06+10000</f>
        <v>53193.840200000006</v>
      </c>
      <c r="G1865" s="21">
        <f>H1865*0.05+I1865*0.02+10000</f>
        <v>63154.265000000007</v>
      </c>
      <c r="H1865" s="49">
        <f>SUBTOTAL(109,Май2021[Продажа])</f>
        <v>1052639.1000000001</v>
      </c>
      <c r="I1865" s="49">
        <f>SUBTOTAL(109,Май2021[Продажа НК])</f>
        <v>26115.5</v>
      </c>
      <c r="J1865" s="49">
        <f>SUBTOTAL(109,Май2021[отк])</f>
        <v>0</v>
      </c>
      <c r="K1865" s="49">
        <f>SUBTOTAL(109,Май2021[шланги])</f>
        <v>1200</v>
      </c>
      <c r="L1865" s="49">
        <f>SUBTOTAL(109,Май2021[Закупка])</f>
        <v>799623.03999999992</v>
      </c>
      <c r="M1865" s="49">
        <f>SUBTOTAL(109,Май2021[Маржа])</f>
        <v>251816.06</v>
      </c>
      <c r="N1865" s="49">
        <f>SUBTOTAL(109,Май2021[Маржа НК])</f>
        <v>6418.5</v>
      </c>
      <c r="O1865" s="44">
        <f t="shared" si="206"/>
        <v>0.23922354774775131</v>
      </c>
    </row>
    <row r="1866" spans="1:15" ht="20.100000000000001" customHeight="1" x14ac:dyDescent="0.25">
      <c r="A1866" s="41" t="s">
        <v>1</v>
      </c>
      <c r="B1866" s="1" t="s">
        <v>0</v>
      </c>
      <c r="C1866" s="1" t="s">
        <v>26</v>
      </c>
      <c r="D1866" s="1" t="s">
        <v>2</v>
      </c>
      <c r="E1866" s="1" t="s">
        <v>3</v>
      </c>
      <c r="F1866" s="1" t="s">
        <v>27</v>
      </c>
      <c r="G1866" s="1" t="s">
        <v>4</v>
      </c>
      <c r="H1866" s="2" t="s">
        <v>132</v>
      </c>
      <c r="I1866" s="2" t="s">
        <v>133</v>
      </c>
      <c r="J1866" s="40" t="s">
        <v>187</v>
      </c>
      <c r="K1866" s="40" t="s">
        <v>188</v>
      </c>
      <c r="L1866" s="40" t="s">
        <v>129</v>
      </c>
      <c r="M1866" s="40" t="s">
        <v>130</v>
      </c>
      <c r="N1866" s="2" t="s">
        <v>131</v>
      </c>
      <c r="O1866" s="2" t="s">
        <v>134</v>
      </c>
    </row>
    <row r="1867" spans="1:15" ht="20.100000000000001" customHeight="1" x14ac:dyDescent="0.25">
      <c r="A1867" s="33">
        <v>524</v>
      </c>
      <c r="B1867" s="9">
        <v>44347</v>
      </c>
      <c r="C1867" s="18" t="s">
        <v>91</v>
      </c>
      <c r="D1867" s="11">
        <v>10377</v>
      </c>
      <c r="E1867" s="9">
        <v>44348</v>
      </c>
      <c r="F1867" s="15" t="s">
        <v>28</v>
      </c>
      <c r="G1867" s="12">
        <v>44356</v>
      </c>
      <c r="H1867" s="23">
        <f>D1867</f>
        <v>10377</v>
      </c>
      <c r="I1867" s="23"/>
      <c r="J1867" s="23"/>
      <c r="K1867" s="24"/>
      <c r="L1867" s="22">
        <v>7852.56</v>
      </c>
      <c r="M1867" s="22">
        <f t="shared" ref="M1867:M1880" si="207">H1867-L1867-J1867-K1867</f>
        <v>2524.4399999999996</v>
      </c>
      <c r="N1867" s="22"/>
      <c r="O1867" s="30">
        <f t="shared" ref="O1867:O1880" si="208">M1867/H1867</f>
        <v>0.2432726221451286</v>
      </c>
    </row>
    <row r="1868" spans="1:15" ht="20.100000000000001" customHeight="1" x14ac:dyDescent="0.25">
      <c r="A1868" s="33">
        <v>517</v>
      </c>
      <c r="B1868" s="9">
        <v>44347</v>
      </c>
      <c r="C1868" s="18" t="s">
        <v>496</v>
      </c>
      <c r="D1868" s="11">
        <v>2440</v>
      </c>
      <c r="E1868" s="9">
        <v>44348</v>
      </c>
      <c r="F1868" s="15" t="s">
        <v>28</v>
      </c>
      <c r="G1868" s="12">
        <v>44349</v>
      </c>
      <c r="H1868" s="23">
        <f>D1868</f>
        <v>2440</v>
      </c>
      <c r="I1868" s="23"/>
      <c r="J1868" s="23"/>
      <c r="K1868" s="24"/>
      <c r="L1868" s="22">
        <v>1316</v>
      </c>
      <c r="M1868" s="22">
        <f t="shared" si="207"/>
        <v>1124</v>
      </c>
      <c r="N1868" s="22"/>
      <c r="O1868" s="30">
        <f t="shared" si="208"/>
        <v>0.46065573770491802</v>
      </c>
    </row>
    <row r="1869" spans="1:15" ht="20.100000000000001" customHeight="1" x14ac:dyDescent="0.25">
      <c r="A1869" s="33">
        <v>450</v>
      </c>
      <c r="B1869" s="9">
        <v>44335</v>
      </c>
      <c r="C1869" s="18" t="s">
        <v>236</v>
      </c>
      <c r="D1869" s="11">
        <v>88090</v>
      </c>
      <c r="E1869" s="4">
        <v>44350</v>
      </c>
      <c r="F1869" s="15" t="s">
        <v>28</v>
      </c>
      <c r="G1869" s="12">
        <v>44355</v>
      </c>
      <c r="H1869" s="23">
        <f>D1869</f>
        <v>88090</v>
      </c>
      <c r="I1869" s="23"/>
      <c r="J1869" s="23"/>
      <c r="K1869" s="24"/>
      <c r="L1869" s="22">
        <v>64038.5</v>
      </c>
      <c r="M1869" s="22">
        <f t="shared" si="207"/>
        <v>24051.5</v>
      </c>
      <c r="N1869" s="22"/>
      <c r="O1869" s="30">
        <f t="shared" si="208"/>
        <v>0.27303326143716655</v>
      </c>
    </row>
    <row r="1870" spans="1:15" ht="20.100000000000001" customHeight="1" x14ac:dyDescent="0.25">
      <c r="A1870" s="33">
        <v>262</v>
      </c>
      <c r="B1870" s="9">
        <v>44284</v>
      </c>
      <c r="C1870" s="18" t="s">
        <v>66</v>
      </c>
      <c r="D1870" s="11">
        <v>2500</v>
      </c>
      <c r="E1870" s="4">
        <v>44351</v>
      </c>
      <c r="F1870" s="15" t="s">
        <v>28</v>
      </c>
      <c r="G1870" s="12">
        <v>44291</v>
      </c>
      <c r="H1870" s="23">
        <f>D1870</f>
        <v>2500</v>
      </c>
      <c r="I1870" s="23"/>
      <c r="J1870" s="23"/>
      <c r="K1870" s="24"/>
      <c r="L1870" s="22">
        <v>1786</v>
      </c>
      <c r="M1870" s="22">
        <f t="shared" si="207"/>
        <v>714</v>
      </c>
      <c r="N1870" s="22"/>
      <c r="O1870" s="30">
        <f t="shared" si="208"/>
        <v>0.28560000000000002</v>
      </c>
    </row>
    <row r="1871" spans="1:15" ht="19.5" customHeight="1" x14ac:dyDescent="0.25">
      <c r="A1871" s="33">
        <v>554</v>
      </c>
      <c r="B1871" s="9">
        <v>44354</v>
      </c>
      <c r="C1871" s="18" t="s">
        <v>497</v>
      </c>
      <c r="D1871" s="11">
        <v>5330</v>
      </c>
      <c r="E1871" s="4">
        <v>44355</v>
      </c>
      <c r="F1871" s="15" t="s">
        <v>28</v>
      </c>
      <c r="G1871" s="12">
        <v>44369</v>
      </c>
      <c r="H1871" s="23">
        <f>D1871</f>
        <v>5330</v>
      </c>
      <c r="I1871" s="23"/>
      <c r="J1871" s="23"/>
      <c r="K1871" s="24"/>
      <c r="L1871" s="22">
        <v>4158</v>
      </c>
      <c r="M1871" s="22">
        <f t="shared" si="207"/>
        <v>1172</v>
      </c>
      <c r="N1871" s="22"/>
      <c r="O1871" s="30">
        <f t="shared" si="208"/>
        <v>0.2198874296435272</v>
      </c>
    </row>
    <row r="1872" spans="1:15" ht="15.75" x14ac:dyDescent="0.25">
      <c r="A1872" s="33">
        <v>482</v>
      </c>
      <c r="B1872" s="9">
        <v>44340</v>
      </c>
      <c r="C1872" s="18" t="s">
        <v>60</v>
      </c>
      <c r="D1872" s="11">
        <v>5015</v>
      </c>
      <c r="E1872" s="4">
        <v>44355</v>
      </c>
      <c r="F1872" s="15" t="s">
        <v>28</v>
      </c>
      <c r="G1872" s="12">
        <v>44341</v>
      </c>
      <c r="H1872" s="23">
        <v>4031</v>
      </c>
      <c r="I1872" s="23"/>
      <c r="J1872" s="23"/>
      <c r="K1872" s="24"/>
      <c r="L1872" s="22">
        <v>2847</v>
      </c>
      <c r="M1872" s="22">
        <f t="shared" si="207"/>
        <v>1184</v>
      </c>
      <c r="N1872" s="22"/>
      <c r="O1872" s="30">
        <f t="shared" si="208"/>
        <v>0.29372364177623417</v>
      </c>
    </row>
    <row r="1873" spans="1:15" s="2" customFormat="1" ht="20.100000000000001" customHeight="1" x14ac:dyDescent="0.25">
      <c r="A1873" s="33">
        <v>545</v>
      </c>
      <c r="B1873" s="9">
        <v>44350</v>
      </c>
      <c r="C1873" s="18" t="s">
        <v>77</v>
      </c>
      <c r="D1873" s="3">
        <v>4208</v>
      </c>
      <c r="E1873" s="4">
        <v>44355</v>
      </c>
      <c r="F1873" s="15" t="s">
        <v>28</v>
      </c>
      <c r="G1873" s="12">
        <v>44357</v>
      </c>
      <c r="H1873" s="23">
        <f t="shared" ref="H1873:H1881" si="209">D1873</f>
        <v>4208</v>
      </c>
      <c r="I1873" s="23"/>
      <c r="J1873" s="23"/>
      <c r="K1873" s="24"/>
      <c r="L1873" s="22">
        <v>3190</v>
      </c>
      <c r="M1873" s="22">
        <f t="shared" si="207"/>
        <v>1018</v>
      </c>
      <c r="N1873" s="22"/>
      <c r="O1873" s="30">
        <f t="shared" si="208"/>
        <v>0.24192015209125475</v>
      </c>
    </row>
    <row r="1874" spans="1:15" ht="20.100000000000001" customHeight="1" x14ac:dyDescent="0.25">
      <c r="A1874" s="33">
        <v>538</v>
      </c>
      <c r="B1874" s="9">
        <v>44348</v>
      </c>
      <c r="C1874" s="18" t="s">
        <v>13</v>
      </c>
      <c r="D1874" s="11">
        <v>13836</v>
      </c>
      <c r="E1874" s="4">
        <v>44362</v>
      </c>
      <c r="F1874" s="15" t="s">
        <v>28</v>
      </c>
      <c r="G1874" s="12">
        <v>44350</v>
      </c>
      <c r="H1874" s="23">
        <f t="shared" si="209"/>
        <v>13836</v>
      </c>
      <c r="I1874" s="23"/>
      <c r="J1874" s="23"/>
      <c r="K1874" s="24"/>
      <c r="L1874" s="22">
        <v>10488</v>
      </c>
      <c r="M1874" s="22">
        <f t="shared" si="207"/>
        <v>3348</v>
      </c>
      <c r="N1874" s="22"/>
      <c r="O1874" s="30">
        <f t="shared" si="208"/>
        <v>0.24197745013009539</v>
      </c>
    </row>
    <row r="1875" spans="1:15" ht="20.100000000000001" customHeight="1" x14ac:dyDescent="0.25">
      <c r="A1875" s="33">
        <v>585</v>
      </c>
      <c r="B1875" s="9">
        <v>44358</v>
      </c>
      <c r="C1875" s="18" t="s">
        <v>334</v>
      </c>
      <c r="D1875" s="11">
        <v>4309</v>
      </c>
      <c r="E1875" s="4">
        <v>44363</v>
      </c>
      <c r="F1875" s="15" t="s">
        <v>28</v>
      </c>
      <c r="G1875" s="12">
        <v>44362</v>
      </c>
      <c r="H1875" s="23">
        <f t="shared" si="209"/>
        <v>4309</v>
      </c>
      <c r="I1875" s="23"/>
      <c r="J1875" s="23"/>
      <c r="K1875" s="24"/>
      <c r="L1875" s="22">
        <v>3308</v>
      </c>
      <c r="M1875" s="22">
        <f t="shared" si="207"/>
        <v>1001</v>
      </c>
      <c r="N1875" s="22"/>
      <c r="O1875" s="30">
        <f t="shared" si="208"/>
        <v>0.23230447899744722</v>
      </c>
    </row>
    <row r="1876" spans="1:15" ht="20.100000000000001" customHeight="1" x14ac:dyDescent="0.25">
      <c r="A1876" s="33">
        <v>527</v>
      </c>
      <c r="B1876" s="9">
        <v>44347</v>
      </c>
      <c r="C1876" s="18" t="s">
        <v>56</v>
      </c>
      <c r="D1876" s="11">
        <v>29339</v>
      </c>
      <c r="E1876" s="4">
        <v>44363</v>
      </c>
      <c r="F1876" s="15" t="s">
        <v>28</v>
      </c>
      <c r="G1876" s="12">
        <v>44348</v>
      </c>
      <c r="H1876" s="23">
        <f t="shared" si="209"/>
        <v>29339</v>
      </c>
      <c r="I1876" s="23"/>
      <c r="J1876" s="23"/>
      <c r="K1876" s="24"/>
      <c r="L1876" s="22">
        <v>22258</v>
      </c>
      <c r="M1876" s="22">
        <f t="shared" si="207"/>
        <v>7081</v>
      </c>
      <c r="N1876" s="22"/>
      <c r="O1876" s="30">
        <f t="shared" si="208"/>
        <v>0.24135110262790144</v>
      </c>
    </row>
    <row r="1877" spans="1:15" ht="20.100000000000001" customHeight="1" x14ac:dyDescent="0.25">
      <c r="A1877" s="33">
        <v>561</v>
      </c>
      <c r="B1877" s="9">
        <v>44355</v>
      </c>
      <c r="C1877" s="20" t="s">
        <v>498</v>
      </c>
      <c r="D1877" s="11">
        <v>35682</v>
      </c>
      <c r="E1877" s="4">
        <v>44363</v>
      </c>
      <c r="F1877" s="15" t="s">
        <v>28</v>
      </c>
      <c r="G1877" s="12">
        <v>44368</v>
      </c>
      <c r="H1877" s="23">
        <f t="shared" si="209"/>
        <v>35682</v>
      </c>
      <c r="I1877" s="23">
        <f>H1877</f>
        <v>35682</v>
      </c>
      <c r="J1877" s="23"/>
      <c r="K1877" s="24">
        <v>600</v>
      </c>
      <c r="L1877" s="22">
        <v>24877.7</v>
      </c>
      <c r="M1877" s="22">
        <f t="shared" si="207"/>
        <v>10204.299999999999</v>
      </c>
      <c r="N1877" s="23">
        <f>M1877</f>
        <v>10204.299999999999</v>
      </c>
      <c r="O1877" s="30">
        <f t="shared" si="208"/>
        <v>0.28597892494815313</v>
      </c>
    </row>
    <row r="1878" spans="1:15" ht="20.100000000000001" customHeight="1" x14ac:dyDescent="0.25">
      <c r="A1878" s="33">
        <v>590</v>
      </c>
      <c r="B1878" s="9">
        <v>44362</v>
      </c>
      <c r="C1878" s="18" t="s">
        <v>455</v>
      </c>
      <c r="D1878" s="11">
        <v>24200</v>
      </c>
      <c r="E1878" s="4">
        <v>44364</v>
      </c>
      <c r="F1878" s="15" t="s">
        <v>28</v>
      </c>
      <c r="G1878" s="12">
        <v>44376</v>
      </c>
      <c r="H1878" s="23">
        <f t="shared" si="209"/>
        <v>24200</v>
      </c>
      <c r="I1878" s="23"/>
      <c r="J1878" s="23"/>
      <c r="K1878" s="24">
        <v>2400</v>
      </c>
      <c r="L1878" s="22">
        <v>10917.88</v>
      </c>
      <c r="M1878" s="22">
        <f t="shared" si="207"/>
        <v>10882.12</v>
      </c>
      <c r="N1878" s="22"/>
      <c r="O1878" s="30">
        <f t="shared" si="208"/>
        <v>0.44967438016528927</v>
      </c>
    </row>
    <row r="1879" spans="1:15" ht="20.100000000000001" customHeight="1" x14ac:dyDescent="0.25">
      <c r="A1879" s="33">
        <v>599</v>
      </c>
      <c r="B1879" s="4">
        <v>44364</v>
      </c>
      <c r="C1879" s="18" t="s">
        <v>5</v>
      </c>
      <c r="D1879" s="11">
        <v>51552</v>
      </c>
      <c r="E1879" s="4">
        <v>44364</v>
      </c>
      <c r="F1879" s="15" t="s">
        <v>28</v>
      </c>
      <c r="G1879" s="12">
        <v>44364</v>
      </c>
      <c r="H1879" s="23">
        <f t="shared" si="209"/>
        <v>51552</v>
      </c>
      <c r="I1879" s="23"/>
      <c r="J1879" s="23"/>
      <c r="K1879" s="24"/>
      <c r="L1879" s="22">
        <v>37870.9</v>
      </c>
      <c r="M1879" s="22">
        <f t="shared" si="207"/>
        <v>13681.099999999999</v>
      </c>
      <c r="N1879" s="22"/>
      <c r="O1879" s="30">
        <f t="shared" si="208"/>
        <v>0.26538446617008066</v>
      </c>
    </row>
    <row r="1880" spans="1:15" ht="20.100000000000001" customHeight="1" x14ac:dyDescent="0.25">
      <c r="A1880" s="33">
        <v>596</v>
      </c>
      <c r="B1880" s="4">
        <v>44363</v>
      </c>
      <c r="C1880" s="18" t="s">
        <v>270</v>
      </c>
      <c r="D1880" s="11">
        <v>9157</v>
      </c>
      <c r="E1880" s="4">
        <v>44364</v>
      </c>
      <c r="F1880" s="15" t="s">
        <v>28</v>
      </c>
      <c r="G1880" s="12">
        <v>44375</v>
      </c>
      <c r="H1880" s="23">
        <f t="shared" si="209"/>
        <v>9157</v>
      </c>
      <c r="I1880" s="23"/>
      <c r="J1880" s="23"/>
      <c r="K1880" s="24"/>
      <c r="L1880" s="22">
        <v>7109</v>
      </c>
      <c r="M1880" s="22">
        <f t="shared" si="207"/>
        <v>2048</v>
      </c>
      <c r="N1880" s="22"/>
      <c r="O1880" s="30">
        <f t="shared" si="208"/>
        <v>0.22365403516435514</v>
      </c>
    </row>
    <row r="1881" spans="1:15" ht="20.100000000000001" customHeight="1" x14ac:dyDescent="0.25">
      <c r="A1881" s="33">
        <v>525</v>
      </c>
      <c r="B1881" s="9">
        <v>44347</v>
      </c>
      <c r="C1881" s="18" t="s">
        <v>302</v>
      </c>
      <c r="D1881" s="11">
        <v>6639</v>
      </c>
      <c r="E1881" s="4">
        <v>44365</v>
      </c>
      <c r="F1881" s="15" t="s">
        <v>28</v>
      </c>
      <c r="G1881" s="12">
        <v>44355</v>
      </c>
      <c r="H1881" s="23">
        <f t="shared" si="209"/>
        <v>6639</v>
      </c>
      <c r="I1881" s="23"/>
      <c r="J1881" s="23"/>
      <c r="K1881" s="24"/>
      <c r="L1881" s="22"/>
      <c r="M1881" s="22"/>
      <c r="N1881" s="22"/>
      <c r="O1881" s="30"/>
    </row>
    <row r="1882" spans="1:15" ht="20.100000000000001" customHeight="1" x14ac:dyDescent="0.25">
      <c r="A1882" s="33">
        <v>542</v>
      </c>
      <c r="B1882" s="9">
        <v>44349</v>
      </c>
      <c r="C1882" s="18" t="s">
        <v>60</v>
      </c>
      <c r="D1882" s="11">
        <v>16080</v>
      </c>
      <c r="E1882" s="4">
        <v>44366</v>
      </c>
      <c r="F1882" s="15" t="s">
        <v>28</v>
      </c>
      <c r="G1882" s="12">
        <v>44356</v>
      </c>
      <c r="H1882" s="23">
        <v>6030</v>
      </c>
      <c r="I1882" s="23"/>
      <c r="J1882" s="23"/>
      <c r="K1882" s="24"/>
      <c r="L1882" s="22"/>
      <c r="M1882" s="22"/>
      <c r="N1882" s="22"/>
      <c r="O1882" s="30"/>
    </row>
    <row r="1883" spans="1:15" ht="20.100000000000001" customHeight="1" x14ac:dyDescent="0.25">
      <c r="A1883" s="33">
        <v>482</v>
      </c>
      <c r="B1883" s="9">
        <v>44340</v>
      </c>
      <c r="C1883" s="18" t="s">
        <v>60</v>
      </c>
      <c r="D1883" s="11">
        <v>5015</v>
      </c>
      <c r="E1883" s="4">
        <v>44367</v>
      </c>
      <c r="F1883" s="15" t="s">
        <v>28</v>
      </c>
      <c r="G1883" s="12">
        <v>44356</v>
      </c>
      <c r="H1883" s="23">
        <v>984</v>
      </c>
      <c r="I1883" s="23"/>
      <c r="J1883" s="23"/>
      <c r="K1883" s="24"/>
      <c r="L1883" s="22"/>
      <c r="M1883" s="22"/>
      <c r="N1883" s="22"/>
      <c r="O1883" s="30"/>
    </row>
    <row r="1884" spans="1:15" ht="20.100000000000001" customHeight="1" x14ac:dyDescent="0.25">
      <c r="A1884" s="33">
        <v>584</v>
      </c>
      <c r="B1884" s="9">
        <v>44358</v>
      </c>
      <c r="C1884" s="18" t="s">
        <v>410</v>
      </c>
      <c r="D1884" s="11">
        <v>28495</v>
      </c>
      <c r="E1884" s="4">
        <v>44368</v>
      </c>
      <c r="F1884" s="15" t="s">
        <v>28</v>
      </c>
      <c r="G1884" s="12">
        <v>44397</v>
      </c>
      <c r="H1884" s="23">
        <f>D1884</f>
        <v>28495</v>
      </c>
      <c r="I1884" s="23"/>
      <c r="J1884" s="23"/>
      <c r="K1884" s="24"/>
      <c r="L1884" s="22">
        <v>16329.5</v>
      </c>
      <c r="M1884" s="22">
        <f>H1884-L1884-J1884-K1884</f>
        <v>12165.5</v>
      </c>
      <c r="N1884" s="22"/>
      <c r="O1884" s="30">
        <f t="shared" ref="O1884:O1889" si="210">M1884/H1884</f>
        <v>0.4269345499210388</v>
      </c>
    </row>
    <row r="1885" spans="1:15" ht="20.100000000000001" customHeight="1" x14ac:dyDescent="0.25">
      <c r="A1885" s="33">
        <v>623</v>
      </c>
      <c r="B1885" s="9">
        <v>44371</v>
      </c>
      <c r="C1885" s="18" t="s">
        <v>475</v>
      </c>
      <c r="D1885" s="11">
        <v>3330</v>
      </c>
      <c r="E1885" s="4">
        <v>44371</v>
      </c>
      <c r="F1885" s="15" t="s">
        <v>28</v>
      </c>
      <c r="G1885" s="12">
        <v>44371</v>
      </c>
      <c r="H1885" s="23">
        <f>D1885</f>
        <v>3330</v>
      </c>
      <c r="I1885" s="23"/>
      <c r="J1885" s="23"/>
      <c r="K1885" s="24"/>
      <c r="L1885" s="22">
        <v>531.5</v>
      </c>
      <c r="M1885" s="22">
        <f>H1885-L1885-J1885-K1885</f>
        <v>2798.5</v>
      </c>
      <c r="N1885" s="22"/>
      <c r="O1885" s="30">
        <f t="shared" si="210"/>
        <v>0.84039039039039043</v>
      </c>
    </row>
    <row r="1886" spans="1:15" ht="20.100000000000001" customHeight="1" x14ac:dyDescent="0.25">
      <c r="A1886" s="33">
        <v>497</v>
      </c>
      <c r="B1886" s="9">
        <v>44362</v>
      </c>
      <c r="C1886" s="20" t="s">
        <v>499</v>
      </c>
      <c r="D1886" s="11">
        <v>9544</v>
      </c>
      <c r="E1886" s="4">
        <v>44377</v>
      </c>
      <c r="F1886" s="15" t="s">
        <v>28</v>
      </c>
      <c r="G1886" s="12">
        <v>44364</v>
      </c>
      <c r="H1886" s="23">
        <f>D1886</f>
        <v>9544</v>
      </c>
      <c r="I1886" s="23">
        <f>H1886</f>
        <v>9544</v>
      </c>
      <c r="J1886" s="23"/>
      <c r="K1886" s="24"/>
      <c r="L1886" s="22">
        <v>6301</v>
      </c>
      <c r="M1886" s="22">
        <f>H1886-L1886-J1886-K1886</f>
        <v>3243</v>
      </c>
      <c r="N1886" s="23">
        <f>M1886</f>
        <v>3243</v>
      </c>
      <c r="O1886" s="30">
        <f t="shared" si="210"/>
        <v>0.33979463537300925</v>
      </c>
    </row>
    <row r="1887" spans="1:15" ht="20.100000000000001" customHeight="1" x14ac:dyDescent="0.25">
      <c r="A1887" s="33">
        <v>644</v>
      </c>
      <c r="B1887" s="9">
        <v>44377</v>
      </c>
      <c r="C1887" s="18" t="s">
        <v>209</v>
      </c>
      <c r="D1887" s="3">
        <v>8894.4</v>
      </c>
      <c r="E1887" s="4">
        <v>44377</v>
      </c>
      <c r="F1887" s="15" t="s">
        <v>28</v>
      </c>
      <c r="G1887" s="12">
        <v>44406</v>
      </c>
      <c r="H1887" s="23">
        <f>D1887</f>
        <v>8894.4</v>
      </c>
      <c r="I1887" s="23"/>
      <c r="J1887" s="23"/>
      <c r="K1887" s="24"/>
      <c r="L1887" s="23">
        <v>8057</v>
      </c>
      <c r="M1887" s="22">
        <f>H1887-L1887-J1887-K1887</f>
        <v>837.39999999999964</v>
      </c>
      <c r="N1887" s="22"/>
      <c r="O1887" s="30">
        <f t="shared" si="210"/>
        <v>9.4149127540924596E-2</v>
      </c>
    </row>
    <row r="1888" spans="1:15" ht="20.100000000000001" customHeight="1" x14ac:dyDescent="0.25">
      <c r="A1888" s="33">
        <v>515</v>
      </c>
      <c r="B1888" s="9">
        <v>44344</v>
      </c>
      <c r="C1888" s="18" t="s">
        <v>209</v>
      </c>
      <c r="D1888" s="3">
        <v>8894.4</v>
      </c>
      <c r="E1888" s="4">
        <v>44377</v>
      </c>
      <c r="F1888" s="15" t="s">
        <v>28</v>
      </c>
      <c r="G1888" s="12">
        <v>44371</v>
      </c>
      <c r="H1888" s="23">
        <v>7574.4</v>
      </c>
      <c r="I1888" s="23"/>
      <c r="J1888" s="23"/>
      <c r="K1888" s="24"/>
      <c r="L1888" s="23">
        <v>6792</v>
      </c>
      <c r="M1888" s="22">
        <f>H1888-L1888-J1888-K1888</f>
        <v>782.39999999999964</v>
      </c>
      <c r="N1888" s="22"/>
      <c r="O1888" s="30">
        <f t="shared" si="210"/>
        <v>0.10329531051964508</v>
      </c>
    </row>
    <row r="1889" spans="1:15" ht="20.100000000000001" customHeight="1" x14ac:dyDescent="0.25">
      <c r="A1889" s="35" t="s">
        <v>535</v>
      </c>
      <c r="B1889" s="36"/>
      <c r="C1889" s="42"/>
      <c r="D1889" s="37"/>
      <c r="E1889" s="46" t="s">
        <v>592</v>
      </c>
      <c r="F1889" s="47">
        <f>M1889*0.05+N1889*0.06+10000</f>
        <v>15799.850999999999</v>
      </c>
      <c r="G1889" s="21">
        <f>H1889*0.02+I1889*0.02+10000</f>
        <v>18035.356</v>
      </c>
      <c r="H1889" s="49">
        <f>SUBTOTAL(109,Июнь2021[Продажа])</f>
        <v>356541.80000000005</v>
      </c>
      <c r="I1889" s="49">
        <f>SUBTOTAL(109,Июнь2021[Продажа НК])</f>
        <v>45226</v>
      </c>
      <c r="J1889" s="49">
        <f>SUBTOTAL(109,Июнь2021[отк])</f>
        <v>0</v>
      </c>
      <c r="K1889" s="49">
        <f>SUBTOTAL(109,Июнь2021[шланги])</f>
        <v>3000</v>
      </c>
      <c r="L1889" s="49">
        <f>SUBTOTAL(109,Июнь2021[Закупка])</f>
        <v>240028.54</v>
      </c>
      <c r="M1889" s="49">
        <f>SUBTOTAL(109,Июнь2021[Маржа])</f>
        <v>99860.26</v>
      </c>
      <c r="N1889" s="49">
        <f>SUBTOTAL(109,Июнь2021[Маржа НК])</f>
        <v>13447.3</v>
      </c>
      <c r="O1889" s="44">
        <f t="shared" si="210"/>
        <v>0.28008009159094382</v>
      </c>
    </row>
    <row r="1890" spans="1:15" ht="20.100000000000001" customHeight="1" x14ac:dyDescent="0.25">
      <c r="A1890" s="41" t="s">
        <v>1</v>
      </c>
      <c r="B1890" s="1" t="s">
        <v>0</v>
      </c>
      <c r="C1890" s="1" t="s">
        <v>26</v>
      </c>
      <c r="D1890" s="1" t="s">
        <v>2</v>
      </c>
      <c r="E1890" s="1" t="s">
        <v>3</v>
      </c>
      <c r="F1890" s="1" t="s">
        <v>27</v>
      </c>
      <c r="G1890" s="1" t="s">
        <v>4</v>
      </c>
      <c r="H1890" s="2" t="s">
        <v>132</v>
      </c>
      <c r="I1890" s="2" t="s">
        <v>133</v>
      </c>
      <c r="J1890" s="40" t="s">
        <v>187</v>
      </c>
      <c r="K1890" s="40" t="s">
        <v>188</v>
      </c>
      <c r="L1890" s="40" t="s">
        <v>129</v>
      </c>
      <c r="M1890" s="40" t="s">
        <v>130</v>
      </c>
      <c r="N1890" s="2" t="s">
        <v>131</v>
      </c>
      <c r="O1890" s="2" t="s">
        <v>134</v>
      </c>
    </row>
    <row r="1891" spans="1:15" ht="20.100000000000001" customHeight="1" x14ac:dyDescent="0.25">
      <c r="A1891" s="33">
        <v>542</v>
      </c>
      <c r="B1891" s="9">
        <v>44349</v>
      </c>
      <c r="C1891" s="18" t="s">
        <v>60</v>
      </c>
      <c r="D1891" s="11">
        <v>16080</v>
      </c>
      <c r="E1891" s="4">
        <v>44378</v>
      </c>
      <c r="F1891" s="15" t="s">
        <v>28</v>
      </c>
      <c r="G1891" s="12">
        <v>44363</v>
      </c>
      <c r="H1891" s="23">
        <v>10050</v>
      </c>
      <c r="I1891" s="23"/>
      <c r="J1891" s="23"/>
      <c r="K1891" s="24"/>
      <c r="L1891" s="22">
        <v>7835</v>
      </c>
      <c r="M1891" s="22">
        <f t="shared" ref="M1891:M1909" si="211">H1891-L1891-J1891-K1891</f>
        <v>2215</v>
      </c>
      <c r="N1891" s="22"/>
      <c r="O1891" s="30">
        <f t="shared" ref="O1891:O1910" si="212">M1891/H1891</f>
        <v>0.22039800995024875</v>
      </c>
    </row>
    <row r="1892" spans="1:15" ht="20.100000000000001" customHeight="1" x14ac:dyDescent="0.25">
      <c r="A1892" s="33">
        <v>621</v>
      </c>
      <c r="B1892" s="9">
        <v>44378</v>
      </c>
      <c r="C1892" s="20" t="s">
        <v>500</v>
      </c>
      <c r="D1892" s="11">
        <v>120290</v>
      </c>
      <c r="E1892" s="4">
        <v>44379</v>
      </c>
      <c r="F1892" s="15" t="s">
        <v>28</v>
      </c>
      <c r="G1892" s="12">
        <v>44379</v>
      </c>
      <c r="H1892" s="23">
        <f t="shared" ref="H1892:H1909" si="213">D1892</f>
        <v>120290</v>
      </c>
      <c r="I1892" s="23">
        <f>H1892</f>
        <v>120290</v>
      </c>
      <c r="J1892" s="23"/>
      <c r="K1892" s="24"/>
      <c r="L1892" s="22">
        <v>76737</v>
      </c>
      <c r="M1892" s="22">
        <f t="shared" si="211"/>
        <v>43553</v>
      </c>
      <c r="N1892" s="23">
        <f>M1892</f>
        <v>43553</v>
      </c>
      <c r="O1892" s="30">
        <f t="shared" si="212"/>
        <v>0.36206667220882865</v>
      </c>
    </row>
    <row r="1893" spans="1:15" ht="20.100000000000001" customHeight="1" x14ac:dyDescent="0.25">
      <c r="A1893" s="33">
        <v>657</v>
      </c>
      <c r="B1893" s="9">
        <v>44382</v>
      </c>
      <c r="C1893" s="20" t="s">
        <v>500</v>
      </c>
      <c r="D1893" s="11">
        <v>116980</v>
      </c>
      <c r="E1893" s="9">
        <v>44382</v>
      </c>
      <c r="F1893" s="15" t="s">
        <v>28</v>
      </c>
      <c r="G1893" s="12">
        <v>44382</v>
      </c>
      <c r="H1893" s="23">
        <f t="shared" si="213"/>
        <v>116980</v>
      </c>
      <c r="I1893" s="23">
        <f>H1893</f>
        <v>116980</v>
      </c>
      <c r="J1893" s="23"/>
      <c r="K1893" s="24"/>
      <c r="L1893" s="22">
        <v>77807.38</v>
      </c>
      <c r="M1893" s="22">
        <f t="shared" si="211"/>
        <v>39172.619999999995</v>
      </c>
      <c r="N1893" s="23">
        <f>M1893</f>
        <v>39172.619999999995</v>
      </c>
      <c r="O1893" s="30">
        <f t="shared" si="212"/>
        <v>0.33486595999316121</v>
      </c>
    </row>
    <row r="1894" spans="1:15" ht="20.100000000000001" customHeight="1" x14ac:dyDescent="0.25">
      <c r="A1894" s="33">
        <v>629</v>
      </c>
      <c r="B1894" s="9">
        <v>44375</v>
      </c>
      <c r="C1894" s="18" t="s">
        <v>403</v>
      </c>
      <c r="D1894" s="11">
        <v>7175</v>
      </c>
      <c r="E1894" s="9">
        <v>44382</v>
      </c>
      <c r="F1894" s="15" t="s">
        <v>28</v>
      </c>
      <c r="G1894" s="12">
        <v>44383</v>
      </c>
      <c r="H1894" s="23">
        <f t="shared" si="213"/>
        <v>7175</v>
      </c>
      <c r="I1894" s="23"/>
      <c r="J1894" s="23"/>
      <c r="K1894" s="24"/>
      <c r="L1894" s="22">
        <v>5461.43</v>
      </c>
      <c r="M1894" s="22">
        <f t="shared" si="211"/>
        <v>1713.5699999999997</v>
      </c>
      <c r="N1894" s="22"/>
      <c r="O1894" s="30">
        <f t="shared" si="212"/>
        <v>0.23882508710801389</v>
      </c>
    </row>
    <row r="1895" spans="1:15" ht="20.100000000000001" customHeight="1" x14ac:dyDescent="0.25">
      <c r="A1895" s="33">
        <v>675</v>
      </c>
      <c r="B1895" s="9">
        <v>44382</v>
      </c>
      <c r="C1895" s="18" t="s">
        <v>270</v>
      </c>
      <c r="D1895" s="11">
        <v>18990</v>
      </c>
      <c r="E1895" s="9">
        <v>44383</v>
      </c>
      <c r="F1895" s="15" t="s">
        <v>28</v>
      </c>
      <c r="G1895" s="12">
        <v>44383</v>
      </c>
      <c r="H1895" s="23">
        <f t="shared" si="213"/>
        <v>18990</v>
      </c>
      <c r="I1895" s="23"/>
      <c r="J1895" s="23"/>
      <c r="K1895" s="24"/>
      <c r="L1895" s="22">
        <v>14052</v>
      </c>
      <c r="M1895" s="22">
        <f t="shared" si="211"/>
        <v>4938</v>
      </c>
      <c r="N1895" s="22"/>
      <c r="O1895" s="30">
        <f t="shared" si="212"/>
        <v>0.26003159557661926</v>
      </c>
    </row>
    <row r="1896" spans="1:15" ht="20.100000000000001" customHeight="1" x14ac:dyDescent="0.25">
      <c r="A1896" s="33">
        <v>682</v>
      </c>
      <c r="B1896" s="9">
        <v>44383</v>
      </c>
      <c r="C1896" s="18" t="s">
        <v>496</v>
      </c>
      <c r="D1896" s="11">
        <v>2500</v>
      </c>
      <c r="E1896" s="9">
        <v>44383</v>
      </c>
      <c r="F1896" s="15" t="s">
        <v>28</v>
      </c>
      <c r="G1896" s="12">
        <v>44384</v>
      </c>
      <c r="H1896" s="23">
        <f t="shared" si="213"/>
        <v>2500</v>
      </c>
      <c r="I1896" s="23"/>
      <c r="J1896" s="23"/>
      <c r="K1896" s="24"/>
      <c r="L1896" s="22">
        <v>1330.31</v>
      </c>
      <c r="M1896" s="22">
        <f t="shared" si="211"/>
        <v>1169.69</v>
      </c>
      <c r="N1896" s="22"/>
      <c r="O1896" s="30">
        <f t="shared" si="212"/>
        <v>0.46787600000000001</v>
      </c>
    </row>
    <row r="1897" spans="1:15" ht="20.100000000000001" customHeight="1" x14ac:dyDescent="0.25">
      <c r="A1897" s="33">
        <v>656</v>
      </c>
      <c r="B1897" s="9">
        <v>44379</v>
      </c>
      <c r="C1897" s="18" t="s">
        <v>270</v>
      </c>
      <c r="D1897" s="11">
        <v>6032</v>
      </c>
      <c r="E1897" s="9">
        <v>44384</v>
      </c>
      <c r="F1897" s="15" t="s">
        <v>28</v>
      </c>
      <c r="G1897" s="12">
        <v>44379</v>
      </c>
      <c r="H1897" s="23">
        <f t="shared" si="213"/>
        <v>6032</v>
      </c>
      <c r="I1897" s="23"/>
      <c r="J1897" s="23"/>
      <c r="K1897" s="24"/>
      <c r="L1897" s="22">
        <v>4704</v>
      </c>
      <c r="M1897" s="22">
        <f t="shared" si="211"/>
        <v>1328</v>
      </c>
      <c r="N1897" s="22"/>
      <c r="O1897" s="30">
        <f t="shared" si="212"/>
        <v>0.22015915119363394</v>
      </c>
    </row>
    <row r="1898" spans="1:15" ht="20.100000000000001" customHeight="1" x14ac:dyDescent="0.25">
      <c r="A1898" s="33">
        <v>659</v>
      </c>
      <c r="B1898" s="9">
        <v>44382</v>
      </c>
      <c r="C1898" s="18" t="s">
        <v>474</v>
      </c>
      <c r="D1898" s="11">
        <v>14490</v>
      </c>
      <c r="E1898" s="9">
        <v>44384</v>
      </c>
      <c r="F1898" s="15" t="s">
        <v>28</v>
      </c>
      <c r="G1898" s="12">
        <v>44399</v>
      </c>
      <c r="H1898" s="23">
        <f t="shared" si="213"/>
        <v>14490</v>
      </c>
      <c r="I1898" s="23"/>
      <c r="J1898" s="23"/>
      <c r="K1898" s="24"/>
      <c r="L1898" s="22">
        <v>10650</v>
      </c>
      <c r="M1898" s="22">
        <f t="shared" si="211"/>
        <v>3840</v>
      </c>
      <c r="N1898" s="22"/>
      <c r="O1898" s="30">
        <f t="shared" si="212"/>
        <v>0.26501035196687373</v>
      </c>
    </row>
    <row r="1899" spans="1:15" ht="20.100000000000001" customHeight="1" x14ac:dyDescent="0.25">
      <c r="A1899" s="33">
        <v>696</v>
      </c>
      <c r="B1899" s="9">
        <v>44384</v>
      </c>
      <c r="C1899" s="18" t="s">
        <v>149</v>
      </c>
      <c r="D1899" s="11">
        <v>9348</v>
      </c>
      <c r="E1899" s="9">
        <v>44385</v>
      </c>
      <c r="F1899" s="15" t="s">
        <v>28</v>
      </c>
      <c r="G1899" s="12">
        <v>44386</v>
      </c>
      <c r="H1899" s="23">
        <f t="shared" si="213"/>
        <v>9348</v>
      </c>
      <c r="I1899" s="23"/>
      <c r="J1899" s="23"/>
      <c r="K1899" s="24"/>
      <c r="L1899" s="22">
        <v>7290</v>
      </c>
      <c r="M1899" s="22">
        <f t="shared" si="211"/>
        <v>2058</v>
      </c>
      <c r="N1899" s="22"/>
      <c r="O1899" s="30">
        <f t="shared" si="212"/>
        <v>0.22015404364569963</v>
      </c>
    </row>
    <row r="1900" spans="1:15" ht="19.5" customHeight="1" x14ac:dyDescent="0.25">
      <c r="A1900" s="33">
        <v>618</v>
      </c>
      <c r="B1900" s="9">
        <v>44369</v>
      </c>
      <c r="C1900" s="18" t="s">
        <v>455</v>
      </c>
      <c r="D1900" s="11">
        <v>24149</v>
      </c>
      <c r="E1900" s="9">
        <v>44385</v>
      </c>
      <c r="F1900" s="15" t="s">
        <v>28</v>
      </c>
      <c r="G1900" s="12">
        <v>44399</v>
      </c>
      <c r="H1900" s="23">
        <f t="shared" si="213"/>
        <v>24149</v>
      </c>
      <c r="I1900" s="23"/>
      <c r="J1900" s="23"/>
      <c r="K1900" s="24">
        <v>1200</v>
      </c>
      <c r="L1900" s="22">
        <v>14930</v>
      </c>
      <c r="M1900" s="22">
        <f t="shared" si="211"/>
        <v>8019</v>
      </c>
      <c r="N1900" s="22"/>
      <c r="O1900" s="30">
        <f t="shared" si="212"/>
        <v>0.33206343947989564</v>
      </c>
    </row>
    <row r="1901" spans="1:15" ht="15.75" x14ac:dyDescent="0.25">
      <c r="A1901" s="33">
        <v>710</v>
      </c>
      <c r="B1901" s="9">
        <v>44390</v>
      </c>
      <c r="C1901" s="18" t="s">
        <v>281</v>
      </c>
      <c r="D1901" s="11">
        <v>3537</v>
      </c>
      <c r="E1901" s="9">
        <v>44391</v>
      </c>
      <c r="F1901" s="15" t="s">
        <v>28</v>
      </c>
      <c r="G1901" s="12">
        <v>44392</v>
      </c>
      <c r="H1901" s="23">
        <f t="shared" si="213"/>
        <v>3537</v>
      </c>
      <c r="I1901" s="23"/>
      <c r="J1901" s="23"/>
      <c r="K1901" s="24"/>
      <c r="L1901" s="22">
        <v>2714</v>
      </c>
      <c r="M1901" s="22">
        <f t="shared" si="211"/>
        <v>823</v>
      </c>
      <c r="N1901" s="22"/>
      <c r="O1901" s="30">
        <f t="shared" si="212"/>
        <v>0.23268306474413344</v>
      </c>
    </row>
    <row r="1902" spans="1:15" s="2" customFormat="1" ht="20.100000000000001" customHeight="1" x14ac:dyDescent="0.25">
      <c r="A1902" s="33">
        <v>622</v>
      </c>
      <c r="B1902" s="9">
        <v>44401</v>
      </c>
      <c r="C1902" s="18" t="s">
        <v>69</v>
      </c>
      <c r="D1902" s="11">
        <v>21357</v>
      </c>
      <c r="E1902" s="9">
        <v>44393</v>
      </c>
      <c r="F1902" s="15" t="s">
        <v>28</v>
      </c>
      <c r="G1902" s="12">
        <v>44412</v>
      </c>
      <c r="H1902" s="23">
        <f t="shared" si="213"/>
        <v>21357</v>
      </c>
      <c r="I1902" s="23"/>
      <c r="J1902" s="23"/>
      <c r="K1902" s="24"/>
      <c r="L1902" s="22">
        <v>14410</v>
      </c>
      <c r="M1902" s="22">
        <f t="shared" si="211"/>
        <v>6947</v>
      </c>
      <c r="N1902" s="22"/>
      <c r="O1902" s="30">
        <f t="shared" si="212"/>
        <v>0.32527976775764389</v>
      </c>
    </row>
    <row r="1903" spans="1:15" ht="20.100000000000001" customHeight="1" x14ac:dyDescent="0.25">
      <c r="A1903" s="33">
        <v>662</v>
      </c>
      <c r="B1903" s="9">
        <v>44382</v>
      </c>
      <c r="C1903" s="18" t="s">
        <v>467</v>
      </c>
      <c r="D1903" s="11">
        <v>6990</v>
      </c>
      <c r="E1903" s="9">
        <v>44393</v>
      </c>
      <c r="F1903" s="15" t="s">
        <v>28</v>
      </c>
      <c r="G1903" s="12">
        <v>44404</v>
      </c>
      <c r="H1903" s="23">
        <f t="shared" si="213"/>
        <v>6990</v>
      </c>
      <c r="I1903" s="23"/>
      <c r="J1903" s="23"/>
      <c r="K1903" s="24">
        <v>600</v>
      </c>
      <c r="L1903" s="22">
        <v>3087.69</v>
      </c>
      <c r="M1903" s="22">
        <f t="shared" si="211"/>
        <v>3302.31</v>
      </c>
      <c r="N1903" s="22"/>
      <c r="O1903" s="30">
        <f t="shared" si="212"/>
        <v>0.47243347639484978</v>
      </c>
    </row>
    <row r="1904" spans="1:15" ht="20.100000000000001" customHeight="1" x14ac:dyDescent="0.25">
      <c r="A1904" s="33">
        <v>592</v>
      </c>
      <c r="B1904" s="9">
        <v>44362</v>
      </c>
      <c r="C1904" s="18" t="s">
        <v>275</v>
      </c>
      <c r="D1904" s="11">
        <v>143169</v>
      </c>
      <c r="E1904" s="9">
        <v>44397</v>
      </c>
      <c r="F1904" s="15" t="s">
        <v>28</v>
      </c>
      <c r="G1904" s="12">
        <v>44376</v>
      </c>
      <c r="H1904" s="23">
        <f t="shared" si="213"/>
        <v>143169</v>
      </c>
      <c r="I1904" s="23"/>
      <c r="J1904" s="23"/>
      <c r="K1904" s="24"/>
      <c r="L1904" s="23">
        <f>112584+1960</f>
        <v>114544</v>
      </c>
      <c r="M1904" s="22">
        <f t="shared" si="211"/>
        <v>28625</v>
      </c>
      <c r="N1904" s="22"/>
      <c r="O1904" s="30">
        <f t="shared" si="212"/>
        <v>0.1999385341798853</v>
      </c>
    </row>
    <row r="1905" spans="1:15" ht="20.100000000000001" customHeight="1" x14ac:dyDescent="0.25">
      <c r="A1905" s="33">
        <v>185</v>
      </c>
      <c r="B1905" s="9">
        <v>44362</v>
      </c>
      <c r="C1905" s="18" t="s">
        <v>275</v>
      </c>
      <c r="D1905" s="11">
        <v>132040</v>
      </c>
      <c r="E1905" s="9">
        <v>44397</v>
      </c>
      <c r="F1905" s="15" t="s">
        <v>28</v>
      </c>
      <c r="G1905" s="12">
        <v>44369</v>
      </c>
      <c r="H1905" s="23">
        <f t="shared" si="213"/>
        <v>132040</v>
      </c>
      <c r="I1905" s="23"/>
      <c r="J1905" s="23"/>
      <c r="K1905" s="24"/>
      <c r="L1905" s="23">
        <v>105812</v>
      </c>
      <c r="M1905" s="22">
        <f t="shared" si="211"/>
        <v>26228</v>
      </c>
      <c r="N1905" s="22"/>
      <c r="O1905" s="30">
        <f t="shared" si="212"/>
        <v>0.19863677673432292</v>
      </c>
    </row>
    <row r="1906" spans="1:15" ht="20.100000000000001" customHeight="1" x14ac:dyDescent="0.25">
      <c r="A1906" s="33">
        <v>739</v>
      </c>
      <c r="B1906" s="9">
        <v>44398</v>
      </c>
      <c r="C1906" s="18" t="s">
        <v>51</v>
      </c>
      <c r="D1906" s="11">
        <v>65290</v>
      </c>
      <c r="E1906" s="9">
        <v>44399</v>
      </c>
      <c r="F1906" s="15" t="s">
        <v>28</v>
      </c>
      <c r="G1906" s="12">
        <v>44405</v>
      </c>
      <c r="H1906" s="23">
        <f t="shared" si="213"/>
        <v>65290</v>
      </c>
      <c r="I1906" s="23"/>
      <c r="J1906" s="23"/>
      <c r="K1906" s="24"/>
      <c r="L1906" s="23">
        <v>48314</v>
      </c>
      <c r="M1906" s="22">
        <f t="shared" si="211"/>
        <v>16976</v>
      </c>
      <c r="N1906" s="22"/>
      <c r="O1906" s="30">
        <f t="shared" si="212"/>
        <v>0.26000918976872417</v>
      </c>
    </row>
    <row r="1907" spans="1:15" ht="20.100000000000001" customHeight="1" x14ac:dyDescent="0.25">
      <c r="A1907" s="33">
        <v>701</v>
      </c>
      <c r="B1907" s="9">
        <v>44386</v>
      </c>
      <c r="C1907" s="18" t="s">
        <v>56</v>
      </c>
      <c r="D1907" s="3">
        <v>42361</v>
      </c>
      <c r="E1907" s="9">
        <v>44400</v>
      </c>
      <c r="F1907" s="15" t="s">
        <v>28</v>
      </c>
      <c r="G1907" s="12">
        <v>44392</v>
      </c>
      <c r="H1907" s="23">
        <f t="shared" si="213"/>
        <v>42361</v>
      </c>
      <c r="I1907" s="23"/>
      <c r="J1907" s="23"/>
      <c r="K1907" s="24"/>
      <c r="L1907" s="22">
        <v>32134</v>
      </c>
      <c r="M1907" s="22">
        <f t="shared" si="211"/>
        <v>10227</v>
      </c>
      <c r="N1907" s="22"/>
      <c r="O1907" s="30">
        <f t="shared" si="212"/>
        <v>0.24142489554070962</v>
      </c>
    </row>
    <row r="1908" spans="1:15" ht="20.100000000000001" customHeight="1" x14ac:dyDescent="0.25">
      <c r="A1908" s="33">
        <v>605</v>
      </c>
      <c r="B1908" s="9">
        <v>44397</v>
      </c>
      <c r="C1908" s="18" t="s">
        <v>494</v>
      </c>
      <c r="D1908" s="3">
        <v>69990</v>
      </c>
      <c r="E1908" s="9">
        <v>44405</v>
      </c>
      <c r="F1908" s="15" t="s">
        <v>28</v>
      </c>
      <c r="G1908" s="12">
        <v>44427</v>
      </c>
      <c r="H1908" s="23">
        <f t="shared" si="213"/>
        <v>69990</v>
      </c>
      <c r="I1908" s="23"/>
      <c r="J1908" s="23"/>
      <c r="K1908" s="24"/>
      <c r="L1908" s="22">
        <v>51792.6</v>
      </c>
      <c r="M1908" s="22">
        <f t="shared" si="211"/>
        <v>18197.400000000001</v>
      </c>
      <c r="N1908" s="22"/>
      <c r="O1908" s="30">
        <f t="shared" si="212"/>
        <v>0.26</v>
      </c>
    </row>
    <row r="1909" spans="1:15" ht="20.100000000000001" customHeight="1" x14ac:dyDescent="0.25">
      <c r="A1909" s="33">
        <v>598</v>
      </c>
      <c r="B1909" s="9">
        <v>44363</v>
      </c>
      <c r="C1909" s="18" t="s">
        <v>66</v>
      </c>
      <c r="D1909" s="3">
        <v>2780</v>
      </c>
      <c r="E1909" s="15">
        <v>44406</v>
      </c>
      <c r="F1909" s="15" t="s">
        <v>28</v>
      </c>
      <c r="G1909" s="12">
        <v>44369</v>
      </c>
      <c r="H1909" s="23">
        <f t="shared" si="213"/>
        <v>2780</v>
      </c>
      <c r="I1909" s="23"/>
      <c r="J1909" s="23"/>
      <c r="K1909" s="24"/>
      <c r="L1909" s="23">
        <v>1960</v>
      </c>
      <c r="M1909" s="22">
        <f t="shared" si="211"/>
        <v>820</v>
      </c>
      <c r="N1909" s="22"/>
      <c r="O1909" s="30">
        <f t="shared" si="212"/>
        <v>0.29496402877697842</v>
      </c>
    </row>
    <row r="1910" spans="1:15" ht="20.100000000000001" customHeight="1" x14ac:dyDescent="0.25">
      <c r="A1910" s="35" t="s">
        <v>535</v>
      </c>
      <c r="B1910" s="36"/>
      <c r="C1910" s="42"/>
      <c r="D1910" s="37"/>
      <c r="E1910" s="46" t="s">
        <v>593</v>
      </c>
      <c r="F1910" s="47">
        <f>M1910*0.12+N1910*0.06</f>
        <v>31381.847999999998</v>
      </c>
      <c r="G1910" s="21">
        <f>H1910*0.04+I1910*0.02</f>
        <v>37446.120000000003</v>
      </c>
      <c r="H1910" s="49">
        <f>SUBTOTAL(109,Июль2021[Продажа])</f>
        <v>817518</v>
      </c>
      <c r="I1910" s="49">
        <f>SUBTOTAL(109,Июль2021[Продажа НК])</f>
        <v>237270</v>
      </c>
      <c r="J1910" s="49">
        <f>SUBTOTAL(109,Июль2021[отк])</f>
        <v>0</v>
      </c>
      <c r="K1910" s="49">
        <f>SUBTOTAL(109,Июль2021[шланги])</f>
        <v>1800</v>
      </c>
      <c r="L1910" s="49">
        <f>SUBTOTAL(109,Июль2021[Закупка])</f>
        <v>595565.41</v>
      </c>
      <c r="M1910" s="49">
        <f>SUBTOTAL(109,Июль2021[Маржа])</f>
        <v>220152.59</v>
      </c>
      <c r="N1910" s="49">
        <f>SUBTOTAL(109,Июль2021[Маржа НК])</f>
        <v>82725.62</v>
      </c>
      <c r="O1910" s="44">
        <f t="shared" si="212"/>
        <v>0.26929387487492629</v>
      </c>
    </row>
    <row r="1911" spans="1:15" ht="20.100000000000001" customHeight="1" x14ac:dyDescent="0.25">
      <c r="A1911" s="41" t="s">
        <v>1</v>
      </c>
      <c r="B1911" s="1" t="s">
        <v>0</v>
      </c>
      <c r="C1911" s="1" t="s">
        <v>26</v>
      </c>
      <c r="D1911" s="1" t="s">
        <v>2</v>
      </c>
      <c r="E1911" s="1" t="s">
        <v>3</v>
      </c>
      <c r="F1911" s="1" t="s">
        <v>27</v>
      </c>
      <c r="G1911" s="1" t="s">
        <v>4</v>
      </c>
      <c r="H1911" s="2" t="s">
        <v>132</v>
      </c>
      <c r="I1911" s="2" t="s">
        <v>133</v>
      </c>
      <c r="J1911" s="40" t="s">
        <v>187</v>
      </c>
      <c r="K1911" s="40" t="s">
        <v>188</v>
      </c>
      <c r="L1911" s="40" t="s">
        <v>129</v>
      </c>
      <c r="M1911" s="40" t="s">
        <v>130</v>
      </c>
      <c r="N1911" s="2" t="s">
        <v>131</v>
      </c>
      <c r="O1911" s="2" t="s">
        <v>134</v>
      </c>
    </row>
    <row r="1912" spans="1:15" ht="20.100000000000001" customHeight="1" x14ac:dyDescent="0.25">
      <c r="A1912" s="33">
        <v>785</v>
      </c>
      <c r="B1912" s="9">
        <v>44410</v>
      </c>
      <c r="C1912" s="18" t="s">
        <v>469</v>
      </c>
      <c r="D1912" s="3">
        <v>13990</v>
      </c>
      <c r="E1912" s="9">
        <v>44411</v>
      </c>
      <c r="F1912" s="15" t="s">
        <v>28</v>
      </c>
      <c r="G1912" s="12">
        <v>44425</v>
      </c>
      <c r="H1912" s="23">
        <f>D1912</f>
        <v>13990</v>
      </c>
      <c r="I1912" s="23"/>
      <c r="J1912" s="23"/>
      <c r="K1912" s="24"/>
      <c r="L1912" s="22">
        <v>10283</v>
      </c>
      <c r="M1912" s="22">
        <f t="shared" ref="M1912:M1924" si="214">H1912-L1912-J1912-K1912</f>
        <v>3707</v>
      </c>
      <c r="N1912" s="22"/>
      <c r="O1912" s="30">
        <f t="shared" ref="O1912:O1924" si="215">M1912/H1912</f>
        <v>0.26497498213009291</v>
      </c>
    </row>
    <row r="1913" spans="1:15" ht="20.100000000000001" customHeight="1" x14ac:dyDescent="0.25">
      <c r="A1913" s="33">
        <v>788</v>
      </c>
      <c r="B1913" s="9">
        <v>44411</v>
      </c>
      <c r="C1913" s="18" t="s">
        <v>251</v>
      </c>
      <c r="D1913" s="3">
        <v>3250</v>
      </c>
      <c r="E1913" s="9">
        <v>44411</v>
      </c>
      <c r="F1913" s="15" t="s">
        <v>28</v>
      </c>
      <c r="G1913" s="12">
        <v>44413</v>
      </c>
      <c r="H1913" s="23">
        <f>D1913</f>
        <v>3250</v>
      </c>
      <c r="I1913" s="23"/>
      <c r="J1913" s="23"/>
      <c r="K1913" s="24"/>
      <c r="L1913" s="22">
        <v>2861</v>
      </c>
      <c r="M1913" s="22">
        <f t="shared" si="214"/>
        <v>389</v>
      </c>
      <c r="N1913" s="22"/>
      <c r="O1913" s="30">
        <f t="shared" si="215"/>
        <v>0.1196923076923077</v>
      </c>
    </row>
    <row r="1914" spans="1:15" ht="20.100000000000001" customHeight="1" x14ac:dyDescent="0.25">
      <c r="A1914" s="33">
        <v>783</v>
      </c>
      <c r="B1914" s="9">
        <v>44407</v>
      </c>
      <c r="C1914" s="18" t="s">
        <v>258</v>
      </c>
      <c r="D1914" s="3">
        <v>21357</v>
      </c>
      <c r="E1914" s="9">
        <v>44412</v>
      </c>
      <c r="F1914" s="15" t="s">
        <v>28</v>
      </c>
      <c r="G1914" s="12">
        <v>44426</v>
      </c>
      <c r="H1914" s="23">
        <f>D1914</f>
        <v>21357</v>
      </c>
      <c r="I1914" s="23"/>
      <c r="J1914" s="23"/>
      <c r="K1914" s="24"/>
      <c r="L1914" s="22">
        <v>14410</v>
      </c>
      <c r="M1914" s="22">
        <f t="shared" si="214"/>
        <v>6947</v>
      </c>
      <c r="N1914" s="22"/>
      <c r="O1914" s="30">
        <f t="shared" si="215"/>
        <v>0.32527976775764389</v>
      </c>
    </row>
    <row r="1915" spans="1:15" ht="20.100000000000001" customHeight="1" x14ac:dyDescent="0.25">
      <c r="A1915" s="33">
        <v>790</v>
      </c>
      <c r="B1915" s="9">
        <v>44411</v>
      </c>
      <c r="C1915" s="18" t="s">
        <v>372</v>
      </c>
      <c r="D1915" s="3">
        <v>3459</v>
      </c>
      <c r="E1915" s="9">
        <v>44412</v>
      </c>
      <c r="F1915" s="15" t="s">
        <v>28</v>
      </c>
      <c r="G1915" s="12">
        <v>44413</v>
      </c>
      <c r="H1915" s="23">
        <f>D1915</f>
        <v>3459</v>
      </c>
      <c r="I1915" s="23"/>
      <c r="J1915" s="23"/>
      <c r="K1915" s="24"/>
      <c r="L1915" s="22">
        <v>2610.81</v>
      </c>
      <c r="M1915" s="22">
        <f t="shared" si="214"/>
        <v>848.19</v>
      </c>
      <c r="N1915" s="22"/>
      <c r="O1915" s="30">
        <f t="shared" si="215"/>
        <v>0.24521248915871641</v>
      </c>
    </row>
    <row r="1916" spans="1:15" ht="20.100000000000001" customHeight="1" x14ac:dyDescent="0.25">
      <c r="A1916" s="33">
        <v>801</v>
      </c>
      <c r="B1916" s="9">
        <v>44412</v>
      </c>
      <c r="C1916" s="18" t="s">
        <v>149</v>
      </c>
      <c r="D1916" s="3">
        <v>3016</v>
      </c>
      <c r="E1916" s="9">
        <v>44413</v>
      </c>
      <c r="F1916" s="15" t="s">
        <v>28</v>
      </c>
      <c r="G1916" s="12">
        <v>44413</v>
      </c>
      <c r="H1916" s="23">
        <f>D1916</f>
        <v>3016</v>
      </c>
      <c r="I1916" s="23"/>
      <c r="J1916" s="23"/>
      <c r="K1916" s="24"/>
      <c r="L1916" s="22">
        <v>2352</v>
      </c>
      <c r="M1916" s="22">
        <f t="shared" si="214"/>
        <v>664</v>
      </c>
      <c r="N1916" s="22"/>
      <c r="O1916" s="30">
        <f t="shared" si="215"/>
        <v>0.22015915119363394</v>
      </c>
    </row>
    <row r="1917" spans="1:15" ht="20.100000000000001" customHeight="1" x14ac:dyDescent="0.25">
      <c r="A1917" s="33">
        <v>736</v>
      </c>
      <c r="B1917" s="9">
        <v>44398</v>
      </c>
      <c r="C1917" s="18" t="s">
        <v>60</v>
      </c>
      <c r="D1917" s="3">
        <v>65324</v>
      </c>
      <c r="E1917" s="9">
        <v>44414</v>
      </c>
      <c r="F1917" s="15" t="s">
        <v>28</v>
      </c>
      <c r="G1917" s="12">
        <v>44399</v>
      </c>
      <c r="H1917" s="23">
        <v>32662</v>
      </c>
      <c r="I1917" s="23"/>
      <c r="J1917" s="23"/>
      <c r="K1917" s="24"/>
      <c r="L1917" s="22">
        <v>19184</v>
      </c>
      <c r="M1917" s="22">
        <f t="shared" si="214"/>
        <v>13478</v>
      </c>
      <c r="N1917" s="22"/>
      <c r="O1917" s="30">
        <f t="shared" si="215"/>
        <v>0.4126507868471006</v>
      </c>
    </row>
    <row r="1918" spans="1:15" ht="20.100000000000001" customHeight="1" x14ac:dyDescent="0.25">
      <c r="A1918" s="33">
        <v>762</v>
      </c>
      <c r="B1918" s="9">
        <v>44403</v>
      </c>
      <c r="C1918" s="18" t="s">
        <v>13</v>
      </c>
      <c r="D1918" s="3">
        <v>6918</v>
      </c>
      <c r="E1918" s="9">
        <v>44418</v>
      </c>
      <c r="F1918" s="15" t="s">
        <v>28</v>
      </c>
      <c r="G1918" s="12">
        <v>44405</v>
      </c>
      <c r="H1918" s="23">
        <f t="shared" ref="H1918:H1924" si="216">D1918</f>
        <v>6918</v>
      </c>
      <c r="I1918" s="23"/>
      <c r="J1918" s="23"/>
      <c r="K1918" s="24"/>
      <c r="L1918" s="22">
        <v>5226</v>
      </c>
      <c r="M1918" s="22">
        <f t="shared" si="214"/>
        <v>1692</v>
      </c>
      <c r="N1918" s="22"/>
      <c r="O1918" s="30">
        <f t="shared" si="215"/>
        <v>0.2445793581960104</v>
      </c>
    </row>
    <row r="1919" spans="1:15" ht="20.100000000000001" customHeight="1" x14ac:dyDescent="0.25">
      <c r="A1919" s="33">
        <v>786</v>
      </c>
      <c r="B1919" s="9">
        <v>44410</v>
      </c>
      <c r="C1919" s="18" t="s">
        <v>228</v>
      </c>
      <c r="D1919" s="3">
        <v>11180</v>
      </c>
      <c r="E1919" s="9">
        <v>44418</v>
      </c>
      <c r="F1919" s="15" t="s">
        <v>28</v>
      </c>
      <c r="G1919" s="12">
        <v>44420</v>
      </c>
      <c r="H1919" s="23">
        <f t="shared" si="216"/>
        <v>11180</v>
      </c>
      <c r="I1919" s="23"/>
      <c r="J1919" s="23"/>
      <c r="K1919" s="24"/>
      <c r="L1919" s="22">
        <v>8720</v>
      </c>
      <c r="M1919" s="22">
        <f t="shared" si="214"/>
        <v>2460</v>
      </c>
      <c r="N1919" s="22"/>
      <c r="O1919" s="30">
        <f t="shared" si="215"/>
        <v>0.22003577817531306</v>
      </c>
    </row>
    <row r="1920" spans="1:15" ht="20.100000000000001" customHeight="1" x14ac:dyDescent="0.25">
      <c r="A1920" s="33">
        <v>722</v>
      </c>
      <c r="B1920" s="9">
        <v>44392</v>
      </c>
      <c r="C1920" s="20" t="s">
        <v>501</v>
      </c>
      <c r="D1920" s="3">
        <v>25490</v>
      </c>
      <c r="E1920" s="9">
        <v>44418</v>
      </c>
      <c r="F1920" s="15" t="s">
        <v>28</v>
      </c>
      <c r="G1920" s="12">
        <v>44420</v>
      </c>
      <c r="H1920" s="23">
        <f t="shared" si="216"/>
        <v>25490</v>
      </c>
      <c r="I1920" s="23">
        <f>H1920</f>
        <v>25490</v>
      </c>
      <c r="J1920" s="23"/>
      <c r="K1920" s="24"/>
      <c r="L1920" s="22">
        <v>18735</v>
      </c>
      <c r="M1920" s="22">
        <f t="shared" si="214"/>
        <v>6755</v>
      </c>
      <c r="N1920" s="23">
        <f>M1920</f>
        <v>6755</v>
      </c>
      <c r="O1920" s="30">
        <f t="shared" si="215"/>
        <v>0.26500588466065123</v>
      </c>
    </row>
    <row r="1921" spans="1:15" ht="19.5" customHeight="1" x14ac:dyDescent="0.25">
      <c r="A1921" s="33">
        <v>837</v>
      </c>
      <c r="B1921" s="9">
        <v>44419</v>
      </c>
      <c r="C1921" s="18" t="s">
        <v>179</v>
      </c>
      <c r="D1921" s="3">
        <v>11290</v>
      </c>
      <c r="E1921" s="9">
        <v>44419</v>
      </c>
      <c r="F1921" s="15" t="s">
        <v>28</v>
      </c>
      <c r="G1921" s="12">
        <v>44419</v>
      </c>
      <c r="H1921" s="23">
        <f t="shared" si="216"/>
        <v>11290</v>
      </c>
      <c r="I1921" s="23"/>
      <c r="J1921" s="23"/>
      <c r="K1921" s="24"/>
      <c r="L1921" s="22">
        <v>8298</v>
      </c>
      <c r="M1921" s="22">
        <f t="shared" si="214"/>
        <v>2992</v>
      </c>
      <c r="N1921" s="22"/>
      <c r="O1921" s="30">
        <f t="shared" si="215"/>
        <v>0.26501328609388841</v>
      </c>
    </row>
    <row r="1922" spans="1:15" ht="15.75" x14ac:dyDescent="0.25">
      <c r="A1922" s="33">
        <v>773</v>
      </c>
      <c r="B1922" s="9">
        <v>44405</v>
      </c>
      <c r="C1922" s="18" t="s">
        <v>11</v>
      </c>
      <c r="D1922" s="3">
        <v>3900</v>
      </c>
      <c r="E1922" s="9">
        <v>44419</v>
      </c>
      <c r="F1922" s="15" t="s">
        <v>28</v>
      </c>
      <c r="G1922" s="12">
        <v>44440</v>
      </c>
      <c r="H1922" s="23">
        <f t="shared" si="216"/>
        <v>3900</v>
      </c>
      <c r="I1922" s="23"/>
      <c r="J1922" s="23"/>
      <c r="K1922" s="24"/>
      <c r="L1922" s="22">
        <v>3042</v>
      </c>
      <c r="M1922" s="22">
        <f t="shared" si="214"/>
        <v>858</v>
      </c>
      <c r="N1922" s="22"/>
      <c r="O1922" s="30">
        <f t="shared" si="215"/>
        <v>0.22</v>
      </c>
    </row>
    <row r="1923" spans="1:15" s="2" customFormat="1" ht="20.100000000000001" customHeight="1" x14ac:dyDescent="0.25">
      <c r="A1923" s="33">
        <v>822</v>
      </c>
      <c r="B1923" s="9">
        <v>44414</v>
      </c>
      <c r="C1923" s="18" t="s">
        <v>404</v>
      </c>
      <c r="D1923" s="3">
        <v>4496</v>
      </c>
      <c r="E1923" s="9">
        <v>44420</v>
      </c>
      <c r="F1923" s="15" t="s">
        <v>28</v>
      </c>
      <c r="G1923" s="12">
        <v>44420</v>
      </c>
      <c r="H1923" s="23">
        <f t="shared" si="216"/>
        <v>4496</v>
      </c>
      <c r="I1923" s="23"/>
      <c r="J1923" s="23"/>
      <c r="K1923" s="24"/>
      <c r="L1923" s="22">
        <v>3234.36</v>
      </c>
      <c r="M1923" s="22">
        <f t="shared" si="214"/>
        <v>1261.6399999999999</v>
      </c>
      <c r="N1923" s="22"/>
      <c r="O1923" s="30">
        <f t="shared" si="215"/>
        <v>0.28061387900355866</v>
      </c>
    </row>
    <row r="1924" spans="1:15" ht="20.100000000000001" customHeight="1" x14ac:dyDescent="0.25">
      <c r="A1924" s="33">
        <v>838</v>
      </c>
      <c r="B1924" s="9">
        <v>44419</v>
      </c>
      <c r="C1924" s="18" t="s">
        <v>71</v>
      </c>
      <c r="D1924" s="3">
        <v>2126</v>
      </c>
      <c r="E1924" s="9">
        <v>44421</v>
      </c>
      <c r="F1924" s="15" t="s">
        <v>28</v>
      </c>
      <c r="G1924" s="12">
        <v>44424</v>
      </c>
      <c r="H1924" s="23">
        <f t="shared" si="216"/>
        <v>2126</v>
      </c>
      <c r="I1924" s="23"/>
      <c r="J1924" s="23"/>
      <c r="K1924" s="24"/>
      <c r="L1924" s="22">
        <v>1613</v>
      </c>
      <c r="M1924" s="22">
        <f t="shared" si="214"/>
        <v>513</v>
      </c>
      <c r="N1924" s="22"/>
      <c r="O1924" s="30">
        <f t="shared" si="215"/>
        <v>0.24129821260583256</v>
      </c>
    </row>
    <row r="1925" spans="1:15" ht="20.100000000000001" customHeight="1" x14ac:dyDescent="0.25">
      <c r="A1925" s="33">
        <v>736</v>
      </c>
      <c r="B1925" s="9">
        <v>44398</v>
      </c>
      <c r="C1925" s="18" t="s">
        <v>60</v>
      </c>
      <c r="D1925" s="3">
        <v>65324</v>
      </c>
      <c r="E1925" s="9">
        <v>44424</v>
      </c>
      <c r="F1925" s="15" t="s">
        <v>28</v>
      </c>
      <c r="G1925" s="12">
        <v>44410</v>
      </c>
      <c r="H1925" s="23">
        <v>32662</v>
      </c>
      <c r="I1925" s="23"/>
      <c r="J1925" s="23"/>
      <c r="K1925" s="24"/>
      <c r="L1925" s="22">
        <v>25476</v>
      </c>
      <c r="M1925" s="22">
        <f t="shared" ref="M1925:M1930" si="217">H1925-L1925-J1925-K1925</f>
        <v>7186</v>
      </c>
      <c r="N1925" s="22"/>
      <c r="O1925" s="30">
        <f t="shared" ref="O1925:O1930" si="218">M1925/H1925</f>
        <v>0.22001102198273223</v>
      </c>
    </row>
    <row r="1926" spans="1:15" ht="20.100000000000001" customHeight="1" x14ac:dyDescent="0.25">
      <c r="A1926" s="33">
        <v>828</v>
      </c>
      <c r="B1926" s="9">
        <v>44424</v>
      </c>
      <c r="C1926" s="18" t="s">
        <v>481</v>
      </c>
      <c r="D1926" s="3">
        <v>5810</v>
      </c>
      <c r="E1926" s="9">
        <v>44426</v>
      </c>
      <c r="F1926" s="15" t="s">
        <v>28</v>
      </c>
      <c r="G1926" s="12">
        <v>44432</v>
      </c>
      <c r="H1926" s="23">
        <f t="shared" ref="H1926:H1933" si="219">D1926</f>
        <v>5810</v>
      </c>
      <c r="I1926" s="23"/>
      <c r="J1926" s="23"/>
      <c r="K1926" s="24"/>
      <c r="L1926" s="7">
        <v>2847.18</v>
      </c>
      <c r="M1926" s="22">
        <f t="shared" si="217"/>
        <v>2962.82</v>
      </c>
      <c r="N1926" s="22"/>
      <c r="O1926" s="30">
        <f t="shared" si="218"/>
        <v>0.50995180722891564</v>
      </c>
    </row>
    <row r="1927" spans="1:15" ht="20.100000000000001" customHeight="1" x14ac:dyDescent="0.25">
      <c r="A1927" s="33">
        <v>386</v>
      </c>
      <c r="B1927" s="9">
        <v>44376</v>
      </c>
      <c r="C1927" s="18" t="s">
        <v>99</v>
      </c>
      <c r="D1927" s="3">
        <v>384400</v>
      </c>
      <c r="E1927" s="9">
        <v>44428</v>
      </c>
      <c r="F1927" s="15" t="s">
        <v>28</v>
      </c>
      <c r="G1927" s="12">
        <v>44399</v>
      </c>
      <c r="H1927" s="23">
        <f t="shared" si="219"/>
        <v>384400</v>
      </c>
      <c r="I1927" s="23"/>
      <c r="J1927" s="23">
        <v>66000</v>
      </c>
      <c r="K1927" s="24">
        <v>13200</v>
      </c>
      <c r="L1927" s="22">
        <v>117371</v>
      </c>
      <c r="M1927" s="22">
        <f t="shared" si="217"/>
        <v>187829</v>
      </c>
      <c r="N1927" s="22"/>
      <c r="O1927" s="30">
        <f t="shared" si="218"/>
        <v>0.48862903225806453</v>
      </c>
    </row>
    <row r="1928" spans="1:15" ht="20.100000000000001" customHeight="1" x14ac:dyDescent="0.25">
      <c r="A1928" s="33">
        <v>880</v>
      </c>
      <c r="B1928" s="9">
        <v>44431</v>
      </c>
      <c r="C1928" s="18" t="s">
        <v>87</v>
      </c>
      <c r="D1928" s="3">
        <v>7990</v>
      </c>
      <c r="E1928" s="9">
        <v>44432</v>
      </c>
      <c r="F1928" s="15" t="s">
        <v>28</v>
      </c>
      <c r="G1928" s="12">
        <v>44440</v>
      </c>
      <c r="H1928" s="23">
        <f t="shared" si="219"/>
        <v>7990</v>
      </c>
      <c r="I1928" s="23"/>
      <c r="J1928" s="23"/>
      <c r="K1928" s="24">
        <v>600</v>
      </c>
      <c r="L1928" s="22">
        <v>3438.21</v>
      </c>
      <c r="M1928" s="22">
        <f t="shared" si="217"/>
        <v>3951.79</v>
      </c>
      <c r="N1928" s="22"/>
      <c r="O1928" s="30">
        <f t="shared" si="218"/>
        <v>0.49459198998748433</v>
      </c>
    </row>
    <row r="1929" spans="1:15" ht="20.100000000000001" customHeight="1" x14ac:dyDescent="0.25">
      <c r="A1929" s="33">
        <v>882</v>
      </c>
      <c r="B1929" s="9">
        <v>44431</v>
      </c>
      <c r="C1929" s="20" t="s">
        <v>502</v>
      </c>
      <c r="D1929" s="3">
        <v>3630.8</v>
      </c>
      <c r="E1929" s="9">
        <v>44433</v>
      </c>
      <c r="F1929" s="15" t="s">
        <v>28</v>
      </c>
      <c r="G1929" s="12">
        <v>44461</v>
      </c>
      <c r="H1929" s="23">
        <f t="shared" si="219"/>
        <v>3630.8</v>
      </c>
      <c r="I1929" s="23">
        <f>H1929</f>
        <v>3630.8</v>
      </c>
      <c r="J1929" s="23"/>
      <c r="K1929" s="24"/>
      <c r="L1929" s="22">
        <v>2832</v>
      </c>
      <c r="M1929" s="22">
        <f t="shared" si="217"/>
        <v>798.80000000000018</v>
      </c>
      <c r="N1929" s="23">
        <f>M1929</f>
        <v>798.80000000000018</v>
      </c>
      <c r="O1929" s="30">
        <f t="shared" si="218"/>
        <v>0.22000661011347367</v>
      </c>
    </row>
    <row r="1930" spans="1:15" ht="19.5" customHeight="1" x14ac:dyDescent="0.25">
      <c r="A1930" s="33">
        <v>902</v>
      </c>
      <c r="B1930" s="9">
        <v>44433</v>
      </c>
      <c r="C1930" s="18" t="s">
        <v>149</v>
      </c>
      <c r="D1930" s="3">
        <v>1762</v>
      </c>
      <c r="E1930" s="9">
        <v>44433</v>
      </c>
      <c r="F1930" s="15" t="s">
        <v>28</v>
      </c>
      <c r="G1930" s="12">
        <v>44469</v>
      </c>
      <c r="H1930" s="23">
        <f t="shared" si="219"/>
        <v>1762</v>
      </c>
      <c r="I1930" s="23"/>
      <c r="J1930" s="23"/>
      <c r="K1930" s="24"/>
      <c r="L1930" s="22">
        <v>1164</v>
      </c>
      <c r="M1930" s="22">
        <f t="shared" si="217"/>
        <v>598</v>
      </c>
      <c r="N1930" s="22"/>
      <c r="O1930" s="30">
        <f t="shared" si="218"/>
        <v>0.33938706015891035</v>
      </c>
    </row>
    <row r="1931" spans="1:15" ht="19.5" customHeight="1" x14ac:dyDescent="0.25">
      <c r="A1931" s="33">
        <v>905</v>
      </c>
      <c r="B1931" s="9">
        <v>44434</v>
      </c>
      <c r="C1931" s="18" t="s">
        <v>386</v>
      </c>
      <c r="D1931" s="3">
        <v>4134</v>
      </c>
      <c r="E1931" s="9">
        <v>44434</v>
      </c>
      <c r="F1931" s="15" t="s">
        <v>28</v>
      </c>
      <c r="G1931" s="12">
        <v>44434</v>
      </c>
      <c r="H1931" s="23">
        <f t="shared" si="219"/>
        <v>4134</v>
      </c>
      <c r="I1931" s="23"/>
      <c r="J1931" s="23"/>
      <c r="K1931" s="24"/>
      <c r="L1931" s="22">
        <v>3122.27</v>
      </c>
      <c r="M1931" s="22">
        <f>H1931-L1931-J1931-K1931</f>
        <v>1011.73</v>
      </c>
      <c r="N1931" s="22"/>
      <c r="O1931" s="30">
        <f>M1931/H1931</f>
        <v>0.2447339138848573</v>
      </c>
    </row>
    <row r="1932" spans="1:15" ht="19.5" customHeight="1" x14ac:dyDescent="0.25">
      <c r="A1932" s="33">
        <v>919</v>
      </c>
      <c r="B1932" s="9">
        <v>44435</v>
      </c>
      <c r="C1932" s="20" t="s">
        <v>503</v>
      </c>
      <c r="D1932" s="3">
        <v>25490</v>
      </c>
      <c r="E1932" s="9">
        <v>44435</v>
      </c>
      <c r="F1932" s="15" t="s">
        <v>28</v>
      </c>
      <c r="G1932" s="12">
        <v>44441</v>
      </c>
      <c r="H1932" s="23">
        <f t="shared" si="219"/>
        <v>25490</v>
      </c>
      <c r="I1932" s="23">
        <f>H1932</f>
        <v>25490</v>
      </c>
      <c r="J1932" s="23"/>
      <c r="K1932" s="24"/>
      <c r="L1932" s="22">
        <v>18735</v>
      </c>
      <c r="M1932" s="22">
        <f>H1932-L1932-J1932-K1932</f>
        <v>6755</v>
      </c>
      <c r="N1932" s="23">
        <f>M1932</f>
        <v>6755</v>
      </c>
      <c r="O1932" s="30">
        <f>M1932/H1932</f>
        <v>0.26500588466065123</v>
      </c>
    </row>
    <row r="1933" spans="1:15" ht="19.5" customHeight="1" x14ac:dyDescent="0.25">
      <c r="A1933" s="33">
        <v>884</v>
      </c>
      <c r="B1933" s="9">
        <v>44431</v>
      </c>
      <c r="C1933" s="18" t="s">
        <v>467</v>
      </c>
      <c r="D1933" s="3">
        <v>971</v>
      </c>
      <c r="E1933" s="9">
        <v>44435</v>
      </c>
      <c r="F1933" s="15" t="s">
        <v>28</v>
      </c>
      <c r="G1933" s="12">
        <v>44439</v>
      </c>
      <c r="H1933" s="23">
        <f t="shared" si="219"/>
        <v>971</v>
      </c>
      <c r="I1933" s="23"/>
      <c r="J1933" s="23"/>
      <c r="K1933" s="24"/>
      <c r="L1933" s="22">
        <v>612</v>
      </c>
      <c r="M1933" s="22">
        <f>H1933-L1933-J1933-K1933</f>
        <v>359</v>
      </c>
      <c r="N1933" s="22"/>
      <c r="O1933" s="30">
        <f>M1933/H1933</f>
        <v>0.36972193614830073</v>
      </c>
    </row>
    <row r="1934" spans="1:15" ht="20.100000000000001" customHeight="1" x14ac:dyDescent="0.25">
      <c r="A1934" s="35" t="s">
        <v>535</v>
      </c>
      <c r="B1934" s="36"/>
      <c r="C1934" s="42"/>
      <c r="D1934" s="37"/>
      <c r="E1934" s="46" t="s">
        <v>594</v>
      </c>
      <c r="F1934" s="47">
        <f>M1934*0.17+N1934*0.06</f>
        <v>44041.412900000003</v>
      </c>
      <c r="G1934" s="21">
        <f>H1934*0.04+I1934*0.02</f>
        <v>25491.568000000003</v>
      </c>
      <c r="H1934" s="49">
        <f>SUBTOTAL(109,Август2021[Продажа])</f>
        <v>609983.80000000005</v>
      </c>
      <c r="I1934" s="49">
        <f>SUBTOTAL(109,Август2021[Продажа НК])</f>
        <v>54610.8</v>
      </c>
      <c r="J1934" s="49">
        <f>SUBTOTAL(109,Август2021[отк])</f>
        <v>66000</v>
      </c>
      <c r="K1934" s="49">
        <f>SUBTOTAL(109,Август2021[шланги])</f>
        <v>13800</v>
      </c>
      <c r="L1934" s="49">
        <f>SUBTOTAL(109,Август2021[Закупка])</f>
        <v>276166.82999999996</v>
      </c>
      <c r="M1934" s="49">
        <f>SUBTOTAL(109,Август2021[Маржа])</f>
        <v>254016.97</v>
      </c>
      <c r="N1934" s="49">
        <f>SUBTOTAL(109,Август2021[Маржа НК])</f>
        <v>14308.8</v>
      </c>
      <c r="O1934" s="44">
        <f>M1934/H1934</f>
        <v>0.41643232164526334</v>
      </c>
    </row>
    <row r="1935" spans="1:15" ht="20.100000000000001" customHeight="1" x14ac:dyDescent="0.25">
      <c r="A1935" s="41" t="s">
        <v>1</v>
      </c>
      <c r="B1935" s="1" t="s">
        <v>0</v>
      </c>
      <c r="C1935" s="1" t="s">
        <v>26</v>
      </c>
      <c r="D1935" s="1" t="s">
        <v>2</v>
      </c>
      <c r="E1935" s="1" t="s">
        <v>3</v>
      </c>
      <c r="F1935" s="1" t="s">
        <v>27</v>
      </c>
      <c r="G1935" s="1" t="s">
        <v>4</v>
      </c>
      <c r="H1935" s="2" t="s">
        <v>132</v>
      </c>
      <c r="I1935" s="2" t="s">
        <v>133</v>
      </c>
      <c r="J1935" s="40" t="s">
        <v>187</v>
      </c>
      <c r="K1935" s="40" t="s">
        <v>188</v>
      </c>
      <c r="L1935" s="40" t="s">
        <v>129</v>
      </c>
      <c r="M1935" s="40" t="s">
        <v>130</v>
      </c>
      <c r="N1935" s="2" t="s">
        <v>131</v>
      </c>
      <c r="O1935" s="2" t="s">
        <v>134</v>
      </c>
    </row>
    <row r="1936" spans="1:15" ht="19.5" customHeight="1" x14ac:dyDescent="0.25">
      <c r="A1936" s="33">
        <v>926</v>
      </c>
      <c r="B1936" s="9">
        <v>44439</v>
      </c>
      <c r="C1936" s="18" t="s">
        <v>51</v>
      </c>
      <c r="D1936" s="3">
        <v>7852</v>
      </c>
      <c r="E1936" s="9">
        <v>44440</v>
      </c>
      <c r="F1936" s="15" t="s">
        <v>28</v>
      </c>
      <c r="G1936" s="12">
        <v>44449</v>
      </c>
      <c r="H1936" s="23">
        <f t="shared" ref="H1936:H1963" si="220">D1936</f>
        <v>7852</v>
      </c>
      <c r="I1936" s="23"/>
      <c r="J1936" s="23"/>
      <c r="K1936" s="24"/>
      <c r="L1936" s="23">
        <v>6124</v>
      </c>
      <c r="M1936" s="22">
        <f>H1936-L1936-J1936-K1936</f>
        <v>1728</v>
      </c>
      <c r="N1936" s="22"/>
      <c r="O1936" s="30">
        <f>M1936/H1936</f>
        <v>0.22007131940906777</v>
      </c>
    </row>
    <row r="1937" spans="1:15" ht="19.5" customHeight="1" x14ac:dyDescent="0.25">
      <c r="A1937" s="33">
        <v>920</v>
      </c>
      <c r="B1937" s="9">
        <v>44438</v>
      </c>
      <c r="C1937" s="18" t="s">
        <v>179</v>
      </c>
      <c r="D1937" s="3">
        <v>6329</v>
      </c>
      <c r="E1937" s="9">
        <v>44440</v>
      </c>
      <c r="F1937" s="15" t="s">
        <v>28</v>
      </c>
      <c r="G1937" s="12">
        <v>44462</v>
      </c>
      <c r="H1937" s="23">
        <f t="shared" si="220"/>
        <v>6329</v>
      </c>
      <c r="I1937" s="23"/>
      <c r="J1937" s="23"/>
      <c r="K1937" s="24"/>
      <c r="L1937" s="23">
        <v>4177</v>
      </c>
      <c r="M1937" s="22">
        <f>H1937-L1937-J1937-K1937</f>
        <v>2152</v>
      </c>
      <c r="N1937" s="22"/>
      <c r="O1937" s="30">
        <f>M1937/H1937</f>
        <v>0.34002212039816715</v>
      </c>
    </row>
    <row r="1938" spans="1:15" ht="20.100000000000001" customHeight="1" x14ac:dyDescent="0.25">
      <c r="A1938" s="33">
        <v>927</v>
      </c>
      <c r="B1938" s="9">
        <v>44439</v>
      </c>
      <c r="C1938" s="20" t="s">
        <v>504</v>
      </c>
      <c r="D1938" s="3">
        <v>5000</v>
      </c>
      <c r="E1938" s="9">
        <v>44440</v>
      </c>
      <c r="F1938" s="15" t="s">
        <v>28</v>
      </c>
      <c r="G1938" s="12">
        <v>44440</v>
      </c>
      <c r="H1938" s="23">
        <f>D1938</f>
        <v>5000</v>
      </c>
      <c r="I1938" s="23">
        <f>H1938</f>
        <v>5000</v>
      </c>
      <c r="J1938" s="23"/>
      <c r="K1938" s="24">
        <v>600</v>
      </c>
      <c r="L1938" s="22">
        <v>2108</v>
      </c>
      <c r="M1938" s="22">
        <f>H1938-L1938-J1938-K1938</f>
        <v>2292</v>
      </c>
      <c r="N1938" s="23">
        <f>M1938</f>
        <v>2292</v>
      </c>
      <c r="O1938" s="30">
        <f>M1938/H1938</f>
        <v>0.45839999999999997</v>
      </c>
    </row>
    <row r="1939" spans="1:15" ht="20.100000000000001" customHeight="1" x14ac:dyDescent="0.25">
      <c r="A1939" s="33">
        <v>729</v>
      </c>
      <c r="B1939" s="9">
        <v>44441</v>
      </c>
      <c r="C1939" s="18" t="s">
        <v>502</v>
      </c>
      <c r="D1939" s="3">
        <v>24494</v>
      </c>
      <c r="E1939" s="9">
        <v>44441</v>
      </c>
      <c r="F1939" s="15" t="s">
        <v>28</v>
      </c>
      <c r="G1939" s="12">
        <v>44461</v>
      </c>
      <c r="H1939" s="23">
        <f t="shared" si="220"/>
        <v>24494</v>
      </c>
      <c r="I1939" s="23"/>
      <c r="J1939" s="23"/>
      <c r="K1939" s="24"/>
      <c r="L1939" s="22">
        <v>19105</v>
      </c>
      <c r="M1939" s="22">
        <f>H1939-L1939-J1939-K1939</f>
        <v>5389</v>
      </c>
      <c r="N1939" s="22"/>
      <c r="O1939" s="30">
        <f>M1939/H1939</f>
        <v>0.22001306442394056</v>
      </c>
    </row>
    <row r="1940" spans="1:15" ht="20.100000000000001" customHeight="1" x14ac:dyDescent="0.25">
      <c r="A1940" s="33">
        <v>993</v>
      </c>
      <c r="B1940" s="9">
        <v>44440</v>
      </c>
      <c r="C1940" s="18" t="s">
        <v>372</v>
      </c>
      <c r="D1940" s="3">
        <v>6918</v>
      </c>
      <c r="E1940" s="9">
        <v>44441</v>
      </c>
      <c r="F1940" s="15" t="s">
        <v>28</v>
      </c>
      <c r="G1940" s="12">
        <v>44442</v>
      </c>
      <c r="H1940" s="23">
        <f t="shared" si="220"/>
        <v>6918</v>
      </c>
      <c r="I1940" s="23"/>
      <c r="J1940" s="23"/>
      <c r="K1940" s="24"/>
      <c r="L1940" s="22">
        <v>5218.42</v>
      </c>
      <c r="M1940" s="22">
        <f t="shared" ref="M1940:M1945" si="221">H1940-L1940-J1940-K1940</f>
        <v>1699.58</v>
      </c>
      <c r="N1940" s="22"/>
      <c r="O1940" s="30">
        <f t="shared" ref="O1940:O1945" si="222">M1940/H1940</f>
        <v>0.24567505059265682</v>
      </c>
    </row>
    <row r="1941" spans="1:15" ht="20.100000000000001" customHeight="1" x14ac:dyDescent="0.25">
      <c r="A1941" s="33">
        <v>939</v>
      </c>
      <c r="B1941" s="9">
        <v>44440</v>
      </c>
      <c r="C1941" s="18" t="s">
        <v>16</v>
      </c>
      <c r="D1941" s="3">
        <v>1998</v>
      </c>
      <c r="E1941" s="9">
        <v>44441</v>
      </c>
      <c r="F1941" s="15" t="s">
        <v>28</v>
      </c>
      <c r="G1941" s="12">
        <v>44469</v>
      </c>
      <c r="H1941" s="23">
        <f t="shared" si="220"/>
        <v>1998</v>
      </c>
      <c r="I1941" s="23"/>
      <c r="J1941" s="23"/>
      <c r="K1941" s="24"/>
      <c r="L1941" s="22">
        <v>1319</v>
      </c>
      <c r="M1941" s="22">
        <f t="shared" si="221"/>
        <v>679</v>
      </c>
      <c r="N1941" s="22"/>
      <c r="O1941" s="30">
        <f t="shared" si="222"/>
        <v>0.33983983983983984</v>
      </c>
    </row>
    <row r="1942" spans="1:15" ht="20.100000000000001" customHeight="1" x14ac:dyDescent="0.25">
      <c r="A1942" s="33">
        <v>916</v>
      </c>
      <c r="B1942" s="9">
        <v>44435</v>
      </c>
      <c r="C1942" s="18" t="s">
        <v>101</v>
      </c>
      <c r="D1942" s="3">
        <v>8345</v>
      </c>
      <c r="E1942" s="9">
        <v>44442</v>
      </c>
      <c r="F1942" s="15" t="s">
        <v>28</v>
      </c>
      <c r="G1942" s="12">
        <v>44477</v>
      </c>
      <c r="H1942" s="23">
        <f>D1942</f>
        <v>8345</v>
      </c>
      <c r="I1942" s="23"/>
      <c r="J1942" s="23"/>
      <c r="K1942" s="24"/>
      <c r="L1942" s="22">
        <v>6509</v>
      </c>
      <c r="M1942" s="22">
        <f t="shared" si="221"/>
        <v>1836</v>
      </c>
      <c r="N1942" s="22"/>
      <c r="O1942" s="30">
        <f t="shared" si="222"/>
        <v>0.22001198322348711</v>
      </c>
    </row>
    <row r="1943" spans="1:15" ht="20.100000000000001" customHeight="1" x14ac:dyDescent="0.25">
      <c r="A1943" s="33">
        <v>936</v>
      </c>
      <c r="B1943" s="9">
        <v>44440</v>
      </c>
      <c r="C1943" s="18" t="s">
        <v>377</v>
      </c>
      <c r="D1943" s="3">
        <v>12395</v>
      </c>
      <c r="E1943" s="9">
        <v>44446</v>
      </c>
      <c r="F1943" s="15" t="s">
        <v>28</v>
      </c>
      <c r="G1943" s="12">
        <v>44447</v>
      </c>
      <c r="H1943" s="23">
        <f>D1943</f>
        <v>12395</v>
      </c>
      <c r="I1943" s="23"/>
      <c r="J1943" s="23"/>
      <c r="K1943" s="24"/>
      <c r="L1943" s="22">
        <v>9382</v>
      </c>
      <c r="M1943" s="22">
        <f>H1943-L1943-J1943-K1943</f>
        <v>3013</v>
      </c>
      <c r="N1943" s="22"/>
      <c r="O1943" s="30">
        <f>M1943/H1943</f>
        <v>0.24308188785800727</v>
      </c>
    </row>
    <row r="1944" spans="1:15" ht="20.100000000000001" customHeight="1" x14ac:dyDescent="0.25">
      <c r="A1944" s="33">
        <v>962</v>
      </c>
      <c r="B1944" s="9">
        <v>44447</v>
      </c>
      <c r="C1944" s="18" t="s">
        <v>470</v>
      </c>
      <c r="D1944" s="3">
        <v>4500</v>
      </c>
      <c r="E1944" s="9">
        <v>44448</v>
      </c>
      <c r="F1944" s="15" t="s">
        <v>28</v>
      </c>
      <c r="G1944" s="9"/>
      <c r="H1944" s="23">
        <f t="shared" si="220"/>
        <v>4500</v>
      </c>
      <c r="I1944" s="23"/>
      <c r="J1944" s="23"/>
      <c r="K1944" s="24"/>
      <c r="L1944" s="22">
        <v>3015</v>
      </c>
      <c r="M1944" s="22">
        <f t="shared" si="221"/>
        <v>1485</v>
      </c>
      <c r="N1944" s="22"/>
      <c r="O1944" s="30">
        <f t="shared" si="222"/>
        <v>0.33</v>
      </c>
    </row>
    <row r="1945" spans="1:15" ht="20.100000000000001" customHeight="1" x14ac:dyDescent="0.25">
      <c r="A1945" s="33">
        <v>903</v>
      </c>
      <c r="B1945" s="9">
        <v>44434</v>
      </c>
      <c r="C1945" s="18" t="s">
        <v>11</v>
      </c>
      <c r="D1945" s="3">
        <v>40756</v>
      </c>
      <c r="E1945" s="9">
        <v>44448</v>
      </c>
      <c r="F1945" s="15" t="s">
        <v>28</v>
      </c>
      <c r="G1945" s="12">
        <v>44454</v>
      </c>
      <c r="H1945" s="23">
        <f t="shared" si="220"/>
        <v>40756</v>
      </c>
      <c r="I1945" s="23"/>
      <c r="J1945" s="23"/>
      <c r="K1945" s="24"/>
      <c r="L1945" s="22">
        <v>30880</v>
      </c>
      <c r="M1945" s="22">
        <f t="shared" si="221"/>
        <v>9876</v>
      </c>
      <c r="N1945" s="22"/>
      <c r="O1945" s="30">
        <f t="shared" si="222"/>
        <v>0.24232014918048878</v>
      </c>
    </row>
    <row r="1946" spans="1:15" ht="19.5" customHeight="1" x14ac:dyDescent="0.25">
      <c r="A1946" s="33">
        <v>978</v>
      </c>
      <c r="B1946" s="9">
        <v>44452</v>
      </c>
      <c r="C1946" s="18" t="s">
        <v>125</v>
      </c>
      <c r="D1946" s="3">
        <v>1652</v>
      </c>
      <c r="E1946" s="9">
        <v>44453</v>
      </c>
      <c r="F1946" s="15" t="s">
        <v>28</v>
      </c>
      <c r="G1946" s="12">
        <v>44452</v>
      </c>
      <c r="H1946" s="23">
        <f t="shared" si="220"/>
        <v>1652</v>
      </c>
      <c r="I1946" s="23"/>
      <c r="J1946" s="23"/>
      <c r="K1946" s="24"/>
      <c r="L1946" s="22">
        <v>1104</v>
      </c>
      <c r="M1946" s="22">
        <f t="shared" ref="M1946:M1951" si="223">H1946-L1946-J1946-K1946</f>
        <v>548</v>
      </c>
      <c r="N1946" s="22"/>
      <c r="O1946" s="30">
        <f t="shared" ref="O1946:O1951" si="224">M1946/H1946</f>
        <v>0.33171912832929784</v>
      </c>
    </row>
    <row r="1947" spans="1:15" ht="15.75" x14ac:dyDescent="0.25">
      <c r="A1947" s="33">
        <v>981</v>
      </c>
      <c r="B1947" s="9">
        <v>44452</v>
      </c>
      <c r="C1947" s="18" t="s">
        <v>270</v>
      </c>
      <c r="D1947" s="3">
        <v>1279</v>
      </c>
      <c r="E1947" s="9">
        <v>44455</v>
      </c>
      <c r="F1947" s="15" t="s">
        <v>28</v>
      </c>
      <c r="G1947" s="12">
        <v>44453</v>
      </c>
      <c r="H1947" s="23">
        <f t="shared" si="220"/>
        <v>1279</v>
      </c>
      <c r="I1947" s="23"/>
      <c r="J1947" s="23"/>
      <c r="K1947" s="24"/>
      <c r="L1947" s="22">
        <v>997</v>
      </c>
      <c r="M1947" s="22">
        <f t="shared" si="223"/>
        <v>282</v>
      </c>
      <c r="N1947" s="22"/>
      <c r="O1947" s="30">
        <f t="shared" si="224"/>
        <v>0.22048475371383894</v>
      </c>
    </row>
    <row r="1948" spans="1:15" s="2" customFormat="1" ht="20.100000000000001" customHeight="1" x14ac:dyDescent="0.25">
      <c r="A1948" s="33">
        <v>900</v>
      </c>
      <c r="B1948" s="9">
        <v>44441</v>
      </c>
      <c r="C1948" s="18" t="s">
        <v>301</v>
      </c>
      <c r="D1948" s="3">
        <v>7680</v>
      </c>
      <c r="E1948" s="9">
        <v>44456</v>
      </c>
      <c r="F1948" s="15" t="s">
        <v>28</v>
      </c>
      <c r="G1948" s="12">
        <v>44461</v>
      </c>
      <c r="H1948" s="23">
        <f t="shared" si="220"/>
        <v>7680</v>
      </c>
      <c r="I1948" s="23"/>
      <c r="J1948" s="23"/>
      <c r="K1948" s="24"/>
      <c r="L1948" s="22">
        <v>5750</v>
      </c>
      <c r="M1948" s="22">
        <f t="shared" si="223"/>
        <v>1930</v>
      </c>
      <c r="N1948" s="22"/>
      <c r="O1948" s="30">
        <f t="shared" si="224"/>
        <v>0.25130208333333331</v>
      </c>
    </row>
    <row r="1949" spans="1:15" ht="19.5" customHeight="1" x14ac:dyDescent="0.25">
      <c r="A1949" s="33">
        <v>888</v>
      </c>
      <c r="B1949" s="9">
        <v>44460</v>
      </c>
      <c r="C1949" s="20" t="s">
        <v>505</v>
      </c>
      <c r="D1949" s="3">
        <v>673676.4</v>
      </c>
      <c r="E1949" s="9">
        <v>44460</v>
      </c>
      <c r="F1949" s="15" t="s">
        <v>28</v>
      </c>
      <c r="G1949" s="12">
        <v>44468</v>
      </c>
      <c r="H1949" s="23">
        <f t="shared" si="220"/>
        <v>673676.4</v>
      </c>
      <c r="I1949" s="23">
        <f>H1949</f>
        <v>673676.4</v>
      </c>
      <c r="J1949" s="23"/>
      <c r="K1949" s="24"/>
      <c r="L1949" s="22">
        <v>545244</v>
      </c>
      <c r="M1949" s="22">
        <f t="shared" si="223"/>
        <v>128432.40000000002</v>
      </c>
      <c r="N1949" s="23">
        <f>M1949</f>
        <v>128432.40000000002</v>
      </c>
      <c r="O1949" s="30">
        <f t="shared" si="224"/>
        <v>0.19064405402950144</v>
      </c>
    </row>
    <row r="1950" spans="1:15" ht="20.100000000000001" customHeight="1" x14ac:dyDescent="0.25">
      <c r="A1950" s="33">
        <v>886</v>
      </c>
      <c r="B1950" s="9">
        <v>44446</v>
      </c>
      <c r="C1950" s="18" t="s">
        <v>13</v>
      </c>
      <c r="D1950" s="3">
        <v>108458</v>
      </c>
      <c r="E1950" s="9">
        <v>44460</v>
      </c>
      <c r="F1950" s="15" t="s">
        <v>28</v>
      </c>
      <c r="G1950" s="12">
        <v>44467</v>
      </c>
      <c r="H1950" s="23">
        <f t="shared" si="220"/>
        <v>108458</v>
      </c>
      <c r="I1950" s="23"/>
      <c r="J1950" s="23"/>
      <c r="K1950" s="24"/>
      <c r="L1950" s="22">
        <v>73023.14</v>
      </c>
      <c r="M1950" s="22">
        <f t="shared" si="223"/>
        <v>35434.86</v>
      </c>
      <c r="N1950" s="22"/>
      <c r="O1950" s="30">
        <f t="shared" si="224"/>
        <v>0.32671504176732008</v>
      </c>
    </row>
    <row r="1951" spans="1:15" ht="19.5" customHeight="1" x14ac:dyDescent="0.25">
      <c r="A1951" s="33">
        <v>1002</v>
      </c>
      <c r="B1951" s="9">
        <v>44460</v>
      </c>
      <c r="C1951" s="18" t="s">
        <v>216</v>
      </c>
      <c r="D1951" s="3">
        <v>3432</v>
      </c>
      <c r="E1951" s="9">
        <v>44460</v>
      </c>
      <c r="F1951" s="15" t="s">
        <v>28</v>
      </c>
      <c r="G1951" s="12">
        <v>44460</v>
      </c>
      <c r="H1951" s="23">
        <f t="shared" si="220"/>
        <v>3432</v>
      </c>
      <c r="I1951" s="23"/>
      <c r="J1951" s="23"/>
      <c r="K1951" s="24"/>
      <c r="L1951" s="22">
        <v>1992</v>
      </c>
      <c r="M1951" s="22">
        <f t="shared" si="223"/>
        <v>1440</v>
      </c>
      <c r="N1951" s="22"/>
      <c r="O1951" s="30">
        <f t="shared" si="224"/>
        <v>0.41958041958041958</v>
      </c>
    </row>
    <row r="1952" spans="1:15" ht="19.5" customHeight="1" x14ac:dyDescent="0.25">
      <c r="A1952" s="33">
        <v>1007</v>
      </c>
      <c r="B1952" s="9">
        <v>44460</v>
      </c>
      <c r="C1952" s="18" t="s">
        <v>166</v>
      </c>
      <c r="D1952" s="3">
        <v>8910</v>
      </c>
      <c r="E1952" s="9">
        <v>44461</v>
      </c>
      <c r="F1952" s="15" t="s">
        <v>28</v>
      </c>
      <c r="G1952" s="12">
        <v>44462</v>
      </c>
      <c r="H1952" s="23">
        <f t="shared" si="220"/>
        <v>8910</v>
      </c>
      <c r="I1952" s="23"/>
      <c r="J1952" s="23"/>
      <c r="K1952" s="24"/>
      <c r="L1952" s="22">
        <v>6949</v>
      </c>
      <c r="M1952" s="22">
        <f t="shared" ref="M1952:M1959" si="225">H1952-L1952-J1952-K1952</f>
        <v>1961</v>
      </c>
      <c r="N1952" s="22"/>
      <c r="O1952" s="30">
        <f t="shared" ref="O1952:O1959" si="226">M1952/H1952</f>
        <v>0.22008978675645341</v>
      </c>
    </row>
    <row r="1953" spans="1:15" ht="19.5" customHeight="1" x14ac:dyDescent="0.25">
      <c r="A1953" s="33">
        <v>1009</v>
      </c>
      <c r="B1953" s="9">
        <v>44460</v>
      </c>
      <c r="C1953" s="18" t="s">
        <v>166</v>
      </c>
      <c r="D1953" s="3">
        <v>5000</v>
      </c>
      <c r="E1953" s="9">
        <v>44461</v>
      </c>
      <c r="F1953" s="15" t="s">
        <v>28</v>
      </c>
      <c r="G1953" s="12">
        <v>44474</v>
      </c>
      <c r="H1953" s="23">
        <f t="shared" si="220"/>
        <v>5000</v>
      </c>
      <c r="I1953" s="23"/>
      <c r="J1953" s="23"/>
      <c r="K1953" s="24">
        <v>600</v>
      </c>
      <c r="L1953" s="22">
        <v>2108</v>
      </c>
      <c r="M1953" s="22">
        <f t="shared" si="225"/>
        <v>2292</v>
      </c>
      <c r="N1953" s="22"/>
      <c r="O1953" s="30">
        <f t="shared" si="226"/>
        <v>0.45839999999999997</v>
      </c>
    </row>
    <row r="1954" spans="1:15" ht="19.5" customHeight="1" x14ac:dyDescent="0.25">
      <c r="A1954" s="33">
        <v>1014</v>
      </c>
      <c r="B1954" s="9">
        <v>44461</v>
      </c>
      <c r="C1954" s="18" t="s">
        <v>435</v>
      </c>
      <c r="D1954" s="3">
        <v>2990</v>
      </c>
      <c r="E1954" s="9">
        <v>44461</v>
      </c>
      <c r="F1954" s="15" t="s">
        <v>28</v>
      </c>
      <c r="G1954" s="12">
        <v>44466</v>
      </c>
      <c r="H1954" s="23">
        <f t="shared" si="220"/>
        <v>2990</v>
      </c>
      <c r="I1954" s="23"/>
      <c r="J1954" s="23"/>
      <c r="K1954" s="24"/>
      <c r="L1954" s="22">
        <v>1330.42</v>
      </c>
      <c r="M1954" s="22">
        <f t="shared" si="225"/>
        <v>1659.58</v>
      </c>
      <c r="N1954" s="22"/>
      <c r="O1954" s="30">
        <f t="shared" si="226"/>
        <v>0.55504347826086953</v>
      </c>
    </row>
    <row r="1955" spans="1:15" ht="19.5" customHeight="1" x14ac:dyDescent="0.25">
      <c r="A1955" s="33">
        <v>824</v>
      </c>
      <c r="B1955" s="9">
        <v>44414</v>
      </c>
      <c r="C1955" s="18" t="s">
        <v>56</v>
      </c>
      <c r="D1955" s="3">
        <v>56873</v>
      </c>
      <c r="E1955" s="9">
        <v>44462</v>
      </c>
      <c r="F1955" s="15" t="s">
        <v>28</v>
      </c>
      <c r="G1955" s="12">
        <v>44452</v>
      </c>
      <c r="H1955" s="23">
        <f t="shared" si="220"/>
        <v>56873</v>
      </c>
      <c r="I1955" s="23"/>
      <c r="J1955" s="23"/>
      <c r="K1955" s="24"/>
      <c r="L1955" s="22">
        <v>39844</v>
      </c>
      <c r="M1955" s="22">
        <f t="shared" si="225"/>
        <v>17029</v>
      </c>
      <c r="N1955" s="22"/>
      <c r="O1955" s="30">
        <f t="shared" si="226"/>
        <v>0.2994215181193185</v>
      </c>
    </row>
    <row r="1956" spans="1:15" ht="19.5" customHeight="1" x14ac:dyDescent="0.25">
      <c r="A1956" s="33">
        <v>846</v>
      </c>
      <c r="B1956" s="9">
        <v>44420</v>
      </c>
      <c r="C1956" s="18" t="s">
        <v>56</v>
      </c>
      <c r="D1956" s="3">
        <v>22890</v>
      </c>
      <c r="E1956" s="9">
        <v>44462</v>
      </c>
      <c r="F1956" s="15" t="s">
        <v>28</v>
      </c>
      <c r="G1956" s="12">
        <v>44452</v>
      </c>
      <c r="H1956" s="23">
        <f t="shared" si="220"/>
        <v>22890</v>
      </c>
      <c r="I1956" s="23"/>
      <c r="J1956" s="23"/>
      <c r="K1956" s="24"/>
      <c r="L1956" s="22">
        <v>15105</v>
      </c>
      <c r="M1956" s="22">
        <f t="shared" si="225"/>
        <v>7785</v>
      </c>
      <c r="N1956" s="22"/>
      <c r="O1956" s="30">
        <f t="shared" si="226"/>
        <v>0.34010484927916118</v>
      </c>
    </row>
    <row r="1957" spans="1:15" ht="19.5" customHeight="1" x14ac:dyDescent="0.25">
      <c r="A1957" s="33">
        <v>1004</v>
      </c>
      <c r="B1957" s="9">
        <v>44460</v>
      </c>
      <c r="C1957" s="18" t="s">
        <v>372</v>
      </c>
      <c r="D1957" s="3">
        <v>9071</v>
      </c>
      <c r="E1957" s="9">
        <v>44462</v>
      </c>
      <c r="F1957" s="15" t="s">
        <v>28</v>
      </c>
      <c r="G1957" s="12">
        <v>44463</v>
      </c>
      <c r="H1957" s="23">
        <f t="shared" si="220"/>
        <v>9071</v>
      </c>
      <c r="I1957" s="23"/>
      <c r="J1957" s="23"/>
      <c r="K1957" s="24"/>
      <c r="L1957" s="22">
        <v>5644</v>
      </c>
      <c r="M1957" s="22">
        <f t="shared" si="225"/>
        <v>3427</v>
      </c>
      <c r="N1957" s="22"/>
      <c r="O1957" s="30">
        <f t="shared" si="226"/>
        <v>0.37779737625399623</v>
      </c>
    </row>
    <row r="1958" spans="1:15" ht="19.5" customHeight="1" x14ac:dyDescent="0.25">
      <c r="A1958" s="33">
        <v>725</v>
      </c>
      <c r="B1958" s="9">
        <v>44393</v>
      </c>
      <c r="C1958" s="18" t="s">
        <v>99</v>
      </c>
      <c r="D1958" s="3">
        <v>81000</v>
      </c>
      <c r="E1958" s="9">
        <v>44462</v>
      </c>
      <c r="F1958" s="15" t="s">
        <v>28</v>
      </c>
      <c r="G1958" s="12">
        <v>44433</v>
      </c>
      <c r="H1958" s="23">
        <f t="shared" si="220"/>
        <v>81000</v>
      </c>
      <c r="I1958" s="23"/>
      <c r="J1958" s="23">
        <v>9000</v>
      </c>
      <c r="K1958" s="24"/>
      <c r="L1958" s="22">
        <v>46600</v>
      </c>
      <c r="M1958" s="22">
        <f t="shared" si="225"/>
        <v>25400</v>
      </c>
      <c r="N1958" s="22"/>
      <c r="O1958" s="30">
        <f t="shared" si="226"/>
        <v>0.31358024691358027</v>
      </c>
    </row>
    <row r="1959" spans="1:15" ht="19.5" customHeight="1" x14ac:dyDescent="0.25">
      <c r="A1959" s="33">
        <v>867</v>
      </c>
      <c r="B1959" s="9">
        <v>44426</v>
      </c>
      <c r="C1959" s="18" t="s">
        <v>65</v>
      </c>
      <c r="D1959" s="3">
        <v>97728</v>
      </c>
      <c r="E1959" s="9">
        <v>44463</v>
      </c>
      <c r="F1959" s="15" t="s">
        <v>28</v>
      </c>
      <c r="G1959" s="12">
        <v>44427</v>
      </c>
      <c r="H1959" s="23">
        <v>24432</v>
      </c>
      <c r="I1959" s="23"/>
      <c r="J1959" s="23"/>
      <c r="K1959" s="24"/>
      <c r="L1959" s="22">
        <f>12732+1800</f>
        <v>14532</v>
      </c>
      <c r="M1959" s="22">
        <f t="shared" si="225"/>
        <v>9900</v>
      </c>
      <c r="N1959" s="22"/>
      <c r="O1959" s="30">
        <f t="shared" si="226"/>
        <v>0.40520628683693516</v>
      </c>
    </row>
    <row r="1960" spans="1:15" ht="20.100000000000001" customHeight="1" x14ac:dyDescent="0.25">
      <c r="A1960" s="33">
        <v>1020</v>
      </c>
      <c r="B1960" s="9">
        <v>44466</v>
      </c>
      <c r="C1960" s="18" t="s">
        <v>410</v>
      </c>
      <c r="D1960" s="3">
        <v>26127</v>
      </c>
      <c r="E1960" s="9">
        <v>44466</v>
      </c>
      <c r="F1960" s="15" t="s">
        <v>28</v>
      </c>
      <c r="G1960" s="12">
        <v>44491</v>
      </c>
      <c r="H1960" s="23">
        <f t="shared" si="220"/>
        <v>26127</v>
      </c>
      <c r="I1960" s="23"/>
      <c r="J1960" s="23"/>
      <c r="K1960" s="24"/>
      <c r="L1960" s="22">
        <v>17244</v>
      </c>
      <c r="M1960" s="22">
        <f>H1960-L1960-J1960-K1960</f>
        <v>8883</v>
      </c>
      <c r="N1960" s="22"/>
      <c r="O1960" s="30">
        <f>M1960/H1960</f>
        <v>0.33999311057526699</v>
      </c>
    </row>
    <row r="1961" spans="1:15" ht="20.100000000000001" customHeight="1" x14ac:dyDescent="0.25">
      <c r="A1961" s="33">
        <v>583</v>
      </c>
      <c r="B1961" s="9">
        <v>44419</v>
      </c>
      <c r="C1961" s="18" t="s">
        <v>275</v>
      </c>
      <c r="D1961" s="3">
        <v>117750</v>
      </c>
      <c r="E1961" s="9">
        <v>44467</v>
      </c>
      <c r="F1961" s="15" t="s">
        <v>28</v>
      </c>
      <c r="G1961" s="12">
        <v>44434</v>
      </c>
      <c r="H1961" s="23">
        <f t="shared" si="220"/>
        <v>117750</v>
      </c>
      <c r="I1961" s="23"/>
      <c r="J1961" s="23"/>
      <c r="K1961" s="24"/>
      <c r="L1961" s="22">
        <v>86514.75</v>
      </c>
      <c r="M1961" s="22">
        <f>H1961-L1961-J1961-K1961</f>
        <v>31235.25</v>
      </c>
      <c r="N1961" s="22"/>
      <c r="O1961" s="30">
        <f>M1961/H1961</f>
        <v>0.2652675159235669</v>
      </c>
    </row>
    <row r="1962" spans="1:15" ht="20.100000000000001" customHeight="1" x14ac:dyDescent="0.25">
      <c r="A1962" s="33">
        <v>867</v>
      </c>
      <c r="B1962" s="9">
        <v>44426</v>
      </c>
      <c r="C1962" s="18" t="s">
        <v>65</v>
      </c>
      <c r="D1962" s="3">
        <v>97728</v>
      </c>
      <c r="E1962" s="9">
        <v>44467</v>
      </c>
      <c r="F1962" s="15" t="s">
        <v>28</v>
      </c>
      <c r="G1962" s="12">
        <v>44433</v>
      </c>
      <c r="H1962" s="23">
        <v>73296</v>
      </c>
      <c r="I1962" s="23"/>
      <c r="J1962" s="23"/>
      <c r="K1962" s="24"/>
      <c r="L1962" s="22">
        <f>30366+5400</f>
        <v>35766</v>
      </c>
      <c r="M1962" s="22">
        <f>H1962-L1962-J1962-K1962</f>
        <v>37530</v>
      </c>
      <c r="N1962" s="22"/>
      <c r="O1962" s="30">
        <f>M1962/H1962</f>
        <v>0.51203339882121812</v>
      </c>
    </row>
    <row r="1963" spans="1:15" ht="20.100000000000001" customHeight="1" x14ac:dyDescent="0.25">
      <c r="A1963" s="33">
        <v>1026</v>
      </c>
      <c r="B1963" s="9">
        <v>44468</v>
      </c>
      <c r="C1963" s="18" t="s">
        <v>507</v>
      </c>
      <c r="D1963" s="3">
        <v>12990</v>
      </c>
      <c r="E1963" s="9">
        <v>44468</v>
      </c>
      <c r="F1963" s="15" t="s">
        <v>28</v>
      </c>
      <c r="G1963" s="12">
        <v>44468</v>
      </c>
      <c r="H1963" s="23">
        <f t="shared" si="220"/>
        <v>12990</v>
      </c>
      <c r="I1963" s="23"/>
      <c r="J1963" s="23"/>
      <c r="K1963" s="24"/>
      <c r="L1963" s="22">
        <v>9612</v>
      </c>
      <c r="M1963" s="22">
        <f>H1963-L1963-J1963-K1963</f>
        <v>3378</v>
      </c>
      <c r="N1963" s="22"/>
      <c r="O1963" s="30">
        <f>M1963/H1963</f>
        <v>0.26004618937644342</v>
      </c>
    </row>
    <row r="1964" spans="1:15" ht="20.100000000000001" customHeight="1" x14ac:dyDescent="0.25">
      <c r="A1964" s="35" t="s">
        <v>535</v>
      </c>
      <c r="B1964" s="36"/>
      <c r="C1964" s="42"/>
      <c r="D1964" s="37"/>
      <c r="E1964" s="46" t="s">
        <v>595</v>
      </c>
      <c r="F1964" s="47">
        <f>M1964*0.17+N1964*0.06</f>
        <v>67121.897900000011</v>
      </c>
      <c r="G1964" s="21">
        <f>H1964*0.04+I1964*0.02</f>
        <v>67817.263999999996</v>
      </c>
      <c r="H1964" s="49">
        <f>SUBTOTAL(109,Сентябрь2021[Продажа])</f>
        <v>1356093.4</v>
      </c>
      <c r="I1964" s="49">
        <f>SUBTOTAL(109,Сентябрь2021[Продажа НК])</f>
        <v>678676.4</v>
      </c>
      <c r="J1964" s="49">
        <f>SUBTOTAL(109,Сентябрь2021[отк])</f>
        <v>9000</v>
      </c>
      <c r="K1964" s="49">
        <f>SUBTOTAL(109,Сентябрь2021[шланги])</f>
        <v>1200</v>
      </c>
      <c r="L1964" s="49">
        <f>SUBTOTAL(109,Сентябрь2021[Закупка])</f>
        <v>997196.7300000001</v>
      </c>
      <c r="M1964" s="49">
        <f>SUBTOTAL(109,Сентябрь2021[Маржа])</f>
        <v>348696.67000000004</v>
      </c>
      <c r="N1964" s="49">
        <f>SUBTOTAL(109,Сентябрь2021[Маржа НК])</f>
        <v>130724.40000000002</v>
      </c>
      <c r="O1964" s="44">
        <f>M1964/H1964</f>
        <v>0.25713322548432138</v>
      </c>
    </row>
    <row r="1965" spans="1:15" ht="20.100000000000001" customHeight="1" x14ac:dyDescent="0.25">
      <c r="A1965" s="41" t="s">
        <v>1</v>
      </c>
      <c r="B1965" s="1" t="s">
        <v>0</v>
      </c>
      <c r="C1965" s="1" t="s">
        <v>26</v>
      </c>
      <c r="D1965" s="1" t="s">
        <v>2</v>
      </c>
      <c r="E1965" s="1" t="s">
        <v>3</v>
      </c>
      <c r="F1965" s="1" t="s">
        <v>27</v>
      </c>
      <c r="G1965" s="1" t="s">
        <v>4</v>
      </c>
      <c r="H1965" s="2" t="s">
        <v>132</v>
      </c>
      <c r="I1965" s="2" t="s">
        <v>133</v>
      </c>
      <c r="J1965" s="40" t="s">
        <v>187</v>
      </c>
      <c r="K1965" s="40" t="s">
        <v>188</v>
      </c>
      <c r="L1965" s="40" t="s">
        <v>129</v>
      </c>
      <c r="M1965" s="40" t="s">
        <v>130</v>
      </c>
      <c r="N1965" s="2" t="s">
        <v>131</v>
      </c>
      <c r="O1965" s="2" t="s">
        <v>134</v>
      </c>
    </row>
    <row r="1966" spans="1:15" ht="20.100000000000001" customHeight="1" x14ac:dyDescent="0.25">
      <c r="A1966" s="33">
        <v>1029</v>
      </c>
      <c r="B1966" s="9">
        <v>44469</v>
      </c>
      <c r="C1966" s="18" t="s">
        <v>270</v>
      </c>
      <c r="D1966" s="3">
        <v>432</v>
      </c>
      <c r="E1966" s="9">
        <v>44470</v>
      </c>
      <c r="F1966" s="15" t="s">
        <v>28</v>
      </c>
      <c r="G1966" s="12">
        <v>44557</v>
      </c>
      <c r="H1966" s="23">
        <f t="shared" ref="H1966:H1985" si="227">D1966</f>
        <v>432</v>
      </c>
      <c r="I1966" s="23"/>
      <c r="J1966" s="23"/>
      <c r="K1966" s="24"/>
      <c r="L1966" s="22">
        <v>285</v>
      </c>
      <c r="M1966" s="22">
        <f t="shared" ref="M1966:M1985" si="228">H1966-L1966-J1966-K1966</f>
        <v>147</v>
      </c>
      <c r="N1966" s="22"/>
      <c r="O1966" s="30">
        <f t="shared" ref="O1966:O1986" si="229">M1966/H1966</f>
        <v>0.34027777777777779</v>
      </c>
    </row>
    <row r="1967" spans="1:15" ht="19.5" customHeight="1" x14ac:dyDescent="0.25">
      <c r="A1967" s="33">
        <v>1035</v>
      </c>
      <c r="B1967" s="9">
        <v>44473</v>
      </c>
      <c r="C1967" s="18" t="s">
        <v>461</v>
      </c>
      <c r="D1967" s="3">
        <v>32158</v>
      </c>
      <c r="E1967" s="9">
        <v>44473</v>
      </c>
      <c r="F1967" s="15" t="s">
        <v>28</v>
      </c>
      <c r="G1967" s="12">
        <v>44482</v>
      </c>
      <c r="H1967" s="23">
        <f t="shared" si="227"/>
        <v>32158</v>
      </c>
      <c r="I1967" s="23"/>
      <c r="J1967" s="23"/>
      <c r="K1967" s="24"/>
      <c r="L1967" s="22">
        <v>23012.3</v>
      </c>
      <c r="M1967" s="22">
        <f t="shared" si="228"/>
        <v>9145.7000000000007</v>
      </c>
      <c r="N1967" s="22"/>
      <c r="O1967" s="30">
        <f t="shared" si="229"/>
        <v>0.28439890540456497</v>
      </c>
    </row>
    <row r="1968" spans="1:15" ht="19.5" customHeight="1" x14ac:dyDescent="0.25">
      <c r="A1968" s="33">
        <v>1037</v>
      </c>
      <c r="B1968" s="9">
        <v>44473</v>
      </c>
      <c r="C1968" s="18" t="s">
        <v>16</v>
      </c>
      <c r="D1968" s="3">
        <v>1299887.1200000001</v>
      </c>
      <c r="E1968" s="9">
        <v>44475</v>
      </c>
      <c r="F1968" s="15" t="s">
        <v>28</v>
      </c>
      <c r="G1968" s="12">
        <v>44476</v>
      </c>
      <c r="H1968" s="23">
        <v>1001096.12</v>
      </c>
      <c r="I1968" s="23"/>
      <c r="J1968" s="23"/>
      <c r="K1968" s="24"/>
      <c r="L1968" s="22">
        <v>892167</v>
      </c>
      <c r="M1968" s="22">
        <f t="shared" si="228"/>
        <v>108929.12</v>
      </c>
      <c r="N1968" s="22"/>
      <c r="O1968" s="30">
        <f t="shared" si="229"/>
        <v>0.10880985134574291</v>
      </c>
    </row>
    <row r="1969" spans="1:15" ht="19.5" customHeight="1" x14ac:dyDescent="0.25">
      <c r="A1969" s="33">
        <v>1036</v>
      </c>
      <c r="B1969" s="9">
        <v>44473</v>
      </c>
      <c r="C1969" s="18" t="s">
        <v>169</v>
      </c>
      <c r="D1969" s="3">
        <v>24080</v>
      </c>
      <c r="E1969" s="9">
        <v>44475</v>
      </c>
      <c r="F1969" s="15" t="s">
        <v>28</v>
      </c>
      <c r="G1969" s="12">
        <v>44477</v>
      </c>
      <c r="H1969" s="23">
        <f t="shared" si="227"/>
        <v>24080</v>
      </c>
      <c r="I1969" s="23"/>
      <c r="J1969" s="23"/>
      <c r="K1969" s="24">
        <v>1200</v>
      </c>
      <c r="L1969" s="22">
        <v>16638.86</v>
      </c>
      <c r="M1969" s="22">
        <f t="shared" si="228"/>
        <v>6241.1399999999994</v>
      </c>
      <c r="N1969" s="22"/>
      <c r="O1969" s="30">
        <f t="shared" si="229"/>
        <v>0.25918355481727573</v>
      </c>
    </row>
    <row r="1970" spans="1:15" ht="19.5" customHeight="1" x14ac:dyDescent="0.25">
      <c r="A1970" s="33">
        <v>1043</v>
      </c>
      <c r="B1970" s="9">
        <v>44474</v>
      </c>
      <c r="C1970" s="18" t="s">
        <v>139</v>
      </c>
      <c r="D1970" s="3">
        <v>36864</v>
      </c>
      <c r="E1970" s="9">
        <v>44475</v>
      </c>
      <c r="F1970" s="15" t="s">
        <v>28</v>
      </c>
      <c r="G1970" s="12">
        <v>44496</v>
      </c>
      <c r="H1970" s="23">
        <f t="shared" si="227"/>
        <v>36864</v>
      </c>
      <c r="I1970" s="23"/>
      <c r="J1970" s="23"/>
      <c r="K1970" s="24"/>
      <c r="L1970" s="22">
        <v>27600</v>
      </c>
      <c r="M1970" s="22">
        <f t="shared" si="228"/>
        <v>9264</v>
      </c>
      <c r="N1970" s="22"/>
      <c r="O1970" s="30">
        <f t="shared" si="229"/>
        <v>0.25130208333333331</v>
      </c>
    </row>
    <row r="1971" spans="1:15" ht="15.75" x14ac:dyDescent="0.25">
      <c r="A1971" s="33">
        <v>678</v>
      </c>
      <c r="B1971" s="9">
        <v>44384</v>
      </c>
      <c r="C1971" s="18" t="s">
        <v>66</v>
      </c>
      <c r="D1971" s="3">
        <v>13157.5</v>
      </c>
      <c r="E1971" s="9">
        <v>44476</v>
      </c>
      <c r="F1971" s="15" t="s">
        <v>28</v>
      </c>
      <c r="G1971" s="12">
        <v>44385</v>
      </c>
      <c r="H1971" s="23">
        <f t="shared" si="227"/>
        <v>13157.5</v>
      </c>
      <c r="I1971" s="23"/>
      <c r="J1971" s="23"/>
      <c r="K1971" s="24"/>
      <c r="L1971" s="23">
        <v>9747</v>
      </c>
      <c r="M1971" s="22">
        <f t="shared" si="228"/>
        <v>3410.5</v>
      </c>
      <c r="N1971" s="22"/>
      <c r="O1971" s="30">
        <f t="shared" si="229"/>
        <v>0.25920577617328522</v>
      </c>
    </row>
    <row r="1972" spans="1:15" s="2" customFormat="1" ht="20.100000000000001" customHeight="1" x14ac:dyDescent="0.25">
      <c r="A1972" s="33">
        <v>1034</v>
      </c>
      <c r="B1972" s="9">
        <v>44470</v>
      </c>
      <c r="C1972" s="18" t="s">
        <v>77</v>
      </c>
      <c r="D1972" s="3">
        <v>4208</v>
      </c>
      <c r="E1972" s="9">
        <v>44476</v>
      </c>
      <c r="F1972" s="15" t="s">
        <v>28</v>
      </c>
      <c r="G1972" s="12">
        <v>44385</v>
      </c>
      <c r="H1972" s="23">
        <f t="shared" si="227"/>
        <v>4208</v>
      </c>
      <c r="I1972" s="23"/>
      <c r="J1972" s="23"/>
      <c r="K1972" s="24"/>
      <c r="L1972" s="23">
        <v>3282</v>
      </c>
      <c r="M1972" s="22">
        <f t="shared" si="228"/>
        <v>926</v>
      </c>
      <c r="N1972" s="22"/>
      <c r="O1972" s="30">
        <f t="shared" si="229"/>
        <v>0.22005703422053233</v>
      </c>
    </row>
    <row r="1973" spans="1:15" ht="20.100000000000001" customHeight="1" x14ac:dyDescent="0.25">
      <c r="A1973" s="33">
        <v>965</v>
      </c>
      <c r="B1973" s="9">
        <v>44447</v>
      </c>
      <c r="C1973" s="18" t="s">
        <v>66</v>
      </c>
      <c r="D1973" s="3">
        <v>24812</v>
      </c>
      <c r="E1973" s="9">
        <v>44477</v>
      </c>
      <c r="F1973" s="15" t="s">
        <v>28</v>
      </c>
      <c r="G1973" s="12">
        <v>44488</v>
      </c>
      <c r="H1973" s="23">
        <f t="shared" si="227"/>
        <v>24812</v>
      </c>
      <c r="I1973" s="23"/>
      <c r="J1973" s="23"/>
      <c r="K1973" s="24"/>
      <c r="L1973" s="23">
        <v>19108</v>
      </c>
      <c r="M1973" s="22">
        <f t="shared" si="228"/>
        <v>5704</v>
      </c>
      <c r="N1973" s="22"/>
      <c r="O1973" s="30">
        <f t="shared" si="229"/>
        <v>0.22988876350153151</v>
      </c>
    </row>
    <row r="1974" spans="1:15" ht="20.100000000000001" customHeight="1" x14ac:dyDescent="0.25">
      <c r="A1974" s="33">
        <v>1023</v>
      </c>
      <c r="B1974" s="9">
        <v>44467</v>
      </c>
      <c r="C1974" s="18" t="s">
        <v>392</v>
      </c>
      <c r="D1974" s="3">
        <v>16292</v>
      </c>
      <c r="E1974" s="9">
        <v>44477</v>
      </c>
      <c r="F1974" s="15" t="s">
        <v>28</v>
      </c>
      <c r="G1974" s="12">
        <v>44508</v>
      </c>
      <c r="H1974" s="23">
        <f t="shared" si="227"/>
        <v>16292</v>
      </c>
      <c r="I1974" s="23"/>
      <c r="J1974" s="23"/>
      <c r="K1974" s="24"/>
      <c r="L1974" s="23">
        <v>10753</v>
      </c>
      <c r="M1974" s="22">
        <f t="shared" si="228"/>
        <v>5539</v>
      </c>
      <c r="N1974" s="22"/>
      <c r="O1974" s="30">
        <f t="shared" si="229"/>
        <v>0.33998281365087157</v>
      </c>
    </row>
    <row r="1975" spans="1:15" ht="20.100000000000001" customHeight="1" x14ac:dyDescent="0.25">
      <c r="A1975" s="33">
        <v>1050</v>
      </c>
      <c r="B1975" s="9">
        <v>44477</v>
      </c>
      <c r="C1975" s="18" t="s">
        <v>16</v>
      </c>
      <c r="D1975" s="3">
        <v>6770</v>
      </c>
      <c r="E1975" s="9">
        <v>44480</v>
      </c>
      <c r="F1975" s="15" t="s">
        <v>28</v>
      </c>
      <c r="G1975" s="12">
        <v>44495</v>
      </c>
      <c r="H1975" s="23">
        <f t="shared" si="227"/>
        <v>6770</v>
      </c>
      <c r="I1975" s="23"/>
      <c r="J1975" s="23"/>
      <c r="K1975" s="24"/>
      <c r="L1975" s="23">
        <v>5280</v>
      </c>
      <c r="M1975" s="22">
        <f t="shared" si="228"/>
        <v>1490</v>
      </c>
      <c r="N1975" s="22"/>
      <c r="O1975" s="30">
        <f t="shared" si="229"/>
        <v>0.22008862629246675</v>
      </c>
    </row>
    <row r="1976" spans="1:15" ht="20.100000000000001" customHeight="1" x14ac:dyDescent="0.25">
      <c r="A1976" s="33">
        <v>1063</v>
      </c>
      <c r="B1976" s="9">
        <v>44482</v>
      </c>
      <c r="C1976" s="18" t="s">
        <v>124</v>
      </c>
      <c r="D1976" s="3">
        <v>8110</v>
      </c>
      <c r="E1976" s="9">
        <v>44482</v>
      </c>
      <c r="F1976" s="15" t="s">
        <v>28</v>
      </c>
      <c r="G1976" s="12">
        <v>44482</v>
      </c>
      <c r="H1976" s="23">
        <f t="shared" si="227"/>
        <v>8110</v>
      </c>
      <c r="I1976" s="23"/>
      <c r="J1976" s="23"/>
      <c r="K1976" s="24"/>
      <c r="L1976" s="23">
        <v>5904</v>
      </c>
      <c r="M1976" s="22">
        <f t="shared" si="228"/>
        <v>2206</v>
      </c>
      <c r="N1976" s="22"/>
      <c r="O1976" s="30">
        <f t="shared" si="229"/>
        <v>0.27200986436498148</v>
      </c>
    </row>
    <row r="1977" spans="1:15" ht="20.100000000000001" customHeight="1" x14ac:dyDescent="0.25">
      <c r="A1977" s="33">
        <v>1074</v>
      </c>
      <c r="B1977" s="9">
        <v>44484</v>
      </c>
      <c r="C1977" s="18" t="s">
        <v>492</v>
      </c>
      <c r="D1977" s="3">
        <v>10211</v>
      </c>
      <c r="E1977" s="9">
        <v>44484</v>
      </c>
      <c r="F1977" s="15" t="s">
        <v>28</v>
      </c>
      <c r="G1977" s="12">
        <v>44488</v>
      </c>
      <c r="H1977" s="23">
        <f t="shared" si="227"/>
        <v>10211</v>
      </c>
      <c r="I1977" s="23"/>
      <c r="J1977" s="23"/>
      <c r="K1977" s="24"/>
      <c r="L1977" s="23">
        <v>7546</v>
      </c>
      <c r="M1977" s="22">
        <f t="shared" si="228"/>
        <v>2665</v>
      </c>
      <c r="N1977" s="22"/>
      <c r="O1977" s="30">
        <f t="shared" si="229"/>
        <v>0.26099304671432766</v>
      </c>
    </row>
    <row r="1978" spans="1:15" ht="20.100000000000001" customHeight="1" x14ac:dyDescent="0.25">
      <c r="A1978" s="33">
        <v>1083</v>
      </c>
      <c r="B1978" s="9">
        <v>44487</v>
      </c>
      <c r="C1978" s="18" t="s">
        <v>410</v>
      </c>
      <c r="D1978" s="3">
        <v>36644</v>
      </c>
      <c r="E1978" s="9">
        <v>44488</v>
      </c>
      <c r="F1978" s="15" t="s">
        <v>28</v>
      </c>
      <c r="G1978" s="12">
        <v>44557</v>
      </c>
      <c r="H1978" s="23">
        <f t="shared" si="227"/>
        <v>36644</v>
      </c>
      <c r="I1978" s="23"/>
      <c r="J1978" s="23"/>
      <c r="K1978" s="24"/>
      <c r="L1978" s="23">
        <v>25710</v>
      </c>
      <c r="M1978" s="22">
        <f t="shared" si="228"/>
        <v>10934</v>
      </c>
      <c r="N1978" s="22"/>
      <c r="O1978" s="30">
        <f t="shared" si="229"/>
        <v>0.29838445584543172</v>
      </c>
    </row>
    <row r="1979" spans="1:15" ht="20.100000000000001" customHeight="1" x14ac:dyDescent="0.25">
      <c r="A1979" s="33">
        <v>860</v>
      </c>
      <c r="B1979" s="9">
        <v>44431</v>
      </c>
      <c r="C1979" s="18" t="s">
        <v>506</v>
      </c>
      <c r="D1979" s="3">
        <v>44190</v>
      </c>
      <c r="E1979" s="9">
        <v>44491</v>
      </c>
      <c r="F1979" s="15" t="s">
        <v>28</v>
      </c>
      <c r="G1979" s="12">
        <v>44460</v>
      </c>
      <c r="H1979" s="23">
        <f t="shared" si="227"/>
        <v>44190</v>
      </c>
      <c r="I1979" s="23"/>
      <c r="J1979" s="23"/>
      <c r="K1979" s="24"/>
      <c r="L1979" s="22">
        <v>32924</v>
      </c>
      <c r="M1979" s="22">
        <f t="shared" si="228"/>
        <v>11266</v>
      </c>
      <c r="N1979" s="22"/>
      <c r="O1979" s="30">
        <f t="shared" si="229"/>
        <v>0.25494455759221546</v>
      </c>
    </row>
    <row r="1980" spans="1:15" ht="19.5" customHeight="1" x14ac:dyDescent="0.25">
      <c r="A1980" s="33">
        <v>1096</v>
      </c>
      <c r="B1980" s="9">
        <v>44491</v>
      </c>
      <c r="C1980" s="18" t="s">
        <v>403</v>
      </c>
      <c r="D1980" s="3">
        <v>4062</v>
      </c>
      <c r="E1980" s="9">
        <v>44494</v>
      </c>
      <c r="F1980" s="15" t="s">
        <v>28</v>
      </c>
      <c r="G1980" s="12">
        <v>44496</v>
      </c>
      <c r="H1980" s="23">
        <f t="shared" si="227"/>
        <v>4062</v>
      </c>
      <c r="I1980" s="23"/>
      <c r="J1980" s="23"/>
      <c r="K1980" s="24"/>
      <c r="L1980" s="22">
        <v>3127</v>
      </c>
      <c r="M1980" s="22">
        <f t="shared" si="228"/>
        <v>935</v>
      </c>
      <c r="N1980" s="22"/>
      <c r="O1980" s="30">
        <f t="shared" si="229"/>
        <v>0.23018217626784834</v>
      </c>
    </row>
    <row r="1981" spans="1:15" ht="19.5" customHeight="1" x14ac:dyDescent="0.25">
      <c r="A1981" s="33">
        <v>1112</v>
      </c>
      <c r="B1981" s="9">
        <v>44495</v>
      </c>
      <c r="C1981" s="18" t="s">
        <v>149</v>
      </c>
      <c r="D1981" s="3">
        <v>9672</v>
      </c>
      <c r="E1981" s="9">
        <v>44496</v>
      </c>
      <c r="F1981" s="15" t="s">
        <v>28</v>
      </c>
      <c r="G1981" s="12">
        <v>44529</v>
      </c>
      <c r="H1981" s="23">
        <f t="shared" si="227"/>
        <v>9672</v>
      </c>
      <c r="I1981" s="23"/>
      <c r="J1981" s="23"/>
      <c r="K1981" s="24"/>
      <c r="L1981" s="22">
        <v>7542</v>
      </c>
      <c r="M1981" s="22">
        <f t="shared" si="228"/>
        <v>2130</v>
      </c>
      <c r="N1981" s="22"/>
      <c r="O1981" s="30">
        <f t="shared" si="229"/>
        <v>0.22022332506203474</v>
      </c>
    </row>
    <row r="1982" spans="1:15" ht="19.5" customHeight="1" x14ac:dyDescent="0.25">
      <c r="A1982" s="33">
        <v>1061</v>
      </c>
      <c r="B1982" s="9">
        <v>44481</v>
      </c>
      <c r="C1982" s="18" t="s">
        <v>56</v>
      </c>
      <c r="D1982" s="3">
        <v>60638</v>
      </c>
      <c r="E1982" s="9">
        <v>44497</v>
      </c>
      <c r="F1982" s="15" t="s">
        <v>28</v>
      </c>
      <c r="G1982" s="12">
        <v>44494</v>
      </c>
      <c r="H1982" s="23">
        <f t="shared" si="227"/>
        <v>60638</v>
      </c>
      <c r="I1982" s="23"/>
      <c r="J1982" s="23"/>
      <c r="K1982" s="24"/>
      <c r="L1982" s="22">
        <v>42765</v>
      </c>
      <c r="M1982" s="22">
        <f t="shared" si="228"/>
        <v>17873</v>
      </c>
      <c r="N1982" s="22"/>
      <c r="O1982" s="30">
        <f t="shared" si="229"/>
        <v>0.29474916718889144</v>
      </c>
    </row>
    <row r="1983" spans="1:15" ht="19.5" customHeight="1" x14ac:dyDescent="0.25">
      <c r="A1983" s="33">
        <v>998</v>
      </c>
      <c r="B1983" s="9">
        <v>44474</v>
      </c>
      <c r="C1983" s="18" t="s">
        <v>13</v>
      </c>
      <c r="D1983" s="3">
        <v>544275.9</v>
      </c>
      <c r="E1983" s="9">
        <v>44497</v>
      </c>
      <c r="F1983" s="15" t="s">
        <v>28</v>
      </c>
      <c r="G1983" s="12">
        <v>44552</v>
      </c>
      <c r="H1983" s="23">
        <f t="shared" si="227"/>
        <v>544275.9</v>
      </c>
      <c r="I1983" s="23"/>
      <c r="J1983" s="23"/>
      <c r="K1983" s="24"/>
      <c r="L1983" s="22">
        <v>422095</v>
      </c>
      <c r="M1983" s="22">
        <f t="shared" si="228"/>
        <v>122180.90000000002</v>
      </c>
      <c r="N1983" s="22"/>
      <c r="O1983" s="30">
        <f t="shared" si="229"/>
        <v>0.22448339160341294</v>
      </c>
    </row>
    <row r="1984" spans="1:15" ht="19.5" customHeight="1" x14ac:dyDescent="0.25">
      <c r="A1984" s="33">
        <v>932</v>
      </c>
      <c r="B1984" s="9">
        <v>44440</v>
      </c>
      <c r="C1984" s="18" t="s">
        <v>99</v>
      </c>
      <c r="D1984" s="3">
        <v>177100</v>
      </c>
      <c r="E1984" s="9">
        <v>44497</v>
      </c>
      <c r="F1984" s="15" t="s">
        <v>28</v>
      </c>
      <c r="G1984" s="12">
        <v>44473</v>
      </c>
      <c r="H1984" s="23">
        <f t="shared" si="227"/>
        <v>177100</v>
      </c>
      <c r="I1984" s="23"/>
      <c r="J1984" s="23">
        <v>36000</v>
      </c>
      <c r="K1984" s="24"/>
      <c r="L1984" s="22">
        <f>29753+5650</f>
        <v>35403</v>
      </c>
      <c r="M1984" s="22">
        <f t="shared" si="228"/>
        <v>105697</v>
      </c>
      <c r="N1984" s="22"/>
      <c r="O1984" s="30">
        <f t="shared" si="229"/>
        <v>0.59682100508187463</v>
      </c>
    </row>
    <row r="1985" spans="1:15" ht="15.75" x14ac:dyDescent="0.25">
      <c r="A1985" s="33">
        <v>1095</v>
      </c>
      <c r="B1985" s="9">
        <v>44491</v>
      </c>
      <c r="C1985" s="18" t="s">
        <v>13</v>
      </c>
      <c r="D1985" s="3">
        <v>10377</v>
      </c>
      <c r="E1985" s="9">
        <v>44498</v>
      </c>
      <c r="F1985" s="15" t="s">
        <v>28</v>
      </c>
      <c r="G1985" s="12">
        <v>44508</v>
      </c>
      <c r="H1985" s="23">
        <f t="shared" si="227"/>
        <v>10377</v>
      </c>
      <c r="I1985" s="23"/>
      <c r="J1985" s="23"/>
      <c r="K1985" s="24"/>
      <c r="L1985" s="22">
        <v>6150</v>
      </c>
      <c r="M1985" s="22">
        <f t="shared" si="228"/>
        <v>4227</v>
      </c>
      <c r="N1985" s="22"/>
      <c r="O1985" s="30">
        <f t="shared" si="229"/>
        <v>0.40734316276380456</v>
      </c>
    </row>
    <row r="1986" spans="1:15" s="2" customFormat="1" ht="20.100000000000001" customHeight="1" x14ac:dyDescent="0.25">
      <c r="A1986" s="35" t="s">
        <v>535</v>
      </c>
      <c r="B1986" s="36"/>
      <c r="C1986" s="42"/>
      <c r="D1986" s="37"/>
      <c r="E1986" s="46" t="s">
        <v>596</v>
      </c>
      <c r="F1986" s="47">
        <f>M1986*0.17+N1986*0.06</f>
        <v>73254.761200000008</v>
      </c>
      <c r="G1986" s="21">
        <f>H1986*0.04+I1986*0.02</f>
        <v>82605.980800000005</v>
      </c>
      <c r="H1986" s="49">
        <f>SUBTOTAL(109,Октябрь2021[Продажа])</f>
        <v>2065149.52</v>
      </c>
      <c r="I1986" s="49">
        <f>SUBTOTAL(109,Октябрь2021[Продажа НК])</f>
        <v>0</v>
      </c>
      <c r="J1986" s="49">
        <f>SUBTOTAL(109,Октябрь2021[отк])</f>
        <v>36000</v>
      </c>
      <c r="K1986" s="49">
        <f>SUBTOTAL(109,Октябрь2021[шланги])</f>
        <v>1200</v>
      </c>
      <c r="L1986" s="49">
        <f>SUBTOTAL(109,Октябрь2021[Закупка])</f>
        <v>1597039.1600000001</v>
      </c>
      <c r="M1986" s="49">
        <f>SUBTOTAL(109,Октябрь2021[Маржа])</f>
        <v>430910.36</v>
      </c>
      <c r="N1986" s="49">
        <f>SUBTOTAL(109,Октябрь2021[Маржа НК])</f>
        <v>0</v>
      </c>
      <c r="O1986" s="44">
        <f t="shared" si="229"/>
        <v>0.20865818955326779</v>
      </c>
    </row>
    <row r="1987" spans="1:15" ht="20.100000000000001" customHeight="1" x14ac:dyDescent="0.25">
      <c r="A1987" s="41" t="s">
        <v>1</v>
      </c>
      <c r="B1987" s="1" t="s">
        <v>0</v>
      </c>
      <c r="C1987" s="1" t="s">
        <v>26</v>
      </c>
      <c r="D1987" s="1" t="s">
        <v>2</v>
      </c>
      <c r="E1987" s="1" t="s">
        <v>3</v>
      </c>
      <c r="F1987" s="1" t="s">
        <v>27</v>
      </c>
      <c r="G1987" s="1" t="s">
        <v>4</v>
      </c>
      <c r="H1987" s="2" t="s">
        <v>132</v>
      </c>
      <c r="I1987" s="2" t="s">
        <v>133</v>
      </c>
      <c r="J1987" s="40" t="s">
        <v>187</v>
      </c>
      <c r="K1987" s="40" t="s">
        <v>188</v>
      </c>
      <c r="L1987" s="40" t="s">
        <v>129</v>
      </c>
      <c r="M1987" s="40" t="s">
        <v>130</v>
      </c>
      <c r="N1987" s="2" t="s">
        <v>131</v>
      </c>
      <c r="O1987" s="2" t="s">
        <v>134</v>
      </c>
    </row>
    <row r="1988" spans="1:15" ht="20.100000000000001" customHeight="1" x14ac:dyDescent="0.25">
      <c r="A1988" s="33">
        <v>1131</v>
      </c>
      <c r="B1988" s="9">
        <v>44498</v>
      </c>
      <c r="C1988" s="18" t="s">
        <v>206</v>
      </c>
      <c r="D1988" s="3">
        <v>4524</v>
      </c>
      <c r="E1988" s="9">
        <v>44508</v>
      </c>
      <c r="F1988" s="15" t="s">
        <v>28</v>
      </c>
      <c r="G1988" s="12">
        <v>44498</v>
      </c>
      <c r="H1988" s="23">
        <f t="shared" ref="H1988:H2011" si="230">D1988</f>
        <v>4524</v>
      </c>
      <c r="I1988" s="23"/>
      <c r="J1988" s="23"/>
      <c r="K1988" s="24"/>
      <c r="L1988" s="22">
        <v>3528</v>
      </c>
      <c r="M1988" s="22">
        <f t="shared" ref="M1988:M2011" si="231">H1988-L1988-J1988-K1988</f>
        <v>996</v>
      </c>
      <c r="N1988" s="22"/>
      <c r="O1988" s="30">
        <f t="shared" ref="O1988:O2012" si="232">M1988/H1988</f>
        <v>0.22015915119363394</v>
      </c>
    </row>
    <row r="1989" spans="1:15" ht="20.100000000000001" customHeight="1" x14ac:dyDescent="0.25">
      <c r="A1989" s="33">
        <v>1042</v>
      </c>
      <c r="B1989" s="9">
        <v>44474</v>
      </c>
      <c r="C1989" s="18" t="s">
        <v>60</v>
      </c>
      <c r="D1989" s="3">
        <v>28647</v>
      </c>
      <c r="E1989" s="9">
        <v>44509</v>
      </c>
      <c r="F1989" s="15" t="s">
        <v>28</v>
      </c>
      <c r="G1989" s="12">
        <v>44495</v>
      </c>
      <c r="H1989" s="23">
        <f t="shared" si="230"/>
        <v>28647</v>
      </c>
      <c r="I1989" s="23"/>
      <c r="J1989" s="23"/>
      <c r="K1989" s="24"/>
      <c r="L1989" s="22">
        <v>22343</v>
      </c>
      <c r="M1989" s="22">
        <f t="shared" si="231"/>
        <v>6304</v>
      </c>
      <c r="N1989" s="22"/>
      <c r="O1989" s="30">
        <f t="shared" si="232"/>
        <v>0.22005794673089679</v>
      </c>
    </row>
    <row r="1990" spans="1:15" ht="20.100000000000001" customHeight="1" x14ac:dyDescent="0.25">
      <c r="A1990" s="33">
        <v>1149</v>
      </c>
      <c r="B1990" s="9">
        <v>44509</v>
      </c>
      <c r="C1990" s="18" t="s">
        <v>470</v>
      </c>
      <c r="D1990" s="3">
        <v>10000</v>
      </c>
      <c r="E1990" s="9">
        <v>44509</v>
      </c>
      <c r="F1990" s="15" t="s">
        <v>28</v>
      </c>
      <c r="G1990" s="12">
        <v>44512</v>
      </c>
      <c r="H1990" s="23">
        <f t="shared" si="230"/>
        <v>10000</v>
      </c>
      <c r="I1990" s="23"/>
      <c r="J1990" s="23"/>
      <c r="K1990" s="24"/>
      <c r="L1990" s="22">
        <v>7800</v>
      </c>
      <c r="M1990" s="22">
        <f t="shared" si="231"/>
        <v>2200</v>
      </c>
      <c r="N1990" s="22"/>
      <c r="O1990" s="30">
        <f t="shared" si="232"/>
        <v>0.22</v>
      </c>
    </row>
    <row r="1991" spans="1:15" ht="20.100000000000001" customHeight="1" x14ac:dyDescent="0.25">
      <c r="A1991" s="33">
        <v>1147</v>
      </c>
      <c r="B1991" s="9">
        <v>44508</v>
      </c>
      <c r="C1991" s="18" t="s">
        <v>426</v>
      </c>
      <c r="D1991" s="3">
        <v>14490</v>
      </c>
      <c r="E1991" s="9">
        <v>44510</v>
      </c>
      <c r="F1991" s="15" t="s">
        <v>28</v>
      </c>
      <c r="G1991" s="12">
        <v>44517</v>
      </c>
      <c r="H1991" s="23">
        <f t="shared" si="230"/>
        <v>14490</v>
      </c>
      <c r="I1991" s="23"/>
      <c r="J1991" s="23"/>
      <c r="K1991" s="24"/>
      <c r="L1991" s="22">
        <v>11018</v>
      </c>
      <c r="M1991" s="22">
        <f t="shared" si="231"/>
        <v>3472</v>
      </c>
      <c r="N1991" s="22"/>
      <c r="O1991" s="30">
        <f t="shared" si="232"/>
        <v>0.23961352657004831</v>
      </c>
    </row>
    <row r="1992" spans="1:15" ht="19.5" customHeight="1" x14ac:dyDescent="0.25">
      <c r="A1992" s="33">
        <v>1115</v>
      </c>
      <c r="B1992" s="9">
        <v>44497</v>
      </c>
      <c r="C1992" s="20" t="s">
        <v>508</v>
      </c>
      <c r="D1992" s="3">
        <v>170000</v>
      </c>
      <c r="E1992" s="9">
        <v>44510</v>
      </c>
      <c r="F1992" s="15" t="s">
        <v>28</v>
      </c>
      <c r="G1992" s="12">
        <v>44512</v>
      </c>
      <c r="H1992" s="23">
        <f t="shared" si="230"/>
        <v>170000</v>
      </c>
      <c r="I1992" s="23">
        <f>H1992</f>
        <v>170000</v>
      </c>
      <c r="J1992" s="23"/>
      <c r="K1992" s="24"/>
      <c r="L1992" s="22">
        <v>169545</v>
      </c>
      <c r="M1992" s="22">
        <f t="shared" si="231"/>
        <v>455</v>
      </c>
      <c r="N1992" s="23">
        <f>M1992</f>
        <v>455</v>
      </c>
      <c r="O1992" s="30">
        <f t="shared" si="232"/>
        <v>2.676470588235294E-3</v>
      </c>
    </row>
    <row r="1993" spans="1:15" ht="19.5" customHeight="1" x14ac:dyDescent="0.25">
      <c r="A1993" s="33">
        <v>1170</v>
      </c>
      <c r="B1993" s="9">
        <v>44511</v>
      </c>
      <c r="C1993" s="18" t="s">
        <v>372</v>
      </c>
      <c r="D1993" s="3">
        <v>6918</v>
      </c>
      <c r="E1993" s="9">
        <v>44511</v>
      </c>
      <c r="F1993" s="15" t="s">
        <v>28</v>
      </c>
      <c r="G1993" s="12">
        <v>44512</v>
      </c>
      <c r="H1993" s="23">
        <f t="shared" si="230"/>
        <v>6918</v>
      </c>
      <c r="I1993" s="23"/>
      <c r="J1993" s="23"/>
      <c r="K1993" s="24"/>
      <c r="L1993" s="22">
        <v>5200</v>
      </c>
      <c r="M1993" s="22">
        <f t="shared" si="231"/>
        <v>1718</v>
      </c>
      <c r="N1993" s="23"/>
      <c r="O1993" s="30">
        <f t="shared" si="232"/>
        <v>0.24833766984677652</v>
      </c>
    </row>
    <row r="1994" spans="1:15" ht="19.5" customHeight="1" x14ac:dyDescent="0.25">
      <c r="A1994" s="33">
        <v>1169</v>
      </c>
      <c r="B1994" s="9">
        <v>44511</v>
      </c>
      <c r="C1994" s="18" t="s">
        <v>77</v>
      </c>
      <c r="D1994" s="3">
        <v>6341</v>
      </c>
      <c r="E1994" s="9">
        <v>44512</v>
      </c>
      <c r="F1994" s="15" t="s">
        <v>28</v>
      </c>
      <c r="G1994" s="12">
        <v>44512</v>
      </c>
      <c r="H1994" s="23">
        <f t="shared" si="230"/>
        <v>6341</v>
      </c>
      <c r="I1994" s="23"/>
      <c r="J1994" s="23"/>
      <c r="K1994" s="24"/>
      <c r="L1994" s="22">
        <v>4945</v>
      </c>
      <c r="M1994" s="22">
        <f t="shared" si="231"/>
        <v>1396</v>
      </c>
      <c r="N1994" s="23"/>
      <c r="O1994" s="30">
        <f t="shared" si="232"/>
        <v>0.22015454975555906</v>
      </c>
    </row>
    <row r="1995" spans="1:15" ht="19.5" customHeight="1" x14ac:dyDescent="0.25">
      <c r="A1995" s="33">
        <v>984</v>
      </c>
      <c r="B1995" s="9">
        <v>44453</v>
      </c>
      <c r="C1995" s="18" t="s">
        <v>65</v>
      </c>
      <c r="D1995" s="3">
        <v>97728</v>
      </c>
      <c r="E1995" s="9">
        <v>44512</v>
      </c>
      <c r="F1995" s="15" t="s">
        <v>28</v>
      </c>
      <c r="G1995" s="12">
        <v>44481</v>
      </c>
      <c r="H1995" s="23">
        <f t="shared" si="230"/>
        <v>97728</v>
      </c>
      <c r="I1995" s="23"/>
      <c r="J1995" s="23"/>
      <c r="K1995" s="24"/>
      <c r="L1995" s="22">
        <f>34704+7400</f>
        <v>42104</v>
      </c>
      <c r="M1995" s="22">
        <f t="shared" si="231"/>
        <v>55624</v>
      </c>
      <c r="N1995" s="23"/>
      <c r="O1995" s="30">
        <f t="shared" si="232"/>
        <v>0.56917157825802223</v>
      </c>
    </row>
    <row r="1996" spans="1:15" ht="19.5" customHeight="1" x14ac:dyDescent="0.25">
      <c r="A1996" s="33">
        <v>1175</v>
      </c>
      <c r="B1996" s="9">
        <v>44512</v>
      </c>
      <c r="C1996" s="18" t="s">
        <v>124</v>
      </c>
      <c r="D1996" s="3">
        <v>2000</v>
      </c>
      <c r="E1996" s="9">
        <v>44515</v>
      </c>
      <c r="F1996" s="15" t="s">
        <v>28</v>
      </c>
      <c r="G1996" s="12">
        <v>44522</v>
      </c>
      <c r="H1996" s="23">
        <f t="shared" si="230"/>
        <v>2000</v>
      </c>
      <c r="I1996" s="23"/>
      <c r="J1996" s="23"/>
      <c r="K1996" s="24"/>
      <c r="L1996" s="22">
        <v>1430</v>
      </c>
      <c r="M1996" s="22">
        <f t="shared" si="231"/>
        <v>570</v>
      </c>
      <c r="N1996" s="23"/>
      <c r="O1996" s="30">
        <f t="shared" si="232"/>
        <v>0.28499999999999998</v>
      </c>
    </row>
    <row r="1997" spans="1:15" ht="19.5" customHeight="1" x14ac:dyDescent="0.25">
      <c r="A1997" s="33">
        <v>1157</v>
      </c>
      <c r="B1997" s="9">
        <v>44510</v>
      </c>
      <c r="C1997" s="18" t="s">
        <v>509</v>
      </c>
      <c r="D1997" s="3">
        <v>15182</v>
      </c>
      <c r="E1997" s="9">
        <v>44515</v>
      </c>
      <c r="F1997" s="15" t="s">
        <v>28</v>
      </c>
      <c r="G1997" s="12">
        <v>44518</v>
      </c>
      <c r="H1997" s="23">
        <f t="shared" si="230"/>
        <v>15182</v>
      </c>
      <c r="I1997" s="23"/>
      <c r="J1997" s="23"/>
      <c r="K1997" s="24">
        <v>2400</v>
      </c>
      <c r="L1997" s="22">
        <v>7688</v>
      </c>
      <c r="M1997" s="22">
        <f t="shared" si="231"/>
        <v>5094</v>
      </c>
      <c r="N1997" s="23"/>
      <c r="O1997" s="30">
        <f t="shared" si="232"/>
        <v>0.3355289158213674</v>
      </c>
    </row>
    <row r="1998" spans="1:15" ht="20.100000000000001" customHeight="1" x14ac:dyDescent="0.25">
      <c r="A1998" s="33">
        <v>1188</v>
      </c>
      <c r="B1998" s="9">
        <v>44516</v>
      </c>
      <c r="C1998" s="18" t="s">
        <v>16</v>
      </c>
      <c r="D1998" s="3">
        <v>21525</v>
      </c>
      <c r="E1998" s="9">
        <v>44517</v>
      </c>
      <c r="F1998" s="15" t="s">
        <v>28</v>
      </c>
      <c r="G1998" s="12">
        <v>44519</v>
      </c>
      <c r="H1998" s="23">
        <f t="shared" si="230"/>
        <v>21525</v>
      </c>
      <c r="I1998" s="23"/>
      <c r="J1998" s="23"/>
      <c r="K1998" s="24"/>
      <c r="L1998" s="22">
        <v>16426</v>
      </c>
      <c r="M1998" s="22">
        <f t="shared" si="231"/>
        <v>5099</v>
      </c>
      <c r="N1998" s="23"/>
      <c r="O1998" s="30">
        <f t="shared" si="232"/>
        <v>0.23688734030197445</v>
      </c>
    </row>
    <row r="1999" spans="1:15" ht="19.5" customHeight="1" x14ac:dyDescent="0.25">
      <c r="A1999" s="33">
        <v>1049</v>
      </c>
      <c r="B1999" s="9">
        <v>44477</v>
      </c>
      <c r="C1999" s="18" t="s">
        <v>275</v>
      </c>
      <c r="D1999" s="3">
        <v>9000</v>
      </c>
      <c r="E1999" s="9">
        <v>44518</v>
      </c>
      <c r="F1999" s="15" t="s">
        <v>28</v>
      </c>
      <c r="G1999" s="12">
        <v>44489</v>
      </c>
      <c r="H1999" s="23">
        <f t="shared" si="230"/>
        <v>9000</v>
      </c>
      <c r="I1999" s="23"/>
      <c r="J1999" s="23"/>
      <c r="K1999" s="24">
        <v>1200</v>
      </c>
      <c r="L1999" s="23">
        <v>2774</v>
      </c>
      <c r="M1999" s="22">
        <f t="shared" si="231"/>
        <v>5026</v>
      </c>
      <c r="N1999" s="23"/>
      <c r="O1999" s="30">
        <f t="shared" si="232"/>
        <v>0.55844444444444441</v>
      </c>
    </row>
    <row r="2000" spans="1:15" ht="15.75" x14ac:dyDescent="0.25">
      <c r="A2000" s="33">
        <v>1198</v>
      </c>
      <c r="B2000" s="9">
        <v>44518</v>
      </c>
      <c r="C2000" s="18" t="s">
        <v>16</v>
      </c>
      <c r="D2000" s="3">
        <v>8940</v>
      </c>
      <c r="E2000" s="9">
        <v>44518</v>
      </c>
      <c r="F2000" s="15" t="s">
        <v>28</v>
      </c>
      <c r="G2000" s="12">
        <v>44519</v>
      </c>
      <c r="H2000" s="23">
        <f t="shared" si="230"/>
        <v>8940</v>
      </c>
      <c r="I2000" s="23"/>
      <c r="J2000" s="23"/>
      <c r="K2000" s="24"/>
      <c r="L2000" s="23">
        <v>5046</v>
      </c>
      <c r="M2000" s="22">
        <f t="shared" si="231"/>
        <v>3894</v>
      </c>
      <c r="N2000" s="23"/>
      <c r="O2000" s="30">
        <f t="shared" si="232"/>
        <v>0.43557046979865771</v>
      </c>
    </row>
    <row r="2001" spans="1:15" s="2" customFormat="1" ht="20.100000000000001" customHeight="1" x14ac:dyDescent="0.25">
      <c r="A2001" s="33">
        <v>1206</v>
      </c>
      <c r="B2001" s="9">
        <v>44518</v>
      </c>
      <c r="C2001" s="20" t="s">
        <v>510</v>
      </c>
      <c r="D2001" s="3">
        <v>1536</v>
      </c>
      <c r="E2001" s="9">
        <v>44519</v>
      </c>
      <c r="F2001" s="15" t="s">
        <v>28</v>
      </c>
      <c r="G2001" s="12">
        <v>44519</v>
      </c>
      <c r="H2001" s="23">
        <f t="shared" si="230"/>
        <v>1536</v>
      </c>
      <c r="I2001" s="23">
        <f>H2001</f>
        <v>1536</v>
      </c>
      <c r="J2001" s="23"/>
      <c r="K2001" s="24"/>
      <c r="L2001" s="23">
        <f>591*2</f>
        <v>1182</v>
      </c>
      <c r="M2001" s="22">
        <f t="shared" si="231"/>
        <v>354</v>
      </c>
      <c r="N2001" s="23">
        <f>M2001</f>
        <v>354</v>
      </c>
      <c r="O2001" s="30">
        <f t="shared" si="232"/>
        <v>0.23046875</v>
      </c>
    </row>
    <row r="2002" spans="1:15" ht="20.100000000000001" customHeight="1" x14ac:dyDescent="0.25">
      <c r="A2002" s="33">
        <v>1177</v>
      </c>
      <c r="B2002" s="9">
        <v>44515</v>
      </c>
      <c r="C2002" s="18" t="s">
        <v>281</v>
      </c>
      <c r="D2002" s="3">
        <v>3537</v>
      </c>
      <c r="E2002" s="9">
        <v>44522</v>
      </c>
      <c r="F2002" s="15" t="s">
        <v>28</v>
      </c>
      <c r="G2002" s="12">
        <v>44515</v>
      </c>
      <c r="H2002" s="23">
        <f t="shared" si="230"/>
        <v>3537</v>
      </c>
      <c r="I2002" s="23"/>
      <c r="J2002" s="23"/>
      <c r="K2002" s="24"/>
      <c r="L2002" s="22">
        <v>2714</v>
      </c>
      <c r="M2002" s="22">
        <f t="shared" si="231"/>
        <v>823</v>
      </c>
      <c r="N2002" s="23"/>
      <c r="O2002" s="30">
        <f t="shared" si="232"/>
        <v>0.23268306474413344</v>
      </c>
    </row>
    <row r="2003" spans="1:15" ht="20.100000000000001" customHeight="1" x14ac:dyDescent="0.25">
      <c r="A2003" s="33">
        <v>1208</v>
      </c>
      <c r="B2003" s="9">
        <v>44519</v>
      </c>
      <c r="C2003" s="18" t="s">
        <v>403</v>
      </c>
      <c r="D2003" s="3">
        <v>4715</v>
      </c>
      <c r="E2003" s="9">
        <v>44522</v>
      </c>
      <c r="F2003" s="15" t="s">
        <v>28</v>
      </c>
      <c r="G2003" s="12">
        <v>44526</v>
      </c>
      <c r="H2003" s="23">
        <f t="shared" si="230"/>
        <v>4715</v>
      </c>
      <c r="I2003" s="23"/>
      <c r="J2003" s="23"/>
      <c r="K2003" s="24"/>
      <c r="L2003" s="22">
        <v>3484</v>
      </c>
      <c r="M2003" s="22">
        <f t="shared" si="231"/>
        <v>1231</v>
      </c>
      <c r="N2003" s="23"/>
      <c r="O2003" s="30">
        <f t="shared" si="232"/>
        <v>0.26108165429480384</v>
      </c>
    </row>
    <row r="2004" spans="1:15" ht="20.100000000000001" customHeight="1" x14ac:dyDescent="0.25">
      <c r="A2004" s="33">
        <v>1145</v>
      </c>
      <c r="B2004" s="9">
        <v>44508</v>
      </c>
      <c r="C2004" s="18" t="s">
        <v>60</v>
      </c>
      <c r="D2004" s="3">
        <v>4398</v>
      </c>
      <c r="E2004" s="9">
        <v>44523</v>
      </c>
      <c r="F2004" s="15" t="s">
        <v>28</v>
      </c>
      <c r="G2004" s="12">
        <v>44509</v>
      </c>
      <c r="H2004" s="23">
        <f t="shared" si="230"/>
        <v>4398</v>
      </c>
      <c r="I2004" s="23"/>
      <c r="J2004" s="23"/>
      <c r="K2004" s="24"/>
      <c r="L2004" s="29">
        <v>2446</v>
      </c>
      <c r="M2004" s="22">
        <f t="shared" si="231"/>
        <v>1952</v>
      </c>
      <c r="N2004" s="23"/>
      <c r="O2004" s="30">
        <f t="shared" si="232"/>
        <v>0.44383810823101411</v>
      </c>
    </row>
    <row r="2005" spans="1:15" ht="20.100000000000001" customHeight="1" x14ac:dyDescent="0.25">
      <c r="A2005" s="33">
        <v>1213</v>
      </c>
      <c r="B2005" s="9">
        <v>44523</v>
      </c>
      <c r="C2005" s="18" t="s">
        <v>496</v>
      </c>
      <c r="D2005" s="3">
        <v>2840.5</v>
      </c>
      <c r="E2005" s="9">
        <v>44523</v>
      </c>
      <c r="F2005" s="15" t="s">
        <v>28</v>
      </c>
      <c r="G2005" s="12">
        <v>44524</v>
      </c>
      <c r="H2005" s="23">
        <f t="shared" si="230"/>
        <v>2840.5</v>
      </c>
      <c r="I2005" s="23"/>
      <c r="J2005" s="23"/>
      <c r="K2005" s="24"/>
      <c r="L2005" s="29">
        <v>2332</v>
      </c>
      <c r="M2005" s="22">
        <f t="shared" si="231"/>
        <v>508.5</v>
      </c>
      <c r="N2005" s="23"/>
      <c r="O2005" s="30">
        <f t="shared" si="232"/>
        <v>0.17901777856011267</v>
      </c>
    </row>
    <row r="2006" spans="1:15" ht="20.100000000000001" customHeight="1" x14ac:dyDescent="0.25">
      <c r="A2006" s="33">
        <v>1212</v>
      </c>
      <c r="B2006" s="9">
        <v>44523</v>
      </c>
      <c r="C2006" s="18" t="s">
        <v>468</v>
      </c>
      <c r="D2006" s="3">
        <v>9918</v>
      </c>
      <c r="E2006" s="9">
        <v>44524</v>
      </c>
      <c r="F2006" s="15" t="s">
        <v>28</v>
      </c>
      <c r="G2006" s="12">
        <v>44557</v>
      </c>
      <c r="H2006" s="23">
        <f t="shared" si="230"/>
        <v>9918</v>
      </c>
      <c r="I2006" s="23"/>
      <c r="J2006" s="23"/>
      <c r="K2006" s="24"/>
      <c r="L2006" s="29">
        <v>6546</v>
      </c>
      <c r="M2006" s="22">
        <f t="shared" si="231"/>
        <v>3372</v>
      </c>
      <c r="N2006" s="23"/>
      <c r="O2006" s="30">
        <f t="shared" si="232"/>
        <v>0.33998790078644886</v>
      </c>
    </row>
    <row r="2007" spans="1:15" ht="20.100000000000001" customHeight="1" x14ac:dyDescent="0.25">
      <c r="A2007" s="33">
        <v>1214</v>
      </c>
      <c r="B2007" s="9">
        <v>44523</v>
      </c>
      <c r="C2007" s="18" t="s">
        <v>481</v>
      </c>
      <c r="D2007" s="3">
        <v>921</v>
      </c>
      <c r="E2007" s="9">
        <v>44524</v>
      </c>
      <c r="F2007" s="15" t="s">
        <v>28</v>
      </c>
      <c r="G2007" s="12">
        <v>44571</v>
      </c>
      <c r="H2007" s="23">
        <f t="shared" si="230"/>
        <v>921</v>
      </c>
      <c r="I2007" s="23"/>
      <c r="J2007" s="23"/>
      <c r="K2007" s="24"/>
      <c r="L2007" s="29">
        <v>718</v>
      </c>
      <c r="M2007" s="22">
        <f t="shared" si="231"/>
        <v>203</v>
      </c>
      <c r="N2007" s="23"/>
      <c r="O2007" s="30">
        <f t="shared" si="232"/>
        <v>0.22041259500542887</v>
      </c>
    </row>
    <row r="2008" spans="1:15" ht="20.100000000000001" customHeight="1" x14ac:dyDescent="0.25">
      <c r="A2008" s="33">
        <v>1088</v>
      </c>
      <c r="B2008" s="9">
        <v>44488</v>
      </c>
      <c r="C2008" s="18" t="s">
        <v>99</v>
      </c>
      <c r="D2008" s="3">
        <v>259900</v>
      </c>
      <c r="E2008" s="9">
        <v>44525</v>
      </c>
      <c r="F2008" s="15" t="s">
        <v>28</v>
      </c>
      <c r="G2008" s="12">
        <v>44496</v>
      </c>
      <c r="H2008" s="23">
        <f t="shared" si="230"/>
        <v>259900</v>
      </c>
      <c r="I2008" s="23"/>
      <c r="J2008" s="23">
        <v>54000</v>
      </c>
      <c r="K2008" s="24"/>
      <c r="L2008" s="22">
        <f>37471.51+9000</f>
        <v>46471.51</v>
      </c>
      <c r="M2008" s="22">
        <f t="shared" si="231"/>
        <v>159428.49</v>
      </c>
      <c r="N2008" s="23"/>
      <c r="O2008" s="30">
        <f t="shared" si="232"/>
        <v>0.61342243170450172</v>
      </c>
    </row>
    <row r="2009" spans="1:15" ht="20.100000000000001" customHeight="1" x14ac:dyDescent="0.25">
      <c r="A2009" s="33">
        <v>1183</v>
      </c>
      <c r="B2009" s="9">
        <v>44515</v>
      </c>
      <c r="C2009" s="18" t="s">
        <v>450</v>
      </c>
      <c r="D2009" s="3">
        <v>525</v>
      </c>
      <c r="E2009" s="9">
        <v>44525</v>
      </c>
      <c r="F2009" s="15" t="s">
        <v>28</v>
      </c>
      <c r="G2009" s="12">
        <v>44579</v>
      </c>
      <c r="H2009" s="23">
        <f t="shared" si="230"/>
        <v>525</v>
      </c>
      <c r="I2009" s="23"/>
      <c r="J2009" s="23"/>
      <c r="K2009" s="24"/>
      <c r="L2009" s="22">
        <v>299</v>
      </c>
      <c r="M2009" s="22">
        <f t="shared" si="231"/>
        <v>226</v>
      </c>
      <c r="N2009" s="23"/>
      <c r="O2009" s="30">
        <f t="shared" si="232"/>
        <v>0.43047619047619046</v>
      </c>
    </row>
    <row r="2010" spans="1:15" ht="20.100000000000001" customHeight="1" x14ac:dyDescent="0.25">
      <c r="A2010" s="33">
        <v>1223</v>
      </c>
      <c r="B2010" s="9">
        <v>44525</v>
      </c>
      <c r="C2010" s="18" t="s">
        <v>444</v>
      </c>
      <c r="D2010" s="3">
        <v>1950</v>
      </c>
      <c r="E2010" s="9">
        <v>44526</v>
      </c>
      <c r="F2010" s="15" t="s">
        <v>28</v>
      </c>
      <c r="G2010" s="12">
        <v>44526</v>
      </c>
      <c r="H2010" s="23">
        <f t="shared" si="230"/>
        <v>1950</v>
      </c>
      <c r="I2010" s="23"/>
      <c r="J2010" s="23"/>
      <c r="K2010" s="24"/>
      <c r="L2010" s="22">
        <v>1521</v>
      </c>
      <c r="M2010" s="22">
        <f t="shared" si="231"/>
        <v>429</v>
      </c>
      <c r="N2010" s="23"/>
      <c r="O2010" s="30">
        <f t="shared" si="232"/>
        <v>0.22</v>
      </c>
    </row>
    <row r="2011" spans="1:15" ht="20.100000000000001" customHeight="1" x14ac:dyDescent="0.25">
      <c r="A2011" s="33">
        <v>1222</v>
      </c>
      <c r="B2011" s="9">
        <v>44525</v>
      </c>
      <c r="C2011" s="18" t="s">
        <v>278</v>
      </c>
      <c r="D2011" s="3">
        <v>23301</v>
      </c>
      <c r="E2011" s="9">
        <v>44530</v>
      </c>
      <c r="F2011" s="15" t="s">
        <v>28</v>
      </c>
      <c r="G2011" s="12">
        <v>44531</v>
      </c>
      <c r="H2011" s="23">
        <f t="shared" si="230"/>
        <v>23301</v>
      </c>
      <c r="I2011" s="23"/>
      <c r="J2011" s="23"/>
      <c r="K2011" s="24"/>
      <c r="L2011" s="22">
        <v>14768</v>
      </c>
      <c r="M2011" s="22">
        <f t="shared" si="231"/>
        <v>8533</v>
      </c>
      <c r="N2011" s="23"/>
      <c r="O2011" s="30">
        <f t="shared" si="232"/>
        <v>0.36620745890734302</v>
      </c>
    </row>
    <row r="2012" spans="1:15" ht="20.100000000000001" customHeight="1" x14ac:dyDescent="0.25">
      <c r="A2012" s="35" t="s">
        <v>535</v>
      </c>
      <c r="B2012" s="36"/>
      <c r="C2012" s="42"/>
      <c r="D2012" s="37"/>
      <c r="E2012" s="46" t="s">
        <v>597</v>
      </c>
      <c r="F2012" s="47">
        <f>M2012*0.17+N2012*0.06+5000</f>
        <v>50762.898300000001</v>
      </c>
      <c r="G2012" s="21">
        <f>H2012*0.04+I2012*0.02</f>
        <v>31784.18</v>
      </c>
      <c r="H2012" s="49">
        <f>SUBTOTAL(109,Ноябрь2021[Продажа])</f>
        <v>708836.5</v>
      </c>
      <c r="I2012" s="49">
        <f>SUBTOTAL(109,Ноябрь2021[Продажа НК])</f>
        <v>171536</v>
      </c>
      <c r="J2012" s="49">
        <f>SUBTOTAL(109,Ноябрь2021[отк])</f>
        <v>54000</v>
      </c>
      <c r="K2012" s="49">
        <f>SUBTOTAL(109,Ноябрь2021[шланги])</f>
        <v>3600</v>
      </c>
      <c r="L2012" s="49">
        <f>SUBTOTAL(109,Ноябрь2021[Закупка])</f>
        <v>382328.51</v>
      </c>
      <c r="M2012" s="49">
        <f>SUBTOTAL(109,Ноябрь2021[Маржа])</f>
        <v>268907.99</v>
      </c>
      <c r="N2012" s="49">
        <f>SUBTOTAL(109,Ноябрь2021[Маржа НК])</f>
        <v>809</v>
      </c>
      <c r="O2012" s="44">
        <f t="shared" si="232"/>
        <v>0.37936532613656321</v>
      </c>
    </row>
    <row r="2013" spans="1:15" ht="20.100000000000001" customHeight="1" x14ac:dyDescent="0.25">
      <c r="A2013" s="41" t="s">
        <v>1</v>
      </c>
      <c r="B2013" s="1" t="s">
        <v>0</v>
      </c>
      <c r="C2013" s="1" t="s">
        <v>26</v>
      </c>
      <c r="D2013" s="1" t="s">
        <v>2</v>
      </c>
      <c r="E2013" s="1" t="s">
        <v>3</v>
      </c>
      <c r="F2013" s="1" t="s">
        <v>27</v>
      </c>
      <c r="G2013" s="1" t="s">
        <v>4</v>
      </c>
      <c r="H2013" s="2" t="s">
        <v>132</v>
      </c>
      <c r="I2013" s="2" t="s">
        <v>133</v>
      </c>
      <c r="J2013" s="40" t="s">
        <v>187</v>
      </c>
      <c r="K2013" s="40" t="s">
        <v>188</v>
      </c>
      <c r="L2013" s="40" t="s">
        <v>129</v>
      </c>
      <c r="M2013" s="40" t="s">
        <v>130</v>
      </c>
      <c r="N2013" s="2" t="s">
        <v>131</v>
      </c>
      <c r="O2013" s="2" t="s">
        <v>134</v>
      </c>
    </row>
    <row r="2014" spans="1:15" ht="20.100000000000001" customHeight="1" x14ac:dyDescent="0.25">
      <c r="A2014" s="33">
        <v>1239</v>
      </c>
      <c r="B2014" s="9">
        <v>44530</v>
      </c>
      <c r="C2014" s="18" t="s">
        <v>149</v>
      </c>
      <c r="D2014" s="3">
        <v>8328</v>
      </c>
      <c r="E2014" s="9">
        <v>44531</v>
      </c>
      <c r="F2014" s="15" t="s">
        <v>28</v>
      </c>
      <c r="G2014" s="12">
        <v>44532</v>
      </c>
      <c r="H2014" s="23">
        <f t="shared" ref="H2014:H2036" si="233">D2014</f>
        <v>8328</v>
      </c>
      <c r="I2014" s="23"/>
      <c r="J2014" s="23"/>
      <c r="K2014" s="24"/>
      <c r="L2014" s="22">
        <v>4875</v>
      </c>
      <c r="M2014" s="22">
        <f t="shared" ref="M2014:M2036" si="234">H2014-L2014-J2014-K2014</f>
        <v>3453</v>
      </c>
      <c r="N2014" s="23"/>
      <c r="O2014" s="30">
        <f t="shared" ref="O2014:O2037" si="235">M2014/H2014</f>
        <v>0.41462536023054752</v>
      </c>
    </row>
    <row r="2015" spans="1:15" ht="20.100000000000001" customHeight="1" x14ac:dyDescent="0.25">
      <c r="A2015" s="33">
        <v>1240</v>
      </c>
      <c r="B2015" s="9">
        <v>44531</v>
      </c>
      <c r="C2015" s="18" t="s">
        <v>404</v>
      </c>
      <c r="D2015" s="3">
        <v>34866</v>
      </c>
      <c r="E2015" s="9">
        <v>44531</v>
      </c>
      <c r="F2015" s="15" t="s">
        <v>28</v>
      </c>
      <c r="G2015" s="12">
        <v>44536</v>
      </c>
      <c r="H2015" s="23">
        <f t="shared" si="233"/>
        <v>34866</v>
      </c>
      <c r="I2015" s="23"/>
      <c r="J2015" s="23"/>
      <c r="K2015" s="24"/>
      <c r="L2015" s="22">
        <v>25858</v>
      </c>
      <c r="M2015" s="22">
        <f t="shared" si="234"/>
        <v>9008</v>
      </c>
      <c r="N2015" s="23"/>
      <c r="O2015" s="30">
        <f t="shared" si="235"/>
        <v>0.25836058050823152</v>
      </c>
    </row>
    <row r="2016" spans="1:15" ht="20.100000000000001" customHeight="1" x14ac:dyDescent="0.25">
      <c r="A2016" s="33">
        <v>1196</v>
      </c>
      <c r="B2016" s="9">
        <v>44517</v>
      </c>
      <c r="C2016" s="18" t="s">
        <v>60</v>
      </c>
      <c r="D2016" s="3">
        <v>3660</v>
      </c>
      <c r="E2016" s="9">
        <v>44532</v>
      </c>
      <c r="F2016" s="15" t="s">
        <v>28</v>
      </c>
      <c r="G2016" s="12">
        <v>44518</v>
      </c>
      <c r="H2016" s="23">
        <f t="shared" si="233"/>
        <v>3660</v>
      </c>
      <c r="I2016" s="23"/>
      <c r="J2016" s="23"/>
      <c r="K2016" s="24"/>
      <c r="L2016" s="29">
        <v>2594</v>
      </c>
      <c r="M2016" s="22">
        <f t="shared" si="234"/>
        <v>1066</v>
      </c>
      <c r="N2016" s="23"/>
      <c r="O2016" s="30">
        <f t="shared" si="235"/>
        <v>0.29125683060109292</v>
      </c>
    </row>
    <row r="2017" spans="1:15" ht="20.100000000000001" customHeight="1" x14ac:dyDescent="0.25">
      <c r="A2017" s="33">
        <v>1259</v>
      </c>
      <c r="B2017" s="9">
        <v>44532</v>
      </c>
      <c r="C2017" s="18" t="s">
        <v>83</v>
      </c>
      <c r="D2017" s="3">
        <v>18719</v>
      </c>
      <c r="E2017" s="9">
        <v>44533</v>
      </c>
      <c r="F2017" s="15" t="s">
        <v>28</v>
      </c>
      <c r="G2017" s="12">
        <v>44558</v>
      </c>
      <c r="H2017" s="23">
        <f t="shared" si="233"/>
        <v>18719</v>
      </c>
      <c r="I2017" s="23"/>
      <c r="J2017" s="23"/>
      <c r="K2017" s="24"/>
      <c r="L2017" s="22">
        <v>9112</v>
      </c>
      <c r="M2017" s="22">
        <f t="shared" si="234"/>
        <v>9607</v>
      </c>
      <c r="N2017" s="23"/>
      <c r="O2017" s="30">
        <f t="shared" si="235"/>
        <v>0.51322186014210158</v>
      </c>
    </row>
    <row r="2018" spans="1:15" ht="20.100000000000001" customHeight="1" x14ac:dyDescent="0.25">
      <c r="A2018" s="33">
        <v>1184</v>
      </c>
      <c r="B2018" s="9">
        <v>44531</v>
      </c>
      <c r="C2018" s="18">
        <v>2019</v>
      </c>
      <c r="D2018" s="3">
        <v>3000</v>
      </c>
      <c r="E2018" s="9">
        <v>44536</v>
      </c>
      <c r="F2018" s="15" t="s">
        <v>28</v>
      </c>
      <c r="G2018" s="12">
        <v>44536</v>
      </c>
      <c r="H2018" s="23">
        <f t="shared" si="233"/>
        <v>3000</v>
      </c>
      <c r="I2018" s="23"/>
      <c r="J2018" s="23"/>
      <c r="K2018" s="24"/>
      <c r="L2018" s="22">
        <v>1350</v>
      </c>
      <c r="M2018" s="22">
        <f t="shared" si="234"/>
        <v>1650</v>
      </c>
      <c r="N2018" s="23"/>
      <c r="O2018" s="30">
        <f t="shared" si="235"/>
        <v>0.55000000000000004</v>
      </c>
    </row>
    <row r="2019" spans="1:15" ht="20.100000000000001" customHeight="1" x14ac:dyDescent="0.25">
      <c r="A2019" s="33">
        <v>1271</v>
      </c>
      <c r="B2019" s="9">
        <v>44536</v>
      </c>
      <c r="C2019" s="18" t="s">
        <v>124</v>
      </c>
      <c r="D2019" s="3">
        <v>2000</v>
      </c>
      <c r="E2019" s="9">
        <v>44536</v>
      </c>
      <c r="F2019" s="15" t="s">
        <v>28</v>
      </c>
      <c r="G2019" s="12">
        <v>44537</v>
      </c>
      <c r="H2019" s="23">
        <f t="shared" si="233"/>
        <v>2000</v>
      </c>
      <c r="I2019" s="23"/>
      <c r="J2019" s="23"/>
      <c r="K2019" s="24"/>
      <c r="L2019" s="22">
        <v>1430</v>
      </c>
      <c r="M2019" s="22">
        <f t="shared" si="234"/>
        <v>570</v>
      </c>
      <c r="N2019" s="23"/>
      <c r="O2019" s="30">
        <f t="shared" si="235"/>
        <v>0.28499999999999998</v>
      </c>
    </row>
    <row r="2020" spans="1:15" ht="20.100000000000001" customHeight="1" x14ac:dyDescent="0.25">
      <c r="A2020" s="33">
        <v>1161</v>
      </c>
      <c r="B2020" s="9">
        <v>44510</v>
      </c>
      <c r="C2020" s="18" t="s">
        <v>488</v>
      </c>
      <c r="D2020" s="3">
        <v>3250</v>
      </c>
      <c r="E2020" s="9">
        <v>44538</v>
      </c>
      <c r="F2020" s="15" t="s">
        <v>28</v>
      </c>
      <c r="G2020" s="12">
        <v>44510</v>
      </c>
      <c r="H2020" s="23">
        <f t="shared" si="233"/>
        <v>3250</v>
      </c>
      <c r="I2020" s="23"/>
      <c r="J2020" s="23"/>
      <c r="K2020" s="24"/>
      <c r="L2020" s="22">
        <v>2861</v>
      </c>
      <c r="M2020" s="22">
        <f t="shared" si="234"/>
        <v>389</v>
      </c>
      <c r="N2020" s="23"/>
      <c r="O2020" s="30">
        <f t="shared" si="235"/>
        <v>0.1196923076923077</v>
      </c>
    </row>
    <row r="2021" spans="1:15" ht="20.100000000000001" customHeight="1" x14ac:dyDescent="0.25">
      <c r="A2021" s="33">
        <v>1160</v>
      </c>
      <c r="B2021" s="9">
        <v>44510</v>
      </c>
      <c r="C2021" s="18" t="s">
        <v>488</v>
      </c>
      <c r="D2021" s="3">
        <v>50490</v>
      </c>
      <c r="E2021" s="9">
        <v>44539</v>
      </c>
      <c r="F2021" s="15" t="s">
        <v>28</v>
      </c>
      <c r="G2021" s="12">
        <v>44510</v>
      </c>
      <c r="H2021" s="23">
        <f t="shared" si="233"/>
        <v>50490</v>
      </c>
      <c r="I2021" s="23"/>
      <c r="J2021" s="23"/>
      <c r="K2021" s="24"/>
      <c r="L2021" s="22">
        <v>37110</v>
      </c>
      <c r="M2021" s="22">
        <f t="shared" si="234"/>
        <v>13380</v>
      </c>
      <c r="N2021" s="23"/>
      <c r="O2021" s="30">
        <f t="shared" si="235"/>
        <v>0.26500297088532382</v>
      </c>
    </row>
    <row r="2022" spans="1:15" ht="20.100000000000001" customHeight="1" x14ac:dyDescent="0.25">
      <c r="A2022" s="33">
        <v>1269</v>
      </c>
      <c r="B2022" s="9">
        <v>44533</v>
      </c>
      <c r="C2022" s="18" t="s">
        <v>368</v>
      </c>
      <c r="D2022" s="3">
        <v>13990</v>
      </c>
      <c r="E2022" s="9">
        <v>44539</v>
      </c>
      <c r="F2022" s="15" t="s">
        <v>28</v>
      </c>
      <c r="G2022" s="12">
        <v>44546</v>
      </c>
      <c r="H2022" s="23">
        <f t="shared" si="233"/>
        <v>13990</v>
      </c>
      <c r="I2022" s="23"/>
      <c r="J2022" s="23"/>
      <c r="K2022" s="24"/>
      <c r="L2022" s="22">
        <f>9210+600</f>
        <v>9810</v>
      </c>
      <c r="M2022" s="22">
        <f t="shared" si="234"/>
        <v>4180</v>
      </c>
      <c r="N2022" s="23"/>
      <c r="O2022" s="30">
        <f t="shared" si="235"/>
        <v>0.29878484631879915</v>
      </c>
    </row>
    <row r="2023" spans="1:15" ht="20.100000000000001" customHeight="1" x14ac:dyDescent="0.25">
      <c r="A2023" s="33">
        <v>1283</v>
      </c>
      <c r="B2023" s="9">
        <v>44539</v>
      </c>
      <c r="C2023" s="18" t="s">
        <v>139</v>
      </c>
      <c r="D2023" s="3">
        <v>69990</v>
      </c>
      <c r="E2023" s="9">
        <v>44543</v>
      </c>
      <c r="F2023" s="15" t="s">
        <v>28</v>
      </c>
      <c r="G2023" s="12">
        <v>44550</v>
      </c>
      <c r="H2023" s="23">
        <f t="shared" si="233"/>
        <v>69990</v>
      </c>
      <c r="I2023" s="23"/>
      <c r="J2023" s="23"/>
      <c r="K2023" s="24"/>
      <c r="L2023" s="22">
        <v>51792</v>
      </c>
      <c r="M2023" s="22">
        <f t="shared" si="234"/>
        <v>18198</v>
      </c>
      <c r="N2023" s="23"/>
      <c r="O2023" s="30">
        <f t="shared" si="235"/>
        <v>0.26000857265323618</v>
      </c>
    </row>
    <row r="2024" spans="1:15" ht="20.100000000000001" customHeight="1" x14ac:dyDescent="0.25">
      <c r="A2024" s="33">
        <v>1300</v>
      </c>
      <c r="B2024" s="9">
        <v>44544</v>
      </c>
      <c r="C2024" s="18" t="s">
        <v>511</v>
      </c>
      <c r="D2024" s="3">
        <v>4570</v>
      </c>
      <c r="E2024" s="9">
        <v>44545</v>
      </c>
      <c r="F2024" s="15" t="s">
        <v>28</v>
      </c>
      <c r="G2024" s="12">
        <v>44559</v>
      </c>
      <c r="H2024" s="23">
        <f t="shared" si="233"/>
        <v>4570</v>
      </c>
      <c r="I2024" s="23"/>
      <c r="J2024" s="23"/>
      <c r="K2024" s="24"/>
      <c r="L2024" s="22">
        <v>3509</v>
      </c>
      <c r="M2024" s="22">
        <f t="shared" si="234"/>
        <v>1061</v>
      </c>
      <c r="N2024" s="23"/>
      <c r="O2024" s="30">
        <f t="shared" si="235"/>
        <v>0.23216630196936541</v>
      </c>
    </row>
    <row r="2025" spans="1:15" ht="20.100000000000001" customHeight="1" x14ac:dyDescent="0.25">
      <c r="A2025" s="33">
        <v>1178</v>
      </c>
      <c r="B2025" s="9">
        <v>44515</v>
      </c>
      <c r="C2025" s="18" t="s">
        <v>281</v>
      </c>
      <c r="D2025" s="3">
        <v>977</v>
      </c>
      <c r="E2025" s="9">
        <v>44546</v>
      </c>
      <c r="F2025" s="15" t="s">
        <v>28</v>
      </c>
      <c r="G2025" s="12">
        <v>44546</v>
      </c>
      <c r="H2025" s="23">
        <f t="shared" si="233"/>
        <v>977</v>
      </c>
      <c r="I2025" s="23"/>
      <c r="J2025" s="23"/>
      <c r="K2025" s="24"/>
      <c r="L2025" s="22">
        <v>644</v>
      </c>
      <c r="M2025" s="22">
        <f t="shared" si="234"/>
        <v>333</v>
      </c>
      <c r="N2025" s="23"/>
      <c r="O2025" s="30">
        <f t="shared" si="235"/>
        <v>0.34083930399181167</v>
      </c>
    </row>
    <row r="2026" spans="1:15" ht="20.100000000000001" customHeight="1" x14ac:dyDescent="0.25">
      <c r="A2026" s="33">
        <v>1091</v>
      </c>
      <c r="B2026" s="9">
        <v>44490</v>
      </c>
      <c r="C2026" s="18" t="s">
        <v>56</v>
      </c>
      <c r="D2026" s="3">
        <v>97583</v>
      </c>
      <c r="E2026" s="9">
        <v>44547</v>
      </c>
      <c r="F2026" s="15" t="s">
        <v>28</v>
      </c>
      <c r="G2026" s="12">
        <v>44537</v>
      </c>
      <c r="H2026" s="23">
        <f t="shared" si="233"/>
        <v>97583</v>
      </c>
      <c r="I2026" s="23"/>
      <c r="J2026" s="23"/>
      <c r="K2026" s="24"/>
      <c r="L2026" s="22">
        <v>67577.399999999994</v>
      </c>
      <c r="M2026" s="22">
        <f t="shared" si="234"/>
        <v>30005.600000000006</v>
      </c>
      <c r="N2026" s="23"/>
      <c r="O2026" s="30">
        <f t="shared" si="235"/>
        <v>0.30748798458747945</v>
      </c>
    </row>
    <row r="2027" spans="1:15" ht="19.5" customHeight="1" x14ac:dyDescent="0.25">
      <c r="A2027" s="33">
        <v>1182</v>
      </c>
      <c r="B2027" s="9">
        <v>44515</v>
      </c>
      <c r="C2027" s="18" t="s">
        <v>56</v>
      </c>
      <c r="D2027" s="3">
        <v>165000</v>
      </c>
      <c r="E2027" s="9">
        <v>44547</v>
      </c>
      <c r="F2027" s="15" t="s">
        <v>28</v>
      </c>
      <c r="G2027" s="12">
        <v>44543</v>
      </c>
      <c r="H2027" s="23">
        <f t="shared" si="233"/>
        <v>165000</v>
      </c>
      <c r="I2027" s="23"/>
      <c r="J2027" s="23"/>
      <c r="K2027" s="24"/>
      <c r="L2027" s="22">
        <v>152000</v>
      </c>
      <c r="M2027" s="22">
        <f t="shared" si="234"/>
        <v>13000</v>
      </c>
      <c r="N2027" s="23"/>
      <c r="O2027" s="30">
        <f t="shared" si="235"/>
        <v>7.8787878787878782E-2</v>
      </c>
    </row>
    <row r="2028" spans="1:15" ht="15.75" x14ac:dyDescent="0.25">
      <c r="A2028" s="33">
        <v>943</v>
      </c>
      <c r="B2028" s="9">
        <v>44442</v>
      </c>
      <c r="C2028" s="18" t="s">
        <v>66</v>
      </c>
      <c r="D2028" s="3">
        <v>20000</v>
      </c>
      <c r="E2028" s="9">
        <v>44550</v>
      </c>
      <c r="F2028" s="15" t="s">
        <v>28</v>
      </c>
      <c r="G2028" s="12">
        <v>44446</v>
      </c>
      <c r="H2028" s="23">
        <f t="shared" si="233"/>
        <v>20000</v>
      </c>
      <c r="I2028" s="23"/>
      <c r="J2028" s="23"/>
      <c r="K2028" s="24">
        <v>2400</v>
      </c>
      <c r="L2028" s="23">
        <v>6600</v>
      </c>
      <c r="M2028" s="22">
        <f t="shared" si="234"/>
        <v>11000</v>
      </c>
      <c r="N2028" s="23"/>
      <c r="O2028" s="30">
        <f t="shared" si="235"/>
        <v>0.55000000000000004</v>
      </c>
    </row>
    <row r="2029" spans="1:15" s="2" customFormat="1" ht="20.100000000000001" customHeight="1" x14ac:dyDescent="0.25">
      <c r="A2029" s="33">
        <v>1056</v>
      </c>
      <c r="B2029" s="9">
        <v>44481</v>
      </c>
      <c r="C2029" s="18" t="s">
        <v>66</v>
      </c>
      <c r="D2029" s="3">
        <v>17774.5</v>
      </c>
      <c r="E2029" s="9">
        <v>44550</v>
      </c>
      <c r="F2029" s="15" t="s">
        <v>28</v>
      </c>
      <c r="G2029" s="12">
        <v>44488</v>
      </c>
      <c r="H2029" s="23">
        <f t="shared" si="233"/>
        <v>17774.5</v>
      </c>
      <c r="I2029" s="23"/>
      <c r="J2029" s="23"/>
      <c r="K2029" s="24"/>
      <c r="L2029" s="22">
        <v>13197</v>
      </c>
      <c r="M2029" s="22">
        <f t="shared" si="234"/>
        <v>4577.5</v>
      </c>
      <c r="N2029" s="23"/>
      <c r="O2029" s="30">
        <f t="shared" si="235"/>
        <v>0.25753185743621482</v>
      </c>
    </row>
    <row r="2030" spans="1:15" ht="19.5" customHeight="1" x14ac:dyDescent="0.25">
      <c r="A2030" s="33">
        <v>1289</v>
      </c>
      <c r="B2030" s="9">
        <v>44539</v>
      </c>
      <c r="C2030" s="18" t="s">
        <v>403</v>
      </c>
      <c r="D2030" s="3">
        <v>4062</v>
      </c>
      <c r="E2030" s="9">
        <v>44550</v>
      </c>
      <c r="F2030" s="15" t="s">
        <v>28</v>
      </c>
      <c r="G2030" s="12">
        <v>44557</v>
      </c>
      <c r="H2030" s="23">
        <f t="shared" si="233"/>
        <v>4062</v>
      </c>
      <c r="I2030" s="23"/>
      <c r="J2030" s="23"/>
      <c r="K2030" s="24"/>
      <c r="L2030" s="22">
        <v>3127</v>
      </c>
      <c r="M2030" s="22">
        <f t="shared" si="234"/>
        <v>935</v>
      </c>
      <c r="N2030" s="23"/>
      <c r="O2030" s="30">
        <f t="shared" si="235"/>
        <v>0.23018217626784834</v>
      </c>
    </row>
    <row r="2031" spans="1:15" ht="19.5" customHeight="1" x14ac:dyDescent="0.25">
      <c r="A2031" s="33">
        <v>1303</v>
      </c>
      <c r="B2031" s="9">
        <v>44544</v>
      </c>
      <c r="C2031" s="18" t="s">
        <v>488</v>
      </c>
      <c r="D2031" s="3">
        <v>50490</v>
      </c>
      <c r="E2031" s="9">
        <v>44550</v>
      </c>
      <c r="F2031" s="15" t="s">
        <v>28</v>
      </c>
      <c r="G2031" s="12">
        <v>44554</v>
      </c>
      <c r="H2031" s="23">
        <f>D2031</f>
        <v>50490</v>
      </c>
      <c r="I2031" s="23"/>
      <c r="J2031" s="23"/>
      <c r="K2031" s="24"/>
      <c r="L2031" s="22">
        <v>37110</v>
      </c>
      <c r="M2031" s="22">
        <f t="shared" si="234"/>
        <v>13380</v>
      </c>
      <c r="N2031" s="23"/>
      <c r="O2031" s="30">
        <f t="shared" si="235"/>
        <v>0.26500297088532382</v>
      </c>
    </row>
    <row r="2032" spans="1:15" ht="19.5" customHeight="1" x14ac:dyDescent="0.25">
      <c r="A2032" s="33">
        <v>1119</v>
      </c>
      <c r="B2032" s="9">
        <v>44497</v>
      </c>
      <c r="C2032" s="18" t="s">
        <v>13</v>
      </c>
      <c r="D2032" s="3">
        <v>24582</v>
      </c>
      <c r="E2032" s="9">
        <v>44551</v>
      </c>
      <c r="F2032" s="15" t="s">
        <v>28</v>
      </c>
      <c r="G2032" s="12">
        <v>44530</v>
      </c>
      <c r="H2032" s="23">
        <f t="shared" si="233"/>
        <v>24582</v>
      </c>
      <c r="I2032" s="23"/>
      <c r="J2032" s="23"/>
      <c r="K2032" s="24"/>
      <c r="L2032" s="22">
        <v>16943</v>
      </c>
      <c r="M2032" s="22">
        <f t="shared" si="234"/>
        <v>7639</v>
      </c>
      <c r="N2032" s="23"/>
      <c r="O2032" s="30">
        <f t="shared" si="235"/>
        <v>0.31075583760475145</v>
      </c>
    </row>
    <row r="2033" spans="1:15" ht="20.100000000000001" customHeight="1" x14ac:dyDescent="0.25">
      <c r="A2033" s="33">
        <v>1231</v>
      </c>
      <c r="B2033" s="9">
        <v>44529</v>
      </c>
      <c r="C2033" s="18" t="s">
        <v>209</v>
      </c>
      <c r="D2033" s="3">
        <v>10464</v>
      </c>
      <c r="E2033" s="9">
        <v>44554</v>
      </c>
      <c r="F2033" s="15" t="s">
        <v>28</v>
      </c>
      <c r="G2033" s="12">
        <v>44554</v>
      </c>
      <c r="H2033" s="23">
        <f t="shared" si="233"/>
        <v>10464</v>
      </c>
      <c r="I2033" s="23"/>
      <c r="J2033" s="23"/>
      <c r="K2033" s="24"/>
      <c r="L2033" s="23">
        <v>8057</v>
      </c>
      <c r="M2033" s="22">
        <f t="shared" si="234"/>
        <v>2407</v>
      </c>
      <c r="N2033" s="23"/>
      <c r="O2033" s="30">
        <f t="shared" si="235"/>
        <v>0.23002675840978593</v>
      </c>
    </row>
    <row r="2034" spans="1:15" ht="20.100000000000001" customHeight="1" x14ac:dyDescent="0.25">
      <c r="A2034" s="33">
        <v>1225</v>
      </c>
      <c r="B2034" s="9">
        <v>44222</v>
      </c>
      <c r="C2034" s="18" t="s">
        <v>13</v>
      </c>
      <c r="D2034" s="3">
        <v>18348</v>
      </c>
      <c r="E2034" s="9">
        <v>44554</v>
      </c>
      <c r="F2034" s="15" t="s">
        <v>28</v>
      </c>
      <c r="G2034" s="12">
        <v>44546</v>
      </c>
      <c r="H2034" s="23">
        <f t="shared" si="233"/>
        <v>18348</v>
      </c>
      <c r="I2034" s="23"/>
      <c r="J2034" s="23"/>
      <c r="K2034" s="24"/>
      <c r="L2034" s="22">
        <v>14310</v>
      </c>
      <c r="M2034" s="22">
        <f t="shared" si="234"/>
        <v>4038</v>
      </c>
      <c r="N2034" s="23"/>
      <c r="O2034" s="30">
        <f t="shared" si="235"/>
        <v>0.22007848266841074</v>
      </c>
    </row>
    <row r="2035" spans="1:15" ht="20.100000000000001" customHeight="1" x14ac:dyDescent="0.25">
      <c r="A2035" s="33">
        <v>1310</v>
      </c>
      <c r="B2035" s="9">
        <v>44547</v>
      </c>
      <c r="C2035" s="18" t="s">
        <v>467</v>
      </c>
      <c r="D2035" s="3">
        <v>8910</v>
      </c>
      <c r="E2035" s="9">
        <v>44559</v>
      </c>
      <c r="F2035" s="15" t="s">
        <v>28</v>
      </c>
      <c r="G2035" s="12">
        <v>44624</v>
      </c>
      <c r="H2035" s="23">
        <f t="shared" si="233"/>
        <v>8910</v>
      </c>
      <c r="I2035" s="23"/>
      <c r="J2035" s="23"/>
      <c r="K2035" s="24"/>
      <c r="L2035" s="22">
        <v>6950</v>
      </c>
      <c r="M2035" s="22">
        <f t="shared" si="234"/>
        <v>1960</v>
      </c>
      <c r="N2035" s="23"/>
      <c r="O2035" s="30">
        <f t="shared" si="235"/>
        <v>0.21997755331088664</v>
      </c>
    </row>
    <row r="2036" spans="1:15" ht="20.100000000000001" customHeight="1" x14ac:dyDescent="0.25">
      <c r="A2036" s="33">
        <v>1204</v>
      </c>
      <c r="B2036" s="9">
        <v>44883</v>
      </c>
      <c r="C2036" s="18" t="s">
        <v>275</v>
      </c>
      <c r="D2036" s="3">
        <v>135840.5</v>
      </c>
      <c r="E2036" s="9">
        <v>44560</v>
      </c>
      <c r="F2036" s="15" t="s">
        <v>28</v>
      </c>
      <c r="G2036" s="12">
        <v>44607</v>
      </c>
      <c r="H2036" s="23">
        <f t="shared" si="233"/>
        <v>135840.5</v>
      </c>
      <c r="I2036" s="23"/>
      <c r="J2036" s="23"/>
      <c r="K2036" s="24"/>
      <c r="L2036" s="22">
        <v>105812</v>
      </c>
      <c r="M2036" s="22">
        <f t="shared" si="234"/>
        <v>30028.5</v>
      </c>
      <c r="N2036" s="23"/>
      <c r="O2036" s="30">
        <f t="shared" si="235"/>
        <v>0.22105704852382022</v>
      </c>
    </row>
    <row r="2037" spans="1:15" ht="20.100000000000001" customHeight="1" x14ac:dyDescent="0.25">
      <c r="A2037" s="35" t="s">
        <v>535</v>
      </c>
      <c r="B2037" s="36"/>
      <c r="C2037" s="42"/>
      <c r="D2037" s="37"/>
      <c r="E2037" s="46" t="s">
        <v>598</v>
      </c>
      <c r="F2037" s="47">
        <f>M2037*0.12+N2037*0.06</f>
        <v>21823.871999999999</v>
      </c>
      <c r="G2037" s="21">
        <f>H2037*0.04+I2037*0.02</f>
        <v>30675.760000000002</v>
      </c>
      <c r="H2037" s="49">
        <f>SUBTOTAL(109,Декабрь2021[Продажа])</f>
        <v>766894</v>
      </c>
      <c r="I2037" s="49">
        <f>SUBTOTAL(109,Декабрь2021[Продажа НК])</f>
        <v>0</v>
      </c>
      <c r="J2037" s="49">
        <f>SUBTOTAL(109,Декабрь2021[отк])</f>
        <v>0</v>
      </c>
      <c r="K2037" s="49">
        <f>SUBTOTAL(109,Декабрь2021[шланги])</f>
        <v>2400</v>
      </c>
      <c r="L2037" s="49">
        <f>SUBTOTAL(109,Декабрь2021[Закупка])</f>
        <v>582628.4</v>
      </c>
      <c r="M2037" s="49">
        <f>SUBTOTAL(109,Декабрь2021[Маржа])</f>
        <v>181865.60000000001</v>
      </c>
      <c r="N2037" s="49">
        <f>SUBTOTAL(109,Декабрь2021[Маржа НК])</f>
        <v>0</v>
      </c>
      <c r="O2037" s="44">
        <f t="shared" si="235"/>
        <v>0.23714568115019807</v>
      </c>
    </row>
    <row r="2038" spans="1:15" ht="15.75" x14ac:dyDescent="0.25">
      <c r="A2038" s="41" t="s">
        <v>1</v>
      </c>
      <c r="B2038" s="1" t="s">
        <v>0</v>
      </c>
      <c r="C2038" s="1" t="s">
        <v>26</v>
      </c>
      <c r="D2038" s="1" t="s">
        <v>2</v>
      </c>
      <c r="E2038" s="1" t="s">
        <v>3</v>
      </c>
      <c r="F2038" s="1" t="s">
        <v>27</v>
      </c>
      <c r="G2038" s="1" t="s">
        <v>4</v>
      </c>
      <c r="H2038" s="2" t="s">
        <v>132</v>
      </c>
      <c r="I2038" s="2" t="s">
        <v>133</v>
      </c>
      <c r="J2038" s="40" t="s">
        <v>187</v>
      </c>
      <c r="K2038" s="40" t="s">
        <v>188</v>
      </c>
      <c r="L2038" s="40" t="s">
        <v>129</v>
      </c>
      <c r="M2038" s="40" t="s">
        <v>130</v>
      </c>
      <c r="N2038" s="2" t="s">
        <v>131</v>
      </c>
      <c r="O2038" s="2" t="s">
        <v>134</v>
      </c>
    </row>
    <row r="2039" spans="1:15" s="2" customFormat="1" ht="20.100000000000001" customHeight="1" x14ac:dyDescent="0.25">
      <c r="A2039" s="33">
        <v>1174</v>
      </c>
      <c r="B2039" s="9">
        <v>44512</v>
      </c>
      <c r="C2039" s="18" t="s">
        <v>60</v>
      </c>
      <c r="D2039" s="3">
        <v>4400</v>
      </c>
      <c r="E2039" s="9">
        <v>44571</v>
      </c>
      <c r="F2039" s="15" t="s">
        <v>28</v>
      </c>
      <c r="G2039" s="12">
        <v>44546</v>
      </c>
      <c r="H2039" s="23">
        <f t="shared" ref="H2039:H2050" si="236">D2039</f>
        <v>4400</v>
      </c>
      <c r="I2039" s="23"/>
      <c r="J2039" s="23"/>
      <c r="K2039" s="24"/>
      <c r="L2039" s="22">
        <v>3430</v>
      </c>
      <c r="M2039" s="22">
        <f t="shared" ref="M2039:M2050" si="237">H2039-L2039-J2039-K2039</f>
        <v>970</v>
      </c>
      <c r="N2039" s="23"/>
      <c r="O2039" s="30">
        <f t="shared" ref="O2039:O2051" si="238">M2039/H2039</f>
        <v>0.22045454545454546</v>
      </c>
    </row>
    <row r="2040" spans="1:15" ht="20.100000000000001" customHeight="1" x14ac:dyDescent="0.25">
      <c r="A2040" s="33">
        <v>13</v>
      </c>
      <c r="B2040" s="9">
        <v>44574</v>
      </c>
      <c r="C2040" s="18" t="s">
        <v>124</v>
      </c>
      <c r="D2040" s="3">
        <v>4403</v>
      </c>
      <c r="E2040" s="9">
        <v>44574</v>
      </c>
      <c r="F2040" s="15" t="s">
        <v>28</v>
      </c>
      <c r="G2040" s="12">
        <v>44575</v>
      </c>
      <c r="H2040" s="23">
        <f t="shared" si="236"/>
        <v>4403</v>
      </c>
      <c r="I2040" s="23"/>
      <c r="J2040" s="23"/>
      <c r="K2040" s="24"/>
      <c r="L2040" s="22">
        <v>3304</v>
      </c>
      <c r="M2040" s="22">
        <f t="shared" si="237"/>
        <v>1099</v>
      </c>
      <c r="N2040" s="23"/>
      <c r="O2040" s="30">
        <f t="shared" si="238"/>
        <v>0.24960254372019078</v>
      </c>
    </row>
    <row r="2041" spans="1:15" ht="20.100000000000001" customHeight="1" x14ac:dyDescent="0.25">
      <c r="A2041" s="33">
        <v>12</v>
      </c>
      <c r="B2041" s="9">
        <v>44574</v>
      </c>
      <c r="C2041" s="18" t="s">
        <v>77</v>
      </c>
      <c r="D2041" s="3">
        <v>4208</v>
      </c>
      <c r="E2041" s="9">
        <v>44579</v>
      </c>
      <c r="F2041" s="15" t="s">
        <v>28</v>
      </c>
      <c r="G2041" s="12">
        <v>44581</v>
      </c>
      <c r="H2041" s="23">
        <f t="shared" si="236"/>
        <v>4208</v>
      </c>
      <c r="I2041" s="23"/>
      <c r="J2041" s="23"/>
      <c r="K2041" s="24"/>
      <c r="L2041" s="22">
        <v>3282</v>
      </c>
      <c r="M2041" s="22">
        <f t="shared" si="237"/>
        <v>926</v>
      </c>
      <c r="N2041" s="23"/>
      <c r="O2041" s="30">
        <f t="shared" si="238"/>
        <v>0.22005703422053233</v>
      </c>
    </row>
    <row r="2042" spans="1:15" ht="20.100000000000001" customHeight="1" x14ac:dyDescent="0.25">
      <c r="A2042" s="33">
        <v>1280</v>
      </c>
      <c r="B2042" s="9">
        <v>44538</v>
      </c>
      <c r="C2042" s="18" t="s">
        <v>56</v>
      </c>
      <c r="D2042" s="3">
        <v>38446</v>
      </c>
      <c r="E2042" s="9">
        <v>44580</v>
      </c>
      <c r="F2042" s="15" t="s">
        <v>28</v>
      </c>
      <c r="G2042" s="12">
        <v>44578</v>
      </c>
      <c r="H2042" s="23">
        <f t="shared" si="236"/>
        <v>38446</v>
      </c>
      <c r="I2042" s="23"/>
      <c r="J2042" s="23"/>
      <c r="K2042" s="24"/>
      <c r="L2042" s="23">
        <v>29711</v>
      </c>
      <c r="M2042" s="22">
        <f t="shared" si="237"/>
        <v>8735</v>
      </c>
      <c r="N2042" s="23"/>
      <c r="O2042" s="30">
        <f t="shared" si="238"/>
        <v>0.22720178952296727</v>
      </c>
    </row>
    <row r="2043" spans="1:15" ht="20.100000000000001" customHeight="1" x14ac:dyDescent="0.25">
      <c r="A2043" s="33">
        <v>31</v>
      </c>
      <c r="B2043" s="9">
        <v>44580</v>
      </c>
      <c r="C2043" s="18" t="s">
        <v>179</v>
      </c>
      <c r="D2043" s="3">
        <v>12616</v>
      </c>
      <c r="E2043" s="9">
        <v>44581</v>
      </c>
      <c r="F2043" s="15" t="s">
        <v>28</v>
      </c>
      <c r="G2043" s="12">
        <v>44622</v>
      </c>
      <c r="H2043" s="23">
        <f t="shared" si="236"/>
        <v>12616</v>
      </c>
      <c r="I2043" s="23"/>
      <c r="J2043" s="23"/>
      <c r="K2043" s="24"/>
      <c r="L2043" s="23">
        <f>4762+5078</f>
        <v>9840</v>
      </c>
      <c r="M2043" s="22">
        <f t="shared" si="237"/>
        <v>2776</v>
      </c>
      <c r="N2043" s="23"/>
      <c r="O2043" s="30">
        <f t="shared" si="238"/>
        <v>0.22003804692454026</v>
      </c>
    </row>
    <row r="2044" spans="1:15" ht="20.100000000000001" customHeight="1" x14ac:dyDescent="0.25">
      <c r="A2044" s="33">
        <v>33</v>
      </c>
      <c r="B2044" s="9">
        <v>44582</v>
      </c>
      <c r="C2044" s="18" t="s">
        <v>508</v>
      </c>
      <c r="D2044" s="3">
        <v>1684</v>
      </c>
      <c r="E2044" s="9">
        <v>44582</v>
      </c>
      <c r="F2044" s="15" t="s">
        <v>28</v>
      </c>
      <c r="G2044" s="12">
        <v>44588</v>
      </c>
      <c r="H2044" s="23">
        <f t="shared" si="236"/>
        <v>1684</v>
      </c>
      <c r="I2044" s="23"/>
      <c r="J2044" s="23"/>
      <c r="K2044" s="24"/>
      <c r="L2044" s="23">
        <v>1111</v>
      </c>
      <c r="M2044" s="22">
        <f t="shared" si="237"/>
        <v>573</v>
      </c>
      <c r="N2044" s="23"/>
      <c r="O2044" s="30">
        <f t="shared" si="238"/>
        <v>0.34026128266033256</v>
      </c>
    </row>
    <row r="2045" spans="1:15" ht="20.100000000000001" customHeight="1" x14ac:dyDescent="0.25">
      <c r="A2045" s="33">
        <v>22</v>
      </c>
      <c r="B2045" s="9">
        <v>44575</v>
      </c>
      <c r="C2045" s="18" t="s">
        <v>403</v>
      </c>
      <c r="D2045" s="3">
        <v>4062</v>
      </c>
      <c r="E2045" s="9">
        <v>44585</v>
      </c>
      <c r="F2045" s="15" t="s">
        <v>28</v>
      </c>
      <c r="G2045" s="12">
        <v>44595</v>
      </c>
      <c r="H2045" s="23">
        <f t="shared" si="236"/>
        <v>4062</v>
      </c>
      <c r="I2045" s="23"/>
      <c r="J2045" s="23"/>
      <c r="K2045" s="24"/>
      <c r="L2045" s="23">
        <v>3127</v>
      </c>
      <c r="M2045" s="22">
        <f t="shared" si="237"/>
        <v>935</v>
      </c>
      <c r="N2045" s="23"/>
      <c r="O2045" s="30">
        <f t="shared" si="238"/>
        <v>0.23018217626784834</v>
      </c>
    </row>
    <row r="2046" spans="1:15" ht="20.100000000000001" customHeight="1" x14ac:dyDescent="0.25">
      <c r="A2046" s="33">
        <v>1314</v>
      </c>
      <c r="B2046" s="9">
        <v>44558</v>
      </c>
      <c r="C2046" s="18" t="s">
        <v>13</v>
      </c>
      <c r="D2046" s="3">
        <v>310040</v>
      </c>
      <c r="E2046" s="9">
        <v>44586</v>
      </c>
      <c r="F2046" s="15" t="s">
        <v>28</v>
      </c>
      <c r="G2046" s="12">
        <v>44650</v>
      </c>
      <c r="H2046" s="23">
        <f t="shared" si="236"/>
        <v>310040</v>
      </c>
      <c r="I2046" s="23"/>
      <c r="J2046" s="23"/>
      <c r="K2046" s="24"/>
      <c r="L2046" s="23">
        <v>229265.62</v>
      </c>
      <c r="M2046" s="22">
        <f t="shared" si="237"/>
        <v>80774.38</v>
      </c>
      <c r="N2046" s="23"/>
      <c r="O2046" s="30">
        <f t="shared" si="238"/>
        <v>0.26052889949683911</v>
      </c>
    </row>
    <row r="2047" spans="1:15" ht="20.100000000000001" customHeight="1" x14ac:dyDescent="0.25">
      <c r="A2047" s="33">
        <v>1233</v>
      </c>
      <c r="B2047" s="9">
        <v>44529</v>
      </c>
      <c r="C2047" s="18" t="s">
        <v>65</v>
      </c>
      <c r="D2047" s="3">
        <v>97728</v>
      </c>
      <c r="E2047" s="9">
        <v>44586</v>
      </c>
      <c r="F2047" s="15" t="s">
        <v>28</v>
      </c>
      <c r="G2047" s="12">
        <v>44544</v>
      </c>
      <c r="H2047" s="23">
        <f t="shared" si="236"/>
        <v>97728</v>
      </c>
      <c r="I2047" s="23"/>
      <c r="J2047" s="23"/>
      <c r="K2047" s="24"/>
      <c r="L2047" s="22">
        <f>34624+8000</f>
        <v>42624</v>
      </c>
      <c r="M2047" s="22">
        <f t="shared" si="237"/>
        <v>55104</v>
      </c>
      <c r="N2047" s="23"/>
      <c r="O2047" s="30">
        <f t="shared" si="238"/>
        <v>0.56385068762278978</v>
      </c>
    </row>
    <row r="2048" spans="1:15" ht="20.100000000000001" customHeight="1" x14ac:dyDescent="0.25">
      <c r="A2048" s="33">
        <v>16</v>
      </c>
      <c r="B2048" s="9">
        <v>44574</v>
      </c>
      <c r="C2048" s="18" t="s">
        <v>11</v>
      </c>
      <c r="D2048" s="3">
        <v>2776</v>
      </c>
      <c r="E2048" s="9">
        <v>44587</v>
      </c>
      <c r="F2048" s="15" t="s">
        <v>28</v>
      </c>
      <c r="G2048" s="12">
        <v>44588</v>
      </c>
      <c r="H2048" s="23">
        <f t="shared" si="236"/>
        <v>2776</v>
      </c>
      <c r="I2048" s="23"/>
      <c r="J2048" s="23"/>
      <c r="K2048" s="24"/>
      <c r="L2048" s="29">
        <v>1857</v>
      </c>
      <c r="M2048" s="22">
        <f t="shared" si="237"/>
        <v>919</v>
      </c>
      <c r="N2048" s="23"/>
      <c r="O2048" s="30">
        <f t="shared" si="238"/>
        <v>0.33105187319884727</v>
      </c>
    </row>
    <row r="2049" spans="1:15" ht="20.100000000000001" customHeight="1" x14ac:dyDescent="0.25">
      <c r="A2049" s="33">
        <v>4</v>
      </c>
      <c r="B2049" s="9">
        <v>44571</v>
      </c>
      <c r="C2049" s="18" t="s">
        <v>99</v>
      </c>
      <c r="D2049" s="3">
        <v>209250</v>
      </c>
      <c r="E2049" s="9">
        <v>44588</v>
      </c>
      <c r="F2049" s="15" t="s">
        <v>28</v>
      </c>
      <c r="G2049" s="12">
        <v>44571</v>
      </c>
      <c r="H2049" s="23">
        <f t="shared" si="236"/>
        <v>209250</v>
      </c>
      <c r="I2049" s="23"/>
      <c r="J2049" s="23">
        <f>3000*15</f>
        <v>45000</v>
      </c>
      <c r="K2049" s="24"/>
      <c r="L2049" s="29">
        <v>31928.75</v>
      </c>
      <c r="M2049" s="22">
        <f t="shared" si="237"/>
        <v>132321.25</v>
      </c>
      <c r="N2049" s="23"/>
      <c r="O2049" s="30">
        <f t="shared" si="238"/>
        <v>0.63235961768219828</v>
      </c>
    </row>
    <row r="2050" spans="1:15" ht="20.100000000000001" customHeight="1" x14ac:dyDescent="0.25">
      <c r="A2050" s="33">
        <v>14</v>
      </c>
      <c r="B2050" s="9">
        <v>44574</v>
      </c>
      <c r="C2050" s="18" t="s">
        <v>11</v>
      </c>
      <c r="D2050" s="3">
        <v>12000</v>
      </c>
      <c r="E2050" s="9">
        <v>44592</v>
      </c>
      <c r="F2050" s="15" t="s">
        <v>28</v>
      </c>
      <c r="G2050" s="12">
        <v>44609</v>
      </c>
      <c r="H2050" s="23">
        <f t="shared" si="236"/>
        <v>12000</v>
      </c>
      <c r="I2050" s="23"/>
      <c r="J2050" s="23"/>
      <c r="K2050" s="24"/>
      <c r="L2050" s="29">
        <f>1106.41*8</f>
        <v>8851.2800000000007</v>
      </c>
      <c r="M2050" s="22">
        <f t="shared" si="237"/>
        <v>3148.7199999999993</v>
      </c>
      <c r="N2050" s="23"/>
      <c r="O2050" s="30">
        <f t="shared" si="238"/>
        <v>0.26239333333333326</v>
      </c>
    </row>
    <row r="2051" spans="1:15" ht="20.100000000000001" customHeight="1" x14ac:dyDescent="0.25">
      <c r="A2051" s="35" t="s">
        <v>535</v>
      </c>
      <c r="B2051" s="36"/>
      <c r="C2051" s="42"/>
      <c r="D2051" s="37"/>
      <c r="E2051" s="46" t="s">
        <v>599</v>
      </c>
      <c r="F2051" s="47">
        <f>M2051*0.17+N2051*0.06</f>
        <v>49007.8295</v>
      </c>
      <c r="G2051" s="21">
        <f>H2051*0.04+I2051*0.02</f>
        <v>28064.52</v>
      </c>
      <c r="H2051" s="49">
        <f>SUBTOTAL(109,Январь2022[Продажа])</f>
        <v>701613</v>
      </c>
      <c r="I2051" s="49">
        <f>SUBTOTAL(109,Январь2022[Продажа НК])</f>
        <v>0</v>
      </c>
      <c r="J2051" s="49">
        <f>SUBTOTAL(109,Январь2022[отк])</f>
        <v>45000</v>
      </c>
      <c r="K2051" s="49">
        <f>SUBTOTAL(109,Январь2022[шланги])</f>
        <v>0</v>
      </c>
      <c r="L2051" s="49">
        <f>SUBTOTAL(109,Январь2022[Закупка])</f>
        <v>368331.65</v>
      </c>
      <c r="M2051" s="49">
        <f>SUBTOTAL(109,Январь2022[Маржа])</f>
        <v>288281.34999999998</v>
      </c>
      <c r="N2051" s="49">
        <f>SUBTOTAL(109,Январь2022[Маржа НК])</f>
        <v>0</v>
      </c>
      <c r="O2051" s="44">
        <f t="shared" si="238"/>
        <v>0.41088370654477607</v>
      </c>
    </row>
    <row r="2052" spans="1:15" ht="20.100000000000001" customHeight="1" x14ac:dyDescent="0.25">
      <c r="A2052" s="41" t="s">
        <v>1</v>
      </c>
      <c r="B2052" s="1" t="s">
        <v>0</v>
      </c>
      <c r="C2052" s="1" t="s">
        <v>26</v>
      </c>
      <c r="D2052" s="1" t="s">
        <v>2</v>
      </c>
      <c r="E2052" s="1" t="s">
        <v>3</v>
      </c>
      <c r="F2052" s="1" t="s">
        <v>27</v>
      </c>
      <c r="G2052" s="1" t="s">
        <v>4</v>
      </c>
      <c r="H2052" s="2" t="s">
        <v>132</v>
      </c>
      <c r="I2052" s="2" t="s">
        <v>133</v>
      </c>
      <c r="J2052" s="40" t="s">
        <v>187</v>
      </c>
      <c r="K2052" s="40" t="s">
        <v>188</v>
      </c>
      <c r="L2052" s="40" t="s">
        <v>129</v>
      </c>
      <c r="M2052" s="40" t="s">
        <v>130</v>
      </c>
      <c r="N2052" s="2" t="s">
        <v>131</v>
      </c>
      <c r="O2052" s="2" t="s">
        <v>134</v>
      </c>
    </row>
    <row r="2053" spans="1:15" ht="19.5" customHeight="1" x14ac:dyDescent="0.25">
      <c r="A2053" s="33">
        <v>56</v>
      </c>
      <c r="B2053" s="9">
        <v>44593</v>
      </c>
      <c r="C2053" s="18" t="s">
        <v>512</v>
      </c>
      <c r="D2053" s="3">
        <v>18290</v>
      </c>
      <c r="E2053" s="9">
        <v>44594</v>
      </c>
      <c r="F2053" s="15" t="s">
        <v>28</v>
      </c>
      <c r="G2053" s="12">
        <v>44596</v>
      </c>
      <c r="H2053" s="23">
        <f t="shared" ref="H2053:H2066" si="239">D2053</f>
        <v>18290</v>
      </c>
      <c r="I2053" s="23"/>
      <c r="J2053" s="23"/>
      <c r="K2053" s="24"/>
      <c r="L2053" s="29">
        <v>12855</v>
      </c>
      <c r="M2053" s="22">
        <f t="shared" ref="M2053:M2066" si="240">H2053-L2053-J2053-K2053</f>
        <v>5435</v>
      </c>
      <c r="N2053" s="23"/>
      <c r="O2053" s="30">
        <f t="shared" ref="O2053:O2067" si="241">M2053/H2053</f>
        <v>0.297156916347731</v>
      </c>
    </row>
    <row r="2054" spans="1:15" ht="19.5" customHeight="1" x14ac:dyDescent="0.25">
      <c r="A2054" s="33">
        <v>65</v>
      </c>
      <c r="B2054" s="9">
        <v>44595</v>
      </c>
      <c r="C2054" s="18" t="s">
        <v>339</v>
      </c>
      <c r="D2054" s="3">
        <v>1260</v>
      </c>
      <c r="E2054" s="9">
        <v>44596</v>
      </c>
      <c r="F2054" s="15" t="s">
        <v>28</v>
      </c>
      <c r="G2054" s="12">
        <v>44620</v>
      </c>
      <c r="H2054" s="23">
        <f t="shared" si="239"/>
        <v>1260</v>
      </c>
      <c r="I2054" s="23"/>
      <c r="J2054" s="23"/>
      <c r="K2054" s="24"/>
      <c r="L2054" s="29">
        <v>932.13</v>
      </c>
      <c r="M2054" s="22">
        <f t="shared" si="240"/>
        <v>327.87</v>
      </c>
      <c r="N2054" s="23"/>
      <c r="O2054" s="30">
        <f t="shared" si="241"/>
        <v>0.26021428571428573</v>
      </c>
    </row>
    <row r="2055" spans="1:15" ht="20.100000000000001" customHeight="1" x14ac:dyDescent="0.25">
      <c r="A2055" s="33">
        <v>40</v>
      </c>
      <c r="B2055" s="9">
        <v>44585</v>
      </c>
      <c r="C2055" s="18" t="s">
        <v>60</v>
      </c>
      <c r="D2055" s="3">
        <v>63064</v>
      </c>
      <c r="E2055" s="9">
        <v>44599</v>
      </c>
      <c r="F2055" s="15" t="s">
        <v>28</v>
      </c>
      <c r="G2055" s="12">
        <v>44585</v>
      </c>
      <c r="H2055" s="23">
        <v>36557</v>
      </c>
      <c r="I2055" s="23"/>
      <c r="J2055" s="23"/>
      <c r="K2055" s="24"/>
      <c r="L2055" s="29">
        <v>28509</v>
      </c>
      <c r="M2055" s="22">
        <f t="shared" si="240"/>
        <v>8048</v>
      </c>
      <c r="N2055" s="23"/>
      <c r="O2055" s="30">
        <f t="shared" si="241"/>
        <v>0.22014935580053069</v>
      </c>
    </row>
    <row r="2056" spans="1:15" ht="19.5" customHeight="1" x14ac:dyDescent="0.25">
      <c r="A2056" s="33">
        <v>1180</v>
      </c>
      <c r="B2056" s="9">
        <v>44515</v>
      </c>
      <c r="C2056" s="18" t="s">
        <v>275</v>
      </c>
      <c r="D2056" s="3">
        <v>7338</v>
      </c>
      <c r="E2056" s="9">
        <v>44600</v>
      </c>
      <c r="F2056" s="15" t="s">
        <v>28</v>
      </c>
      <c r="G2056" s="12">
        <v>44546</v>
      </c>
      <c r="H2056" s="23">
        <f t="shared" si="239"/>
        <v>7338</v>
      </c>
      <c r="I2056" s="23"/>
      <c r="J2056" s="23"/>
      <c r="K2056" s="24"/>
      <c r="L2056" s="22">
        <v>4747</v>
      </c>
      <c r="M2056" s="22">
        <f t="shared" si="240"/>
        <v>2591</v>
      </c>
      <c r="N2056" s="23"/>
      <c r="O2056" s="30">
        <f t="shared" si="241"/>
        <v>0.35309348596347778</v>
      </c>
    </row>
    <row r="2057" spans="1:15" ht="19.5" customHeight="1" x14ac:dyDescent="0.25">
      <c r="A2057" s="33">
        <v>85</v>
      </c>
      <c r="B2057" s="9">
        <v>44603</v>
      </c>
      <c r="C2057" s="18" t="s">
        <v>149</v>
      </c>
      <c r="D2057" s="3">
        <v>4550</v>
      </c>
      <c r="E2057" s="9">
        <v>44603</v>
      </c>
      <c r="F2057" s="15" t="s">
        <v>28</v>
      </c>
      <c r="G2057" s="12">
        <v>44606</v>
      </c>
      <c r="H2057" s="23">
        <f t="shared" si="239"/>
        <v>4550</v>
      </c>
      <c r="I2057" s="23"/>
      <c r="J2057" s="23"/>
      <c r="K2057" s="24"/>
      <c r="L2057" s="22">
        <v>3229.5</v>
      </c>
      <c r="M2057" s="22">
        <f t="shared" si="240"/>
        <v>1320.5</v>
      </c>
      <c r="N2057" s="23"/>
      <c r="O2057" s="30">
        <f t="shared" si="241"/>
        <v>0.29021978021978023</v>
      </c>
    </row>
    <row r="2058" spans="1:15" ht="20.100000000000001" customHeight="1" x14ac:dyDescent="0.25">
      <c r="A2058" s="33">
        <v>94</v>
      </c>
      <c r="B2058" s="9">
        <v>44609</v>
      </c>
      <c r="C2058" s="20" t="s">
        <v>513</v>
      </c>
      <c r="D2058" s="3">
        <v>191000</v>
      </c>
      <c r="E2058" s="9">
        <v>44609</v>
      </c>
      <c r="F2058" s="15" t="s">
        <v>28</v>
      </c>
      <c r="G2058" s="12">
        <v>44609</v>
      </c>
      <c r="H2058" s="23">
        <f t="shared" si="239"/>
        <v>191000</v>
      </c>
      <c r="I2058" s="23">
        <f>H2058</f>
        <v>191000</v>
      </c>
      <c r="J2058" s="23"/>
      <c r="K2058" s="24"/>
      <c r="L2058" s="22">
        <v>151322</v>
      </c>
      <c r="M2058" s="22">
        <f t="shared" si="240"/>
        <v>39678</v>
      </c>
      <c r="N2058" s="23">
        <f>M2058</f>
        <v>39678</v>
      </c>
      <c r="O2058" s="30">
        <f t="shared" si="241"/>
        <v>0.20773821989528796</v>
      </c>
    </row>
    <row r="2059" spans="1:15" ht="20.100000000000001" customHeight="1" x14ac:dyDescent="0.25">
      <c r="A2059" s="33">
        <v>101</v>
      </c>
      <c r="B2059" s="9">
        <v>44613</v>
      </c>
      <c r="C2059" s="18" t="s">
        <v>16</v>
      </c>
      <c r="D2059" s="3">
        <v>3630</v>
      </c>
      <c r="E2059" s="9">
        <v>44613</v>
      </c>
      <c r="F2059" s="15" t="s">
        <v>28</v>
      </c>
      <c r="G2059" s="12">
        <v>44651</v>
      </c>
      <c r="H2059" s="23">
        <f t="shared" si="239"/>
        <v>3630</v>
      </c>
      <c r="I2059" s="23"/>
      <c r="J2059" s="23"/>
      <c r="K2059" s="24"/>
      <c r="L2059" s="22">
        <v>2396</v>
      </c>
      <c r="M2059" s="22">
        <f t="shared" si="240"/>
        <v>1234</v>
      </c>
      <c r="N2059" s="23"/>
      <c r="O2059" s="30">
        <f t="shared" si="241"/>
        <v>0.33994490358126722</v>
      </c>
    </row>
    <row r="2060" spans="1:15" ht="19.5" customHeight="1" x14ac:dyDescent="0.25">
      <c r="A2060" s="33">
        <v>24</v>
      </c>
      <c r="B2060" s="9">
        <v>44578</v>
      </c>
      <c r="C2060" s="18" t="s">
        <v>99</v>
      </c>
      <c r="D2060" s="3">
        <v>207000</v>
      </c>
      <c r="E2060" s="9">
        <v>44614</v>
      </c>
      <c r="F2060" s="15" t="s">
        <v>28</v>
      </c>
      <c r="G2060" s="12">
        <v>44589</v>
      </c>
      <c r="H2060" s="23">
        <f t="shared" si="239"/>
        <v>207000</v>
      </c>
      <c r="I2060" s="23"/>
      <c r="J2060" s="23">
        <f>3000*15</f>
        <v>45000</v>
      </c>
      <c r="K2060" s="24"/>
      <c r="L2060" s="29">
        <v>30660</v>
      </c>
      <c r="M2060" s="22">
        <f t="shared" si="240"/>
        <v>131340</v>
      </c>
      <c r="N2060" s="23"/>
      <c r="O2060" s="30">
        <f t="shared" si="241"/>
        <v>0.63449275362318835</v>
      </c>
    </row>
    <row r="2061" spans="1:15" ht="15.75" x14ac:dyDescent="0.25">
      <c r="A2061" s="33">
        <v>86</v>
      </c>
      <c r="B2061" s="9">
        <v>44606</v>
      </c>
      <c r="C2061" s="18" t="s">
        <v>403</v>
      </c>
      <c r="D2061" s="3">
        <v>8498</v>
      </c>
      <c r="E2061" s="9">
        <v>44614</v>
      </c>
      <c r="F2061" s="15" t="s">
        <v>28</v>
      </c>
      <c r="G2061" s="12">
        <v>44618</v>
      </c>
      <c r="H2061" s="23">
        <f t="shared" si="239"/>
        <v>8498</v>
      </c>
      <c r="I2061" s="23"/>
      <c r="J2061" s="23"/>
      <c r="K2061" s="24"/>
      <c r="L2061" s="29">
        <f>3127*2</f>
        <v>6254</v>
      </c>
      <c r="M2061" s="22">
        <f t="shared" si="240"/>
        <v>2244</v>
      </c>
      <c r="N2061" s="23"/>
      <c r="O2061" s="30">
        <f t="shared" si="241"/>
        <v>0.26406213226641562</v>
      </c>
    </row>
    <row r="2062" spans="1:15" s="2" customFormat="1" ht="20.100000000000001" customHeight="1" x14ac:dyDescent="0.25">
      <c r="A2062" s="33">
        <v>106</v>
      </c>
      <c r="B2062" s="9">
        <v>44613</v>
      </c>
      <c r="C2062" s="18" t="s">
        <v>49</v>
      </c>
      <c r="D2062" s="3">
        <v>3630</v>
      </c>
      <c r="E2062" s="9">
        <v>44705</v>
      </c>
      <c r="F2062" s="15" t="s">
        <v>28</v>
      </c>
      <c r="G2062" s="12">
        <v>44617</v>
      </c>
      <c r="H2062" s="23">
        <f t="shared" si="239"/>
        <v>3630</v>
      </c>
      <c r="I2062" s="23"/>
      <c r="J2062" s="23"/>
      <c r="K2062" s="24"/>
      <c r="L2062" s="29">
        <v>2232</v>
      </c>
      <c r="M2062" s="22">
        <f t="shared" si="240"/>
        <v>1398</v>
      </c>
      <c r="N2062" s="23"/>
      <c r="O2062" s="30">
        <f t="shared" si="241"/>
        <v>0.38512396694214879</v>
      </c>
    </row>
    <row r="2063" spans="1:15" ht="19.5" customHeight="1" x14ac:dyDescent="0.25">
      <c r="A2063" s="33">
        <v>108</v>
      </c>
      <c r="B2063" s="9">
        <v>44614</v>
      </c>
      <c r="C2063" s="18" t="s">
        <v>216</v>
      </c>
      <c r="D2063" s="3">
        <v>4720</v>
      </c>
      <c r="E2063" s="9">
        <v>44706</v>
      </c>
      <c r="F2063" s="15" t="s">
        <v>28</v>
      </c>
      <c r="G2063" s="12">
        <v>44614</v>
      </c>
      <c r="H2063" s="23">
        <f t="shared" si="239"/>
        <v>4720</v>
      </c>
      <c r="I2063" s="23"/>
      <c r="J2063" s="23"/>
      <c r="K2063" s="24"/>
      <c r="L2063" s="29">
        <v>3008</v>
      </c>
      <c r="M2063" s="22">
        <f t="shared" si="240"/>
        <v>1712</v>
      </c>
      <c r="N2063" s="23"/>
      <c r="O2063" s="30">
        <f t="shared" si="241"/>
        <v>0.36271186440677966</v>
      </c>
    </row>
    <row r="2064" spans="1:15" ht="19.5" customHeight="1" x14ac:dyDescent="0.25">
      <c r="A2064" s="33">
        <v>99</v>
      </c>
      <c r="B2064" s="9">
        <v>44610</v>
      </c>
      <c r="C2064" s="18" t="s">
        <v>91</v>
      </c>
      <c r="D2064" s="3">
        <v>10377</v>
      </c>
      <c r="E2064" s="9">
        <v>44706</v>
      </c>
      <c r="F2064" s="15" t="s">
        <v>28</v>
      </c>
      <c r="G2064" s="12">
        <v>44641</v>
      </c>
      <c r="H2064" s="23">
        <f t="shared" si="239"/>
        <v>10377</v>
      </c>
      <c r="I2064" s="23"/>
      <c r="J2064" s="23"/>
      <c r="K2064" s="24"/>
      <c r="L2064" s="29">
        <v>8061</v>
      </c>
      <c r="M2064" s="22">
        <f t="shared" si="240"/>
        <v>2316</v>
      </c>
      <c r="N2064" s="23"/>
      <c r="O2064" s="30">
        <f t="shared" si="241"/>
        <v>0.22318589187626481</v>
      </c>
    </row>
    <row r="2065" spans="1:15" ht="20.100000000000001" customHeight="1" x14ac:dyDescent="0.25">
      <c r="A2065" s="33">
        <v>117</v>
      </c>
      <c r="B2065" s="9">
        <v>44617</v>
      </c>
      <c r="C2065" s="18" t="s">
        <v>149</v>
      </c>
      <c r="D2065" s="3">
        <v>18160</v>
      </c>
      <c r="E2065" s="9">
        <v>44620</v>
      </c>
      <c r="F2065" s="15" t="s">
        <v>28</v>
      </c>
      <c r="G2065" s="12">
        <v>44692</v>
      </c>
      <c r="H2065" s="23">
        <f t="shared" si="239"/>
        <v>18160</v>
      </c>
      <c r="I2065" s="23"/>
      <c r="J2065" s="23"/>
      <c r="K2065" s="24"/>
      <c r="L2065" s="29">
        <v>11986</v>
      </c>
      <c r="M2065" s="22">
        <f t="shared" si="240"/>
        <v>6174</v>
      </c>
      <c r="N2065" s="23"/>
      <c r="O2065" s="30">
        <f t="shared" si="241"/>
        <v>0.33997797356828197</v>
      </c>
    </row>
    <row r="2066" spans="1:15" ht="20.100000000000001" customHeight="1" x14ac:dyDescent="0.25">
      <c r="A2066" s="33">
        <v>1093</v>
      </c>
      <c r="B2066" s="9">
        <v>44490</v>
      </c>
      <c r="C2066" s="18" t="s">
        <v>209</v>
      </c>
      <c r="D2066" s="3">
        <v>6211.3</v>
      </c>
      <c r="E2066" s="9">
        <v>44620</v>
      </c>
      <c r="F2066" s="15" t="s">
        <v>28</v>
      </c>
      <c r="G2066" s="12">
        <v>44581</v>
      </c>
      <c r="H2066" s="23">
        <f t="shared" si="239"/>
        <v>6211.3</v>
      </c>
      <c r="I2066" s="23"/>
      <c r="J2066" s="23"/>
      <c r="K2066" s="24"/>
      <c r="L2066" s="23">
        <f>3098+1939</f>
        <v>5037</v>
      </c>
      <c r="M2066" s="22">
        <f t="shared" si="240"/>
        <v>1174.3000000000002</v>
      </c>
      <c r="N2066" s="23"/>
      <c r="O2066" s="30">
        <f t="shared" si="241"/>
        <v>0.18905865116803247</v>
      </c>
    </row>
    <row r="2067" spans="1:15" ht="20.100000000000001" customHeight="1" x14ac:dyDescent="0.25">
      <c r="A2067" s="35" t="s">
        <v>535</v>
      </c>
      <c r="B2067" s="36"/>
      <c r="C2067" s="42"/>
      <c r="D2067" s="37"/>
      <c r="E2067" s="46" t="s">
        <v>600</v>
      </c>
      <c r="F2067" s="47">
        <f>M2067*0.12+N2067*0.06</f>
        <v>26979.800399999996</v>
      </c>
      <c r="G2067" s="21">
        <f>H2067*0.04+I2067*0.02</f>
        <v>24668.851999999999</v>
      </c>
      <c r="H2067" s="49">
        <f>SUBTOTAL(109,Февраль2022[Продажа])</f>
        <v>521221.3</v>
      </c>
      <c r="I2067" s="49">
        <f>SUBTOTAL(109,Февраль2022[Продажа НК])</f>
        <v>191000</v>
      </c>
      <c r="J2067" s="49">
        <f>SUBTOTAL(109,Февраль2022[отк])</f>
        <v>45000</v>
      </c>
      <c r="K2067" s="49">
        <f>SUBTOTAL(109,Февраль2022[шланги])</f>
        <v>0</v>
      </c>
      <c r="L2067" s="49">
        <f>SUBTOTAL(109,Февраль2022[Закупка])</f>
        <v>271228.63</v>
      </c>
      <c r="M2067" s="49">
        <f>SUBTOTAL(109,Февраль2022[Маржа])</f>
        <v>204992.66999999998</v>
      </c>
      <c r="N2067" s="49">
        <f>SUBTOTAL(109,Февраль2022[Маржа НК])</f>
        <v>39678</v>
      </c>
      <c r="O2067" s="44">
        <f t="shared" si="241"/>
        <v>0.39329296404425529</v>
      </c>
    </row>
    <row r="2068" spans="1:15" ht="20.100000000000001" customHeight="1" x14ac:dyDescent="0.25">
      <c r="A2068" s="41" t="s">
        <v>1</v>
      </c>
      <c r="B2068" s="1" t="s">
        <v>0</v>
      </c>
      <c r="C2068" s="1" t="s">
        <v>26</v>
      </c>
      <c r="D2068" s="1" t="s">
        <v>2</v>
      </c>
      <c r="E2068" s="1" t="s">
        <v>3</v>
      </c>
      <c r="F2068" s="1" t="s">
        <v>27</v>
      </c>
      <c r="G2068" s="1" t="s">
        <v>4</v>
      </c>
      <c r="H2068" s="2" t="s">
        <v>132</v>
      </c>
      <c r="I2068" s="2" t="s">
        <v>133</v>
      </c>
      <c r="J2068" s="40" t="s">
        <v>187</v>
      </c>
      <c r="K2068" s="40" t="s">
        <v>188</v>
      </c>
      <c r="L2068" s="40" t="s">
        <v>129</v>
      </c>
      <c r="M2068" s="40" t="s">
        <v>130</v>
      </c>
      <c r="N2068" s="2" t="s">
        <v>131</v>
      </c>
      <c r="O2068" s="2" t="s">
        <v>134</v>
      </c>
    </row>
    <row r="2069" spans="1:15" ht="20.100000000000001" customHeight="1" x14ac:dyDescent="0.25">
      <c r="A2069" s="33">
        <v>40</v>
      </c>
      <c r="B2069" s="9">
        <v>44585</v>
      </c>
      <c r="C2069" s="18" t="s">
        <v>60</v>
      </c>
      <c r="D2069" s="3">
        <v>63064</v>
      </c>
      <c r="E2069" s="9">
        <v>44621</v>
      </c>
      <c r="F2069" s="15" t="s">
        <v>28</v>
      </c>
      <c r="G2069" s="12">
        <v>44606</v>
      </c>
      <c r="H2069" s="23">
        <v>26507</v>
      </c>
      <c r="I2069" s="23"/>
      <c r="J2069" s="23"/>
      <c r="K2069" s="24"/>
      <c r="L2069" s="23">
        <v>21753</v>
      </c>
      <c r="M2069" s="22">
        <f t="shared" ref="M2069:M2095" si="242">H2069-L2069-J2069-K2069</f>
        <v>4754</v>
      </c>
      <c r="N2069" s="23"/>
      <c r="O2069" s="30">
        <f t="shared" ref="O2069:O2096" si="243">M2069/H2069</f>
        <v>0.17934885124684047</v>
      </c>
    </row>
    <row r="2070" spans="1:15" ht="20.100000000000001" customHeight="1" x14ac:dyDescent="0.25">
      <c r="A2070" s="33">
        <v>122</v>
      </c>
      <c r="B2070" s="9">
        <v>44620</v>
      </c>
      <c r="C2070" s="18" t="s">
        <v>149</v>
      </c>
      <c r="D2070" s="3">
        <v>2340</v>
      </c>
      <c r="E2070" s="9">
        <v>44622</v>
      </c>
      <c r="F2070" s="15" t="s">
        <v>28</v>
      </c>
      <c r="G2070" s="12">
        <v>44623</v>
      </c>
      <c r="H2070" s="23">
        <f t="shared" ref="H2070:H2085" si="244">D2070</f>
        <v>2340</v>
      </c>
      <c r="I2070" s="23"/>
      <c r="J2070" s="23"/>
      <c r="K2070" s="24"/>
      <c r="L2070" s="23">
        <v>1738</v>
      </c>
      <c r="M2070" s="22">
        <f t="shared" si="242"/>
        <v>602</v>
      </c>
      <c r="N2070" s="23"/>
      <c r="O2070" s="30">
        <f t="shared" si="243"/>
        <v>0.25726495726495724</v>
      </c>
    </row>
    <row r="2071" spans="1:15" ht="20.100000000000001" customHeight="1" x14ac:dyDescent="0.25">
      <c r="A2071" s="33">
        <v>123</v>
      </c>
      <c r="B2071" s="9">
        <v>44621</v>
      </c>
      <c r="C2071" s="18" t="s">
        <v>118</v>
      </c>
      <c r="D2071" s="3">
        <v>22290</v>
      </c>
      <c r="E2071" s="9">
        <v>44622</v>
      </c>
      <c r="F2071" s="15" t="s">
        <v>28</v>
      </c>
      <c r="G2071" s="12">
        <v>44623</v>
      </c>
      <c r="H2071" s="23">
        <f t="shared" si="244"/>
        <v>22290</v>
      </c>
      <c r="I2071" s="23"/>
      <c r="J2071" s="23"/>
      <c r="K2071" s="24"/>
      <c r="L2071" s="23">
        <v>15612</v>
      </c>
      <c r="M2071" s="22">
        <f t="shared" si="242"/>
        <v>6678</v>
      </c>
      <c r="N2071" s="23"/>
      <c r="O2071" s="30">
        <f t="shared" si="243"/>
        <v>0.29959623149394349</v>
      </c>
    </row>
    <row r="2072" spans="1:15" ht="20.100000000000001" customHeight="1" x14ac:dyDescent="0.25">
      <c r="A2072" s="33">
        <v>128</v>
      </c>
      <c r="B2072" s="9">
        <v>44622</v>
      </c>
      <c r="C2072" s="18" t="s">
        <v>372</v>
      </c>
      <c r="D2072" s="3">
        <v>6918</v>
      </c>
      <c r="E2072" s="9">
        <v>44625</v>
      </c>
      <c r="F2072" s="15" t="s">
        <v>28</v>
      </c>
      <c r="G2072" s="12">
        <v>44629</v>
      </c>
      <c r="H2072" s="23">
        <f t="shared" si="244"/>
        <v>6918</v>
      </c>
      <c r="I2072" s="23"/>
      <c r="J2072" s="23"/>
      <c r="K2072" s="24"/>
      <c r="L2072" s="23">
        <f>2687*2</f>
        <v>5374</v>
      </c>
      <c r="M2072" s="22">
        <f t="shared" si="242"/>
        <v>1544</v>
      </c>
      <c r="N2072" s="23"/>
      <c r="O2072" s="30">
        <f t="shared" si="243"/>
        <v>0.22318589187626481</v>
      </c>
    </row>
    <row r="2073" spans="1:15" ht="20.100000000000001" customHeight="1" x14ac:dyDescent="0.25">
      <c r="A2073" s="33">
        <v>136</v>
      </c>
      <c r="B2073" s="9">
        <v>44623</v>
      </c>
      <c r="C2073" s="18" t="s">
        <v>410</v>
      </c>
      <c r="D2073" s="3">
        <v>45420</v>
      </c>
      <c r="E2073" s="9">
        <v>44625</v>
      </c>
      <c r="F2073" s="15" t="s">
        <v>28</v>
      </c>
      <c r="G2073" s="12">
        <v>44700</v>
      </c>
      <c r="H2073" s="23">
        <f t="shared" si="244"/>
        <v>45420</v>
      </c>
      <c r="I2073" s="23"/>
      <c r="J2073" s="23"/>
      <c r="K2073" s="24"/>
      <c r="L2073" s="23">
        <f>9992*3</f>
        <v>29976</v>
      </c>
      <c r="M2073" s="22">
        <f t="shared" si="242"/>
        <v>15444</v>
      </c>
      <c r="N2073" s="23"/>
      <c r="O2073" s="30">
        <f t="shared" si="243"/>
        <v>0.34002642007926026</v>
      </c>
    </row>
    <row r="2074" spans="1:15" ht="20.100000000000001" customHeight="1" x14ac:dyDescent="0.25">
      <c r="A2074" s="33">
        <v>144</v>
      </c>
      <c r="B2074" s="9">
        <v>44625</v>
      </c>
      <c r="C2074" s="18" t="s">
        <v>514</v>
      </c>
      <c r="D2074" s="3">
        <v>40490</v>
      </c>
      <c r="E2074" s="9">
        <v>44625</v>
      </c>
      <c r="F2074" s="15" t="s">
        <v>28</v>
      </c>
      <c r="G2074" s="12">
        <v>44629</v>
      </c>
      <c r="H2074" s="23">
        <f t="shared" si="244"/>
        <v>40490</v>
      </c>
      <c r="I2074" s="23"/>
      <c r="J2074" s="23"/>
      <c r="K2074" s="24"/>
      <c r="L2074" s="23">
        <v>22251</v>
      </c>
      <c r="M2074" s="22">
        <f t="shared" si="242"/>
        <v>18239</v>
      </c>
      <c r="N2074" s="23"/>
      <c r="O2074" s="30">
        <f t="shared" si="243"/>
        <v>0.45045690293899726</v>
      </c>
    </row>
    <row r="2075" spans="1:15" ht="20.100000000000001" customHeight="1" x14ac:dyDescent="0.25">
      <c r="A2075" s="33">
        <v>142</v>
      </c>
      <c r="B2075" s="9">
        <v>44625</v>
      </c>
      <c r="C2075" s="18" t="s">
        <v>209</v>
      </c>
      <c r="D2075" s="3">
        <v>1930</v>
      </c>
      <c r="E2075" s="9">
        <v>44629</v>
      </c>
      <c r="F2075" s="15" t="s">
        <v>28</v>
      </c>
      <c r="G2075" s="12">
        <v>44625</v>
      </c>
      <c r="H2075" s="23">
        <f t="shared" si="244"/>
        <v>1930</v>
      </c>
      <c r="I2075" s="23"/>
      <c r="J2075" s="23"/>
      <c r="K2075" s="24"/>
      <c r="L2075" s="23">
        <v>1180</v>
      </c>
      <c r="M2075" s="22">
        <f t="shared" si="242"/>
        <v>750</v>
      </c>
      <c r="N2075" s="23"/>
      <c r="O2075" s="30">
        <f t="shared" si="243"/>
        <v>0.38860103626943004</v>
      </c>
    </row>
    <row r="2076" spans="1:15" ht="20.100000000000001" customHeight="1" x14ac:dyDescent="0.25">
      <c r="A2076" s="33">
        <v>132</v>
      </c>
      <c r="B2076" s="9">
        <v>44623</v>
      </c>
      <c r="C2076" s="18" t="s">
        <v>209</v>
      </c>
      <c r="D2076" s="3">
        <v>10979</v>
      </c>
      <c r="E2076" s="9">
        <v>44629</v>
      </c>
      <c r="F2076" s="15" t="s">
        <v>28</v>
      </c>
      <c r="G2076" s="12">
        <v>44625</v>
      </c>
      <c r="H2076" s="23">
        <f t="shared" si="244"/>
        <v>10979</v>
      </c>
      <c r="I2076" s="23"/>
      <c r="J2076" s="23"/>
      <c r="K2076" s="24"/>
      <c r="L2076" s="23">
        <v>8057</v>
      </c>
      <c r="M2076" s="22">
        <f t="shared" si="242"/>
        <v>2922</v>
      </c>
      <c r="N2076" s="23"/>
      <c r="O2076" s="30">
        <f t="shared" si="243"/>
        <v>0.26614445760087441</v>
      </c>
    </row>
    <row r="2077" spans="1:15" ht="20.100000000000001" customHeight="1" x14ac:dyDescent="0.25">
      <c r="A2077" s="33">
        <v>1155</v>
      </c>
      <c r="B2077" s="9">
        <v>44629</v>
      </c>
      <c r="C2077" s="18" t="s">
        <v>475</v>
      </c>
      <c r="D2077" s="3">
        <v>11500</v>
      </c>
      <c r="E2077" s="9">
        <v>44630</v>
      </c>
      <c r="F2077" s="15" t="s">
        <v>28</v>
      </c>
      <c r="G2077" s="12">
        <v>44632</v>
      </c>
      <c r="H2077" s="23">
        <f t="shared" si="244"/>
        <v>11500</v>
      </c>
      <c r="I2077" s="23"/>
      <c r="J2077" s="23"/>
      <c r="K2077" s="24"/>
      <c r="L2077" s="23">
        <v>5724.25</v>
      </c>
      <c r="M2077" s="22">
        <f t="shared" si="242"/>
        <v>5775.75</v>
      </c>
      <c r="N2077" s="23"/>
      <c r="O2077" s="30">
        <f t="shared" si="243"/>
        <v>0.50223913043478263</v>
      </c>
    </row>
    <row r="2078" spans="1:15" ht="19.5" customHeight="1" x14ac:dyDescent="0.25">
      <c r="A2078" s="33">
        <v>161</v>
      </c>
      <c r="B2078" s="9">
        <v>44631</v>
      </c>
      <c r="C2078" s="18" t="s">
        <v>443</v>
      </c>
      <c r="D2078" s="3">
        <v>13510</v>
      </c>
      <c r="E2078" s="9">
        <v>44631</v>
      </c>
      <c r="F2078" s="15" t="s">
        <v>28</v>
      </c>
      <c r="G2078" s="12">
        <v>44648</v>
      </c>
      <c r="H2078" s="23">
        <v>8728</v>
      </c>
      <c r="I2078" s="23"/>
      <c r="J2078" s="23"/>
      <c r="K2078" s="24"/>
      <c r="L2078" s="23">
        <v>4450</v>
      </c>
      <c r="M2078" s="22">
        <f t="shared" si="242"/>
        <v>4278</v>
      </c>
      <c r="N2078" s="23"/>
      <c r="O2078" s="30">
        <f t="shared" si="243"/>
        <v>0.4901466544454629</v>
      </c>
    </row>
    <row r="2079" spans="1:15" ht="15.75" x14ac:dyDescent="0.25">
      <c r="A2079" s="33">
        <v>137</v>
      </c>
      <c r="B2079" s="9">
        <v>44630</v>
      </c>
      <c r="C2079" s="20" t="s">
        <v>515</v>
      </c>
      <c r="D2079" s="3">
        <v>2163000</v>
      </c>
      <c r="E2079" s="9">
        <v>44631</v>
      </c>
      <c r="F2079" s="15" t="s">
        <v>28</v>
      </c>
      <c r="G2079" s="12">
        <v>44652</v>
      </c>
      <c r="H2079" s="23">
        <f t="shared" si="244"/>
        <v>2163000</v>
      </c>
      <c r="I2079" s="23">
        <f>H2079</f>
        <v>2163000</v>
      </c>
      <c r="J2079" s="23"/>
      <c r="K2079" s="24"/>
      <c r="L2079" s="23">
        <v>2007510</v>
      </c>
      <c r="M2079" s="22">
        <f t="shared" si="242"/>
        <v>155490</v>
      </c>
      <c r="N2079" s="23">
        <f>M2079</f>
        <v>155490</v>
      </c>
      <c r="O2079" s="30">
        <f t="shared" si="243"/>
        <v>7.1886269070735087E-2</v>
      </c>
    </row>
    <row r="2080" spans="1:15" s="2" customFormat="1" ht="20.100000000000001" customHeight="1" x14ac:dyDescent="0.25">
      <c r="A2080" s="33">
        <v>156</v>
      </c>
      <c r="B2080" s="9">
        <v>44630</v>
      </c>
      <c r="C2080" s="20" t="s">
        <v>515</v>
      </c>
      <c r="D2080" s="3">
        <v>2163000</v>
      </c>
      <c r="E2080" s="9">
        <v>44634</v>
      </c>
      <c r="F2080" s="15" t="s">
        <v>28</v>
      </c>
      <c r="G2080" s="9">
        <v>44652</v>
      </c>
      <c r="H2080" s="23">
        <f t="shared" si="244"/>
        <v>2163000</v>
      </c>
      <c r="I2080" s="23">
        <f>H2080</f>
        <v>2163000</v>
      </c>
      <c r="J2080" s="23"/>
      <c r="K2080" s="24"/>
      <c r="L2080" s="23">
        <v>2007520</v>
      </c>
      <c r="M2080" s="22">
        <f t="shared" si="242"/>
        <v>155480</v>
      </c>
      <c r="N2080" s="23">
        <f>M2080</f>
        <v>155480</v>
      </c>
      <c r="O2080" s="30">
        <f t="shared" si="243"/>
        <v>7.188164586222838E-2</v>
      </c>
    </row>
    <row r="2081" spans="1:15" ht="19.5" customHeight="1" x14ac:dyDescent="0.25">
      <c r="A2081" s="33">
        <v>149</v>
      </c>
      <c r="B2081" s="9">
        <v>44629</v>
      </c>
      <c r="C2081" s="18" t="s">
        <v>403</v>
      </c>
      <c r="D2081" s="3">
        <v>9118</v>
      </c>
      <c r="E2081" s="9">
        <v>44634</v>
      </c>
      <c r="F2081" s="15" t="s">
        <v>28</v>
      </c>
      <c r="G2081" s="12">
        <v>44645</v>
      </c>
      <c r="H2081" s="23">
        <f t="shared" si="244"/>
        <v>9118</v>
      </c>
      <c r="I2081" s="23"/>
      <c r="J2081" s="23"/>
      <c r="K2081" s="24"/>
      <c r="L2081" s="23">
        <v>5524</v>
      </c>
      <c r="M2081" s="22">
        <f t="shared" si="242"/>
        <v>3594</v>
      </c>
      <c r="N2081" s="23"/>
      <c r="O2081" s="30">
        <f t="shared" si="243"/>
        <v>0.394165387146304</v>
      </c>
    </row>
    <row r="2082" spans="1:15" ht="20.100000000000001" customHeight="1" x14ac:dyDescent="0.25">
      <c r="A2082" s="33">
        <v>168</v>
      </c>
      <c r="B2082" s="9">
        <v>44634</v>
      </c>
      <c r="C2082" s="18" t="s">
        <v>475</v>
      </c>
      <c r="D2082" s="3">
        <v>19930</v>
      </c>
      <c r="E2082" s="9">
        <v>44635</v>
      </c>
      <c r="F2082" s="15" t="s">
        <v>28</v>
      </c>
      <c r="G2082" s="12">
        <v>44635</v>
      </c>
      <c r="H2082" s="23">
        <f t="shared" si="244"/>
        <v>19930</v>
      </c>
      <c r="I2082" s="23"/>
      <c r="J2082" s="23"/>
      <c r="K2082" s="24"/>
      <c r="L2082" s="23">
        <v>9767</v>
      </c>
      <c r="M2082" s="22">
        <f t="shared" si="242"/>
        <v>10163</v>
      </c>
      <c r="N2082" s="23"/>
      <c r="O2082" s="30">
        <f t="shared" si="243"/>
        <v>0.50993477170095336</v>
      </c>
    </row>
    <row r="2083" spans="1:15" ht="19.5" customHeight="1" x14ac:dyDescent="0.25">
      <c r="A2083" s="33">
        <v>175</v>
      </c>
      <c r="B2083" s="9">
        <v>44636</v>
      </c>
      <c r="C2083" s="18" t="s">
        <v>281</v>
      </c>
      <c r="D2083" s="3">
        <v>5470</v>
      </c>
      <c r="E2083" s="9">
        <v>44636</v>
      </c>
      <c r="F2083" s="15" t="s">
        <v>28</v>
      </c>
      <c r="G2083" s="12">
        <v>44637</v>
      </c>
      <c r="H2083" s="23">
        <f t="shared" si="244"/>
        <v>5470</v>
      </c>
      <c r="I2083" s="23"/>
      <c r="J2083" s="23"/>
      <c r="K2083" s="24"/>
      <c r="L2083" s="23">
        <v>2714</v>
      </c>
      <c r="M2083" s="22">
        <f t="shared" si="242"/>
        <v>2756</v>
      </c>
      <c r="N2083" s="23"/>
      <c r="O2083" s="30">
        <f t="shared" si="243"/>
        <v>0.50383912248628882</v>
      </c>
    </row>
    <row r="2084" spans="1:15" ht="19.5" customHeight="1" x14ac:dyDescent="0.25">
      <c r="A2084" s="33">
        <v>3</v>
      </c>
      <c r="B2084" s="9">
        <v>44571</v>
      </c>
      <c r="C2084" s="18" t="s">
        <v>275</v>
      </c>
      <c r="D2084" s="3">
        <v>4900</v>
      </c>
      <c r="E2084" s="9">
        <v>44637</v>
      </c>
      <c r="F2084" s="15" t="s">
        <v>28</v>
      </c>
      <c r="G2084" s="12">
        <v>44600</v>
      </c>
      <c r="H2084" s="23">
        <f t="shared" si="244"/>
        <v>4900</v>
      </c>
      <c r="I2084" s="23"/>
      <c r="J2084" s="23"/>
      <c r="K2084" s="24"/>
      <c r="L2084" s="23">
        <v>3042</v>
      </c>
      <c r="M2084" s="22">
        <f t="shared" si="242"/>
        <v>1858</v>
      </c>
      <c r="N2084" s="23"/>
      <c r="O2084" s="30">
        <f t="shared" si="243"/>
        <v>0.37918367346938775</v>
      </c>
    </row>
    <row r="2085" spans="1:15" ht="19.5" customHeight="1" x14ac:dyDescent="0.25">
      <c r="A2085" s="33">
        <v>44</v>
      </c>
      <c r="B2085" s="9">
        <v>44585</v>
      </c>
      <c r="C2085" s="18" t="s">
        <v>467</v>
      </c>
      <c r="D2085" s="3">
        <v>150596</v>
      </c>
      <c r="E2085" s="9">
        <v>44637</v>
      </c>
      <c r="F2085" s="15" t="s">
        <v>28</v>
      </c>
      <c r="G2085" s="12">
        <v>44644</v>
      </c>
      <c r="H2085" s="23">
        <f t="shared" si="244"/>
        <v>150596</v>
      </c>
      <c r="I2085" s="23"/>
      <c r="J2085" s="23"/>
      <c r="K2085" s="24"/>
      <c r="L2085" s="23">
        <v>115686</v>
      </c>
      <c r="M2085" s="22">
        <f t="shared" si="242"/>
        <v>34910</v>
      </c>
      <c r="N2085" s="23"/>
      <c r="O2085" s="30">
        <f t="shared" si="243"/>
        <v>0.23181226593003798</v>
      </c>
    </row>
    <row r="2086" spans="1:15" ht="19.5" customHeight="1" x14ac:dyDescent="0.25">
      <c r="A2086" s="33">
        <v>161</v>
      </c>
      <c r="B2086" s="9">
        <v>44631</v>
      </c>
      <c r="C2086" s="18" t="s">
        <v>443</v>
      </c>
      <c r="D2086" s="3">
        <v>13510</v>
      </c>
      <c r="E2086" s="9">
        <v>44638</v>
      </c>
      <c r="F2086" s="15" t="s">
        <v>28</v>
      </c>
      <c r="G2086" s="12">
        <v>44648</v>
      </c>
      <c r="H2086" s="23">
        <v>4782</v>
      </c>
      <c r="I2086" s="23"/>
      <c r="J2086" s="23"/>
      <c r="K2086" s="24"/>
      <c r="L2086" s="23">
        <v>2447</v>
      </c>
      <c r="M2086" s="22">
        <f t="shared" si="242"/>
        <v>2335</v>
      </c>
      <c r="N2086" s="23"/>
      <c r="O2086" s="30">
        <f t="shared" si="243"/>
        <v>0.48828941865328312</v>
      </c>
    </row>
    <row r="2087" spans="1:15" ht="20.100000000000001" customHeight="1" x14ac:dyDescent="0.25">
      <c r="A2087" s="33">
        <v>247</v>
      </c>
      <c r="B2087" s="9">
        <v>44657</v>
      </c>
      <c r="C2087" s="20" t="s">
        <v>516</v>
      </c>
      <c r="D2087" s="3">
        <v>35601</v>
      </c>
      <c r="E2087" s="9">
        <v>44641</v>
      </c>
      <c r="F2087" s="15" t="s">
        <v>28</v>
      </c>
      <c r="G2087" s="12">
        <v>44699</v>
      </c>
      <c r="H2087" s="23">
        <v>35000</v>
      </c>
      <c r="I2087" s="23">
        <f>H2087</f>
        <v>35000</v>
      </c>
      <c r="J2087" s="23"/>
      <c r="K2087" s="24"/>
      <c r="L2087" s="23">
        <v>21750</v>
      </c>
      <c r="M2087" s="22">
        <f t="shared" si="242"/>
        <v>13250</v>
      </c>
      <c r="N2087" s="23">
        <f>M2087</f>
        <v>13250</v>
      </c>
      <c r="O2087" s="30">
        <f t="shared" si="243"/>
        <v>0.37857142857142856</v>
      </c>
    </row>
    <row r="2088" spans="1:15" ht="20.100000000000001" customHeight="1" x14ac:dyDescent="0.25">
      <c r="A2088" s="33">
        <v>194</v>
      </c>
      <c r="B2088" s="9">
        <v>44642</v>
      </c>
      <c r="C2088" s="18" t="s">
        <v>372</v>
      </c>
      <c r="D2088" s="3">
        <v>17680</v>
      </c>
      <c r="E2088" s="9">
        <v>44643</v>
      </c>
      <c r="F2088" s="15" t="s">
        <v>28</v>
      </c>
      <c r="G2088" s="12">
        <v>44693</v>
      </c>
      <c r="H2088" s="23">
        <f t="shared" ref="H2088:H2095" si="245">D2088</f>
        <v>17680</v>
      </c>
      <c r="I2088" s="23"/>
      <c r="J2088" s="23"/>
      <c r="K2088" s="24"/>
      <c r="L2088" s="23">
        <v>13790</v>
      </c>
      <c r="M2088" s="22">
        <f t="shared" si="242"/>
        <v>3890</v>
      </c>
      <c r="N2088" s="23"/>
      <c r="O2088" s="30">
        <f t="shared" si="243"/>
        <v>0.22002262443438914</v>
      </c>
    </row>
    <row r="2089" spans="1:15" ht="20.100000000000001" customHeight="1" x14ac:dyDescent="0.25">
      <c r="A2089" s="33">
        <v>189</v>
      </c>
      <c r="B2089" s="9">
        <v>44642</v>
      </c>
      <c r="C2089" s="18" t="s">
        <v>462</v>
      </c>
      <c r="D2089" s="3">
        <v>600</v>
      </c>
      <c r="E2089" s="9">
        <v>44644</v>
      </c>
      <c r="F2089" s="15" t="s">
        <v>28</v>
      </c>
      <c r="G2089" s="12">
        <v>44693</v>
      </c>
      <c r="H2089" s="23">
        <f t="shared" si="245"/>
        <v>600</v>
      </c>
      <c r="I2089" s="23"/>
      <c r="J2089" s="23"/>
      <c r="K2089" s="24"/>
      <c r="L2089" s="23">
        <v>243.5</v>
      </c>
      <c r="M2089" s="22">
        <f t="shared" si="242"/>
        <v>356.5</v>
      </c>
      <c r="N2089" s="23"/>
      <c r="O2089" s="30">
        <f t="shared" si="243"/>
        <v>0.59416666666666662</v>
      </c>
    </row>
    <row r="2090" spans="1:15" ht="20.100000000000001" customHeight="1" x14ac:dyDescent="0.25">
      <c r="A2090" s="33">
        <v>150</v>
      </c>
      <c r="B2090" s="9">
        <v>44629</v>
      </c>
      <c r="C2090" s="18" t="s">
        <v>13</v>
      </c>
      <c r="D2090" s="3">
        <v>26000</v>
      </c>
      <c r="E2090" s="9">
        <v>44645</v>
      </c>
      <c r="F2090" s="15" t="s">
        <v>28</v>
      </c>
      <c r="G2090" s="12">
        <v>44634</v>
      </c>
      <c r="H2090" s="23">
        <f t="shared" si="245"/>
        <v>26000</v>
      </c>
      <c r="I2090" s="23"/>
      <c r="J2090" s="23"/>
      <c r="K2090" s="24"/>
      <c r="L2090" s="23">
        <v>13430</v>
      </c>
      <c r="M2090" s="22">
        <f t="shared" si="242"/>
        <v>12570</v>
      </c>
      <c r="N2090" s="22"/>
      <c r="O2090" s="30">
        <f t="shared" si="243"/>
        <v>0.48346153846153844</v>
      </c>
    </row>
    <row r="2091" spans="1:15" ht="20.100000000000001" customHeight="1" x14ac:dyDescent="0.25">
      <c r="A2091" s="33">
        <v>171</v>
      </c>
      <c r="B2091" s="9">
        <v>44635</v>
      </c>
      <c r="C2091" s="18" t="s">
        <v>11</v>
      </c>
      <c r="D2091" s="3">
        <v>4300</v>
      </c>
      <c r="E2091" s="9">
        <v>44648</v>
      </c>
      <c r="F2091" s="15" t="s">
        <v>28</v>
      </c>
      <c r="G2091" s="12">
        <v>44651</v>
      </c>
      <c r="H2091" s="23">
        <f t="shared" si="245"/>
        <v>4300</v>
      </c>
      <c r="I2091" s="23"/>
      <c r="J2091" s="23"/>
      <c r="K2091" s="24"/>
      <c r="L2091" s="23">
        <v>1857</v>
      </c>
      <c r="M2091" s="22">
        <f t="shared" si="242"/>
        <v>2443</v>
      </c>
      <c r="N2091" s="22"/>
      <c r="O2091" s="30">
        <f t="shared" si="243"/>
        <v>0.56813953488372093</v>
      </c>
    </row>
    <row r="2092" spans="1:15" ht="20.100000000000001" customHeight="1" x14ac:dyDescent="0.25">
      <c r="A2092" s="33">
        <v>226</v>
      </c>
      <c r="B2092" s="9">
        <v>44650</v>
      </c>
      <c r="C2092" s="18" t="s">
        <v>429</v>
      </c>
      <c r="D2092" s="3">
        <v>113740</v>
      </c>
      <c r="E2092" s="9">
        <v>44650</v>
      </c>
      <c r="F2092" s="15" t="s">
        <v>28</v>
      </c>
      <c r="G2092" s="12">
        <v>44651</v>
      </c>
      <c r="H2092" s="23">
        <f t="shared" si="245"/>
        <v>113740</v>
      </c>
      <c r="I2092" s="23"/>
      <c r="J2092" s="23"/>
      <c r="K2092" s="24"/>
      <c r="L2092" s="23">
        <v>60766</v>
      </c>
      <c r="M2092" s="22">
        <f t="shared" si="242"/>
        <v>52974</v>
      </c>
      <c r="N2092" s="22"/>
      <c r="O2092" s="30">
        <f t="shared" si="243"/>
        <v>0.46574643924740639</v>
      </c>
    </row>
    <row r="2093" spans="1:15" ht="20.100000000000001" customHeight="1" x14ac:dyDescent="0.25">
      <c r="A2093" s="33">
        <v>224</v>
      </c>
      <c r="B2093" s="9">
        <v>44650</v>
      </c>
      <c r="C2093" s="18" t="s">
        <v>118</v>
      </c>
      <c r="D2093" s="3">
        <v>7668</v>
      </c>
      <c r="E2093" s="9">
        <v>44651</v>
      </c>
      <c r="F2093" s="15" t="s">
        <v>28</v>
      </c>
      <c r="G2093" s="12">
        <v>44651</v>
      </c>
      <c r="H2093" s="23">
        <f t="shared" si="245"/>
        <v>7668</v>
      </c>
      <c r="I2093" s="23"/>
      <c r="J2093" s="23"/>
      <c r="K2093" s="24"/>
      <c r="L2093" s="23">
        <v>5623</v>
      </c>
      <c r="M2093" s="22">
        <f t="shared" si="242"/>
        <v>2045</v>
      </c>
      <c r="N2093" s="22"/>
      <c r="O2093" s="30">
        <f t="shared" si="243"/>
        <v>0.26669274908711527</v>
      </c>
    </row>
    <row r="2094" spans="1:15" ht="19.5" customHeight="1" x14ac:dyDescent="0.25">
      <c r="A2094" s="33">
        <v>211</v>
      </c>
      <c r="B2094" s="9">
        <v>44645</v>
      </c>
      <c r="C2094" s="18" t="s">
        <v>392</v>
      </c>
      <c r="D2094" s="3">
        <v>1480</v>
      </c>
      <c r="E2094" s="9">
        <v>44651</v>
      </c>
      <c r="F2094" s="15" t="s">
        <v>28</v>
      </c>
      <c r="G2094" s="12">
        <v>44692</v>
      </c>
      <c r="H2094" s="23">
        <f t="shared" si="245"/>
        <v>1480</v>
      </c>
      <c r="I2094" s="23"/>
      <c r="J2094" s="23"/>
      <c r="K2094" s="24"/>
      <c r="L2094" s="23">
        <v>977</v>
      </c>
      <c r="M2094" s="22">
        <f t="shared" si="242"/>
        <v>503</v>
      </c>
      <c r="N2094" s="22"/>
      <c r="O2094" s="30">
        <f t="shared" si="243"/>
        <v>0.33986486486486489</v>
      </c>
    </row>
    <row r="2095" spans="1:15" ht="15.75" x14ac:dyDescent="0.25">
      <c r="A2095" s="33">
        <v>214</v>
      </c>
      <c r="B2095" s="9">
        <v>44648</v>
      </c>
      <c r="C2095" s="18" t="s">
        <v>443</v>
      </c>
      <c r="D2095" s="3">
        <v>15920</v>
      </c>
      <c r="E2095" s="9">
        <v>44651</v>
      </c>
      <c r="F2095" s="15" t="s">
        <v>28</v>
      </c>
      <c r="G2095" s="12">
        <v>44657</v>
      </c>
      <c r="H2095" s="23">
        <f t="shared" si="245"/>
        <v>15920</v>
      </c>
      <c r="I2095" s="23"/>
      <c r="J2095" s="23"/>
      <c r="K2095" s="24"/>
      <c r="L2095" s="23">
        <v>9470</v>
      </c>
      <c r="M2095" s="22">
        <f t="shared" si="242"/>
        <v>6450</v>
      </c>
      <c r="N2095" s="22"/>
      <c r="O2095" s="30">
        <f t="shared" si="243"/>
        <v>0.40515075376884424</v>
      </c>
    </row>
    <row r="2096" spans="1:15" s="2" customFormat="1" ht="20.100000000000001" customHeight="1" x14ac:dyDescent="0.25">
      <c r="A2096" s="35" t="s">
        <v>535</v>
      </c>
      <c r="B2096" s="36"/>
      <c r="C2096" s="42"/>
      <c r="D2096" s="37"/>
      <c r="E2096" s="46" t="s">
        <v>601</v>
      </c>
      <c r="F2096" s="47">
        <f>M2096*0.17+N2096*0.06</f>
        <v>108202.4225</v>
      </c>
      <c r="G2096" s="21">
        <f>H2096*0.04+I2096*0.02</f>
        <v>284031.44</v>
      </c>
      <c r="H2096" s="49">
        <f>SUBTOTAL(109,Март2022[Продажа])</f>
        <v>4920286</v>
      </c>
      <c r="I2096" s="49">
        <f>SUBTOTAL(109,Март2022[Продажа НК])</f>
        <v>4361000</v>
      </c>
      <c r="J2096" s="49">
        <f>SUBTOTAL(109,Март2022[отк])</f>
        <v>0</v>
      </c>
      <c r="K2096" s="49">
        <f>SUBTOTAL(109,Март2022[шланги])</f>
        <v>0</v>
      </c>
      <c r="L2096" s="49">
        <f>SUBTOTAL(109,Март2022[Закупка])</f>
        <v>4398231.75</v>
      </c>
      <c r="M2096" s="49">
        <f>SUBTOTAL(109,Март2022[Маржа])</f>
        <v>522054.25</v>
      </c>
      <c r="N2096" s="49">
        <f>SUBTOTAL(109,Март2022[Маржа НК])</f>
        <v>324220</v>
      </c>
      <c r="O2096" s="44">
        <f t="shared" si="243"/>
        <v>0.10610241965609316</v>
      </c>
    </row>
    <row r="2097" spans="1:15" ht="20.100000000000001" customHeight="1" x14ac:dyDescent="0.25">
      <c r="A2097" s="41" t="s">
        <v>1</v>
      </c>
      <c r="B2097" s="1" t="s">
        <v>0</v>
      </c>
      <c r="C2097" s="1" t="s">
        <v>26</v>
      </c>
      <c r="D2097" s="1" t="s">
        <v>2</v>
      </c>
      <c r="E2097" s="1" t="s">
        <v>3</v>
      </c>
      <c r="F2097" s="1" t="s">
        <v>27</v>
      </c>
      <c r="G2097" s="1" t="s">
        <v>4</v>
      </c>
      <c r="H2097" s="2" t="s">
        <v>132</v>
      </c>
      <c r="I2097" s="2" t="s">
        <v>133</v>
      </c>
      <c r="J2097" s="40" t="s">
        <v>187</v>
      </c>
      <c r="K2097" s="40" t="s">
        <v>188</v>
      </c>
      <c r="L2097" s="40" t="s">
        <v>129</v>
      </c>
      <c r="M2097" s="40" t="s">
        <v>130</v>
      </c>
      <c r="N2097" s="2" t="s">
        <v>131</v>
      </c>
      <c r="O2097" s="2" t="s">
        <v>134</v>
      </c>
    </row>
    <row r="2098" spans="1:15" ht="20.100000000000001" customHeight="1" x14ac:dyDescent="0.25">
      <c r="A2098" s="33">
        <v>247</v>
      </c>
      <c r="B2098" s="9">
        <v>44657</v>
      </c>
      <c r="C2098" s="20" t="s">
        <v>516</v>
      </c>
      <c r="D2098" s="3">
        <v>35601</v>
      </c>
      <c r="E2098" s="9">
        <v>44657</v>
      </c>
      <c r="F2098" s="15" t="s">
        <v>28</v>
      </c>
      <c r="G2098" s="12">
        <v>44699</v>
      </c>
      <c r="H2098" s="23">
        <v>601</v>
      </c>
      <c r="I2098" s="23">
        <f>H2098</f>
        <v>601</v>
      </c>
      <c r="J2098" s="23"/>
      <c r="K2098" s="24"/>
      <c r="L2098" s="23">
        <v>601</v>
      </c>
      <c r="M2098" s="22">
        <f t="shared" ref="M2098:M2106" si="246">H2098-L2098-J2098-K2098</f>
        <v>0</v>
      </c>
      <c r="N2098" s="23">
        <f>M2098</f>
        <v>0</v>
      </c>
      <c r="O2098" s="30">
        <f t="shared" ref="O2098:O2107" si="247">M2098/H2098</f>
        <v>0</v>
      </c>
    </row>
    <row r="2099" spans="1:15" ht="20.100000000000001" customHeight="1" x14ac:dyDescent="0.25">
      <c r="A2099" s="33">
        <v>76</v>
      </c>
      <c r="B2099" s="9">
        <v>44600</v>
      </c>
      <c r="C2099" s="18" t="s">
        <v>99</v>
      </c>
      <c r="D2099" s="3">
        <v>222400</v>
      </c>
      <c r="E2099" s="9">
        <v>44658</v>
      </c>
      <c r="F2099" s="15" t="s">
        <v>28</v>
      </c>
      <c r="G2099" s="12">
        <v>44606</v>
      </c>
      <c r="H2099" s="23">
        <f t="shared" ref="H2099:H2106" si="248">D2099</f>
        <v>222400</v>
      </c>
      <c r="I2099" s="23"/>
      <c r="J2099" s="23">
        <f>3000*15</f>
        <v>45000</v>
      </c>
      <c r="K2099" s="24"/>
      <c r="L2099" s="29">
        <f>38830+7500</f>
        <v>46330</v>
      </c>
      <c r="M2099" s="22">
        <f t="shared" si="246"/>
        <v>131070</v>
      </c>
      <c r="N2099" s="22"/>
      <c r="O2099" s="30">
        <f t="shared" si="247"/>
        <v>0.58934352517985611</v>
      </c>
    </row>
    <row r="2100" spans="1:15" ht="20.100000000000001" customHeight="1" x14ac:dyDescent="0.25">
      <c r="A2100" s="33">
        <v>239</v>
      </c>
      <c r="B2100" s="9">
        <v>44655</v>
      </c>
      <c r="C2100" s="18" t="s">
        <v>49</v>
      </c>
      <c r="D2100" s="3">
        <v>492</v>
      </c>
      <c r="E2100" s="9">
        <v>44658</v>
      </c>
      <c r="F2100" s="15" t="s">
        <v>28</v>
      </c>
      <c r="G2100" s="12">
        <v>44693</v>
      </c>
      <c r="H2100" s="23">
        <f t="shared" si="248"/>
        <v>492</v>
      </c>
      <c r="I2100" s="23"/>
      <c r="J2100" s="23"/>
      <c r="K2100" s="24"/>
      <c r="L2100" s="29">
        <v>158</v>
      </c>
      <c r="M2100" s="22">
        <f t="shared" si="246"/>
        <v>334</v>
      </c>
      <c r="N2100" s="22"/>
      <c r="O2100" s="30">
        <f t="shared" si="247"/>
        <v>0.67886178861788615</v>
      </c>
    </row>
    <row r="2101" spans="1:15" ht="20.100000000000001" customHeight="1" x14ac:dyDescent="0.25">
      <c r="A2101" s="33">
        <v>253</v>
      </c>
      <c r="B2101" s="9">
        <v>44657</v>
      </c>
      <c r="C2101" s="18" t="s">
        <v>86</v>
      </c>
      <c r="D2101" s="3">
        <v>17150</v>
      </c>
      <c r="E2101" s="9">
        <v>44658</v>
      </c>
      <c r="F2101" s="15" t="s">
        <v>28</v>
      </c>
      <c r="G2101" s="12">
        <v>44698</v>
      </c>
      <c r="H2101" s="23">
        <f t="shared" si="248"/>
        <v>17150</v>
      </c>
      <c r="I2101" s="23"/>
      <c r="J2101" s="23"/>
      <c r="K2101" s="24"/>
      <c r="L2101" s="29">
        <v>8990</v>
      </c>
      <c r="M2101" s="22">
        <f t="shared" si="246"/>
        <v>8160</v>
      </c>
      <c r="N2101" s="22"/>
      <c r="O2101" s="30">
        <f t="shared" si="247"/>
        <v>0.47580174927113705</v>
      </c>
    </row>
    <row r="2102" spans="1:15" ht="20.100000000000001" customHeight="1" x14ac:dyDescent="0.25">
      <c r="A2102" s="33">
        <v>34</v>
      </c>
      <c r="B2102" s="9">
        <v>44634</v>
      </c>
      <c r="C2102" s="18" t="s">
        <v>13</v>
      </c>
      <c r="D2102" s="3">
        <v>32490</v>
      </c>
      <c r="E2102" s="9">
        <v>44659</v>
      </c>
      <c r="F2102" s="15" t="s">
        <v>28</v>
      </c>
      <c r="G2102" s="12">
        <v>44634</v>
      </c>
      <c r="H2102" s="23">
        <f t="shared" si="248"/>
        <v>32490</v>
      </c>
      <c r="I2102" s="23"/>
      <c r="J2102" s="23"/>
      <c r="K2102" s="24"/>
      <c r="L2102" s="27">
        <v>23750</v>
      </c>
      <c r="M2102" s="22">
        <f t="shared" si="246"/>
        <v>8740</v>
      </c>
      <c r="N2102" s="22"/>
      <c r="O2102" s="30">
        <f t="shared" si="247"/>
        <v>0.26900584795321636</v>
      </c>
    </row>
    <row r="2103" spans="1:15" ht="20.100000000000001" customHeight="1" x14ac:dyDescent="0.25">
      <c r="A2103" s="33">
        <v>163</v>
      </c>
      <c r="B2103" s="9">
        <v>44634</v>
      </c>
      <c r="C2103" s="18" t="s">
        <v>56</v>
      </c>
      <c r="D2103" s="3">
        <v>24100</v>
      </c>
      <c r="E2103" s="9">
        <v>44662</v>
      </c>
      <c r="F2103" s="15" t="s">
        <v>28</v>
      </c>
      <c r="G2103" s="12">
        <v>44644</v>
      </c>
      <c r="H2103" s="23">
        <f t="shared" si="248"/>
        <v>24100</v>
      </c>
      <c r="I2103" s="23"/>
      <c r="J2103" s="23"/>
      <c r="K2103" s="24"/>
      <c r="L2103" s="23">
        <v>12504</v>
      </c>
      <c r="M2103" s="22">
        <f t="shared" si="246"/>
        <v>11596</v>
      </c>
      <c r="N2103" s="22"/>
      <c r="O2103" s="30">
        <f t="shared" si="247"/>
        <v>0.48116182572614108</v>
      </c>
    </row>
    <row r="2104" spans="1:15" ht="20.100000000000001" customHeight="1" x14ac:dyDescent="0.25">
      <c r="A2104" s="33">
        <v>254</v>
      </c>
      <c r="B2104" s="9">
        <v>44658</v>
      </c>
      <c r="C2104" s="18" t="s">
        <v>13</v>
      </c>
      <c r="D2104" s="3">
        <v>21400</v>
      </c>
      <c r="E2104" s="9">
        <v>44665</v>
      </c>
      <c r="F2104" s="15" t="s">
        <v>28</v>
      </c>
      <c r="G2104" s="12">
        <v>44658</v>
      </c>
      <c r="H2104" s="23">
        <f t="shared" si="248"/>
        <v>21400</v>
      </c>
      <c r="I2104" s="23"/>
      <c r="J2104" s="23"/>
      <c r="K2104" s="24"/>
      <c r="L2104" s="27">
        <v>10697.4</v>
      </c>
      <c r="M2104" s="22">
        <f t="shared" si="246"/>
        <v>10702.6</v>
      </c>
      <c r="N2104" s="22"/>
      <c r="O2104" s="30">
        <f t="shared" si="247"/>
        <v>0.50012149532710282</v>
      </c>
    </row>
    <row r="2105" spans="1:15" ht="20.100000000000001" customHeight="1" x14ac:dyDescent="0.25">
      <c r="A2105" s="33">
        <v>291</v>
      </c>
      <c r="B2105" s="9">
        <v>44666</v>
      </c>
      <c r="C2105" s="18" t="s">
        <v>186</v>
      </c>
      <c r="D2105" s="3">
        <v>30380</v>
      </c>
      <c r="E2105" s="9">
        <v>44670</v>
      </c>
      <c r="F2105" s="15" t="s">
        <v>28</v>
      </c>
      <c r="G2105" s="12">
        <v>44728</v>
      </c>
      <c r="H2105" s="23">
        <f t="shared" si="248"/>
        <v>30380</v>
      </c>
      <c r="I2105" s="23"/>
      <c r="J2105" s="23"/>
      <c r="K2105" s="24"/>
      <c r="L2105" s="27">
        <v>23692</v>
      </c>
      <c r="M2105" s="22">
        <f t="shared" si="246"/>
        <v>6688</v>
      </c>
      <c r="N2105" s="22"/>
      <c r="O2105" s="30">
        <f t="shared" si="247"/>
        <v>0.22014483212639896</v>
      </c>
    </row>
    <row r="2106" spans="1:15" ht="20.100000000000001" customHeight="1" x14ac:dyDescent="0.25">
      <c r="A2106" s="33">
        <v>255</v>
      </c>
      <c r="B2106" s="9">
        <v>44658</v>
      </c>
      <c r="C2106" s="18" t="s">
        <v>11</v>
      </c>
      <c r="D2106" s="3">
        <v>3300</v>
      </c>
      <c r="E2106" s="9">
        <v>44673</v>
      </c>
      <c r="F2106" s="15" t="s">
        <v>28</v>
      </c>
      <c r="G2106" s="12">
        <v>44713</v>
      </c>
      <c r="H2106" s="23">
        <f t="shared" si="248"/>
        <v>3300</v>
      </c>
      <c r="I2106" s="23"/>
      <c r="J2106" s="23"/>
      <c r="K2106" s="24"/>
      <c r="L2106" s="27">
        <v>1258.5</v>
      </c>
      <c r="M2106" s="22">
        <f t="shared" si="246"/>
        <v>2041.5</v>
      </c>
      <c r="N2106" s="22"/>
      <c r="O2106" s="30">
        <f t="shared" si="247"/>
        <v>0.61863636363636365</v>
      </c>
    </row>
    <row r="2107" spans="1:15" ht="20.100000000000001" customHeight="1" x14ac:dyDescent="0.25">
      <c r="A2107" s="35" t="s">
        <v>535</v>
      </c>
      <c r="B2107" s="36"/>
      <c r="C2107" s="42"/>
      <c r="D2107" s="37"/>
      <c r="E2107" s="46" t="s">
        <v>602</v>
      </c>
      <c r="F2107" s="47">
        <f>M2107*0.12+N2107*0.06</f>
        <v>21519.851999999999</v>
      </c>
      <c r="G2107" s="21">
        <f>H2107*0.02+I2107*0.02</f>
        <v>7058.2800000000007</v>
      </c>
      <c r="H2107" s="49">
        <f>SUBTOTAL(109,Апрель2022[Продажа])</f>
        <v>352313</v>
      </c>
      <c r="I2107" s="49">
        <f>SUBTOTAL(109,Апрель2022[Продажа НК])</f>
        <v>601</v>
      </c>
      <c r="J2107" s="49">
        <f>SUBTOTAL(109,Апрель2022[отк])</f>
        <v>45000</v>
      </c>
      <c r="K2107" s="49">
        <f>SUBTOTAL(109,Апрель2022[шланги])</f>
        <v>0</v>
      </c>
      <c r="L2107" s="49">
        <f>SUBTOTAL(109,Апрель2022[Закупка])</f>
        <v>127980.9</v>
      </c>
      <c r="M2107" s="49">
        <f>SUBTOTAL(109,Апрель2022[Маржа])</f>
        <v>179332.1</v>
      </c>
      <c r="N2107" s="49">
        <f>SUBTOTAL(109,Апрель2022[Маржа НК])</f>
        <v>0</v>
      </c>
      <c r="O2107" s="44">
        <f t="shared" si="247"/>
        <v>0.50901357599634423</v>
      </c>
    </row>
    <row r="2108" spans="1:15" ht="20.100000000000001" customHeight="1" x14ac:dyDescent="0.25">
      <c r="A2108" s="41" t="s">
        <v>1</v>
      </c>
      <c r="B2108" s="1" t="s">
        <v>0</v>
      </c>
      <c r="C2108" s="1" t="s">
        <v>26</v>
      </c>
      <c r="D2108" s="1" t="s">
        <v>2</v>
      </c>
      <c r="E2108" s="1" t="s">
        <v>3</v>
      </c>
      <c r="F2108" s="1" t="s">
        <v>27</v>
      </c>
      <c r="G2108" s="1" t="s">
        <v>4</v>
      </c>
      <c r="H2108" s="2" t="s">
        <v>132</v>
      </c>
      <c r="I2108" s="2" t="s">
        <v>133</v>
      </c>
      <c r="J2108" s="40" t="s">
        <v>187</v>
      </c>
      <c r="K2108" s="40" t="s">
        <v>188</v>
      </c>
      <c r="L2108" s="40" t="s">
        <v>129</v>
      </c>
      <c r="M2108" s="40" t="s">
        <v>130</v>
      </c>
      <c r="N2108" s="2" t="s">
        <v>131</v>
      </c>
      <c r="O2108" s="2" t="s">
        <v>134</v>
      </c>
    </row>
    <row r="2109" spans="1:15" ht="20.100000000000001" customHeight="1" x14ac:dyDescent="0.25">
      <c r="A2109" s="33">
        <v>212</v>
      </c>
      <c r="B2109" s="9">
        <v>44645</v>
      </c>
      <c r="C2109" s="18" t="s">
        <v>60</v>
      </c>
      <c r="D2109" s="3">
        <v>21400</v>
      </c>
      <c r="E2109" s="9">
        <v>44685</v>
      </c>
      <c r="F2109" s="15" t="s">
        <v>28</v>
      </c>
      <c r="G2109" s="12">
        <v>44648</v>
      </c>
      <c r="H2109" s="23">
        <f t="shared" ref="H2109:H2116" si="249">D2109</f>
        <v>21400</v>
      </c>
      <c r="I2109" s="23"/>
      <c r="J2109" s="23"/>
      <c r="K2109" s="24"/>
      <c r="L2109" s="23">
        <v>10737</v>
      </c>
      <c r="M2109" s="22">
        <f t="shared" ref="M2109:M2130" si="250">H2109-L2109-J2109-K2109</f>
        <v>10663</v>
      </c>
      <c r="N2109" s="22"/>
      <c r="O2109" s="30">
        <f t="shared" ref="O2109:O2131" si="251">M2109/H2109</f>
        <v>0.49827102803738316</v>
      </c>
    </row>
    <row r="2110" spans="1:15" ht="20.100000000000001" customHeight="1" x14ac:dyDescent="0.25">
      <c r="A2110" s="33">
        <v>339</v>
      </c>
      <c r="B2110" s="9">
        <v>44679</v>
      </c>
      <c r="C2110" s="18" t="s">
        <v>186</v>
      </c>
      <c r="D2110" s="3">
        <v>8050</v>
      </c>
      <c r="E2110" s="9">
        <v>44685</v>
      </c>
      <c r="F2110" s="15" t="s">
        <v>28</v>
      </c>
      <c r="G2110" s="12">
        <v>44728</v>
      </c>
      <c r="H2110" s="23">
        <f t="shared" si="249"/>
        <v>8050</v>
      </c>
      <c r="I2110" s="23"/>
      <c r="J2110" s="23"/>
      <c r="K2110" s="24"/>
      <c r="L2110" s="23">
        <v>4638</v>
      </c>
      <c r="M2110" s="22">
        <f t="shared" si="250"/>
        <v>3412</v>
      </c>
      <c r="N2110" s="22"/>
      <c r="O2110" s="30">
        <f t="shared" si="251"/>
        <v>0.42385093167701865</v>
      </c>
    </row>
    <row r="2111" spans="1:15" ht="20.100000000000001" customHeight="1" x14ac:dyDescent="0.25">
      <c r="A2111" s="33">
        <v>352</v>
      </c>
      <c r="B2111" s="9">
        <v>44685</v>
      </c>
      <c r="C2111" s="18" t="s">
        <v>169</v>
      </c>
      <c r="D2111" s="3">
        <v>15070</v>
      </c>
      <c r="E2111" s="9">
        <v>44686</v>
      </c>
      <c r="F2111" s="15" t="s">
        <v>28</v>
      </c>
      <c r="G2111" s="12">
        <v>44685</v>
      </c>
      <c r="H2111" s="23">
        <f t="shared" si="249"/>
        <v>15070</v>
      </c>
      <c r="I2111" s="23"/>
      <c r="J2111" s="23"/>
      <c r="K2111" s="24"/>
      <c r="L2111" s="23">
        <v>7979</v>
      </c>
      <c r="M2111" s="22">
        <f t="shared" si="250"/>
        <v>7091</v>
      </c>
      <c r="N2111" s="22"/>
      <c r="O2111" s="30">
        <f t="shared" si="251"/>
        <v>0.4705374917053749</v>
      </c>
    </row>
    <row r="2112" spans="1:15" ht="20.100000000000001" customHeight="1" x14ac:dyDescent="0.25">
      <c r="A2112" s="33">
        <v>361</v>
      </c>
      <c r="B2112" s="9">
        <v>44686</v>
      </c>
      <c r="C2112" s="18" t="s">
        <v>251</v>
      </c>
      <c r="D2112" s="3">
        <v>24620</v>
      </c>
      <c r="E2112" s="9">
        <v>44687</v>
      </c>
      <c r="F2112" s="15" t="s">
        <v>28</v>
      </c>
      <c r="G2112" s="12">
        <v>44733</v>
      </c>
      <c r="H2112" s="23">
        <f t="shared" si="249"/>
        <v>24620</v>
      </c>
      <c r="I2112" s="23"/>
      <c r="J2112" s="23"/>
      <c r="K2112" s="24"/>
      <c r="L2112" s="23">
        <f>9602*2</f>
        <v>19204</v>
      </c>
      <c r="M2112" s="22">
        <f t="shared" si="250"/>
        <v>5416</v>
      </c>
      <c r="N2112" s="22"/>
      <c r="O2112" s="30">
        <f t="shared" si="251"/>
        <v>0.21998375304630383</v>
      </c>
    </row>
    <row r="2113" spans="1:15" ht="20.100000000000001" customHeight="1" x14ac:dyDescent="0.25">
      <c r="A2113" s="33">
        <v>386</v>
      </c>
      <c r="B2113" s="9">
        <v>44694</v>
      </c>
      <c r="C2113" s="18" t="s">
        <v>518</v>
      </c>
      <c r="D2113" s="3">
        <v>11350</v>
      </c>
      <c r="E2113" s="9">
        <v>44694</v>
      </c>
      <c r="F2113" s="15" t="s">
        <v>28</v>
      </c>
      <c r="G2113" s="12">
        <v>44699</v>
      </c>
      <c r="H2113" s="23">
        <f t="shared" si="249"/>
        <v>11350</v>
      </c>
      <c r="I2113" s="23"/>
      <c r="J2113" s="23"/>
      <c r="K2113" s="24"/>
      <c r="L2113" s="23">
        <v>4950</v>
      </c>
      <c r="M2113" s="22">
        <f t="shared" si="250"/>
        <v>6400</v>
      </c>
      <c r="N2113" s="22"/>
      <c r="O2113" s="30">
        <f t="shared" si="251"/>
        <v>0.56387665198237891</v>
      </c>
    </row>
    <row r="2114" spans="1:15" ht="20.100000000000001" customHeight="1" x14ac:dyDescent="0.25">
      <c r="A2114" s="33">
        <v>383</v>
      </c>
      <c r="B2114" s="9">
        <v>44694</v>
      </c>
      <c r="C2114" s="18" t="s">
        <v>444</v>
      </c>
      <c r="D2114" s="3">
        <v>19600</v>
      </c>
      <c r="E2114" s="9">
        <v>44697</v>
      </c>
      <c r="F2114" s="15" t="s">
        <v>28</v>
      </c>
      <c r="G2114" s="12">
        <v>44699</v>
      </c>
      <c r="H2114" s="23">
        <f t="shared" si="249"/>
        <v>19600</v>
      </c>
      <c r="I2114" s="23"/>
      <c r="J2114" s="23"/>
      <c r="K2114" s="24"/>
      <c r="L2114" s="23">
        <f>3486*2</f>
        <v>6972</v>
      </c>
      <c r="M2114" s="22">
        <f t="shared" si="250"/>
        <v>12628</v>
      </c>
      <c r="N2114" s="22"/>
      <c r="O2114" s="30">
        <f t="shared" si="251"/>
        <v>0.64428571428571424</v>
      </c>
    </row>
    <row r="2115" spans="1:15" ht="20.100000000000001" customHeight="1" x14ac:dyDescent="0.25">
      <c r="A2115" s="33">
        <v>377</v>
      </c>
      <c r="B2115" s="9">
        <v>44693</v>
      </c>
      <c r="C2115" s="18" t="s">
        <v>403</v>
      </c>
      <c r="D2115" s="3">
        <v>11100</v>
      </c>
      <c r="E2115" s="9">
        <v>44697</v>
      </c>
      <c r="F2115" s="15" t="s">
        <v>28</v>
      </c>
      <c r="G2115" s="12">
        <v>44705</v>
      </c>
      <c r="H2115" s="23">
        <f t="shared" si="249"/>
        <v>11100</v>
      </c>
      <c r="I2115" s="23"/>
      <c r="J2115" s="23"/>
      <c r="K2115" s="24"/>
      <c r="L2115" s="23">
        <v>5524</v>
      </c>
      <c r="M2115" s="22">
        <f t="shared" si="250"/>
        <v>5576</v>
      </c>
      <c r="N2115" s="22"/>
      <c r="O2115" s="30">
        <f t="shared" si="251"/>
        <v>0.50234234234234232</v>
      </c>
    </row>
    <row r="2116" spans="1:15" ht="20.100000000000001" customHeight="1" x14ac:dyDescent="0.25">
      <c r="A2116" s="33">
        <v>384</v>
      </c>
      <c r="B2116" s="9">
        <v>44694</v>
      </c>
      <c r="C2116" s="18" t="s">
        <v>147</v>
      </c>
      <c r="D2116" s="3">
        <v>9600</v>
      </c>
      <c r="E2116" s="9">
        <v>44697</v>
      </c>
      <c r="F2116" s="15" t="s">
        <v>28</v>
      </c>
      <c r="G2116" s="12">
        <v>44715</v>
      </c>
      <c r="H2116" s="23">
        <f t="shared" si="249"/>
        <v>9600</v>
      </c>
      <c r="I2116" s="23"/>
      <c r="J2116" s="23"/>
      <c r="K2116" s="24"/>
      <c r="L2116" s="23">
        <f>4365/5*4</f>
        <v>3492</v>
      </c>
      <c r="M2116" s="22">
        <f t="shared" si="250"/>
        <v>6108</v>
      </c>
      <c r="N2116" s="22"/>
      <c r="O2116" s="30">
        <f t="shared" si="251"/>
        <v>0.63624999999999998</v>
      </c>
    </row>
    <row r="2117" spans="1:15" ht="20.100000000000001" customHeight="1" x14ac:dyDescent="0.25">
      <c r="A2117" s="33">
        <v>398</v>
      </c>
      <c r="B2117" s="9">
        <v>44699</v>
      </c>
      <c r="C2117" s="18" t="s">
        <v>49</v>
      </c>
      <c r="D2117" s="3">
        <v>296</v>
      </c>
      <c r="E2117" s="9">
        <v>44700</v>
      </c>
      <c r="F2117" s="15" t="s">
        <v>28</v>
      </c>
      <c r="G2117" s="12">
        <v>44704</v>
      </c>
      <c r="H2117" s="23">
        <f>D2117</f>
        <v>296</v>
      </c>
      <c r="I2117" s="23"/>
      <c r="J2117" s="23"/>
      <c r="K2117" s="24"/>
      <c r="L2117" s="23">
        <v>54</v>
      </c>
      <c r="M2117" s="22">
        <f t="shared" si="250"/>
        <v>242</v>
      </c>
      <c r="N2117" s="22"/>
      <c r="O2117" s="30">
        <f t="shared" si="251"/>
        <v>0.81756756756756754</v>
      </c>
    </row>
    <row r="2118" spans="1:15" ht="20.100000000000001" customHeight="1" x14ac:dyDescent="0.25">
      <c r="A2118" s="33">
        <v>247</v>
      </c>
      <c r="B2118" s="9">
        <v>44657</v>
      </c>
      <c r="C2118" s="18" t="s">
        <v>516</v>
      </c>
      <c r="D2118" s="3">
        <v>45601</v>
      </c>
      <c r="E2118" s="9">
        <v>44704</v>
      </c>
      <c r="F2118" s="15" t="s">
        <v>28</v>
      </c>
      <c r="G2118" s="12">
        <v>44699</v>
      </c>
      <c r="H2118" s="23">
        <v>10000</v>
      </c>
      <c r="I2118" s="23"/>
      <c r="J2118" s="23"/>
      <c r="K2118" s="24"/>
      <c r="L2118" s="23">
        <v>10000</v>
      </c>
      <c r="M2118" s="22">
        <f t="shared" si="250"/>
        <v>0</v>
      </c>
      <c r="N2118" s="22"/>
      <c r="O2118" s="30">
        <f t="shared" si="251"/>
        <v>0</v>
      </c>
    </row>
    <row r="2119" spans="1:15" ht="20.100000000000001" customHeight="1" x14ac:dyDescent="0.25">
      <c r="A2119" s="33">
        <v>370</v>
      </c>
      <c r="B2119" s="9">
        <v>44693</v>
      </c>
      <c r="C2119" s="20" t="s">
        <v>520</v>
      </c>
      <c r="D2119" s="3">
        <v>223780</v>
      </c>
      <c r="E2119" s="9">
        <v>44705</v>
      </c>
      <c r="F2119" s="15" t="s">
        <v>28</v>
      </c>
      <c r="G2119" s="12">
        <v>44707</v>
      </c>
      <c r="H2119" s="23">
        <v>111890</v>
      </c>
      <c r="I2119" s="23">
        <f>H2119</f>
        <v>111890</v>
      </c>
      <c r="J2119" s="23"/>
      <c r="K2119" s="24"/>
      <c r="L2119" s="23">
        <f>125192/2</f>
        <v>62596</v>
      </c>
      <c r="M2119" s="22">
        <f t="shared" si="250"/>
        <v>49294</v>
      </c>
      <c r="N2119" s="23">
        <f>M2119</f>
        <v>49294</v>
      </c>
      <c r="O2119" s="30">
        <f t="shared" si="251"/>
        <v>0.44055769058897132</v>
      </c>
    </row>
    <row r="2120" spans="1:15" ht="20.100000000000001" customHeight="1" x14ac:dyDescent="0.25">
      <c r="A2120" s="33">
        <v>381</v>
      </c>
      <c r="B2120" s="9">
        <v>44693</v>
      </c>
      <c r="C2120" s="20" t="s">
        <v>520</v>
      </c>
      <c r="D2120" s="3">
        <v>1106370</v>
      </c>
      <c r="E2120" s="9">
        <v>44705</v>
      </c>
      <c r="F2120" s="15" t="s">
        <v>28</v>
      </c>
      <c r="G2120" s="12">
        <v>44707</v>
      </c>
      <c r="H2120" s="23">
        <v>553185</v>
      </c>
      <c r="I2120" s="23">
        <f>H2120</f>
        <v>553185</v>
      </c>
      <c r="J2120" s="23"/>
      <c r="K2120" s="24"/>
      <c r="L2120" s="23">
        <f>625572/2</f>
        <v>312786</v>
      </c>
      <c r="M2120" s="22">
        <f t="shared" si="250"/>
        <v>240399</v>
      </c>
      <c r="N2120" s="23">
        <f>M2120</f>
        <v>240399</v>
      </c>
      <c r="O2120" s="30">
        <f t="shared" si="251"/>
        <v>0.43457252094688031</v>
      </c>
    </row>
    <row r="2121" spans="1:15" ht="20.100000000000001" customHeight="1" x14ac:dyDescent="0.25">
      <c r="A2121" s="33">
        <v>197</v>
      </c>
      <c r="B2121" s="9">
        <v>44643</v>
      </c>
      <c r="C2121" s="18" t="s">
        <v>56</v>
      </c>
      <c r="D2121" s="3">
        <v>41430</v>
      </c>
      <c r="E2121" s="9">
        <v>44706</v>
      </c>
      <c r="F2121" s="15" t="s">
        <v>28</v>
      </c>
      <c r="G2121" s="12">
        <v>44679</v>
      </c>
      <c r="H2121" s="23">
        <f t="shared" ref="H2121:H2128" si="252">D2121</f>
        <v>41430</v>
      </c>
      <c r="I2121" s="23"/>
      <c r="J2121" s="23"/>
      <c r="K2121" s="24">
        <v>1200</v>
      </c>
      <c r="L2121" s="23">
        <v>18645</v>
      </c>
      <c r="M2121" s="22">
        <f t="shared" si="250"/>
        <v>21585</v>
      </c>
      <c r="N2121" s="22"/>
      <c r="O2121" s="30">
        <f t="shared" si="251"/>
        <v>0.52099927588703843</v>
      </c>
    </row>
    <row r="2122" spans="1:15" ht="20.100000000000001" customHeight="1" x14ac:dyDescent="0.25">
      <c r="A2122" s="33">
        <v>231</v>
      </c>
      <c r="B2122" s="9">
        <v>44650</v>
      </c>
      <c r="C2122" s="18" t="s">
        <v>56</v>
      </c>
      <c r="D2122" s="3">
        <v>68040</v>
      </c>
      <c r="E2122" s="9">
        <v>44706</v>
      </c>
      <c r="F2122" s="15" t="s">
        <v>28</v>
      </c>
      <c r="G2122" s="12">
        <v>44679</v>
      </c>
      <c r="H2122" s="23">
        <f t="shared" si="252"/>
        <v>68040</v>
      </c>
      <c r="I2122" s="23"/>
      <c r="J2122" s="23"/>
      <c r="K2122" s="24"/>
      <c r="L2122" s="23">
        <v>37627</v>
      </c>
      <c r="M2122" s="22">
        <f t="shared" si="250"/>
        <v>30413</v>
      </c>
      <c r="N2122" s="22"/>
      <c r="O2122" s="30">
        <f t="shared" si="251"/>
        <v>0.44698706643151087</v>
      </c>
    </row>
    <row r="2123" spans="1:15" ht="19.5" customHeight="1" x14ac:dyDescent="0.25">
      <c r="A2123" s="33">
        <v>243</v>
      </c>
      <c r="B2123" s="9">
        <v>44662</v>
      </c>
      <c r="C2123" s="18" t="s">
        <v>65</v>
      </c>
      <c r="D2123" s="3">
        <v>378331.2</v>
      </c>
      <c r="E2123" s="9">
        <v>44707</v>
      </c>
      <c r="F2123" s="15" t="s">
        <v>28</v>
      </c>
      <c r="G2123" s="12">
        <v>44680</v>
      </c>
      <c r="H2123" s="23">
        <v>128793.60000000001</v>
      </c>
      <c r="I2123" s="23"/>
      <c r="J2123" s="23"/>
      <c r="K2123" s="24">
        <f>1200*16</f>
        <v>19200</v>
      </c>
      <c r="L2123" s="23">
        <v>39344</v>
      </c>
      <c r="M2123" s="22">
        <f t="shared" si="250"/>
        <v>70249.600000000006</v>
      </c>
      <c r="N2123" s="22"/>
      <c r="O2123" s="30">
        <f t="shared" si="251"/>
        <v>0.54544325183860065</v>
      </c>
    </row>
    <row r="2124" spans="1:15" ht="15.75" x14ac:dyDescent="0.25">
      <c r="A2124" s="33">
        <v>405</v>
      </c>
      <c r="B2124" s="9">
        <v>44701</v>
      </c>
      <c r="C2124" s="18" t="s">
        <v>519</v>
      </c>
      <c r="D2124" s="3">
        <v>19855</v>
      </c>
      <c r="E2124" s="9">
        <v>44708</v>
      </c>
      <c r="F2124" s="15" t="s">
        <v>28</v>
      </c>
      <c r="G2124" s="12">
        <v>44701</v>
      </c>
      <c r="H2124" s="23">
        <f t="shared" si="252"/>
        <v>19855</v>
      </c>
      <c r="I2124" s="23"/>
      <c r="J2124" s="23"/>
      <c r="K2124" s="24"/>
      <c r="L2124" s="27">
        <v>10308</v>
      </c>
      <c r="M2124" s="22">
        <f t="shared" si="250"/>
        <v>9547</v>
      </c>
      <c r="N2124" s="22"/>
      <c r="O2124" s="30">
        <f t="shared" si="251"/>
        <v>0.48083606144547975</v>
      </c>
    </row>
    <row r="2125" spans="1:15" s="2" customFormat="1" ht="20.100000000000001" customHeight="1" x14ac:dyDescent="0.25">
      <c r="A2125" s="33">
        <v>196</v>
      </c>
      <c r="B2125" s="9">
        <v>44643</v>
      </c>
      <c r="C2125" s="18" t="s">
        <v>99</v>
      </c>
      <c r="D2125" s="3">
        <v>303400</v>
      </c>
      <c r="E2125" s="9">
        <v>44708</v>
      </c>
      <c r="F2125" s="15" t="s">
        <v>28</v>
      </c>
      <c r="G2125" s="12">
        <v>44679</v>
      </c>
      <c r="H2125" s="23">
        <f t="shared" si="252"/>
        <v>303400</v>
      </c>
      <c r="I2125" s="23"/>
      <c r="J2125" s="23">
        <f>20*3000</f>
        <v>60000</v>
      </c>
      <c r="K2125" s="24">
        <f>20*600</f>
        <v>12000</v>
      </c>
      <c r="L2125" s="27">
        <v>79014.2</v>
      </c>
      <c r="M2125" s="22">
        <f t="shared" si="250"/>
        <v>152385.79999999999</v>
      </c>
      <c r="N2125" s="22"/>
      <c r="O2125" s="30">
        <f t="shared" si="251"/>
        <v>0.50226038233355308</v>
      </c>
    </row>
    <row r="2126" spans="1:15" ht="20.100000000000001" customHeight="1" x14ac:dyDescent="0.25">
      <c r="A2126" s="33">
        <v>397</v>
      </c>
      <c r="B2126" s="9">
        <v>44699</v>
      </c>
      <c r="C2126" s="18" t="s">
        <v>13</v>
      </c>
      <c r="D2126" s="3">
        <v>32100</v>
      </c>
      <c r="E2126" s="9">
        <v>44712</v>
      </c>
      <c r="F2126" s="15" t="s">
        <v>28</v>
      </c>
      <c r="G2126" s="12">
        <v>44706</v>
      </c>
      <c r="H2126" s="23">
        <v>18105</v>
      </c>
      <c r="I2126" s="23"/>
      <c r="J2126" s="23"/>
      <c r="K2126" s="24"/>
      <c r="L2126" s="23">
        <v>11101</v>
      </c>
      <c r="M2126" s="22">
        <f t="shared" si="250"/>
        <v>7004</v>
      </c>
      <c r="N2126" s="22"/>
      <c r="O2126" s="30">
        <f t="shared" si="251"/>
        <v>0.38685446009389673</v>
      </c>
    </row>
    <row r="2127" spans="1:15" ht="20.100000000000001" customHeight="1" x14ac:dyDescent="0.25">
      <c r="A2127" s="33">
        <v>446</v>
      </c>
      <c r="B2127" s="9">
        <v>44711</v>
      </c>
      <c r="C2127" s="18" t="s">
        <v>12</v>
      </c>
      <c r="D2127" s="3">
        <v>250</v>
      </c>
      <c r="E2127" s="9">
        <v>44712</v>
      </c>
      <c r="F2127" s="15" t="s">
        <v>28</v>
      </c>
      <c r="G2127" s="12">
        <v>44714</v>
      </c>
      <c r="H2127" s="23">
        <f t="shared" si="252"/>
        <v>250</v>
      </c>
      <c r="I2127" s="23"/>
      <c r="J2127" s="23"/>
      <c r="K2127" s="24"/>
      <c r="L2127" s="27">
        <v>52</v>
      </c>
      <c r="M2127" s="22">
        <f t="shared" si="250"/>
        <v>198</v>
      </c>
      <c r="N2127" s="22"/>
      <c r="O2127" s="30">
        <f t="shared" si="251"/>
        <v>0.79200000000000004</v>
      </c>
    </row>
    <row r="2128" spans="1:15" ht="20.100000000000001" customHeight="1" x14ac:dyDescent="0.25">
      <c r="A2128" s="33">
        <v>427</v>
      </c>
      <c r="B2128" s="9">
        <v>44706</v>
      </c>
      <c r="C2128" s="18" t="s">
        <v>455</v>
      </c>
      <c r="D2128" s="3">
        <v>24100</v>
      </c>
      <c r="E2128" s="9">
        <v>44712</v>
      </c>
      <c r="F2128" s="15" t="s">
        <v>28</v>
      </c>
      <c r="G2128" s="12">
        <v>44719</v>
      </c>
      <c r="H2128" s="23">
        <f t="shared" si="252"/>
        <v>24100</v>
      </c>
      <c r="I2128" s="23"/>
      <c r="J2128" s="23"/>
      <c r="K2128" s="24"/>
      <c r="L2128" s="27">
        <v>14427</v>
      </c>
      <c r="M2128" s="22">
        <f t="shared" si="250"/>
        <v>9673</v>
      </c>
      <c r="N2128" s="22"/>
      <c r="O2128" s="30">
        <f t="shared" si="251"/>
        <v>0.40136929460580911</v>
      </c>
    </row>
    <row r="2129" spans="1:15" ht="20.100000000000001" customHeight="1" x14ac:dyDescent="0.25">
      <c r="A2129" s="33">
        <v>370</v>
      </c>
      <c r="B2129" s="9">
        <v>44693</v>
      </c>
      <c r="C2129" s="20" t="s">
        <v>520</v>
      </c>
      <c r="D2129" s="3">
        <v>223780</v>
      </c>
      <c r="E2129" s="9">
        <v>44712</v>
      </c>
      <c r="F2129" s="15" t="s">
        <v>28</v>
      </c>
      <c r="G2129" s="12">
        <v>44707</v>
      </c>
      <c r="H2129" s="23">
        <v>111890</v>
      </c>
      <c r="I2129" s="23">
        <f>H2129</f>
        <v>111890</v>
      </c>
      <c r="J2129" s="23"/>
      <c r="K2129" s="24"/>
      <c r="L2129" s="23">
        <f>125192/2</f>
        <v>62596</v>
      </c>
      <c r="M2129" s="22">
        <f t="shared" si="250"/>
        <v>49294</v>
      </c>
      <c r="N2129" s="23">
        <f>M2129</f>
        <v>49294</v>
      </c>
      <c r="O2129" s="30">
        <f t="shared" si="251"/>
        <v>0.44055769058897132</v>
      </c>
    </row>
    <row r="2130" spans="1:15" ht="20.100000000000001" customHeight="1" x14ac:dyDescent="0.25">
      <c r="A2130" s="33">
        <v>381</v>
      </c>
      <c r="B2130" s="9">
        <v>44693</v>
      </c>
      <c r="C2130" s="20" t="s">
        <v>520</v>
      </c>
      <c r="D2130" s="3">
        <v>1106370</v>
      </c>
      <c r="E2130" s="9">
        <v>44712</v>
      </c>
      <c r="F2130" s="15" t="s">
        <v>28</v>
      </c>
      <c r="G2130" s="12">
        <v>44707</v>
      </c>
      <c r="H2130" s="23">
        <v>553185</v>
      </c>
      <c r="I2130" s="23">
        <f>H2130</f>
        <v>553185</v>
      </c>
      <c r="J2130" s="23"/>
      <c r="K2130" s="24"/>
      <c r="L2130" s="23">
        <f>625572/2</f>
        <v>312786</v>
      </c>
      <c r="M2130" s="22">
        <f t="shared" si="250"/>
        <v>240399</v>
      </c>
      <c r="N2130" s="23">
        <f>M2130</f>
        <v>240399</v>
      </c>
      <c r="O2130" s="30">
        <f t="shared" si="251"/>
        <v>0.43457252094688031</v>
      </c>
    </row>
    <row r="2131" spans="1:15" ht="20.100000000000001" customHeight="1" x14ac:dyDescent="0.25">
      <c r="A2131" s="35" t="s">
        <v>535</v>
      </c>
      <c r="B2131" s="36"/>
      <c r="C2131" s="42"/>
      <c r="D2131" s="37"/>
      <c r="E2131" s="46" t="s">
        <v>603</v>
      </c>
      <c r="F2131" s="47">
        <f>M2131*0.17+N2131*0.06</f>
        <v>194219.318</v>
      </c>
      <c r="G2131" s="21">
        <f>H2131*0.05+I2131*0.02</f>
        <v>129863.48000000001</v>
      </c>
      <c r="H2131" s="49">
        <f>SUBTOTAL(109,Май2022[Продажа])</f>
        <v>2065209.6</v>
      </c>
      <c r="I2131" s="49">
        <f>SUBTOTAL(109,Май2022[Продажа НК])</f>
        <v>1330150</v>
      </c>
      <c r="J2131" s="49">
        <f>SUBTOTAL(109,Май2022[отк])</f>
        <v>60000</v>
      </c>
      <c r="K2131" s="49">
        <f>SUBTOTAL(109,Май2022[шланги])</f>
        <v>32400</v>
      </c>
      <c r="L2131" s="49">
        <f>SUBTOTAL(109,Май2022[Закупка])</f>
        <v>1034832.2</v>
      </c>
      <c r="M2131" s="49">
        <f>SUBTOTAL(109,Май2022[Маржа])</f>
        <v>937977.39999999991</v>
      </c>
      <c r="N2131" s="49">
        <f>SUBTOTAL(109,Май2022[Маржа НК])</f>
        <v>579386</v>
      </c>
      <c r="O2131" s="44">
        <f t="shared" si="251"/>
        <v>0.45418024398104673</v>
      </c>
    </row>
    <row r="2132" spans="1:15" ht="20.100000000000001" customHeight="1" x14ac:dyDescent="0.25">
      <c r="A2132" s="41" t="s">
        <v>1</v>
      </c>
      <c r="B2132" s="1" t="s">
        <v>0</v>
      </c>
      <c r="C2132" s="1" t="s">
        <v>26</v>
      </c>
      <c r="D2132" s="1" t="s">
        <v>2</v>
      </c>
      <c r="E2132" s="1" t="s">
        <v>3</v>
      </c>
      <c r="F2132" s="1" t="s">
        <v>27</v>
      </c>
      <c r="G2132" s="1" t="s">
        <v>4</v>
      </c>
      <c r="H2132" s="2" t="s">
        <v>132</v>
      </c>
      <c r="I2132" s="2" t="s">
        <v>133</v>
      </c>
      <c r="J2132" s="40" t="s">
        <v>187</v>
      </c>
      <c r="K2132" s="40" t="s">
        <v>188</v>
      </c>
      <c r="L2132" s="40" t="s">
        <v>129</v>
      </c>
      <c r="M2132" s="40" t="s">
        <v>130</v>
      </c>
      <c r="N2132" s="2" t="s">
        <v>131</v>
      </c>
      <c r="O2132" s="2" t="s">
        <v>134</v>
      </c>
    </row>
    <row r="2133" spans="1:15" ht="20.100000000000001" customHeight="1" x14ac:dyDescent="0.25">
      <c r="A2133" s="33">
        <v>437</v>
      </c>
      <c r="B2133" s="9">
        <v>44708</v>
      </c>
      <c r="C2133" s="18" t="s">
        <v>311</v>
      </c>
      <c r="D2133" s="3">
        <v>10050</v>
      </c>
      <c r="E2133" s="9">
        <v>44713</v>
      </c>
      <c r="F2133" s="15" t="s">
        <v>28</v>
      </c>
      <c r="G2133" s="9">
        <v>44708</v>
      </c>
      <c r="H2133" s="23">
        <f>D2133</f>
        <v>10050</v>
      </c>
      <c r="I2133" s="23"/>
      <c r="J2133" s="23"/>
      <c r="K2133" s="24"/>
      <c r="L2133" s="27">
        <v>6567</v>
      </c>
      <c r="M2133" s="22">
        <f t="shared" ref="M2133:M2149" si="253">H2133-L2133-J2133-K2133</f>
        <v>3483</v>
      </c>
      <c r="N2133" s="22"/>
      <c r="O2133" s="30">
        <f t="shared" ref="O2133:O2150" si="254">M2133/H2133</f>
        <v>0.34656716417910449</v>
      </c>
    </row>
    <row r="2134" spans="1:15" ht="20.100000000000001" customHeight="1" x14ac:dyDescent="0.25">
      <c r="A2134" s="33">
        <v>453</v>
      </c>
      <c r="B2134" s="9">
        <v>44712</v>
      </c>
      <c r="C2134" s="18" t="s">
        <v>470</v>
      </c>
      <c r="D2134" s="3">
        <v>61099</v>
      </c>
      <c r="E2134" s="9">
        <v>44714</v>
      </c>
      <c r="F2134" s="15" t="s">
        <v>28</v>
      </c>
      <c r="G2134" s="12">
        <v>44718</v>
      </c>
      <c r="H2134" s="23">
        <f>D2134</f>
        <v>61099</v>
      </c>
      <c r="I2134" s="23"/>
      <c r="J2134" s="23"/>
      <c r="K2134" s="24"/>
      <c r="L2134" s="27">
        <v>41784</v>
      </c>
      <c r="M2134" s="22">
        <f t="shared" si="253"/>
        <v>19315</v>
      </c>
      <c r="N2134" s="22"/>
      <c r="O2134" s="30">
        <f t="shared" si="254"/>
        <v>0.31612628684593858</v>
      </c>
    </row>
    <row r="2135" spans="1:15" ht="20.100000000000001" customHeight="1" x14ac:dyDescent="0.25">
      <c r="A2135" s="33">
        <v>426</v>
      </c>
      <c r="B2135" s="9">
        <v>44705</v>
      </c>
      <c r="C2135" s="18" t="s">
        <v>508</v>
      </c>
      <c r="D2135" s="3">
        <v>18700</v>
      </c>
      <c r="E2135" s="9">
        <v>44718</v>
      </c>
      <c r="F2135" s="15" t="s">
        <v>28</v>
      </c>
      <c r="G2135" s="12">
        <v>44728</v>
      </c>
      <c r="H2135" s="23">
        <f>D2135</f>
        <v>18700</v>
      </c>
      <c r="I2135" s="23"/>
      <c r="J2135" s="23"/>
      <c r="K2135" s="24"/>
      <c r="L2135" s="27">
        <v>5870</v>
      </c>
      <c r="M2135" s="22">
        <f t="shared" si="253"/>
        <v>12830</v>
      </c>
      <c r="N2135" s="22"/>
      <c r="O2135" s="30">
        <f t="shared" si="254"/>
        <v>0.68609625668449203</v>
      </c>
    </row>
    <row r="2136" spans="1:15" ht="20.100000000000001" customHeight="1" x14ac:dyDescent="0.25">
      <c r="A2136" s="33">
        <v>116</v>
      </c>
      <c r="B2136" s="9">
        <v>44670</v>
      </c>
      <c r="C2136" s="18" t="s">
        <v>517</v>
      </c>
      <c r="D2136" s="3">
        <v>96440</v>
      </c>
      <c r="E2136" s="9">
        <v>44719</v>
      </c>
      <c r="F2136" s="15" t="s">
        <v>28</v>
      </c>
      <c r="G2136" s="9">
        <v>44714</v>
      </c>
      <c r="H2136" s="23">
        <v>85470</v>
      </c>
      <c r="I2136" s="23"/>
      <c r="J2136" s="23"/>
      <c r="K2136" s="24"/>
      <c r="L2136" s="23">
        <v>48886</v>
      </c>
      <c r="M2136" s="22">
        <f t="shared" si="253"/>
        <v>36584</v>
      </c>
      <c r="N2136" s="22"/>
      <c r="O2136" s="30">
        <f t="shared" si="254"/>
        <v>0.42803322803322802</v>
      </c>
    </row>
    <row r="2137" spans="1:15" ht="20.100000000000001" customHeight="1" x14ac:dyDescent="0.25">
      <c r="A2137" s="33">
        <v>494</v>
      </c>
      <c r="B2137" s="9">
        <v>44719</v>
      </c>
      <c r="C2137" s="18" t="s">
        <v>149</v>
      </c>
      <c r="D2137" s="3">
        <v>5280</v>
      </c>
      <c r="E2137" s="9">
        <v>44720</v>
      </c>
      <c r="F2137" s="15" t="s">
        <v>28</v>
      </c>
      <c r="G2137" s="12">
        <v>44742</v>
      </c>
      <c r="H2137" s="23">
        <f>D2137</f>
        <v>5280</v>
      </c>
      <c r="I2137" s="23"/>
      <c r="J2137" s="23"/>
      <c r="K2137" s="24"/>
      <c r="L2137" s="23">
        <v>4118</v>
      </c>
      <c r="M2137" s="22">
        <f t="shared" si="253"/>
        <v>1162</v>
      </c>
      <c r="N2137" s="22"/>
      <c r="O2137" s="30">
        <f t="shared" si="254"/>
        <v>0.22007575757575756</v>
      </c>
    </row>
    <row r="2138" spans="1:15" ht="19.5" customHeight="1" x14ac:dyDescent="0.25">
      <c r="A2138" s="33">
        <v>186</v>
      </c>
      <c r="B2138" s="9">
        <v>44718</v>
      </c>
      <c r="C2138" s="18" t="s">
        <v>516</v>
      </c>
      <c r="D2138" s="3">
        <v>90063</v>
      </c>
      <c r="E2138" s="9">
        <v>44721</v>
      </c>
      <c r="F2138" s="15" t="s">
        <v>28</v>
      </c>
      <c r="G2138" s="12">
        <v>44721</v>
      </c>
      <c r="H2138" s="23">
        <v>75952</v>
      </c>
      <c r="I2138" s="23"/>
      <c r="J2138" s="23"/>
      <c r="K2138" s="24"/>
      <c r="L2138" s="23">
        <v>61549</v>
      </c>
      <c r="M2138" s="22">
        <f t="shared" si="253"/>
        <v>14403</v>
      </c>
      <c r="N2138" s="22"/>
      <c r="O2138" s="30">
        <f t="shared" si="254"/>
        <v>0.1896329260585633</v>
      </c>
    </row>
    <row r="2139" spans="1:15" ht="15.75" x14ac:dyDescent="0.25">
      <c r="A2139" s="33">
        <v>243</v>
      </c>
      <c r="B2139" s="9">
        <v>44662</v>
      </c>
      <c r="C2139" s="18" t="s">
        <v>65</v>
      </c>
      <c r="D2139" s="3">
        <v>378331.2</v>
      </c>
      <c r="E2139" s="9">
        <v>44721</v>
      </c>
      <c r="F2139" s="15" t="s">
        <v>28</v>
      </c>
      <c r="G2139" s="12">
        <v>44680</v>
      </c>
      <c r="H2139" s="23">
        <v>48297.599999999999</v>
      </c>
      <c r="I2139" s="23"/>
      <c r="J2139" s="23"/>
      <c r="K2139" s="24">
        <f>6*1200</f>
        <v>7200</v>
      </c>
      <c r="L2139" s="23">
        <v>14757</v>
      </c>
      <c r="M2139" s="22">
        <f t="shared" si="253"/>
        <v>26340.6</v>
      </c>
      <c r="N2139" s="22"/>
      <c r="O2139" s="30">
        <f t="shared" si="254"/>
        <v>0.5453811369509044</v>
      </c>
    </row>
    <row r="2140" spans="1:15" s="2" customFormat="1" ht="20.100000000000001" customHeight="1" x14ac:dyDescent="0.25">
      <c r="A2140" s="33">
        <v>423</v>
      </c>
      <c r="B2140" s="9">
        <v>44705</v>
      </c>
      <c r="C2140" s="18" t="s">
        <v>302</v>
      </c>
      <c r="D2140" s="3">
        <v>13580</v>
      </c>
      <c r="E2140" s="9">
        <v>44722</v>
      </c>
      <c r="F2140" s="15" t="s">
        <v>28</v>
      </c>
      <c r="G2140" s="12">
        <v>44719</v>
      </c>
      <c r="H2140" s="23">
        <f>D2140</f>
        <v>13580</v>
      </c>
      <c r="I2140" s="23"/>
      <c r="J2140" s="23"/>
      <c r="K2140" s="24"/>
      <c r="L2140" s="23">
        <v>11598</v>
      </c>
      <c r="M2140" s="22">
        <f t="shared" si="253"/>
        <v>1982</v>
      </c>
      <c r="N2140" s="22"/>
      <c r="O2140" s="30">
        <f t="shared" si="254"/>
        <v>0.14594992636229751</v>
      </c>
    </row>
    <row r="2141" spans="1:15" ht="20.100000000000001" customHeight="1" x14ac:dyDescent="0.25">
      <c r="A2141" s="33">
        <v>491</v>
      </c>
      <c r="B2141" s="9">
        <v>44719</v>
      </c>
      <c r="C2141" s="18" t="s">
        <v>13</v>
      </c>
      <c r="D2141" s="3">
        <v>26750</v>
      </c>
      <c r="E2141" s="9">
        <v>44727</v>
      </c>
      <c r="F2141" s="15" t="s">
        <v>28</v>
      </c>
      <c r="G2141" s="12">
        <v>44719</v>
      </c>
      <c r="H2141" s="23">
        <f>D2141</f>
        <v>26750</v>
      </c>
      <c r="I2141" s="23"/>
      <c r="J2141" s="23"/>
      <c r="K2141" s="24"/>
      <c r="L2141" s="23">
        <v>17915</v>
      </c>
      <c r="M2141" s="22">
        <f t="shared" si="253"/>
        <v>8835</v>
      </c>
      <c r="N2141" s="22"/>
      <c r="O2141" s="30">
        <f t="shared" si="254"/>
        <v>0.33028037383177572</v>
      </c>
    </row>
    <row r="2142" spans="1:15" ht="20.100000000000001" customHeight="1" x14ac:dyDescent="0.25">
      <c r="A2142" s="33">
        <v>283</v>
      </c>
      <c r="B2142" s="9">
        <v>44665</v>
      </c>
      <c r="C2142" s="18" t="s">
        <v>56</v>
      </c>
      <c r="D2142" s="3">
        <v>144470</v>
      </c>
      <c r="E2142" s="9">
        <v>44727</v>
      </c>
      <c r="F2142" s="15" t="s">
        <v>28</v>
      </c>
      <c r="G2142" s="12">
        <v>44711</v>
      </c>
      <c r="H2142" s="23">
        <f>D2142</f>
        <v>144470</v>
      </c>
      <c r="I2142" s="23"/>
      <c r="J2142" s="23"/>
      <c r="K2142" s="24"/>
      <c r="L2142" s="23">
        <v>73277</v>
      </c>
      <c r="M2142" s="22">
        <f t="shared" si="253"/>
        <v>71193</v>
      </c>
      <c r="N2142" s="22"/>
      <c r="O2142" s="30">
        <f t="shared" si="254"/>
        <v>0.49278742991624558</v>
      </c>
    </row>
    <row r="2143" spans="1:15" ht="20.100000000000001" customHeight="1" x14ac:dyDescent="0.25">
      <c r="A2143" s="33">
        <v>477</v>
      </c>
      <c r="B2143" s="9">
        <v>44715</v>
      </c>
      <c r="C2143" s="18" t="s">
        <v>91</v>
      </c>
      <c r="D2143" s="3">
        <v>12150</v>
      </c>
      <c r="E2143" s="9">
        <v>44729</v>
      </c>
      <c r="F2143" s="15" t="s">
        <v>28</v>
      </c>
      <c r="G2143" s="12">
        <v>44735</v>
      </c>
      <c r="H2143" s="23">
        <f>D2143</f>
        <v>12150</v>
      </c>
      <c r="I2143" s="23"/>
      <c r="J2143" s="23"/>
      <c r="K2143" s="24"/>
      <c r="L2143" s="23">
        <f>3583*3</f>
        <v>10749</v>
      </c>
      <c r="M2143" s="22">
        <f t="shared" si="253"/>
        <v>1401</v>
      </c>
      <c r="N2143" s="22"/>
      <c r="O2143" s="30">
        <f t="shared" si="254"/>
        <v>0.11530864197530864</v>
      </c>
    </row>
    <row r="2144" spans="1:15" ht="20.100000000000001" customHeight="1" x14ac:dyDescent="0.25">
      <c r="A2144" s="33">
        <v>243</v>
      </c>
      <c r="B2144" s="9">
        <v>44662</v>
      </c>
      <c r="C2144" s="18" t="s">
        <v>65</v>
      </c>
      <c r="D2144" s="3">
        <v>378331.2</v>
      </c>
      <c r="E2144" s="9">
        <v>44733</v>
      </c>
      <c r="F2144" s="15" t="s">
        <v>28</v>
      </c>
      <c r="G2144" s="12">
        <v>44711</v>
      </c>
      <c r="H2144" s="23">
        <v>201240</v>
      </c>
      <c r="I2144" s="23"/>
      <c r="J2144" s="23"/>
      <c r="K2144" s="24"/>
      <c r="L2144" s="23">
        <f>70313+25*500</f>
        <v>82813</v>
      </c>
      <c r="M2144" s="22">
        <f t="shared" si="253"/>
        <v>118427</v>
      </c>
      <c r="N2144" s="22"/>
      <c r="O2144" s="30">
        <f t="shared" si="254"/>
        <v>0.58848638441661694</v>
      </c>
    </row>
    <row r="2145" spans="1:15" ht="20.100000000000001" customHeight="1" x14ac:dyDescent="0.25">
      <c r="A2145" s="33">
        <v>513</v>
      </c>
      <c r="B2145" s="9">
        <v>44726</v>
      </c>
      <c r="C2145" s="18" t="s">
        <v>520</v>
      </c>
      <c r="D2145" s="3">
        <v>559450</v>
      </c>
      <c r="E2145" s="9">
        <v>44733</v>
      </c>
      <c r="F2145" s="15" t="s">
        <v>28</v>
      </c>
      <c r="G2145" s="12">
        <v>44733</v>
      </c>
      <c r="H2145" s="23">
        <v>279725</v>
      </c>
      <c r="I2145" s="23"/>
      <c r="J2145" s="23"/>
      <c r="K2145" s="24"/>
      <c r="L2145" s="23">
        <f>312980/2</f>
        <v>156490</v>
      </c>
      <c r="M2145" s="22">
        <f t="shared" si="253"/>
        <v>123235</v>
      </c>
      <c r="N2145" s="22"/>
      <c r="O2145" s="30">
        <f t="shared" si="254"/>
        <v>0.44055769058897132</v>
      </c>
    </row>
    <row r="2146" spans="1:15" ht="20.100000000000001" customHeight="1" x14ac:dyDescent="0.25">
      <c r="A2146" s="33">
        <v>565</v>
      </c>
      <c r="B2146" s="9">
        <v>44735</v>
      </c>
      <c r="C2146" s="18" t="s">
        <v>467</v>
      </c>
      <c r="D2146" s="3">
        <v>93290</v>
      </c>
      <c r="E2146" s="9">
        <v>44741</v>
      </c>
      <c r="F2146" s="15" t="s">
        <v>28</v>
      </c>
      <c r="G2146" s="12">
        <v>44747</v>
      </c>
      <c r="H2146" s="23">
        <f>D2146</f>
        <v>93290</v>
      </c>
      <c r="I2146" s="23"/>
      <c r="J2146" s="23"/>
      <c r="K2146" s="24"/>
      <c r="L2146" s="23">
        <v>58304</v>
      </c>
      <c r="M2146" s="22">
        <f t="shared" si="253"/>
        <v>34986</v>
      </c>
      <c r="N2146" s="22"/>
      <c r="O2146" s="30">
        <f t="shared" si="254"/>
        <v>0.37502411834065819</v>
      </c>
    </row>
    <row r="2147" spans="1:15" ht="20.100000000000001" customHeight="1" x14ac:dyDescent="0.25">
      <c r="A2147" s="33">
        <v>535</v>
      </c>
      <c r="B2147" s="9">
        <v>44729</v>
      </c>
      <c r="C2147" s="18" t="s">
        <v>77</v>
      </c>
      <c r="D2147" s="3">
        <v>4800</v>
      </c>
      <c r="E2147" s="9">
        <v>44742</v>
      </c>
      <c r="F2147" s="15" t="s">
        <v>28</v>
      </c>
      <c r="G2147" s="12">
        <v>44729</v>
      </c>
      <c r="H2147" s="23">
        <f>D2147</f>
        <v>4800</v>
      </c>
      <c r="I2147" s="23"/>
      <c r="J2147" s="23"/>
      <c r="K2147" s="24"/>
      <c r="L2147" s="23">
        <v>3282</v>
      </c>
      <c r="M2147" s="22">
        <f t="shared" si="253"/>
        <v>1518</v>
      </c>
      <c r="N2147" s="22"/>
      <c r="O2147" s="30">
        <f t="shared" si="254"/>
        <v>0.31624999999999998</v>
      </c>
    </row>
    <row r="2148" spans="1:15" ht="20.100000000000001" customHeight="1" x14ac:dyDescent="0.25">
      <c r="A2148" s="33">
        <v>587</v>
      </c>
      <c r="B2148" s="9">
        <v>44742</v>
      </c>
      <c r="C2148" s="18" t="s">
        <v>404</v>
      </c>
      <c r="D2148" s="3">
        <v>5260</v>
      </c>
      <c r="E2148" s="9">
        <v>44742</v>
      </c>
      <c r="F2148" s="15" t="s">
        <v>28</v>
      </c>
      <c r="G2148" s="12">
        <v>44743</v>
      </c>
      <c r="H2148" s="23">
        <f>D2148</f>
        <v>5260</v>
      </c>
      <c r="I2148" s="23"/>
      <c r="J2148" s="23"/>
      <c r="K2148" s="24"/>
      <c r="L2148" s="23">
        <v>3364</v>
      </c>
      <c r="M2148" s="22">
        <f t="shared" si="253"/>
        <v>1896</v>
      </c>
      <c r="N2148" s="22"/>
      <c r="O2148" s="30">
        <f t="shared" si="254"/>
        <v>0.36045627376425854</v>
      </c>
    </row>
    <row r="2149" spans="1:15" ht="20.100000000000001" customHeight="1" x14ac:dyDescent="0.25">
      <c r="A2149" s="33">
        <v>513</v>
      </c>
      <c r="B2149" s="9">
        <v>44726</v>
      </c>
      <c r="C2149" s="18" t="s">
        <v>520</v>
      </c>
      <c r="D2149" s="3">
        <v>559450</v>
      </c>
      <c r="E2149" s="9">
        <v>44742</v>
      </c>
      <c r="F2149" s="15" t="s">
        <v>28</v>
      </c>
      <c r="G2149" s="12">
        <v>44733</v>
      </c>
      <c r="H2149" s="23">
        <v>279725</v>
      </c>
      <c r="I2149" s="23"/>
      <c r="J2149" s="23"/>
      <c r="K2149" s="24"/>
      <c r="L2149" s="23">
        <f>312980/2</f>
        <v>156490</v>
      </c>
      <c r="M2149" s="22">
        <f t="shared" si="253"/>
        <v>123235</v>
      </c>
      <c r="N2149" s="22"/>
      <c r="O2149" s="30">
        <f t="shared" si="254"/>
        <v>0.44055769058897132</v>
      </c>
    </row>
    <row r="2150" spans="1:15" ht="20.100000000000001" customHeight="1" x14ac:dyDescent="0.25">
      <c r="A2150" s="35" t="s">
        <v>535</v>
      </c>
      <c r="B2150" s="36"/>
      <c r="C2150" s="42"/>
      <c r="D2150" s="37"/>
      <c r="E2150" s="46" t="s">
        <v>604</v>
      </c>
      <c r="F2150" s="47">
        <f>M2150*0.17+N2150*0.06</f>
        <v>102140.352</v>
      </c>
      <c r="G2150" s="21">
        <f>H2150*0.05+I2150*0.02</f>
        <v>68291.930000000008</v>
      </c>
      <c r="H2150" s="49">
        <f>SUBTOTAL(109,Июнь2022[Продажа])</f>
        <v>1365838.6</v>
      </c>
      <c r="I2150" s="49">
        <f>SUBTOTAL(109,Июнь2022[Продажа НК])</f>
        <v>0</v>
      </c>
      <c r="J2150" s="49">
        <f>SUBTOTAL(109,Июнь2022[отк])</f>
        <v>0</v>
      </c>
      <c r="K2150" s="49">
        <f>SUBTOTAL(109,Июнь2022[шланги])</f>
        <v>7200</v>
      </c>
      <c r="L2150" s="49">
        <f>SUBTOTAL(109,Июнь2022[Закупка])</f>
        <v>757813</v>
      </c>
      <c r="M2150" s="49">
        <f>SUBTOTAL(109,Июнь2022[Маржа])</f>
        <v>600825.59999999998</v>
      </c>
      <c r="N2150" s="49">
        <f>SUBTOTAL(109,Июнь2022[Маржа НК])</f>
        <v>0</v>
      </c>
      <c r="O2150" s="44">
        <f t="shared" si="254"/>
        <v>0.43989502127118091</v>
      </c>
    </row>
    <row r="2151" spans="1:15" ht="19.5" customHeight="1" x14ac:dyDescent="0.25">
      <c r="A2151" s="41" t="s">
        <v>1</v>
      </c>
      <c r="B2151" s="1" t="s">
        <v>0</v>
      </c>
      <c r="C2151" s="1" t="s">
        <v>26</v>
      </c>
      <c r="D2151" s="1" t="s">
        <v>2</v>
      </c>
      <c r="E2151" s="1" t="s">
        <v>3</v>
      </c>
      <c r="F2151" s="1" t="s">
        <v>27</v>
      </c>
      <c r="G2151" s="1" t="s">
        <v>4</v>
      </c>
      <c r="H2151" s="2" t="s">
        <v>132</v>
      </c>
      <c r="I2151" s="2" t="s">
        <v>133</v>
      </c>
      <c r="J2151" s="40" t="s">
        <v>187</v>
      </c>
      <c r="K2151" s="40" t="s">
        <v>188</v>
      </c>
      <c r="L2151" s="40" t="s">
        <v>129</v>
      </c>
      <c r="M2151" s="40" t="s">
        <v>130</v>
      </c>
      <c r="N2151" s="2" t="s">
        <v>131</v>
      </c>
      <c r="O2151" s="2" t="s">
        <v>134</v>
      </c>
    </row>
    <row r="2152" spans="1:15" ht="20.100000000000001" customHeight="1" x14ac:dyDescent="0.25">
      <c r="A2152" s="33">
        <v>594</v>
      </c>
      <c r="B2152" s="9">
        <v>44743</v>
      </c>
      <c r="C2152" s="18" t="s">
        <v>521</v>
      </c>
      <c r="D2152" s="3">
        <v>8000</v>
      </c>
      <c r="E2152" s="9">
        <v>44743</v>
      </c>
      <c r="F2152" s="15" t="s">
        <v>28</v>
      </c>
      <c r="G2152" s="12">
        <v>44743</v>
      </c>
      <c r="H2152" s="23">
        <f t="shared" ref="H2152:H2165" si="255">D2152</f>
        <v>8000</v>
      </c>
      <c r="I2152" s="23"/>
      <c r="J2152" s="23"/>
      <c r="K2152" s="24">
        <v>600</v>
      </c>
      <c r="L2152" s="23">
        <v>2616</v>
      </c>
      <c r="M2152" s="22">
        <f t="shared" ref="M2152:M2165" si="256">H2152-L2152-J2152-K2152</f>
        <v>4784</v>
      </c>
      <c r="N2152" s="22"/>
      <c r="O2152" s="30">
        <f t="shared" ref="O2152:O2166" si="257">M2152/H2152</f>
        <v>0.59799999999999998</v>
      </c>
    </row>
    <row r="2153" spans="1:15" ht="19.5" customHeight="1" x14ac:dyDescent="0.25">
      <c r="A2153" s="33">
        <v>580</v>
      </c>
      <c r="B2153" s="9">
        <v>44740</v>
      </c>
      <c r="C2153" s="18" t="s">
        <v>270</v>
      </c>
      <c r="D2153" s="3">
        <v>5310</v>
      </c>
      <c r="E2153" s="9">
        <v>44743</v>
      </c>
      <c r="F2153" s="15" t="s">
        <v>28</v>
      </c>
      <c r="G2153" s="12">
        <v>44743</v>
      </c>
      <c r="H2153" s="23">
        <f t="shared" si="255"/>
        <v>5310</v>
      </c>
      <c r="I2153" s="23"/>
      <c r="J2153" s="23"/>
      <c r="K2153" s="24"/>
      <c r="L2153" s="23">
        <f>H2153</f>
        <v>5310</v>
      </c>
      <c r="M2153" s="22">
        <f t="shared" si="256"/>
        <v>0</v>
      </c>
      <c r="N2153" s="22"/>
      <c r="O2153" s="30">
        <f t="shared" si="257"/>
        <v>0</v>
      </c>
    </row>
    <row r="2154" spans="1:15" ht="19.5" customHeight="1" x14ac:dyDescent="0.25">
      <c r="A2154" s="33">
        <v>509</v>
      </c>
      <c r="B2154" s="9">
        <v>44722</v>
      </c>
      <c r="C2154" s="18" t="s">
        <v>275</v>
      </c>
      <c r="D2154" s="3">
        <v>171290</v>
      </c>
      <c r="E2154" s="9">
        <v>44746</v>
      </c>
      <c r="F2154" s="15" t="s">
        <v>28</v>
      </c>
      <c r="G2154" s="12">
        <v>44732</v>
      </c>
      <c r="H2154" s="23">
        <f t="shared" si="255"/>
        <v>171290</v>
      </c>
      <c r="I2154" s="23"/>
      <c r="J2154" s="23"/>
      <c r="K2154" s="24"/>
      <c r="L2154" s="23">
        <v>160000</v>
      </c>
      <c r="M2154" s="22">
        <f t="shared" si="256"/>
        <v>11290</v>
      </c>
      <c r="N2154" s="22"/>
      <c r="O2154" s="30">
        <f t="shared" si="257"/>
        <v>6.5911611886274743E-2</v>
      </c>
    </row>
    <row r="2155" spans="1:15" ht="15.75" x14ac:dyDescent="0.25">
      <c r="A2155" s="33">
        <v>320</v>
      </c>
      <c r="B2155" s="9">
        <v>44676</v>
      </c>
      <c r="C2155" s="18" t="s">
        <v>99</v>
      </c>
      <c r="D2155" s="3">
        <v>187500</v>
      </c>
      <c r="E2155" s="9">
        <v>44748</v>
      </c>
      <c r="F2155" s="15" t="s">
        <v>28</v>
      </c>
      <c r="G2155" s="12">
        <v>44711</v>
      </c>
      <c r="H2155" s="23">
        <f t="shared" si="255"/>
        <v>187500</v>
      </c>
      <c r="I2155" s="23"/>
      <c r="J2155" s="23">
        <f>3000*15</f>
        <v>45000</v>
      </c>
      <c r="K2155" s="24"/>
      <c r="L2155" s="27">
        <f>30600+15*500</f>
        <v>38100</v>
      </c>
      <c r="M2155" s="22">
        <f t="shared" si="256"/>
        <v>104400</v>
      </c>
      <c r="N2155" s="22"/>
      <c r="O2155" s="30">
        <f t="shared" si="257"/>
        <v>0.55679999999999996</v>
      </c>
    </row>
    <row r="2156" spans="1:15" s="2" customFormat="1" ht="20.100000000000001" customHeight="1" x14ac:dyDescent="0.25">
      <c r="A2156" s="33">
        <v>378</v>
      </c>
      <c r="B2156" s="9">
        <v>44693</v>
      </c>
      <c r="C2156" s="18" t="s">
        <v>99</v>
      </c>
      <c r="D2156" s="3">
        <v>185000</v>
      </c>
      <c r="E2156" s="9">
        <v>44748</v>
      </c>
      <c r="F2156" s="15" t="s">
        <v>28</v>
      </c>
      <c r="G2156" s="12">
        <v>44711</v>
      </c>
      <c r="H2156" s="23">
        <f t="shared" si="255"/>
        <v>185000</v>
      </c>
      <c r="I2156" s="23"/>
      <c r="J2156" s="23">
        <f>3000*12</f>
        <v>36000</v>
      </c>
      <c r="K2156" s="24"/>
      <c r="L2156" s="27">
        <f>27790+12*500</f>
        <v>33790</v>
      </c>
      <c r="M2156" s="22">
        <f t="shared" si="256"/>
        <v>115210</v>
      </c>
      <c r="N2156" s="22"/>
      <c r="O2156" s="30">
        <f t="shared" si="257"/>
        <v>0.62275675675675679</v>
      </c>
    </row>
    <row r="2157" spans="1:15" ht="20.100000000000001" customHeight="1" x14ac:dyDescent="0.25">
      <c r="A2157" s="33">
        <v>392</v>
      </c>
      <c r="B2157" s="9">
        <v>44698</v>
      </c>
      <c r="C2157" s="18" t="s">
        <v>99</v>
      </c>
      <c r="D2157" s="3">
        <v>217500</v>
      </c>
      <c r="E2157" s="9">
        <v>44748</v>
      </c>
      <c r="F2157" s="15" t="s">
        <v>28</v>
      </c>
      <c r="G2157" s="12">
        <v>44711</v>
      </c>
      <c r="H2157" s="23">
        <f t="shared" si="255"/>
        <v>217500</v>
      </c>
      <c r="I2157" s="23"/>
      <c r="J2157" s="23">
        <f>3000*15</f>
        <v>45000</v>
      </c>
      <c r="K2157" s="24"/>
      <c r="L2157" s="27">
        <v>27405</v>
      </c>
      <c r="M2157" s="22">
        <f t="shared" si="256"/>
        <v>145095</v>
      </c>
      <c r="N2157" s="22"/>
      <c r="O2157" s="30">
        <f t="shared" si="257"/>
        <v>0.6671034482758621</v>
      </c>
    </row>
    <row r="2158" spans="1:15" ht="20.100000000000001" customHeight="1" x14ac:dyDescent="0.25">
      <c r="A2158" s="33">
        <v>589</v>
      </c>
      <c r="B2158" s="9">
        <v>44742</v>
      </c>
      <c r="C2158" s="18" t="s">
        <v>453</v>
      </c>
      <c r="D2158" s="3">
        <v>20450</v>
      </c>
      <c r="E2158" s="9">
        <v>44749</v>
      </c>
      <c r="F2158" s="15" t="s">
        <v>28</v>
      </c>
      <c r="G2158" s="12">
        <v>44750</v>
      </c>
      <c r="H2158" s="23">
        <f t="shared" si="255"/>
        <v>20450</v>
      </c>
      <c r="I2158" s="23"/>
      <c r="J2158" s="23"/>
      <c r="K2158" s="24">
        <v>600</v>
      </c>
      <c r="L2158" s="27">
        <v>3922</v>
      </c>
      <c r="M2158" s="22">
        <f t="shared" si="256"/>
        <v>15928</v>
      </c>
      <c r="N2158" s="22"/>
      <c r="O2158" s="30">
        <f t="shared" si="257"/>
        <v>0.77887530562347185</v>
      </c>
    </row>
    <row r="2159" spans="1:15" ht="20.100000000000001" customHeight="1" x14ac:dyDescent="0.25">
      <c r="A2159" s="33">
        <v>637</v>
      </c>
      <c r="B2159" s="9">
        <v>44757</v>
      </c>
      <c r="C2159" s="18" t="s">
        <v>147</v>
      </c>
      <c r="D2159" s="3">
        <v>9600</v>
      </c>
      <c r="E2159" s="9">
        <v>44757</v>
      </c>
      <c r="F2159" s="15" t="s">
        <v>28</v>
      </c>
      <c r="G2159" s="12">
        <v>44760</v>
      </c>
      <c r="H2159" s="23">
        <f t="shared" si="255"/>
        <v>9600</v>
      </c>
      <c r="I2159" s="23"/>
      <c r="J2159" s="23"/>
      <c r="K2159" s="24"/>
      <c r="L2159" s="23">
        <f>936*4</f>
        <v>3744</v>
      </c>
      <c r="M2159" s="22">
        <f t="shared" si="256"/>
        <v>5856</v>
      </c>
      <c r="N2159" s="22"/>
      <c r="O2159" s="30">
        <f t="shared" si="257"/>
        <v>0.61</v>
      </c>
    </row>
    <row r="2160" spans="1:15" ht="20.100000000000001" customHeight="1" x14ac:dyDescent="0.25">
      <c r="A2160" s="33">
        <v>502</v>
      </c>
      <c r="B2160" s="9">
        <v>44720</v>
      </c>
      <c r="C2160" s="18" t="s">
        <v>162</v>
      </c>
      <c r="D2160" s="3">
        <v>104360</v>
      </c>
      <c r="E2160" s="9">
        <v>44761</v>
      </c>
      <c r="F2160" s="15" t="s">
        <v>28</v>
      </c>
      <c r="G2160" s="12">
        <v>44735</v>
      </c>
      <c r="H2160" s="23">
        <f t="shared" si="255"/>
        <v>104360</v>
      </c>
      <c r="I2160" s="23"/>
      <c r="J2160" s="23"/>
      <c r="K2160" s="24">
        <v>600</v>
      </c>
      <c r="L2160" s="23">
        <v>71891</v>
      </c>
      <c r="M2160" s="22">
        <f t="shared" si="256"/>
        <v>31869</v>
      </c>
      <c r="N2160" s="22"/>
      <c r="O2160" s="30">
        <f t="shared" si="257"/>
        <v>0.30537562284400155</v>
      </c>
    </row>
    <row r="2161" spans="1:15" ht="20.100000000000001" customHeight="1" x14ac:dyDescent="0.25">
      <c r="A2161" s="33">
        <v>404</v>
      </c>
      <c r="B2161" s="9">
        <v>44701</v>
      </c>
      <c r="C2161" s="18" t="s">
        <v>166</v>
      </c>
      <c r="D2161" s="3">
        <v>37490</v>
      </c>
      <c r="E2161" s="9">
        <v>44762</v>
      </c>
      <c r="F2161" s="15" t="s">
        <v>28</v>
      </c>
      <c r="G2161" s="12">
        <v>44769</v>
      </c>
      <c r="H2161" s="23">
        <f t="shared" si="255"/>
        <v>37490</v>
      </c>
      <c r="I2161" s="23"/>
      <c r="J2161" s="23"/>
      <c r="K2161" s="24"/>
      <c r="L2161" s="23">
        <f>9920+17456</f>
        <v>27376</v>
      </c>
      <c r="M2161" s="22">
        <f t="shared" si="256"/>
        <v>10114</v>
      </c>
      <c r="N2161" s="22"/>
      <c r="O2161" s="30">
        <f t="shared" si="257"/>
        <v>0.26977860762870098</v>
      </c>
    </row>
    <row r="2162" spans="1:15" ht="20.100000000000001" customHeight="1" x14ac:dyDescent="0.25">
      <c r="A2162" s="33">
        <v>661</v>
      </c>
      <c r="B2162" s="9">
        <v>44763</v>
      </c>
      <c r="C2162" s="18" t="s">
        <v>149</v>
      </c>
      <c r="D2162" s="3">
        <v>10030</v>
      </c>
      <c r="E2162" s="9">
        <v>44764</v>
      </c>
      <c r="F2162" s="15" t="s">
        <v>28</v>
      </c>
      <c r="G2162" s="12">
        <v>44764</v>
      </c>
      <c r="H2162" s="23">
        <f t="shared" si="255"/>
        <v>10030</v>
      </c>
      <c r="I2162" s="23"/>
      <c r="J2162" s="23"/>
      <c r="K2162" s="24"/>
      <c r="L2162" s="23">
        <f>390*4+1338*3</f>
        <v>5574</v>
      </c>
      <c r="M2162" s="22">
        <f t="shared" si="256"/>
        <v>4456</v>
      </c>
      <c r="N2162" s="22"/>
      <c r="O2162" s="30">
        <f t="shared" si="257"/>
        <v>0.44426719840478562</v>
      </c>
    </row>
    <row r="2163" spans="1:15" ht="19.5" customHeight="1" x14ac:dyDescent="0.25">
      <c r="A2163" s="33">
        <v>669</v>
      </c>
      <c r="B2163" s="9">
        <v>44764</v>
      </c>
      <c r="C2163" s="20" t="s">
        <v>522</v>
      </c>
      <c r="D2163" s="3">
        <v>3800</v>
      </c>
      <c r="E2163" s="9">
        <v>44764</v>
      </c>
      <c r="F2163" s="15" t="s">
        <v>28</v>
      </c>
      <c r="G2163" s="12">
        <v>44767</v>
      </c>
      <c r="H2163" s="23">
        <f t="shared" si="255"/>
        <v>3800</v>
      </c>
      <c r="I2163" s="23">
        <f>H2163</f>
        <v>3800</v>
      </c>
      <c r="J2163" s="23"/>
      <c r="K2163" s="24"/>
      <c r="L2163" s="23">
        <v>2964</v>
      </c>
      <c r="M2163" s="22">
        <f t="shared" si="256"/>
        <v>836</v>
      </c>
      <c r="N2163" s="23">
        <f>M2163</f>
        <v>836</v>
      </c>
      <c r="O2163" s="30">
        <f t="shared" si="257"/>
        <v>0.22</v>
      </c>
    </row>
    <row r="2164" spans="1:15" ht="19.5" customHeight="1" x14ac:dyDescent="0.25">
      <c r="A2164" s="33">
        <v>662</v>
      </c>
      <c r="B2164" s="9">
        <v>44763</v>
      </c>
      <c r="C2164" s="18" t="s">
        <v>16</v>
      </c>
      <c r="D2164" s="3">
        <v>43600</v>
      </c>
      <c r="E2164" s="9">
        <v>44764</v>
      </c>
      <c r="F2164" s="15" t="s">
        <v>28</v>
      </c>
      <c r="G2164" s="12">
        <v>44764</v>
      </c>
      <c r="H2164" s="23">
        <f t="shared" si="255"/>
        <v>43600</v>
      </c>
      <c r="I2164" s="23"/>
      <c r="J2164" s="23"/>
      <c r="K2164" s="24"/>
      <c r="L2164" s="23">
        <v>27620</v>
      </c>
      <c r="M2164" s="22">
        <f t="shared" si="256"/>
        <v>15980</v>
      </c>
      <c r="N2164" s="22"/>
      <c r="O2164" s="30">
        <f t="shared" si="257"/>
        <v>0.36651376146788989</v>
      </c>
    </row>
    <row r="2165" spans="1:15" ht="20.100000000000001" customHeight="1" x14ac:dyDescent="0.25">
      <c r="A2165" s="33">
        <v>671</v>
      </c>
      <c r="B2165" s="9">
        <v>44764</v>
      </c>
      <c r="C2165" s="18" t="s">
        <v>16</v>
      </c>
      <c r="D2165" s="3">
        <v>23940</v>
      </c>
      <c r="E2165" s="9">
        <v>44770</v>
      </c>
      <c r="F2165" s="15" t="s">
        <v>28</v>
      </c>
      <c r="G2165" s="12">
        <v>44785</v>
      </c>
      <c r="H2165" s="23">
        <f t="shared" si="255"/>
        <v>23940</v>
      </c>
      <c r="I2165" s="23"/>
      <c r="J2165" s="23"/>
      <c r="K2165" s="24"/>
      <c r="L2165" s="23">
        <f>9337*2</f>
        <v>18674</v>
      </c>
      <c r="M2165" s="22">
        <f t="shared" si="256"/>
        <v>5266</v>
      </c>
      <c r="N2165" s="22"/>
      <c r="O2165" s="30">
        <f t="shared" si="257"/>
        <v>0.21996658312447787</v>
      </c>
    </row>
    <row r="2166" spans="1:15" ht="20.100000000000001" customHeight="1" x14ac:dyDescent="0.25">
      <c r="A2166" s="35" t="s">
        <v>535</v>
      </c>
      <c r="B2166" s="36"/>
      <c r="C2166" s="42"/>
      <c r="D2166" s="37"/>
      <c r="E2166" s="46" t="s">
        <v>605</v>
      </c>
      <c r="F2166" s="47">
        <f>M2166*0.17+N2166*0.06</f>
        <v>80134.44</v>
      </c>
      <c r="G2166" s="21">
        <f>H2166*0.05+I2166*0.02</f>
        <v>51469.5</v>
      </c>
      <c r="H2166" s="49">
        <f>SUBTOTAL(109,Июль2022[Продажа])</f>
        <v>1027870</v>
      </c>
      <c r="I2166" s="49">
        <f>SUBTOTAL(109,Июль2022[Продажа НК])</f>
        <v>3800</v>
      </c>
      <c r="J2166" s="49">
        <f>SUBTOTAL(109,Июль2022[отк])</f>
        <v>126000</v>
      </c>
      <c r="K2166" s="49">
        <f>SUBTOTAL(109,Июль2022[шланги])</f>
        <v>1800</v>
      </c>
      <c r="L2166" s="49">
        <f>SUBTOTAL(109,Июль2022[Закупка])</f>
        <v>428986</v>
      </c>
      <c r="M2166" s="49">
        <f>SUBTOTAL(109,Июль2022[Маржа])</f>
        <v>471084</v>
      </c>
      <c r="N2166" s="49">
        <f>SUBTOTAL(109,Июль2022[Маржа НК])</f>
        <v>836</v>
      </c>
      <c r="O2166" s="44">
        <f t="shared" si="257"/>
        <v>0.45831087588897429</v>
      </c>
    </row>
    <row r="2167" spans="1:15" ht="20.100000000000001" customHeight="1" x14ac:dyDescent="0.25">
      <c r="A2167" s="41" t="s">
        <v>1</v>
      </c>
      <c r="B2167" s="1" t="s">
        <v>0</v>
      </c>
      <c r="C2167" s="1" t="s">
        <v>26</v>
      </c>
      <c r="D2167" s="1" t="s">
        <v>2</v>
      </c>
      <c r="E2167" s="1" t="s">
        <v>3</v>
      </c>
      <c r="F2167" s="1" t="s">
        <v>27</v>
      </c>
      <c r="G2167" s="1" t="s">
        <v>4</v>
      </c>
      <c r="H2167" s="2" t="s">
        <v>132</v>
      </c>
      <c r="I2167" s="2" t="s">
        <v>133</v>
      </c>
      <c r="J2167" s="40" t="s">
        <v>187</v>
      </c>
      <c r="K2167" s="40" t="s">
        <v>188</v>
      </c>
      <c r="L2167" s="40" t="s">
        <v>129</v>
      </c>
      <c r="M2167" s="40" t="s">
        <v>130</v>
      </c>
      <c r="N2167" s="2" t="s">
        <v>131</v>
      </c>
      <c r="O2167" s="2" t="s">
        <v>134</v>
      </c>
    </row>
    <row r="2168" spans="1:15" ht="20.100000000000001" customHeight="1" x14ac:dyDescent="0.25">
      <c r="A2168" s="33">
        <v>551</v>
      </c>
      <c r="B2168" s="9">
        <v>44733</v>
      </c>
      <c r="C2168" s="18" t="s">
        <v>275</v>
      </c>
      <c r="D2168" s="3">
        <v>2500</v>
      </c>
      <c r="E2168" s="9">
        <v>44774</v>
      </c>
      <c r="F2168" s="15" t="s">
        <v>28</v>
      </c>
      <c r="G2168" s="12">
        <v>44741</v>
      </c>
      <c r="H2168" s="23">
        <f t="shared" ref="H2168:H2175" si="258">D2168</f>
        <v>2500</v>
      </c>
      <c r="I2168" s="23"/>
      <c r="J2168" s="23"/>
      <c r="K2168" s="24"/>
      <c r="L2168" s="23">
        <v>1391</v>
      </c>
      <c r="M2168" s="22">
        <f t="shared" ref="M2168:M2196" si="259">H2168-L2168-J2168-K2168</f>
        <v>1109</v>
      </c>
      <c r="N2168" s="22"/>
      <c r="O2168" s="30">
        <f t="shared" ref="O2168:O2197" si="260">M2168/H2168</f>
        <v>0.44359999999999999</v>
      </c>
    </row>
    <row r="2169" spans="1:15" ht="19.5" customHeight="1" x14ac:dyDescent="0.25">
      <c r="A2169" s="33">
        <v>712</v>
      </c>
      <c r="B2169" s="9">
        <v>44775</v>
      </c>
      <c r="C2169" s="18" t="s">
        <v>14</v>
      </c>
      <c r="D2169" s="3">
        <v>9860</v>
      </c>
      <c r="E2169" s="9">
        <v>44775</v>
      </c>
      <c r="F2169" s="15" t="s">
        <v>28</v>
      </c>
      <c r="G2169" s="12">
        <v>44776</v>
      </c>
      <c r="H2169" s="23">
        <f t="shared" si="258"/>
        <v>9860</v>
      </c>
      <c r="I2169" s="23"/>
      <c r="J2169" s="23"/>
      <c r="K2169" s="24"/>
      <c r="L2169" s="23">
        <f>4053.13*2</f>
        <v>8106.26</v>
      </c>
      <c r="M2169" s="22">
        <f t="shared" si="259"/>
        <v>1753.7399999999998</v>
      </c>
      <c r="N2169" s="22"/>
      <c r="O2169" s="30">
        <f t="shared" si="260"/>
        <v>0.17786409736308315</v>
      </c>
    </row>
    <row r="2170" spans="1:15" ht="15.75" x14ac:dyDescent="0.25">
      <c r="A2170" s="33">
        <v>713</v>
      </c>
      <c r="B2170" s="9">
        <v>44775</v>
      </c>
      <c r="C2170" s="18" t="s">
        <v>14</v>
      </c>
      <c r="D2170" s="3">
        <v>2180</v>
      </c>
      <c r="E2170" s="9">
        <v>44775</v>
      </c>
      <c r="F2170" s="15" t="s">
        <v>28</v>
      </c>
      <c r="G2170" s="12">
        <v>44776</v>
      </c>
      <c r="H2170" s="23">
        <f t="shared" si="258"/>
        <v>2180</v>
      </c>
      <c r="I2170" s="23"/>
      <c r="J2170" s="23"/>
      <c r="K2170" s="24"/>
      <c r="L2170" s="23">
        <f>951*2</f>
        <v>1902</v>
      </c>
      <c r="M2170" s="22">
        <f t="shared" si="259"/>
        <v>278</v>
      </c>
      <c r="N2170" s="22"/>
      <c r="O2170" s="30">
        <f t="shared" si="260"/>
        <v>0.12752293577981652</v>
      </c>
    </row>
    <row r="2171" spans="1:15" s="2" customFormat="1" ht="20.100000000000001" customHeight="1" x14ac:dyDescent="0.25">
      <c r="A2171" s="33">
        <v>715</v>
      </c>
      <c r="B2171" s="9">
        <v>44775</v>
      </c>
      <c r="C2171" s="18" t="s">
        <v>77</v>
      </c>
      <c r="D2171" s="3">
        <v>7200</v>
      </c>
      <c r="E2171" s="9">
        <v>44777</v>
      </c>
      <c r="F2171" s="15" t="s">
        <v>28</v>
      </c>
      <c r="G2171" s="12">
        <v>44778</v>
      </c>
      <c r="H2171" s="23">
        <f t="shared" si="258"/>
        <v>7200</v>
      </c>
      <c r="I2171" s="23"/>
      <c r="J2171" s="23"/>
      <c r="K2171" s="24"/>
      <c r="L2171" s="23">
        <f>1641*3</f>
        <v>4923</v>
      </c>
      <c r="M2171" s="22">
        <f t="shared" si="259"/>
        <v>2277</v>
      </c>
      <c r="N2171" s="22"/>
      <c r="O2171" s="30">
        <f t="shared" si="260"/>
        <v>0.31624999999999998</v>
      </c>
    </row>
    <row r="2172" spans="1:15" ht="20.100000000000001" customHeight="1" x14ac:dyDescent="0.25">
      <c r="A2172" s="33">
        <v>723</v>
      </c>
      <c r="B2172" s="9">
        <v>44776</v>
      </c>
      <c r="C2172" s="18" t="s">
        <v>523</v>
      </c>
      <c r="D2172" s="3">
        <v>4930</v>
      </c>
      <c r="E2172" s="9">
        <v>44781</v>
      </c>
      <c r="F2172" s="15" t="s">
        <v>28</v>
      </c>
      <c r="G2172" s="12">
        <v>44782</v>
      </c>
      <c r="H2172" s="23">
        <f t="shared" si="258"/>
        <v>4930</v>
      </c>
      <c r="I2172" s="23"/>
      <c r="J2172" s="23"/>
      <c r="K2172" s="24"/>
      <c r="L2172" s="23">
        <v>4286</v>
      </c>
      <c r="M2172" s="22">
        <f t="shared" si="259"/>
        <v>644</v>
      </c>
      <c r="N2172" s="22"/>
      <c r="O2172" s="30">
        <f t="shared" si="260"/>
        <v>0.1306288032454361</v>
      </c>
    </row>
    <row r="2173" spans="1:15" ht="20.100000000000001" customHeight="1" x14ac:dyDescent="0.25">
      <c r="A2173" s="33">
        <v>668</v>
      </c>
      <c r="B2173" s="9">
        <v>44734</v>
      </c>
      <c r="C2173" s="18" t="s">
        <v>13</v>
      </c>
      <c r="D2173" s="3">
        <v>26750</v>
      </c>
      <c r="E2173" s="9">
        <v>44781</v>
      </c>
      <c r="F2173" s="15" t="s">
        <v>28</v>
      </c>
      <c r="G2173" s="12">
        <v>44764</v>
      </c>
      <c r="H2173" s="23">
        <f t="shared" si="258"/>
        <v>26750</v>
      </c>
      <c r="I2173" s="23"/>
      <c r="J2173" s="23"/>
      <c r="K2173" s="24"/>
      <c r="L2173" s="23">
        <v>17915</v>
      </c>
      <c r="M2173" s="22">
        <f t="shared" si="259"/>
        <v>8835</v>
      </c>
      <c r="N2173" s="22"/>
      <c r="O2173" s="30">
        <f t="shared" si="260"/>
        <v>0.33028037383177572</v>
      </c>
    </row>
    <row r="2174" spans="1:15" ht="20.100000000000001" customHeight="1" x14ac:dyDescent="0.25">
      <c r="A2174" s="33">
        <v>1314</v>
      </c>
      <c r="B2174" s="9">
        <v>44923</v>
      </c>
      <c r="C2174" s="18" t="s">
        <v>13</v>
      </c>
      <c r="D2174" s="3">
        <v>310040</v>
      </c>
      <c r="E2174" s="9">
        <v>44781</v>
      </c>
      <c r="F2174" s="15" t="s">
        <v>28</v>
      </c>
      <c r="G2174" s="12">
        <v>44764</v>
      </c>
      <c r="H2174" s="23">
        <v>13995</v>
      </c>
      <c r="I2174" s="23"/>
      <c r="J2174" s="23"/>
      <c r="K2174" s="24"/>
      <c r="L2174" s="23">
        <v>11715</v>
      </c>
      <c r="M2174" s="22">
        <f t="shared" si="259"/>
        <v>2280</v>
      </c>
      <c r="N2174" s="22"/>
      <c r="O2174" s="30">
        <f t="shared" si="260"/>
        <v>0.16291532690246516</v>
      </c>
    </row>
    <row r="2175" spans="1:15" ht="20.100000000000001" customHeight="1" x14ac:dyDescent="0.25">
      <c r="A2175" s="33">
        <v>738</v>
      </c>
      <c r="B2175" s="9">
        <v>44781</v>
      </c>
      <c r="C2175" s="18" t="s">
        <v>404</v>
      </c>
      <c r="D2175" s="3">
        <v>10520</v>
      </c>
      <c r="E2175" s="9">
        <v>44781</v>
      </c>
      <c r="F2175" s="15" t="s">
        <v>28</v>
      </c>
      <c r="G2175" s="12">
        <v>44782</v>
      </c>
      <c r="H2175" s="23">
        <f t="shared" si="258"/>
        <v>10520</v>
      </c>
      <c r="I2175" s="23"/>
      <c r="J2175" s="23"/>
      <c r="K2175" s="24"/>
      <c r="L2175" s="23">
        <f>1753*4</f>
        <v>7012</v>
      </c>
      <c r="M2175" s="22">
        <f t="shared" si="259"/>
        <v>3508</v>
      </c>
      <c r="N2175" s="22"/>
      <c r="O2175" s="30">
        <f t="shared" si="260"/>
        <v>0.33346007604562738</v>
      </c>
    </row>
    <row r="2176" spans="1:15" ht="20.100000000000001" customHeight="1" x14ac:dyDescent="0.25">
      <c r="A2176" s="33">
        <v>729</v>
      </c>
      <c r="B2176" s="9">
        <v>44777</v>
      </c>
      <c r="C2176" s="18" t="s">
        <v>520</v>
      </c>
      <c r="D2176" s="3">
        <v>700701</v>
      </c>
      <c r="E2176" s="9">
        <v>44784</v>
      </c>
      <c r="F2176" s="15" t="s">
        <v>28</v>
      </c>
      <c r="G2176" s="12">
        <v>44788</v>
      </c>
      <c r="H2176" s="23">
        <f>D2176/2</f>
        <v>350350.5</v>
      </c>
      <c r="I2176" s="23"/>
      <c r="J2176" s="23"/>
      <c r="K2176" s="24"/>
      <c r="L2176" s="23">
        <v>208525</v>
      </c>
      <c r="M2176" s="22">
        <f t="shared" si="259"/>
        <v>141825.5</v>
      </c>
      <c r="N2176" s="22"/>
      <c r="O2176" s="30">
        <f t="shared" si="260"/>
        <v>0.40481032565958947</v>
      </c>
    </row>
    <row r="2177" spans="1:15" ht="20.100000000000001" customHeight="1" x14ac:dyDescent="0.25">
      <c r="A2177" s="33">
        <v>757</v>
      </c>
      <c r="B2177" s="9">
        <v>44785</v>
      </c>
      <c r="C2177" s="20" t="s">
        <v>524</v>
      </c>
      <c r="D2177" s="3">
        <v>77890</v>
      </c>
      <c r="E2177" s="9">
        <v>44788</v>
      </c>
      <c r="F2177" s="15" t="s">
        <v>28</v>
      </c>
      <c r="G2177" s="12">
        <v>44790</v>
      </c>
      <c r="H2177" s="23">
        <f>D2177</f>
        <v>77890</v>
      </c>
      <c r="I2177" s="23">
        <f>H2177</f>
        <v>77890</v>
      </c>
      <c r="J2177" s="23"/>
      <c r="K2177" s="24"/>
      <c r="L2177" s="23">
        <v>57638</v>
      </c>
      <c r="M2177" s="22">
        <f t="shared" si="259"/>
        <v>20252</v>
      </c>
      <c r="N2177" s="23">
        <f>M2177</f>
        <v>20252</v>
      </c>
      <c r="O2177" s="30">
        <f t="shared" si="260"/>
        <v>0.2600077031711388</v>
      </c>
    </row>
    <row r="2178" spans="1:15" ht="20.100000000000001" customHeight="1" x14ac:dyDescent="0.25">
      <c r="A2178" s="33">
        <v>778</v>
      </c>
      <c r="B2178" s="9">
        <v>44790</v>
      </c>
      <c r="C2178" s="18" t="s">
        <v>470</v>
      </c>
      <c r="D2178" s="3">
        <v>16070</v>
      </c>
      <c r="E2178" s="9">
        <v>44790</v>
      </c>
      <c r="F2178" s="15" t="s">
        <v>28</v>
      </c>
      <c r="G2178" s="12">
        <v>44797</v>
      </c>
      <c r="H2178" s="23">
        <f>D2178</f>
        <v>16070</v>
      </c>
      <c r="I2178" s="23"/>
      <c r="J2178" s="23"/>
      <c r="K2178" s="24"/>
      <c r="L2178" s="23">
        <f>3900+3525+1209</f>
        <v>8634</v>
      </c>
      <c r="M2178" s="22">
        <f t="shared" si="259"/>
        <v>7436</v>
      </c>
      <c r="N2178" s="22"/>
      <c r="O2178" s="30">
        <f t="shared" si="260"/>
        <v>0.46272557560672062</v>
      </c>
    </row>
    <row r="2179" spans="1:15" ht="20.100000000000001" customHeight="1" x14ac:dyDescent="0.25">
      <c r="A2179" s="33">
        <v>781</v>
      </c>
      <c r="B2179" s="9">
        <v>44790</v>
      </c>
      <c r="C2179" s="18" t="s">
        <v>372</v>
      </c>
      <c r="D2179" s="3">
        <v>8100</v>
      </c>
      <c r="E2179" s="9">
        <v>44791</v>
      </c>
      <c r="F2179" s="15" t="s">
        <v>28</v>
      </c>
      <c r="G2179" s="12">
        <v>44792</v>
      </c>
      <c r="H2179" s="23">
        <f>D2179</f>
        <v>8100</v>
      </c>
      <c r="I2179" s="23"/>
      <c r="J2179" s="23"/>
      <c r="K2179" s="24"/>
      <c r="L2179" s="23">
        <f>3179.19*2</f>
        <v>6358.38</v>
      </c>
      <c r="M2179" s="22">
        <f t="shared" si="259"/>
        <v>1741.62</v>
      </c>
      <c r="N2179" s="22"/>
      <c r="O2179" s="30">
        <f t="shared" si="260"/>
        <v>0.2150148148148148</v>
      </c>
    </row>
    <row r="2180" spans="1:15" ht="20.100000000000001" customHeight="1" x14ac:dyDescent="0.25">
      <c r="A2180" s="33">
        <v>729</v>
      </c>
      <c r="B2180" s="9">
        <v>44777</v>
      </c>
      <c r="C2180" s="18" t="s">
        <v>520</v>
      </c>
      <c r="D2180" s="3">
        <v>700701</v>
      </c>
      <c r="E2180" s="9">
        <v>44791</v>
      </c>
      <c r="F2180" s="15" t="s">
        <v>28</v>
      </c>
      <c r="G2180" s="12">
        <v>44788</v>
      </c>
      <c r="H2180" s="23">
        <f>D2180/2</f>
        <v>350350.5</v>
      </c>
      <c r="I2180" s="23"/>
      <c r="J2180" s="23"/>
      <c r="K2180" s="24"/>
      <c r="L2180" s="23">
        <v>208523</v>
      </c>
      <c r="M2180" s="22">
        <f t="shared" si="259"/>
        <v>141827.5</v>
      </c>
      <c r="N2180" s="22"/>
      <c r="O2180" s="30">
        <f t="shared" si="260"/>
        <v>0.40481603422857965</v>
      </c>
    </row>
    <row r="2181" spans="1:15" ht="20.100000000000001" customHeight="1" x14ac:dyDescent="0.25">
      <c r="A2181" s="33">
        <v>776</v>
      </c>
      <c r="B2181" s="9">
        <v>44790</v>
      </c>
      <c r="C2181" s="18" t="s">
        <v>149</v>
      </c>
      <c r="D2181" s="3">
        <v>4520</v>
      </c>
      <c r="E2181" s="9">
        <v>44792</v>
      </c>
      <c r="F2181" s="15" t="s">
        <v>28</v>
      </c>
      <c r="G2181" s="12">
        <v>44795</v>
      </c>
      <c r="H2181" s="23">
        <f t="shared" ref="H2181:H2188" si="261">D2181</f>
        <v>4520</v>
      </c>
      <c r="I2181" s="23"/>
      <c r="J2181" s="23"/>
      <c r="K2181" s="24"/>
      <c r="L2181" s="23">
        <v>3525</v>
      </c>
      <c r="M2181" s="22">
        <f t="shared" si="259"/>
        <v>995</v>
      </c>
      <c r="N2181" s="22"/>
      <c r="O2181" s="30">
        <f t="shared" si="260"/>
        <v>0.22013274336283187</v>
      </c>
    </row>
    <row r="2182" spans="1:15" ht="20.100000000000001" customHeight="1" x14ac:dyDescent="0.25">
      <c r="A2182" s="33">
        <v>777</v>
      </c>
      <c r="B2182" s="9">
        <v>44790</v>
      </c>
      <c r="C2182" s="18" t="s">
        <v>69</v>
      </c>
      <c r="D2182" s="3">
        <v>22380</v>
      </c>
      <c r="E2182" s="9">
        <v>44792</v>
      </c>
      <c r="F2182" s="15" t="s">
        <v>28</v>
      </c>
      <c r="G2182" s="12">
        <v>44824</v>
      </c>
      <c r="H2182" s="23">
        <f t="shared" si="261"/>
        <v>22380</v>
      </c>
      <c r="I2182" s="23"/>
      <c r="J2182" s="23"/>
      <c r="K2182" s="24"/>
      <c r="L2182" s="23">
        <v>17456</v>
      </c>
      <c r="M2182" s="22">
        <f t="shared" si="259"/>
        <v>4924</v>
      </c>
      <c r="N2182" s="22"/>
      <c r="O2182" s="30">
        <f t="shared" si="260"/>
        <v>0.22001787310098303</v>
      </c>
    </row>
    <row r="2183" spans="1:15" ht="20.100000000000001" customHeight="1" x14ac:dyDescent="0.25">
      <c r="A2183" s="33">
        <v>779</v>
      </c>
      <c r="B2183" s="9">
        <v>44790</v>
      </c>
      <c r="C2183" s="20" t="s">
        <v>524</v>
      </c>
      <c r="D2183" s="3">
        <v>3590</v>
      </c>
      <c r="E2183" s="9">
        <v>44792</v>
      </c>
      <c r="F2183" s="15" t="s">
        <v>28</v>
      </c>
      <c r="G2183" s="12">
        <v>44798</v>
      </c>
      <c r="H2183" s="23">
        <f t="shared" si="261"/>
        <v>3590</v>
      </c>
      <c r="I2183" s="23">
        <f>H2183</f>
        <v>3590</v>
      </c>
      <c r="J2183" s="23"/>
      <c r="K2183" s="24"/>
      <c r="L2183" s="23">
        <v>2524.5</v>
      </c>
      <c r="M2183" s="22">
        <f t="shared" si="259"/>
        <v>1065.5</v>
      </c>
      <c r="N2183" s="23">
        <f>M2183</f>
        <v>1065.5</v>
      </c>
      <c r="O2183" s="30">
        <f t="shared" si="260"/>
        <v>0.29679665738161559</v>
      </c>
    </row>
    <row r="2184" spans="1:15" ht="20.100000000000001" customHeight="1" x14ac:dyDescent="0.25">
      <c r="A2184" s="33">
        <v>773</v>
      </c>
      <c r="B2184" s="9">
        <v>44790</v>
      </c>
      <c r="C2184" s="18" t="s">
        <v>515</v>
      </c>
      <c r="D2184" s="3">
        <v>15400</v>
      </c>
      <c r="E2184" s="9">
        <v>44796</v>
      </c>
      <c r="F2184" s="15" t="s">
        <v>28</v>
      </c>
      <c r="G2184" s="12">
        <v>44837</v>
      </c>
      <c r="H2184" s="23">
        <f t="shared" si="261"/>
        <v>15400</v>
      </c>
      <c r="I2184" s="23"/>
      <c r="J2184" s="23"/>
      <c r="K2184" s="24"/>
      <c r="L2184" s="23">
        <f>6775*2</f>
        <v>13550</v>
      </c>
      <c r="M2184" s="22">
        <f t="shared" si="259"/>
        <v>1850</v>
      </c>
      <c r="N2184" s="22"/>
      <c r="O2184" s="30">
        <f t="shared" si="260"/>
        <v>0.12012987012987013</v>
      </c>
    </row>
    <row r="2185" spans="1:15" ht="20.100000000000001" customHeight="1" x14ac:dyDescent="0.25">
      <c r="A2185" s="33">
        <v>667</v>
      </c>
      <c r="B2185" s="9">
        <v>44796</v>
      </c>
      <c r="C2185" s="18" t="s">
        <v>525</v>
      </c>
      <c r="D2185" s="3">
        <v>367686</v>
      </c>
      <c r="E2185" s="9">
        <v>44796</v>
      </c>
      <c r="F2185" s="15" t="s">
        <v>28</v>
      </c>
      <c r="G2185" s="12">
        <v>44845</v>
      </c>
      <c r="H2185" s="23">
        <f t="shared" si="261"/>
        <v>367686</v>
      </c>
      <c r="I2185" s="23"/>
      <c r="J2185" s="23"/>
      <c r="K2185" s="24"/>
      <c r="L2185" s="23">
        <v>268407</v>
      </c>
      <c r="M2185" s="22">
        <f t="shared" si="259"/>
        <v>99279</v>
      </c>
      <c r="N2185" s="22"/>
      <c r="O2185" s="30">
        <f t="shared" si="260"/>
        <v>0.27001028051108827</v>
      </c>
    </row>
    <row r="2186" spans="1:15" ht="20.100000000000001" customHeight="1" x14ac:dyDescent="0.25">
      <c r="A2186" s="33">
        <v>792</v>
      </c>
      <c r="B2186" s="9">
        <v>44795</v>
      </c>
      <c r="C2186" s="18" t="s">
        <v>396</v>
      </c>
      <c r="D2186" s="3">
        <v>18790</v>
      </c>
      <c r="E2186" s="9">
        <v>44797</v>
      </c>
      <c r="F2186" s="15" t="s">
        <v>28</v>
      </c>
      <c r="G2186" s="12">
        <v>44823</v>
      </c>
      <c r="H2186" s="23">
        <f t="shared" si="261"/>
        <v>18790</v>
      </c>
      <c r="I2186" s="23"/>
      <c r="J2186" s="23"/>
      <c r="K2186" s="24"/>
      <c r="L2186" s="23">
        <v>13810</v>
      </c>
      <c r="M2186" s="22">
        <f t="shared" si="259"/>
        <v>4980</v>
      </c>
      <c r="N2186" s="22"/>
      <c r="O2186" s="30">
        <f t="shared" si="260"/>
        <v>0.26503459286854708</v>
      </c>
    </row>
    <row r="2187" spans="1:15" ht="20.100000000000001" customHeight="1" x14ac:dyDescent="0.25">
      <c r="A2187" s="33">
        <v>793</v>
      </c>
      <c r="B2187" s="9">
        <v>44795</v>
      </c>
      <c r="C2187" s="18" t="s">
        <v>287</v>
      </c>
      <c r="D2187" s="3">
        <v>1000</v>
      </c>
      <c r="E2187" s="9">
        <v>44797</v>
      </c>
      <c r="F2187" s="15" t="s">
        <v>28</v>
      </c>
      <c r="G2187" s="12">
        <v>44798</v>
      </c>
      <c r="H2187" s="23">
        <f t="shared" si="261"/>
        <v>1000</v>
      </c>
      <c r="I2187" s="23"/>
      <c r="J2187" s="23"/>
      <c r="K2187" s="24"/>
      <c r="L2187" s="23">
        <v>390</v>
      </c>
      <c r="M2187" s="22">
        <f t="shared" si="259"/>
        <v>610</v>
      </c>
      <c r="N2187" s="22"/>
      <c r="O2187" s="30">
        <f t="shared" si="260"/>
        <v>0.61</v>
      </c>
    </row>
    <row r="2188" spans="1:15" ht="20.100000000000001" customHeight="1" x14ac:dyDescent="0.25">
      <c r="A2188" s="33">
        <v>686</v>
      </c>
      <c r="B2188" s="9">
        <v>44782</v>
      </c>
      <c r="C2188" s="26" t="s">
        <v>11</v>
      </c>
      <c r="D2188" s="3">
        <v>1038</v>
      </c>
      <c r="E2188" s="9">
        <v>44798</v>
      </c>
      <c r="F2188" s="15" t="s">
        <v>28</v>
      </c>
      <c r="G2188" s="12">
        <v>44790</v>
      </c>
      <c r="H2188" s="23">
        <f t="shared" si="261"/>
        <v>1038</v>
      </c>
      <c r="I2188" s="23"/>
      <c r="J2188" s="23"/>
      <c r="K2188" s="24"/>
      <c r="L2188" s="23">
        <v>749</v>
      </c>
      <c r="M2188" s="22">
        <f t="shared" si="259"/>
        <v>289</v>
      </c>
      <c r="N2188" s="22"/>
      <c r="O2188" s="30">
        <f t="shared" si="260"/>
        <v>0.27842003853564545</v>
      </c>
    </row>
    <row r="2189" spans="1:15" ht="20.100000000000001" customHeight="1" x14ac:dyDescent="0.25">
      <c r="A2189" s="33">
        <v>776</v>
      </c>
      <c r="B2189" s="9">
        <v>44790</v>
      </c>
      <c r="C2189" s="18" t="s">
        <v>149</v>
      </c>
      <c r="D2189" s="3">
        <v>950</v>
      </c>
      <c r="E2189" s="9">
        <v>44798</v>
      </c>
      <c r="F2189" s="15" t="s">
        <v>28</v>
      </c>
      <c r="G2189" s="12">
        <v>44795</v>
      </c>
      <c r="H2189" s="23">
        <f t="shared" ref="H2189:H2194" si="262">D2189</f>
        <v>950</v>
      </c>
      <c r="I2189" s="23"/>
      <c r="J2189" s="23"/>
      <c r="K2189" s="24"/>
      <c r="L2189" s="23">
        <v>120</v>
      </c>
      <c r="M2189" s="22">
        <f t="shared" si="259"/>
        <v>830</v>
      </c>
      <c r="N2189" s="22"/>
      <c r="O2189" s="30">
        <f t="shared" si="260"/>
        <v>0.87368421052631584</v>
      </c>
    </row>
    <row r="2190" spans="1:15" ht="20.100000000000001" customHeight="1" x14ac:dyDescent="0.25">
      <c r="A2190" s="33">
        <v>799</v>
      </c>
      <c r="B2190" s="9">
        <v>44796</v>
      </c>
      <c r="C2190" s="18" t="s">
        <v>372</v>
      </c>
      <c r="D2190" s="3">
        <v>3630</v>
      </c>
      <c r="E2190" s="9">
        <v>44798</v>
      </c>
      <c r="F2190" s="15" t="s">
        <v>28</v>
      </c>
      <c r="G2190" s="12">
        <v>44824</v>
      </c>
      <c r="H2190" s="23">
        <f t="shared" si="262"/>
        <v>3630</v>
      </c>
      <c r="I2190" s="23"/>
      <c r="J2190" s="23"/>
      <c r="K2190" s="24"/>
      <c r="L2190" s="23">
        <v>2831</v>
      </c>
      <c r="M2190" s="22">
        <f t="shared" si="259"/>
        <v>799</v>
      </c>
      <c r="N2190" s="22"/>
      <c r="O2190" s="30">
        <f t="shared" si="260"/>
        <v>0.22011019283746555</v>
      </c>
    </row>
    <row r="2191" spans="1:15" ht="20.100000000000001" customHeight="1" x14ac:dyDescent="0.25">
      <c r="A2191" s="33">
        <v>795</v>
      </c>
      <c r="B2191" s="9">
        <v>44795</v>
      </c>
      <c r="C2191" s="18" t="s">
        <v>520</v>
      </c>
      <c r="D2191" s="3">
        <v>44600</v>
      </c>
      <c r="E2191" s="9">
        <v>44798</v>
      </c>
      <c r="F2191" s="15" t="s">
        <v>28</v>
      </c>
      <c r="G2191" s="12">
        <v>44825</v>
      </c>
      <c r="H2191" s="23">
        <f t="shared" si="262"/>
        <v>44600</v>
      </c>
      <c r="I2191" s="23"/>
      <c r="J2191" s="23"/>
      <c r="K2191" s="24"/>
      <c r="L2191" s="23">
        <f>8697*4</f>
        <v>34788</v>
      </c>
      <c r="M2191" s="22">
        <f t="shared" si="259"/>
        <v>9812</v>
      </c>
      <c r="N2191" s="22"/>
      <c r="O2191" s="30">
        <f t="shared" si="260"/>
        <v>0.22</v>
      </c>
    </row>
    <row r="2192" spans="1:15" ht="20.100000000000001" customHeight="1" x14ac:dyDescent="0.25">
      <c r="A2192" s="33">
        <v>788</v>
      </c>
      <c r="B2192" s="9">
        <v>44795</v>
      </c>
      <c r="C2192" s="18" t="s">
        <v>186</v>
      </c>
      <c r="D2192" s="3">
        <v>6560</v>
      </c>
      <c r="E2192" s="9">
        <v>44799</v>
      </c>
      <c r="F2192" s="15" t="s">
        <v>28</v>
      </c>
      <c r="G2192" s="12">
        <v>44810</v>
      </c>
      <c r="H2192" s="23">
        <f t="shared" si="262"/>
        <v>6560</v>
      </c>
      <c r="I2192" s="23"/>
      <c r="J2192" s="23"/>
      <c r="K2192" s="24"/>
      <c r="L2192" s="23">
        <f>H2192</f>
        <v>6560</v>
      </c>
      <c r="M2192" s="22">
        <f t="shared" si="259"/>
        <v>0</v>
      </c>
      <c r="N2192" s="22"/>
      <c r="O2192" s="30">
        <f t="shared" si="260"/>
        <v>0</v>
      </c>
    </row>
    <row r="2193" spans="1:15" ht="20.100000000000001" customHeight="1" x14ac:dyDescent="0.25">
      <c r="A2193" s="33">
        <v>391</v>
      </c>
      <c r="B2193" s="4">
        <v>44698</v>
      </c>
      <c r="C2193" s="18" t="s">
        <v>56</v>
      </c>
      <c r="D2193" s="3">
        <v>79620</v>
      </c>
      <c r="E2193" s="9">
        <v>44799</v>
      </c>
      <c r="F2193" s="15" t="s">
        <v>28</v>
      </c>
      <c r="G2193" s="12">
        <v>44768</v>
      </c>
      <c r="H2193" s="23">
        <f t="shared" si="262"/>
        <v>79620</v>
      </c>
      <c r="I2193" s="23"/>
      <c r="J2193" s="23"/>
      <c r="K2193" s="24"/>
      <c r="L2193" s="23">
        <v>39817.54</v>
      </c>
      <c r="M2193" s="22">
        <f t="shared" si="259"/>
        <v>39802.46</v>
      </c>
      <c r="N2193" s="22"/>
      <c r="O2193" s="30">
        <f t="shared" si="260"/>
        <v>0.49990530017583523</v>
      </c>
    </row>
    <row r="2194" spans="1:15" ht="20.100000000000001" customHeight="1" x14ac:dyDescent="0.25">
      <c r="A2194" s="33">
        <v>532</v>
      </c>
      <c r="B2194" s="4">
        <v>44729</v>
      </c>
      <c r="C2194" s="18" t="s">
        <v>56</v>
      </c>
      <c r="D2194" s="3">
        <v>81940</v>
      </c>
      <c r="E2194" s="9">
        <v>44799</v>
      </c>
      <c r="F2194" s="15" t="s">
        <v>28</v>
      </c>
      <c r="G2194" s="12">
        <v>44768</v>
      </c>
      <c r="H2194" s="23">
        <f t="shared" si="262"/>
        <v>81940</v>
      </c>
      <c r="I2194" s="23"/>
      <c r="J2194" s="23"/>
      <c r="K2194" s="24">
        <v>1200</v>
      </c>
      <c r="L2194" s="23">
        <v>39366.639999999999</v>
      </c>
      <c r="M2194" s="22">
        <f t="shared" si="259"/>
        <v>41373.360000000001</v>
      </c>
      <c r="N2194" s="22"/>
      <c r="O2194" s="30">
        <f t="shared" si="260"/>
        <v>0.50492262631193552</v>
      </c>
    </row>
    <row r="2195" spans="1:15" ht="20.100000000000001" customHeight="1" x14ac:dyDescent="0.25">
      <c r="A2195" s="33">
        <v>650</v>
      </c>
      <c r="B2195" s="4">
        <v>44761</v>
      </c>
      <c r="C2195" s="18" t="s">
        <v>56</v>
      </c>
      <c r="D2195" s="3">
        <v>6970</v>
      </c>
      <c r="E2195" s="9">
        <v>44799</v>
      </c>
      <c r="F2195" s="15" t="s">
        <v>28</v>
      </c>
      <c r="G2195" s="12">
        <v>44768</v>
      </c>
      <c r="H2195" s="23">
        <f>D2195</f>
        <v>6970</v>
      </c>
      <c r="I2195" s="23"/>
      <c r="J2195" s="23"/>
      <c r="K2195" s="24"/>
      <c r="L2195" s="23">
        <v>5026.3999999999996</v>
      </c>
      <c r="M2195" s="22">
        <f t="shared" si="259"/>
        <v>1943.6000000000004</v>
      </c>
      <c r="N2195" s="22"/>
      <c r="O2195" s="30">
        <f t="shared" si="260"/>
        <v>0.27885222381635588</v>
      </c>
    </row>
    <row r="2196" spans="1:15" ht="20.100000000000001" customHeight="1" x14ac:dyDescent="0.25">
      <c r="A2196" s="33">
        <v>764</v>
      </c>
      <c r="B2196" s="9">
        <v>44788</v>
      </c>
      <c r="C2196" s="18" t="s">
        <v>60</v>
      </c>
      <c r="D2196" s="3">
        <v>14700</v>
      </c>
      <c r="E2196" s="9">
        <v>44803</v>
      </c>
      <c r="F2196" s="15" t="s">
        <v>28</v>
      </c>
      <c r="G2196" s="12">
        <v>44789</v>
      </c>
      <c r="H2196" s="23">
        <f>D2196</f>
        <v>14700</v>
      </c>
      <c r="I2196" s="23"/>
      <c r="J2196" s="23"/>
      <c r="K2196" s="24"/>
      <c r="L2196" s="23">
        <f>1692*6</f>
        <v>10152</v>
      </c>
      <c r="M2196" s="22">
        <f t="shared" si="259"/>
        <v>4548</v>
      </c>
      <c r="N2196" s="22"/>
      <c r="O2196" s="30">
        <f t="shared" si="260"/>
        <v>0.30938775510204081</v>
      </c>
    </row>
    <row r="2197" spans="1:15" ht="19.5" customHeight="1" x14ac:dyDescent="0.25">
      <c r="A2197" s="35" t="s">
        <v>535</v>
      </c>
      <c r="B2197" s="36"/>
      <c r="C2197" s="42"/>
      <c r="D2197" s="37"/>
      <c r="E2197" s="46">
        <f>75000+19246</f>
        <v>94246</v>
      </c>
      <c r="F2197" s="47">
        <f>M2197*0.17+N2197*0.06</f>
        <v>94246.65760000002</v>
      </c>
      <c r="G2197" s="21">
        <f>H2197*0.05+I2197*0.02</f>
        <v>79333.100000000006</v>
      </c>
      <c r="H2197" s="49">
        <f>SUBTOTAL(109,Август2022[Продажа])</f>
        <v>1554070</v>
      </c>
      <c r="I2197" s="49">
        <f>SUBTOTAL(109,Август2022[Продажа НК])</f>
        <v>81480</v>
      </c>
      <c r="J2197" s="49">
        <f>SUBTOTAL(109,Август2022[отк])</f>
        <v>0</v>
      </c>
      <c r="K2197" s="49">
        <f>SUBTOTAL(109,Август2022[шланги])</f>
        <v>1200</v>
      </c>
      <c r="L2197" s="49">
        <f>SUBTOTAL(109,Август2022[Закупка])</f>
        <v>1006001.7200000001</v>
      </c>
      <c r="M2197" s="49">
        <f>SUBTOTAL(109,Август2022[Маржа])</f>
        <v>546868.28</v>
      </c>
      <c r="N2197" s="49">
        <f>SUBTOTAL(109,Август2022[Маржа НК])</f>
        <v>21317.5</v>
      </c>
      <c r="O2197" s="44">
        <f t="shared" si="260"/>
        <v>0.35189423899824335</v>
      </c>
    </row>
    <row r="2198" spans="1:15" ht="20.100000000000001" customHeight="1" x14ac:dyDescent="0.25">
      <c r="A2198" s="41" t="s">
        <v>1</v>
      </c>
      <c r="B2198" s="1" t="s">
        <v>0</v>
      </c>
      <c r="C2198" s="1" t="s">
        <v>26</v>
      </c>
      <c r="D2198" s="1" t="s">
        <v>2</v>
      </c>
      <c r="E2198" s="1" t="s">
        <v>3</v>
      </c>
      <c r="F2198" s="1" t="s">
        <v>27</v>
      </c>
      <c r="G2198" s="1" t="s">
        <v>4</v>
      </c>
      <c r="H2198" s="2" t="s">
        <v>132</v>
      </c>
      <c r="I2198" s="2" t="s">
        <v>133</v>
      </c>
      <c r="J2198" s="40" t="s">
        <v>187</v>
      </c>
      <c r="K2198" s="40" t="s">
        <v>188</v>
      </c>
      <c r="L2198" s="40" t="s">
        <v>129</v>
      </c>
      <c r="M2198" s="40" t="s">
        <v>130</v>
      </c>
      <c r="N2198" s="2" t="s">
        <v>131</v>
      </c>
      <c r="O2198" s="2" t="s">
        <v>134</v>
      </c>
    </row>
    <row r="2199" spans="1:15" ht="19.5" customHeight="1" x14ac:dyDescent="0.25">
      <c r="A2199" s="33">
        <v>821</v>
      </c>
      <c r="B2199" s="9">
        <v>44802</v>
      </c>
      <c r="C2199" s="18" t="s">
        <v>33</v>
      </c>
      <c r="D2199" s="3">
        <v>8720</v>
      </c>
      <c r="E2199" s="9">
        <v>44805</v>
      </c>
      <c r="F2199" s="15" t="s">
        <v>28</v>
      </c>
      <c r="G2199" s="12">
        <v>44810</v>
      </c>
      <c r="H2199" s="23">
        <f t="shared" ref="H2199:H2207" si="263">D2199</f>
        <v>8720</v>
      </c>
      <c r="I2199" s="23"/>
      <c r="J2199" s="23"/>
      <c r="K2199" s="24"/>
      <c r="L2199" s="23">
        <v>6605.82</v>
      </c>
      <c r="M2199" s="22">
        <f t="shared" ref="M2199:M2207" si="264">H2199-L2199-J2199-K2199</f>
        <v>2114.1800000000003</v>
      </c>
      <c r="N2199" s="22"/>
      <c r="O2199" s="30">
        <f t="shared" ref="O2199:O2207" si="265">M2199/H2199</f>
        <v>0.24245183486238536</v>
      </c>
    </row>
    <row r="2200" spans="1:15" ht="19.5" customHeight="1" x14ac:dyDescent="0.25">
      <c r="A2200" s="33">
        <v>824</v>
      </c>
      <c r="B2200" s="9">
        <v>44803</v>
      </c>
      <c r="C2200" s="18" t="s">
        <v>481</v>
      </c>
      <c r="D2200" s="3">
        <v>7000</v>
      </c>
      <c r="E2200" s="9">
        <v>44806</v>
      </c>
      <c r="F2200" s="15" t="s">
        <v>28</v>
      </c>
      <c r="G2200" s="12">
        <v>44809</v>
      </c>
      <c r="H2200" s="23">
        <f t="shared" si="263"/>
        <v>7000</v>
      </c>
      <c r="I2200" s="23"/>
      <c r="J2200" s="23"/>
      <c r="K2200" s="24">
        <v>600</v>
      </c>
      <c r="L2200" s="23">
        <v>2022</v>
      </c>
      <c r="M2200" s="22">
        <f t="shared" si="264"/>
        <v>4378</v>
      </c>
      <c r="N2200" s="22"/>
      <c r="O2200" s="30">
        <f t="shared" si="265"/>
        <v>0.62542857142857144</v>
      </c>
    </row>
    <row r="2201" spans="1:15" ht="19.5" customHeight="1" x14ac:dyDescent="0.25">
      <c r="A2201" s="33">
        <v>831</v>
      </c>
      <c r="B2201" s="9">
        <v>44805</v>
      </c>
      <c r="C2201" s="18" t="s">
        <v>435</v>
      </c>
      <c r="D2201" s="3">
        <v>5190</v>
      </c>
      <c r="E2201" s="9">
        <v>44809</v>
      </c>
      <c r="F2201" s="15" t="s">
        <v>28</v>
      </c>
      <c r="G2201" s="12">
        <v>44827</v>
      </c>
      <c r="H2201" s="23">
        <f t="shared" si="263"/>
        <v>5190</v>
      </c>
      <c r="I2201" s="23"/>
      <c r="J2201" s="23"/>
      <c r="K2201" s="24"/>
      <c r="L2201" s="23">
        <v>2558.7199999999998</v>
      </c>
      <c r="M2201" s="22">
        <f t="shared" si="264"/>
        <v>2631.28</v>
      </c>
      <c r="N2201" s="22"/>
      <c r="O2201" s="30">
        <f t="shared" si="265"/>
        <v>0.50699036608863202</v>
      </c>
    </row>
    <row r="2202" spans="1:15" ht="19.5" customHeight="1" x14ac:dyDescent="0.25">
      <c r="A2202" s="33">
        <v>828</v>
      </c>
      <c r="B2202" s="9">
        <v>44804</v>
      </c>
      <c r="C2202" s="18" t="s">
        <v>403</v>
      </c>
      <c r="D2202" s="3">
        <v>9840</v>
      </c>
      <c r="E2202" s="9">
        <v>44809</v>
      </c>
      <c r="F2202" s="15" t="s">
        <v>28</v>
      </c>
      <c r="G2202" s="12">
        <v>44804</v>
      </c>
      <c r="H2202" s="23">
        <f t="shared" si="263"/>
        <v>9840</v>
      </c>
      <c r="I2202" s="23"/>
      <c r="J2202" s="23"/>
      <c r="K2202" s="24"/>
      <c r="L2202" s="23">
        <f>4820*2</f>
        <v>9640</v>
      </c>
      <c r="M2202" s="22">
        <f t="shared" si="264"/>
        <v>200</v>
      </c>
      <c r="N2202" s="22"/>
      <c r="O2202" s="30">
        <f t="shared" si="265"/>
        <v>2.032520325203252E-2</v>
      </c>
    </row>
    <row r="2203" spans="1:15" ht="19.5" customHeight="1" x14ac:dyDescent="0.25">
      <c r="A2203" s="33">
        <v>790</v>
      </c>
      <c r="B2203" s="9">
        <v>44795</v>
      </c>
      <c r="C2203" s="18" t="s">
        <v>526</v>
      </c>
      <c r="D2203" s="3">
        <v>17150</v>
      </c>
      <c r="E2203" s="9">
        <v>44810</v>
      </c>
      <c r="F2203" s="15" t="s">
        <v>28</v>
      </c>
      <c r="G2203" s="12">
        <v>44811</v>
      </c>
      <c r="H2203" s="23">
        <f t="shared" si="263"/>
        <v>17150</v>
      </c>
      <c r="I2203" s="23"/>
      <c r="J2203" s="23"/>
      <c r="K2203" s="24"/>
      <c r="L2203" s="23">
        <v>13992</v>
      </c>
      <c r="M2203" s="22">
        <f t="shared" si="264"/>
        <v>3158</v>
      </c>
      <c r="N2203" s="22"/>
      <c r="O2203" s="30">
        <f t="shared" si="265"/>
        <v>0.18413994169096209</v>
      </c>
    </row>
    <row r="2204" spans="1:15" ht="19.5" customHeight="1" x14ac:dyDescent="0.25">
      <c r="A2204" s="33">
        <v>832</v>
      </c>
      <c r="B2204" s="9">
        <v>44805</v>
      </c>
      <c r="C2204" s="20" t="s">
        <v>527</v>
      </c>
      <c r="D2204" s="3">
        <v>4030</v>
      </c>
      <c r="E2204" s="9">
        <v>44811</v>
      </c>
      <c r="F2204" s="15" t="s">
        <v>28</v>
      </c>
      <c r="G2204" s="12">
        <v>44805</v>
      </c>
      <c r="H2204" s="23">
        <f t="shared" si="263"/>
        <v>4030</v>
      </c>
      <c r="I2204" s="23">
        <f>H2204</f>
        <v>4030</v>
      </c>
      <c r="J2204" s="23"/>
      <c r="K2204" s="24"/>
      <c r="L2204" s="23">
        <v>2009.15</v>
      </c>
      <c r="M2204" s="22">
        <f t="shared" si="264"/>
        <v>2020.85</v>
      </c>
      <c r="N2204" s="23">
        <f>M2204</f>
        <v>2020.85</v>
      </c>
      <c r="O2204" s="30">
        <f t="shared" si="265"/>
        <v>0.50145161290322582</v>
      </c>
    </row>
    <row r="2205" spans="1:15" ht="20.100000000000001" customHeight="1" x14ac:dyDescent="0.25">
      <c r="A2205" s="33">
        <v>703</v>
      </c>
      <c r="B2205" s="9">
        <v>44774</v>
      </c>
      <c r="C2205" s="18" t="s">
        <v>60</v>
      </c>
      <c r="D2205" s="3">
        <v>69370</v>
      </c>
      <c r="E2205" s="9">
        <v>44811</v>
      </c>
      <c r="F2205" s="15" t="s">
        <v>28</v>
      </c>
      <c r="G2205" s="12">
        <v>44797</v>
      </c>
      <c r="H2205" s="23">
        <f t="shared" si="263"/>
        <v>69370</v>
      </c>
      <c r="I2205" s="23"/>
      <c r="J2205" s="23"/>
      <c r="K2205" s="24"/>
      <c r="L2205" s="23">
        <v>51673</v>
      </c>
      <c r="M2205" s="22">
        <f t="shared" si="264"/>
        <v>17697</v>
      </c>
      <c r="N2205" s="22"/>
      <c r="O2205" s="30">
        <f t="shared" si="265"/>
        <v>0.25511027821824994</v>
      </c>
    </row>
    <row r="2206" spans="1:15" ht="20.100000000000001" customHeight="1" x14ac:dyDescent="0.25">
      <c r="A2206" s="33">
        <v>829</v>
      </c>
      <c r="B2206" s="9">
        <v>44804</v>
      </c>
      <c r="C2206" s="18" t="s">
        <v>377</v>
      </c>
      <c r="D2206" s="3">
        <v>60020</v>
      </c>
      <c r="E2206" s="9">
        <v>44812</v>
      </c>
      <c r="F2206" s="15" t="s">
        <v>28</v>
      </c>
      <c r="G2206" s="12">
        <v>44824</v>
      </c>
      <c r="H2206" s="23">
        <f t="shared" si="263"/>
        <v>60020</v>
      </c>
      <c r="I2206" s="23"/>
      <c r="J2206" s="23"/>
      <c r="K2206" s="24"/>
      <c r="L2206" s="23">
        <v>39813</v>
      </c>
      <c r="M2206" s="22">
        <f t="shared" si="264"/>
        <v>20207</v>
      </c>
      <c r="N2206" s="22"/>
      <c r="O2206" s="30">
        <f t="shared" si="265"/>
        <v>0.33667110963012331</v>
      </c>
    </row>
    <row r="2207" spans="1:15" ht="20.100000000000001" customHeight="1" x14ac:dyDescent="0.25">
      <c r="A2207" s="33">
        <v>626</v>
      </c>
      <c r="B2207" s="4">
        <v>44755</v>
      </c>
      <c r="C2207" s="18" t="s">
        <v>56</v>
      </c>
      <c r="D2207" s="3">
        <v>84950</v>
      </c>
      <c r="E2207" s="9">
        <v>44813</v>
      </c>
      <c r="F2207" s="15" t="s">
        <v>28</v>
      </c>
      <c r="G2207" s="12">
        <v>44784</v>
      </c>
      <c r="H2207" s="23">
        <f t="shared" si="263"/>
        <v>84950</v>
      </c>
      <c r="I2207" s="23"/>
      <c r="J2207" s="23"/>
      <c r="K2207" s="24">
        <v>2400</v>
      </c>
      <c r="L2207" s="23">
        <v>33738.74</v>
      </c>
      <c r="M2207" s="22">
        <f t="shared" si="264"/>
        <v>48811.26</v>
      </c>
      <c r="N2207" s="22"/>
      <c r="O2207" s="30">
        <f t="shared" si="265"/>
        <v>0.57458811065332549</v>
      </c>
    </row>
    <row r="2208" spans="1:15" ht="20.100000000000001" customHeight="1" x14ac:dyDescent="0.25">
      <c r="A2208" s="33">
        <v>443</v>
      </c>
      <c r="B2208" s="9">
        <v>44774</v>
      </c>
      <c r="C2208" s="18" t="s">
        <v>275</v>
      </c>
      <c r="D2208" s="3">
        <v>399886</v>
      </c>
      <c r="E2208" s="9">
        <v>44818</v>
      </c>
      <c r="F2208" s="15" t="s">
        <v>28</v>
      </c>
      <c r="G2208" s="12">
        <v>44785</v>
      </c>
      <c r="H2208" s="23">
        <f>D2208</f>
        <v>399886</v>
      </c>
      <c r="I2208" s="23"/>
      <c r="J2208" s="23"/>
      <c r="K2208" s="24"/>
      <c r="L2208" s="23">
        <v>329747</v>
      </c>
      <c r="M2208" s="22">
        <f>H2208-L2208-J2208-K2208</f>
        <v>70139</v>
      </c>
      <c r="N2208" s="22"/>
      <c r="O2208" s="30">
        <f t="shared" ref="O2208:O2213" si="266">M2208/H2208</f>
        <v>0.17539748828416099</v>
      </c>
    </row>
    <row r="2209" spans="1:15" ht="20.100000000000001" customHeight="1" x14ac:dyDescent="0.25">
      <c r="A2209" s="33">
        <v>635</v>
      </c>
      <c r="B2209" s="9">
        <v>44757</v>
      </c>
      <c r="C2209" s="18" t="s">
        <v>275</v>
      </c>
      <c r="D2209" s="3">
        <v>13170</v>
      </c>
      <c r="E2209" s="9">
        <v>44818</v>
      </c>
      <c r="F2209" s="15" t="s">
        <v>28</v>
      </c>
      <c r="G2209" s="12">
        <v>44785</v>
      </c>
      <c r="H2209" s="23">
        <f>D2209</f>
        <v>13170</v>
      </c>
      <c r="I2209" s="23"/>
      <c r="J2209" s="23"/>
      <c r="K2209" s="24"/>
      <c r="L2209" s="23">
        <v>3254</v>
      </c>
      <c r="M2209" s="22">
        <f>H2209-L2209-J2209-K2209</f>
        <v>9916</v>
      </c>
      <c r="N2209" s="22"/>
      <c r="O2209" s="30">
        <f t="shared" si="266"/>
        <v>0.75292331055429007</v>
      </c>
    </row>
    <row r="2210" spans="1:15" ht="20.100000000000001" customHeight="1" x14ac:dyDescent="0.25">
      <c r="A2210" s="33">
        <v>807</v>
      </c>
      <c r="B2210" s="9">
        <v>44797</v>
      </c>
      <c r="C2210" s="18" t="s">
        <v>443</v>
      </c>
      <c r="D2210" s="3">
        <v>7480</v>
      </c>
      <c r="E2210" s="9">
        <v>44819</v>
      </c>
      <c r="F2210" s="15" t="s">
        <v>28</v>
      </c>
      <c r="G2210" s="12">
        <v>44867</v>
      </c>
      <c r="H2210" s="23">
        <f>D2210</f>
        <v>7480</v>
      </c>
      <c r="I2210" s="23"/>
      <c r="J2210" s="23"/>
      <c r="K2210" s="24"/>
      <c r="L2210" s="23">
        <v>5864</v>
      </c>
      <c r="M2210" s="22">
        <f>H2210-L2210-J2210-K2210</f>
        <v>1616</v>
      </c>
      <c r="N2210" s="22"/>
      <c r="O2210" s="30">
        <f t="shared" si="266"/>
        <v>0.21604278074866309</v>
      </c>
    </row>
    <row r="2211" spans="1:15" ht="20.100000000000001" customHeight="1" x14ac:dyDescent="0.25">
      <c r="A2211" s="33">
        <v>863</v>
      </c>
      <c r="B2211" s="9">
        <v>44819</v>
      </c>
      <c r="C2211" s="20" t="s">
        <v>528</v>
      </c>
      <c r="D2211" s="3">
        <v>434883</v>
      </c>
      <c r="E2211" s="9">
        <v>44824</v>
      </c>
      <c r="F2211" s="15" t="s">
        <v>28</v>
      </c>
      <c r="G2211" s="12">
        <v>44820</v>
      </c>
      <c r="H2211" s="23">
        <f>D2211/2</f>
        <v>217441.5</v>
      </c>
      <c r="I2211" s="23">
        <f>H2211</f>
        <v>217441.5</v>
      </c>
      <c r="J2211" s="23"/>
      <c r="K2211" s="24"/>
      <c r="L2211" s="23">
        <v>117999</v>
      </c>
      <c r="M2211" s="22">
        <f>H2211-L2211-J2211-K2211</f>
        <v>99442.5</v>
      </c>
      <c r="N2211" s="23">
        <f>M2211</f>
        <v>99442.5</v>
      </c>
      <c r="O2211" s="30">
        <f t="shared" si="266"/>
        <v>0.45732990252550687</v>
      </c>
    </row>
    <row r="2212" spans="1:15" ht="20.100000000000001" customHeight="1" x14ac:dyDescent="0.25">
      <c r="A2212" s="33">
        <v>864</v>
      </c>
      <c r="B2212" s="9">
        <v>44819</v>
      </c>
      <c r="C2212" s="20" t="s">
        <v>528</v>
      </c>
      <c r="D2212" s="3">
        <v>111500</v>
      </c>
      <c r="E2212" s="9">
        <v>44824</v>
      </c>
      <c r="F2212" s="15" t="s">
        <v>28</v>
      </c>
      <c r="G2212" s="12">
        <v>44820</v>
      </c>
      <c r="H2212" s="23">
        <f>D2212/2</f>
        <v>55750</v>
      </c>
      <c r="I2212" s="23">
        <f>H2212</f>
        <v>55750</v>
      </c>
      <c r="J2212" s="23"/>
      <c r="K2212" s="24"/>
      <c r="L2212" s="23">
        <v>43485</v>
      </c>
      <c r="M2212" s="22">
        <f>H2212-L2212-J2212-K2212</f>
        <v>12265</v>
      </c>
      <c r="N2212" s="23">
        <f>M2212</f>
        <v>12265</v>
      </c>
      <c r="O2212" s="30">
        <f t="shared" si="266"/>
        <v>0.22</v>
      </c>
    </row>
    <row r="2213" spans="1:15" ht="20.100000000000001" customHeight="1" x14ac:dyDescent="0.25">
      <c r="A2213" s="35" t="s">
        <v>535</v>
      </c>
      <c r="B2213" s="36"/>
      <c r="C2213" s="42"/>
      <c r="D2213" s="37"/>
      <c r="E2213" s="46" t="s">
        <v>606</v>
      </c>
      <c r="F2213" s="47">
        <f>M2213*0.17+N2213*0.06</f>
        <v>56905.032900000006</v>
      </c>
      <c r="G2213" s="21">
        <f>H2213*0.05+I2213*0.02</f>
        <v>53544.305</v>
      </c>
      <c r="H2213" s="49">
        <f>SUBTOTAL(109,Сентябрь2022[Продажа])</f>
        <v>959997.5</v>
      </c>
      <c r="I2213" s="49">
        <f>SUBTOTAL(109,Сентябрь2022[Продажа НК])</f>
        <v>277221.5</v>
      </c>
      <c r="J2213" s="49">
        <f>SUBTOTAL(109,Сентябрь2022[отк])</f>
        <v>0</v>
      </c>
      <c r="K2213" s="49">
        <f>SUBTOTAL(109,Сентябрь2022[шланги])</f>
        <v>3000</v>
      </c>
      <c r="L2213" s="49">
        <f>SUBTOTAL(109,Сентябрь2022[Закупка])</f>
        <v>662401.42999999993</v>
      </c>
      <c r="M2213" s="49">
        <f>SUBTOTAL(109,Сентябрь2022[Маржа])</f>
        <v>294596.07</v>
      </c>
      <c r="N2213" s="49">
        <f>SUBTOTAL(109,Сентябрь2022[Маржа НК])</f>
        <v>113728.35</v>
      </c>
      <c r="O2213" s="44">
        <f t="shared" si="266"/>
        <v>0.30687170539506614</v>
      </c>
    </row>
    <row r="2214" spans="1:15" ht="20.100000000000001" customHeight="1" x14ac:dyDescent="0.25">
      <c r="A2214" s="41" t="s">
        <v>1</v>
      </c>
      <c r="B2214" s="1" t="s">
        <v>0</v>
      </c>
      <c r="C2214" s="1" t="s">
        <v>26</v>
      </c>
      <c r="D2214" s="1" t="s">
        <v>2</v>
      </c>
      <c r="E2214" s="1" t="s">
        <v>3</v>
      </c>
      <c r="F2214" s="1" t="s">
        <v>27</v>
      </c>
      <c r="G2214" s="1" t="s">
        <v>4</v>
      </c>
      <c r="H2214" s="2" t="s">
        <v>132</v>
      </c>
      <c r="I2214" s="2" t="s">
        <v>133</v>
      </c>
      <c r="J2214" s="40" t="s">
        <v>187</v>
      </c>
      <c r="K2214" s="40" t="s">
        <v>188</v>
      </c>
      <c r="L2214" s="40" t="s">
        <v>129</v>
      </c>
      <c r="M2214" s="40" t="s">
        <v>130</v>
      </c>
      <c r="N2214" s="2" t="s">
        <v>131</v>
      </c>
      <c r="O2214" s="2" t="s">
        <v>134</v>
      </c>
    </row>
    <row r="2215" spans="1:15" ht="20.100000000000001" customHeight="1" x14ac:dyDescent="0.25">
      <c r="A2215" s="33">
        <v>782</v>
      </c>
      <c r="B2215" s="9">
        <v>44790</v>
      </c>
      <c r="C2215" s="18" t="s">
        <v>275</v>
      </c>
      <c r="D2215" s="3">
        <v>15500</v>
      </c>
      <c r="E2215" s="9">
        <v>44837</v>
      </c>
      <c r="F2215" s="15" t="s">
        <v>28</v>
      </c>
      <c r="G2215" s="12">
        <v>44798</v>
      </c>
      <c r="H2215" s="23">
        <f>D2215</f>
        <v>15500</v>
      </c>
      <c r="I2215" s="23"/>
      <c r="J2215" s="23"/>
      <c r="K2215" s="24">
        <v>1200</v>
      </c>
      <c r="L2215" s="23">
        <v>3254</v>
      </c>
      <c r="M2215" s="22">
        <f t="shared" ref="M2215:M2229" si="267">H2215-L2215-J2215-K2215</f>
        <v>11046</v>
      </c>
      <c r="N2215" s="22"/>
      <c r="O2215" s="30">
        <f t="shared" ref="O2215:O2230" si="268">M2215/H2215</f>
        <v>0.71264516129032263</v>
      </c>
    </row>
    <row r="2216" spans="1:15" ht="20.100000000000001" customHeight="1" x14ac:dyDescent="0.25">
      <c r="A2216" s="33">
        <v>904</v>
      </c>
      <c r="B2216" s="9">
        <v>44833</v>
      </c>
      <c r="C2216" s="18" t="s">
        <v>50</v>
      </c>
      <c r="D2216" s="3">
        <v>13120</v>
      </c>
      <c r="E2216" s="9">
        <v>44838</v>
      </c>
      <c r="F2216" s="15" t="s">
        <v>28</v>
      </c>
      <c r="G2216" s="12">
        <v>44841</v>
      </c>
      <c r="H2216" s="23">
        <f>D2216/2</f>
        <v>6560</v>
      </c>
      <c r="I2216" s="23"/>
      <c r="J2216" s="23"/>
      <c r="K2216" s="24"/>
      <c r="L2216" s="23">
        <v>6560</v>
      </c>
      <c r="M2216" s="22">
        <f t="shared" si="267"/>
        <v>0</v>
      </c>
      <c r="N2216" s="22"/>
      <c r="O2216" s="30">
        <f t="shared" si="268"/>
        <v>0</v>
      </c>
    </row>
    <row r="2217" spans="1:15" ht="20.100000000000001" customHeight="1" x14ac:dyDescent="0.25">
      <c r="A2217" s="33">
        <v>817</v>
      </c>
      <c r="B2217" s="4">
        <v>44798</v>
      </c>
      <c r="C2217" s="18" t="s">
        <v>56</v>
      </c>
      <c r="D2217" s="3">
        <v>23990</v>
      </c>
      <c r="E2217" s="9">
        <v>44839</v>
      </c>
      <c r="F2217" s="15" t="s">
        <v>28</v>
      </c>
      <c r="G2217" s="12">
        <v>44810</v>
      </c>
      <c r="H2217" s="23">
        <f t="shared" ref="H2217:H2229" si="269">D2217</f>
        <v>23990</v>
      </c>
      <c r="I2217" s="23"/>
      <c r="J2217" s="23"/>
      <c r="K2217" s="24">
        <v>1200</v>
      </c>
      <c r="L2217" s="23">
        <v>10624.41</v>
      </c>
      <c r="M2217" s="22">
        <f t="shared" si="267"/>
        <v>12165.59</v>
      </c>
      <c r="N2217" s="22"/>
      <c r="O2217" s="30">
        <f t="shared" si="268"/>
        <v>0.50711087953313883</v>
      </c>
    </row>
    <row r="2218" spans="1:15" ht="20.100000000000001" customHeight="1" x14ac:dyDescent="0.25">
      <c r="A2218" s="33">
        <v>920</v>
      </c>
      <c r="B2218" s="4">
        <v>44839</v>
      </c>
      <c r="C2218" s="18" t="s">
        <v>171</v>
      </c>
      <c r="D2218" s="3">
        <v>51990</v>
      </c>
      <c r="E2218" s="9">
        <v>44839</v>
      </c>
      <c r="F2218" s="15" t="s">
        <v>28</v>
      </c>
      <c r="G2218" s="12">
        <v>44846</v>
      </c>
      <c r="H2218" s="23">
        <f t="shared" si="269"/>
        <v>51990</v>
      </c>
      <c r="I2218" s="23"/>
      <c r="J2218" s="23"/>
      <c r="K2218" s="24"/>
      <c r="L2218" s="23">
        <v>33781.33</v>
      </c>
      <c r="M2218" s="22">
        <f t="shared" si="267"/>
        <v>18208.669999999998</v>
      </c>
      <c r="N2218" s="22"/>
      <c r="O2218" s="30">
        <f t="shared" si="268"/>
        <v>0.35023408347759183</v>
      </c>
    </row>
    <row r="2219" spans="1:15" ht="20.100000000000001" customHeight="1" x14ac:dyDescent="0.25">
      <c r="A2219" s="33">
        <v>914</v>
      </c>
      <c r="B2219" s="4">
        <v>44838</v>
      </c>
      <c r="C2219" s="18" t="s">
        <v>403</v>
      </c>
      <c r="D2219" s="3">
        <v>9840</v>
      </c>
      <c r="E2219" s="9">
        <v>44844</v>
      </c>
      <c r="F2219" s="15" t="s">
        <v>28</v>
      </c>
      <c r="G2219" s="12">
        <v>44848</v>
      </c>
      <c r="H2219" s="23">
        <f t="shared" si="269"/>
        <v>9840</v>
      </c>
      <c r="I2219" s="23"/>
      <c r="J2219" s="23"/>
      <c r="K2219" s="24"/>
      <c r="L2219" s="23">
        <f>3994.4*2</f>
        <v>7988.8</v>
      </c>
      <c r="M2219" s="22">
        <f t="shared" si="267"/>
        <v>1851.1999999999998</v>
      </c>
      <c r="N2219" s="22"/>
      <c r="O2219" s="30">
        <f t="shared" si="268"/>
        <v>0.18813008130081299</v>
      </c>
    </row>
    <row r="2220" spans="1:15" ht="20.100000000000001" customHeight="1" x14ac:dyDescent="0.25">
      <c r="A2220" s="33">
        <v>934</v>
      </c>
      <c r="B2220" s="4">
        <v>44845</v>
      </c>
      <c r="C2220" s="18" t="s">
        <v>179</v>
      </c>
      <c r="D2220" s="3">
        <v>10780</v>
      </c>
      <c r="E2220" s="9">
        <v>44846</v>
      </c>
      <c r="F2220" s="15" t="s">
        <v>28</v>
      </c>
      <c r="G2220" s="12">
        <v>44847</v>
      </c>
      <c r="H2220" s="23">
        <f t="shared" si="269"/>
        <v>10780</v>
      </c>
      <c r="I2220" s="23"/>
      <c r="J2220" s="23"/>
      <c r="K2220" s="24"/>
      <c r="L2220" s="23">
        <v>7114</v>
      </c>
      <c r="M2220" s="22">
        <f t="shared" si="267"/>
        <v>3666</v>
      </c>
      <c r="N2220" s="22"/>
      <c r="O2220" s="30">
        <f t="shared" si="268"/>
        <v>0.34007421150278294</v>
      </c>
    </row>
    <row r="2221" spans="1:15" ht="20.100000000000001" customHeight="1" x14ac:dyDescent="0.25">
      <c r="A2221" s="33">
        <v>927</v>
      </c>
      <c r="B2221" s="4">
        <v>44846</v>
      </c>
      <c r="C2221" s="18" t="s">
        <v>410</v>
      </c>
      <c r="D2221" s="3">
        <v>559936</v>
      </c>
      <c r="E2221" s="9">
        <v>44847</v>
      </c>
      <c r="F2221" s="15" t="s">
        <v>28</v>
      </c>
      <c r="G2221" s="12">
        <v>44901</v>
      </c>
      <c r="H2221" s="23">
        <f t="shared" si="269"/>
        <v>559936</v>
      </c>
      <c r="I2221" s="23"/>
      <c r="J2221" s="23"/>
      <c r="K2221" s="24"/>
      <c r="L2221" s="23">
        <v>418773</v>
      </c>
      <c r="M2221" s="22">
        <f t="shared" si="267"/>
        <v>141163</v>
      </c>
      <c r="N2221" s="22"/>
      <c r="O2221" s="30">
        <f t="shared" si="268"/>
        <v>0.25210559778260372</v>
      </c>
    </row>
    <row r="2222" spans="1:15" ht="20.100000000000001" customHeight="1" x14ac:dyDescent="0.25">
      <c r="A2222" s="33">
        <v>916</v>
      </c>
      <c r="B2222" s="9">
        <v>44838</v>
      </c>
      <c r="C2222" s="18" t="s">
        <v>472</v>
      </c>
      <c r="D2222" s="3">
        <v>10000</v>
      </c>
      <c r="E2222" s="9">
        <v>44848</v>
      </c>
      <c r="F2222" s="15" t="s">
        <v>28</v>
      </c>
      <c r="G2222" s="12">
        <v>44846</v>
      </c>
      <c r="H2222" s="23">
        <f t="shared" si="269"/>
        <v>10000</v>
      </c>
      <c r="I2222" s="23"/>
      <c r="J2222" s="23"/>
      <c r="K2222" s="24">
        <v>500</v>
      </c>
      <c r="L2222" s="23">
        <v>3259</v>
      </c>
      <c r="M2222" s="22">
        <f t="shared" si="267"/>
        <v>6241</v>
      </c>
      <c r="N2222" s="22"/>
      <c r="O2222" s="30">
        <f t="shared" si="268"/>
        <v>0.62409999999999999</v>
      </c>
    </row>
    <row r="2223" spans="1:15" ht="20.100000000000001" customHeight="1" x14ac:dyDescent="0.25">
      <c r="A2223" s="33">
        <v>958</v>
      </c>
      <c r="B2223" s="9">
        <v>44848</v>
      </c>
      <c r="C2223" s="20" t="s">
        <v>529</v>
      </c>
      <c r="D2223" s="3">
        <v>29990</v>
      </c>
      <c r="E2223" s="9">
        <v>44848</v>
      </c>
      <c r="F2223" s="15" t="s">
        <v>28</v>
      </c>
      <c r="G2223" s="12">
        <v>44851</v>
      </c>
      <c r="H2223" s="23">
        <f t="shared" si="269"/>
        <v>29990</v>
      </c>
      <c r="I2223" s="23">
        <f>H2223</f>
        <v>29990</v>
      </c>
      <c r="J2223" s="23"/>
      <c r="K2223" s="24"/>
      <c r="L2223" s="23">
        <v>17631</v>
      </c>
      <c r="M2223" s="22">
        <f t="shared" si="267"/>
        <v>12359</v>
      </c>
      <c r="N2223" s="23">
        <f>M2223</f>
        <v>12359</v>
      </c>
      <c r="O2223" s="30">
        <f t="shared" si="268"/>
        <v>0.41210403467822609</v>
      </c>
    </row>
    <row r="2224" spans="1:15" ht="20.100000000000001" customHeight="1" x14ac:dyDescent="0.25">
      <c r="A2224" s="33">
        <v>945</v>
      </c>
      <c r="B2224" s="9">
        <v>44846</v>
      </c>
      <c r="C2224" s="18" t="s">
        <v>258</v>
      </c>
      <c r="D2224" s="3">
        <v>8000</v>
      </c>
      <c r="E2224" s="9">
        <v>44853</v>
      </c>
      <c r="F2224" s="15" t="s">
        <v>28</v>
      </c>
      <c r="G2224" s="12">
        <v>44854</v>
      </c>
      <c r="H2224" s="23">
        <f t="shared" si="269"/>
        <v>8000</v>
      </c>
      <c r="I2224" s="23"/>
      <c r="J2224" s="23"/>
      <c r="K2224" s="24">
        <v>600</v>
      </c>
      <c r="L2224" s="23">
        <v>2434</v>
      </c>
      <c r="M2224" s="22">
        <f t="shared" si="267"/>
        <v>4966</v>
      </c>
      <c r="N2224" s="23"/>
      <c r="O2224" s="30">
        <f t="shared" si="268"/>
        <v>0.62075000000000002</v>
      </c>
    </row>
    <row r="2225" spans="1:15" ht="20.100000000000001" customHeight="1" x14ac:dyDescent="0.25">
      <c r="A2225" s="33">
        <v>904</v>
      </c>
      <c r="B2225" s="9">
        <v>44833</v>
      </c>
      <c r="C2225" s="18" t="s">
        <v>50</v>
      </c>
      <c r="D2225" s="3">
        <v>13120</v>
      </c>
      <c r="E2225" s="9">
        <v>44854</v>
      </c>
      <c r="F2225" s="15" t="s">
        <v>28</v>
      </c>
      <c r="G2225" s="12">
        <v>44858</v>
      </c>
      <c r="H2225" s="23">
        <f>D2225/2</f>
        <v>6560</v>
      </c>
      <c r="I2225" s="23"/>
      <c r="J2225" s="23"/>
      <c r="K2225" s="24"/>
      <c r="L2225" s="23">
        <f>2632.45*2</f>
        <v>5264.9</v>
      </c>
      <c r="M2225" s="22">
        <f t="shared" si="267"/>
        <v>1295.1000000000004</v>
      </c>
      <c r="N2225" s="22"/>
      <c r="O2225" s="30">
        <f t="shared" si="268"/>
        <v>0.19742378048780493</v>
      </c>
    </row>
    <row r="2226" spans="1:15" ht="20.100000000000001" customHeight="1" x14ac:dyDescent="0.25">
      <c r="A2226" s="33">
        <v>973</v>
      </c>
      <c r="B2226" s="9">
        <v>44853</v>
      </c>
      <c r="C2226" s="18" t="s">
        <v>372</v>
      </c>
      <c r="D2226" s="3">
        <v>8100</v>
      </c>
      <c r="E2226" s="9">
        <v>44859</v>
      </c>
      <c r="F2226" s="15" t="s">
        <v>28</v>
      </c>
      <c r="G2226" s="12">
        <v>44860</v>
      </c>
      <c r="H2226" s="23">
        <f t="shared" si="269"/>
        <v>8100</v>
      </c>
      <c r="I2226" s="23"/>
      <c r="J2226" s="23"/>
      <c r="K2226" s="24"/>
      <c r="L2226" s="23">
        <f>3191.62*2</f>
        <v>6383.24</v>
      </c>
      <c r="M2226" s="22">
        <f t="shared" si="267"/>
        <v>1716.7600000000002</v>
      </c>
      <c r="N2226" s="22"/>
      <c r="O2226" s="30">
        <f t="shared" si="268"/>
        <v>0.21194567901234571</v>
      </c>
    </row>
    <row r="2227" spans="1:15" ht="20.100000000000001" customHeight="1" x14ac:dyDescent="0.25">
      <c r="A2227" s="33">
        <v>834</v>
      </c>
      <c r="B2227" s="9">
        <v>44832</v>
      </c>
      <c r="C2227" s="18" t="s">
        <v>99</v>
      </c>
      <c r="D2227" s="3">
        <v>49800</v>
      </c>
      <c r="E2227" s="9">
        <v>44862</v>
      </c>
      <c r="F2227" s="15" t="s">
        <v>28</v>
      </c>
      <c r="G2227" s="12">
        <v>44832</v>
      </c>
      <c r="H2227" s="23">
        <f t="shared" si="269"/>
        <v>49800</v>
      </c>
      <c r="I2227" s="23"/>
      <c r="J2227" s="23"/>
      <c r="K2227" s="24"/>
      <c r="L2227" s="23">
        <v>12312</v>
      </c>
      <c r="M2227" s="22">
        <f t="shared" si="267"/>
        <v>37488</v>
      </c>
      <c r="N2227" s="22"/>
      <c r="O2227" s="30">
        <f t="shared" si="268"/>
        <v>0.75277108433734941</v>
      </c>
    </row>
    <row r="2228" spans="1:15" ht="20.100000000000001" customHeight="1" x14ac:dyDescent="0.25">
      <c r="A2228" s="33">
        <v>987</v>
      </c>
      <c r="B2228" s="9">
        <v>44858</v>
      </c>
      <c r="C2228" s="18" t="s">
        <v>481</v>
      </c>
      <c r="D2228" s="3">
        <v>7950</v>
      </c>
      <c r="E2228" s="9">
        <v>44862</v>
      </c>
      <c r="F2228" s="15" t="s">
        <v>28</v>
      </c>
      <c r="G2228" s="12">
        <v>44873</v>
      </c>
      <c r="H2228" s="23">
        <f>D2228</f>
        <v>7950</v>
      </c>
      <c r="I2228" s="23"/>
      <c r="J2228" s="23"/>
      <c r="K2228" s="24">
        <v>600</v>
      </c>
      <c r="L2228" s="23">
        <v>1846.5</v>
      </c>
      <c r="M2228" s="22">
        <f t="shared" si="267"/>
        <v>5503.5</v>
      </c>
      <c r="N2228" s="22"/>
      <c r="O2228" s="30">
        <f t="shared" si="268"/>
        <v>0.69226415094339622</v>
      </c>
    </row>
    <row r="2229" spans="1:15" ht="20.100000000000001" customHeight="1" x14ac:dyDescent="0.25">
      <c r="A2229" s="33">
        <v>1009</v>
      </c>
      <c r="B2229" s="9">
        <v>44865</v>
      </c>
      <c r="C2229" s="18" t="s">
        <v>124</v>
      </c>
      <c r="D2229" s="3">
        <v>3000</v>
      </c>
      <c r="E2229" s="9">
        <v>44865</v>
      </c>
      <c r="F2229" s="15" t="s">
        <v>28</v>
      </c>
      <c r="G2229" s="12">
        <v>44865</v>
      </c>
      <c r="H2229" s="23">
        <f t="shared" si="269"/>
        <v>3000</v>
      </c>
      <c r="I2229" s="23"/>
      <c r="J2229" s="23"/>
      <c r="K2229" s="24"/>
      <c r="L2229" s="23">
        <v>1560</v>
      </c>
      <c r="M2229" s="22">
        <f t="shared" si="267"/>
        <v>1440</v>
      </c>
      <c r="N2229" s="22"/>
      <c r="O2229" s="30">
        <f t="shared" si="268"/>
        <v>0.48</v>
      </c>
    </row>
    <row r="2230" spans="1:15" ht="20.100000000000001" customHeight="1" x14ac:dyDescent="0.25">
      <c r="A2230" s="35" t="s">
        <v>535</v>
      </c>
      <c r="B2230" s="36"/>
      <c r="C2230" s="42"/>
      <c r="D2230" s="37"/>
      <c r="E2230" s="46" t="s">
        <v>608</v>
      </c>
      <c r="F2230" s="47">
        <f>M2230*0.17+N2230*0.06</f>
        <v>44790.209400000007</v>
      </c>
      <c r="G2230" s="21">
        <f>H2230*0.05+I2230*0.02</f>
        <v>40699.600000000006</v>
      </c>
      <c r="H2230" s="49">
        <f>SUBTOTAL(109,Октябрь2022[Продажа])</f>
        <v>801996</v>
      </c>
      <c r="I2230" s="49">
        <f>SUBTOTAL(109,Октябрь2022[Продажа НК])</f>
        <v>29990</v>
      </c>
      <c r="J2230" s="49">
        <f>SUBTOTAL(109,Октябрь2022[отк])</f>
        <v>0</v>
      </c>
      <c r="K2230" s="49">
        <f>SUBTOTAL(109,Октябрь2022[шланги])</f>
        <v>4100</v>
      </c>
      <c r="L2230" s="49">
        <f>SUBTOTAL(109,Октябрь2022[Закупка])</f>
        <v>538786.18000000005</v>
      </c>
      <c r="M2230" s="49">
        <f>SUBTOTAL(109,Октябрь2022[Маржа])</f>
        <v>259109.82</v>
      </c>
      <c r="N2230" s="49">
        <f>SUBTOTAL(109,Октябрь2022[Маржа НК])</f>
        <v>12359</v>
      </c>
      <c r="O2230" s="44">
        <f t="shared" si="268"/>
        <v>0.32308118743734382</v>
      </c>
    </row>
    <row r="2231" spans="1:15" ht="20.100000000000001" customHeight="1" x14ac:dyDescent="0.25">
      <c r="A2231" s="41" t="s">
        <v>1</v>
      </c>
      <c r="B2231" s="1" t="s">
        <v>0</v>
      </c>
      <c r="C2231" s="1" t="s">
        <v>26</v>
      </c>
      <c r="D2231" s="1" t="s">
        <v>2</v>
      </c>
      <c r="E2231" s="1" t="s">
        <v>3</v>
      </c>
      <c r="F2231" s="1" t="s">
        <v>27</v>
      </c>
      <c r="G2231" s="1" t="s">
        <v>4</v>
      </c>
      <c r="H2231" s="2" t="s">
        <v>132</v>
      </c>
      <c r="I2231" s="2" t="s">
        <v>133</v>
      </c>
      <c r="J2231" s="40" t="s">
        <v>187</v>
      </c>
      <c r="K2231" s="40" t="s">
        <v>188</v>
      </c>
      <c r="L2231" s="40" t="s">
        <v>129</v>
      </c>
      <c r="M2231" s="40" t="s">
        <v>130</v>
      </c>
      <c r="N2231" s="2" t="s">
        <v>131</v>
      </c>
      <c r="O2231" s="2" t="s">
        <v>134</v>
      </c>
    </row>
    <row r="2232" spans="1:15" ht="20.100000000000001" customHeight="1" x14ac:dyDescent="0.25">
      <c r="A2232" s="33">
        <v>1005</v>
      </c>
      <c r="B2232" s="9">
        <v>44862</v>
      </c>
      <c r="C2232" s="18" t="s">
        <v>414</v>
      </c>
      <c r="D2232" s="3">
        <v>8030</v>
      </c>
      <c r="E2232" s="9">
        <v>44866</v>
      </c>
      <c r="F2232" s="15" t="s">
        <v>28</v>
      </c>
      <c r="G2232" s="12">
        <v>44911</v>
      </c>
      <c r="H2232" s="23">
        <f t="shared" ref="H2232:H2245" si="270">D2232</f>
        <v>8030</v>
      </c>
      <c r="I2232" s="23"/>
      <c r="J2232" s="23"/>
      <c r="K2232" s="24"/>
      <c r="L2232" s="23">
        <v>6263</v>
      </c>
      <c r="M2232" s="22">
        <f t="shared" ref="M2232:M2238" si="271">H2232-L2232-J2232-K2232</f>
        <v>1767</v>
      </c>
      <c r="N2232" s="22"/>
      <c r="O2232" s="30">
        <f t="shared" ref="O2232:O2246" si="272">M2232/H2232</f>
        <v>0.22004981320049813</v>
      </c>
    </row>
    <row r="2233" spans="1:15" ht="20.100000000000001" customHeight="1" x14ac:dyDescent="0.25">
      <c r="A2233" s="33">
        <v>988</v>
      </c>
      <c r="B2233" s="9">
        <v>44859</v>
      </c>
      <c r="C2233" s="18" t="s">
        <v>439</v>
      </c>
      <c r="D2233" s="3">
        <v>227</v>
      </c>
      <c r="E2233" s="9">
        <v>44868</v>
      </c>
      <c r="F2233" s="15" t="s">
        <v>28</v>
      </c>
      <c r="G2233" s="32">
        <v>44875</v>
      </c>
      <c r="H2233" s="23">
        <f t="shared" si="270"/>
        <v>227</v>
      </c>
      <c r="I2233" s="23"/>
      <c r="J2233" s="23"/>
      <c r="K2233" s="24"/>
      <c r="L2233" s="23">
        <v>112</v>
      </c>
      <c r="M2233" s="22">
        <f t="shared" si="271"/>
        <v>115</v>
      </c>
      <c r="N2233" s="22"/>
      <c r="O2233" s="30">
        <f t="shared" si="272"/>
        <v>0.50660792951541855</v>
      </c>
    </row>
    <row r="2234" spans="1:15" ht="20.100000000000001" customHeight="1" x14ac:dyDescent="0.25">
      <c r="A2234" s="33">
        <v>1029</v>
      </c>
      <c r="B2234" s="9">
        <v>44873</v>
      </c>
      <c r="C2234" s="18" t="s">
        <v>508</v>
      </c>
      <c r="D2234" s="3">
        <v>35235</v>
      </c>
      <c r="E2234" s="9">
        <v>44873</v>
      </c>
      <c r="F2234" s="15" t="s">
        <v>28</v>
      </c>
      <c r="G2234" s="12">
        <v>44901</v>
      </c>
      <c r="H2234" s="23">
        <f t="shared" si="270"/>
        <v>35235</v>
      </c>
      <c r="I2234" s="23"/>
      <c r="J2234" s="23"/>
      <c r="K2234" s="24"/>
      <c r="L2234" s="23">
        <f>27791+1474</f>
        <v>29265</v>
      </c>
      <c r="M2234" s="22">
        <f t="shared" si="271"/>
        <v>5970</v>
      </c>
      <c r="N2234" s="22"/>
      <c r="O2234" s="30">
        <f t="shared" si="272"/>
        <v>0.16943380161770966</v>
      </c>
    </row>
    <row r="2235" spans="1:15" ht="20.100000000000001" customHeight="1" x14ac:dyDescent="0.25">
      <c r="A2235" s="33">
        <v>899</v>
      </c>
      <c r="B2235" s="4">
        <v>44837</v>
      </c>
      <c r="C2235" s="18" t="s">
        <v>56</v>
      </c>
      <c r="D2235" s="3">
        <v>33940</v>
      </c>
      <c r="E2235" s="4">
        <v>44874</v>
      </c>
      <c r="F2235" s="15" t="s">
        <v>28</v>
      </c>
      <c r="G2235" s="12">
        <v>44846</v>
      </c>
      <c r="H2235" s="23">
        <f t="shared" si="270"/>
        <v>33940</v>
      </c>
      <c r="I2235" s="23"/>
      <c r="J2235" s="23"/>
      <c r="K2235" s="24">
        <v>500</v>
      </c>
      <c r="L2235" s="23">
        <v>16181</v>
      </c>
      <c r="M2235" s="22">
        <f t="shared" si="271"/>
        <v>17259</v>
      </c>
      <c r="N2235" s="22"/>
      <c r="O2235" s="30">
        <f t="shared" si="272"/>
        <v>0.50851502651738367</v>
      </c>
    </row>
    <row r="2236" spans="1:15" ht="20.100000000000001" customHeight="1" x14ac:dyDescent="0.25">
      <c r="A2236" s="33">
        <v>923</v>
      </c>
      <c r="B2236" s="4">
        <v>44840</v>
      </c>
      <c r="C2236" s="18" t="s">
        <v>56</v>
      </c>
      <c r="D2236" s="3">
        <v>15000</v>
      </c>
      <c r="E2236" s="4">
        <v>44874</v>
      </c>
      <c r="F2236" s="15" t="s">
        <v>28</v>
      </c>
      <c r="G2236" s="12">
        <v>44846</v>
      </c>
      <c r="H2236" s="23">
        <f t="shared" si="270"/>
        <v>15000</v>
      </c>
      <c r="I2236" s="23"/>
      <c r="J2236" s="23"/>
      <c r="K2236" s="24">
        <v>500</v>
      </c>
      <c r="L2236" s="23">
        <v>3672</v>
      </c>
      <c r="M2236" s="22">
        <f t="shared" si="271"/>
        <v>10828</v>
      </c>
      <c r="N2236" s="22"/>
      <c r="O2236" s="30">
        <f t="shared" si="272"/>
        <v>0.72186666666666666</v>
      </c>
    </row>
    <row r="2237" spans="1:15" ht="20.100000000000001" customHeight="1" x14ac:dyDescent="0.25">
      <c r="A2237" s="33">
        <v>990</v>
      </c>
      <c r="B2237" s="4">
        <v>44874</v>
      </c>
      <c r="C2237" s="18" t="s">
        <v>270</v>
      </c>
      <c r="D2237" s="3">
        <v>23390</v>
      </c>
      <c r="E2237" s="4">
        <v>44874</v>
      </c>
      <c r="F2237" s="15" t="s">
        <v>28</v>
      </c>
      <c r="G2237" s="12">
        <v>44874</v>
      </c>
      <c r="H2237" s="23">
        <f t="shared" si="270"/>
        <v>23390</v>
      </c>
      <c r="I2237" s="23"/>
      <c r="J2237" s="23"/>
      <c r="K2237" s="24"/>
      <c r="L2237" s="23">
        <v>17583</v>
      </c>
      <c r="M2237" s="22">
        <f t="shared" si="271"/>
        <v>5807</v>
      </c>
      <c r="N2237" s="22"/>
      <c r="O2237" s="30">
        <f t="shared" si="272"/>
        <v>0.24826849080803762</v>
      </c>
    </row>
    <row r="2238" spans="1:15" ht="20.100000000000001" customHeight="1" x14ac:dyDescent="0.25">
      <c r="A2238" s="33">
        <v>997</v>
      </c>
      <c r="B2238" s="4">
        <v>44861</v>
      </c>
      <c r="C2238" s="18" t="s">
        <v>530</v>
      </c>
      <c r="D2238" s="3">
        <v>83910</v>
      </c>
      <c r="E2238" s="4">
        <v>44874</v>
      </c>
      <c r="F2238" s="15" t="s">
        <v>28</v>
      </c>
      <c r="G2238" s="12">
        <v>44888</v>
      </c>
      <c r="H2238" s="23">
        <f t="shared" si="270"/>
        <v>83910</v>
      </c>
      <c r="I2238" s="23"/>
      <c r="J2238" s="23"/>
      <c r="K2238" s="24"/>
      <c r="L2238" s="23">
        <f>46553+9134</f>
        <v>55687</v>
      </c>
      <c r="M2238" s="22">
        <f t="shared" si="271"/>
        <v>28223</v>
      </c>
      <c r="N2238" s="22"/>
      <c r="O2238" s="30">
        <f t="shared" si="272"/>
        <v>0.33634846859730666</v>
      </c>
    </row>
    <row r="2239" spans="1:15" ht="20.100000000000001" customHeight="1" x14ac:dyDescent="0.25">
      <c r="A2239" s="33">
        <v>1047</v>
      </c>
      <c r="B2239" s="9">
        <v>44879</v>
      </c>
      <c r="C2239" s="18" t="s">
        <v>124</v>
      </c>
      <c r="D2239" s="3">
        <v>3000</v>
      </c>
      <c r="E2239" s="9">
        <v>44879</v>
      </c>
      <c r="F2239" s="15" t="s">
        <v>28</v>
      </c>
      <c r="G2239" s="12">
        <v>44880</v>
      </c>
      <c r="H2239" s="23">
        <f t="shared" si="270"/>
        <v>3000</v>
      </c>
      <c r="I2239" s="23"/>
      <c r="J2239" s="23"/>
      <c r="K2239" s="24"/>
      <c r="L2239" s="23">
        <v>1560</v>
      </c>
      <c r="M2239" s="22">
        <f t="shared" ref="M2239:M2245" si="273">H2239-L2239-J2239-K2239</f>
        <v>1440</v>
      </c>
      <c r="N2239" s="22"/>
      <c r="O2239" s="30">
        <f t="shared" si="272"/>
        <v>0.48</v>
      </c>
    </row>
    <row r="2240" spans="1:15" ht="20.100000000000001" customHeight="1" x14ac:dyDescent="0.25">
      <c r="A2240" s="33">
        <v>1054</v>
      </c>
      <c r="B2240" s="9">
        <v>44880</v>
      </c>
      <c r="C2240" s="18" t="s">
        <v>403</v>
      </c>
      <c r="D2240" s="3">
        <v>4920</v>
      </c>
      <c r="E2240" s="9">
        <v>44886</v>
      </c>
      <c r="F2240" s="15" t="s">
        <v>28</v>
      </c>
      <c r="G2240" s="12">
        <v>44881</v>
      </c>
      <c r="H2240" s="23">
        <f t="shared" si="270"/>
        <v>4920</v>
      </c>
      <c r="I2240" s="23"/>
      <c r="J2240" s="23"/>
      <c r="K2240" s="24"/>
      <c r="L2240" s="23">
        <v>3788</v>
      </c>
      <c r="M2240" s="22">
        <f t="shared" si="273"/>
        <v>1132</v>
      </c>
      <c r="N2240" s="22"/>
      <c r="O2240" s="30">
        <f t="shared" si="272"/>
        <v>0.23008130081300812</v>
      </c>
    </row>
    <row r="2241" spans="1:15" ht="20.100000000000001" customHeight="1" x14ac:dyDescent="0.25">
      <c r="A2241" s="33">
        <v>991</v>
      </c>
      <c r="B2241" s="9">
        <v>44860</v>
      </c>
      <c r="C2241" s="18" t="s">
        <v>11</v>
      </c>
      <c r="D2241" s="3">
        <v>4520</v>
      </c>
      <c r="E2241" s="9">
        <v>44887</v>
      </c>
      <c r="F2241" s="15" t="s">
        <v>28</v>
      </c>
      <c r="G2241" s="12">
        <v>44881</v>
      </c>
      <c r="H2241" s="23">
        <f t="shared" si="270"/>
        <v>4520</v>
      </c>
      <c r="I2241" s="23"/>
      <c r="J2241" s="23"/>
      <c r="K2241" s="24"/>
      <c r="L2241" s="23">
        <v>2160</v>
      </c>
      <c r="M2241" s="22">
        <f t="shared" si="273"/>
        <v>2360</v>
      </c>
      <c r="N2241" s="22"/>
      <c r="O2241" s="30">
        <f t="shared" si="272"/>
        <v>0.52212389380530977</v>
      </c>
    </row>
    <row r="2242" spans="1:15" ht="20.100000000000001" customHeight="1" x14ac:dyDescent="0.25">
      <c r="A2242" s="33">
        <v>1085</v>
      </c>
      <c r="B2242" s="9">
        <v>44888</v>
      </c>
      <c r="C2242" s="18" t="s">
        <v>211</v>
      </c>
      <c r="D2242" s="3">
        <v>8850</v>
      </c>
      <c r="E2242" s="9">
        <v>44889</v>
      </c>
      <c r="F2242" s="15" t="s">
        <v>28</v>
      </c>
      <c r="G2242" s="9"/>
      <c r="H2242" s="23">
        <f t="shared" si="270"/>
        <v>8850</v>
      </c>
      <c r="I2242" s="23"/>
      <c r="J2242" s="23"/>
      <c r="K2242" s="24"/>
      <c r="L2242" s="23">
        <f>1380*5</f>
        <v>6900</v>
      </c>
      <c r="M2242" s="22">
        <f t="shared" si="273"/>
        <v>1950</v>
      </c>
      <c r="N2242" s="22"/>
      <c r="O2242" s="30">
        <f t="shared" si="272"/>
        <v>0.22033898305084745</v>
      </c>
    </row>
    <row r="2243" spans="1:15" ht="20.100000000000001" customHeight="1" x14ac:dyDescent="0.25">
      <c r="A2243" s="33">
        <v>1088</v>
      </c>
      <c r="B2243" s="9">
        <v>44888</v>
      </c>
      <c r="C2243" s="18" t="s">
        <v>515</v>
      </c>
      <c r="D2243" s="3">
        <v>8300</v>
      </c>
      <c r="E2243" s="9">
        <v>44889</v>
      </c>
      <c r="F2243" s="15" t="s">
        <v>28</v>
      </c>
      <c r="G2243" s="12">
        <v>44893</v>
      </c>
      <c r="H2243" s="23">
        <f t="shared" si="270"/>
        <v>8300</v>
      </c>
      <c r="I2243" s="23"/>
      <c r="J2243" s="23"/>
      <c r="K2243" s="24"/>
      <c r="L2243" s="23">
        <v>5478</v>
      </c>
      <c r="M2243" s="22">
        <f t="shared" si="273"/>
        <v>2822</v>
      </c>
      <c r="N2243" s="22"/>
      <c r="O2243" s="30">
        <f t="shared" si="272"/>
        <v>0.34</v>
      </c>
    </row>
    <row r="2244" spans="1:15" ht="20.100000000000001" customHeight="1" x14ac:dyDescent="0.25">
      <c r="A2244" s="33">
        <v>1064</v>
      </c>
      <c r="B2244" s="9">
        <v>44887</v>
      </c>
      <c r="C2244" s="18" t="s">
        <v>481</v>
      </c>
      <c r="D2244" s="3">
        <v>211340</v>
      </c>
      <c r="E2244" s="9">
        <v>44890</v>
      </c>
      <c r="F2244" s="15" t="s">
        <v>28</v>
      </c>
      <c r="G2244" s="12">
        <v>44904</v>
      </c>
      <c r="H2244" s="23">
        <f>D2244/2</f>
        <v>105670</v>
      </c>
      <c r="I2244" s="23"/>
      <c r="J2244" s="23"/>
      <c r="K2244" s="24">
        <v>600</v>
      </c>
      <c r="L2244" s="23">
        <f>(150509+1515+331)/2</f>
        <v>76177.5</v>
      </c>
      <c r="M2244" s="22">
        <f t="shared" si="273"/>
        <v>28892.5</v>
      </c>
      <c r="N2244" s="22"/>
      <c r="O2244" s="30">
        <f t="shared" si="272"/>
        <v>0.27342197407021862</v>
      </c>
    </row>
    <row r="2245" spans="1:15" ht="20.100000000000001" customHeight="1" x14ac:dyDescent="0.25">
      <c r="A2245" s="33">
        <v>1092</v>
      </c>
      <c r="B2245" s="9">
        <v>44889</v>
      </c>
      <c r="C2245" s="5" t="s">
        <v>531</v>
      </c>
      <c r="D2245" s="3">
        <v>7570</v>
      </c>
      <c r="E2245" s="9">
        <v>44890</v>
      </c>
      <c r="F2245" s="15" t="s">
        <v>28</v>
      </c>
      <c r="G2245" s="12">
        <v>44893</v>
      </c>
      <c r="H2245" s="23">
        <f t="shared" si="270"/>
        <v>7570</v>
      </c>
      <c r="I2245" s="23">
        <f>H2245</f>
        <v>7570</v>
      </c>
      <c r="J2245" s="23"/>
      <c r="K2245" s="24"/>
      <c r="L2245" s="23">
        <v>5904</v>
      </c>
      <c r="M2245" s="22">
        <f t="shared" si="273"/>
        <v>1666</v>
      </c>
      <c r="N2245" s="23">
        <f>M2245</f>
        <v>1666</v>
      </c>
      <c r="O2245" s="30">
        <f t="shared" si="272"/>
        <v>0.22007926023778071</v>
      </c>
    </row>
    <row r="2246" spans="1:15" ht="20.100000000000001" customHeight="1" x14ac:dyDescent="0.25">
      <c r="A2246" s="35" t="s">
        <v>535</v>
      </c>
      <c r="B2246" s="36"/>
      <c r="C2246" s="42"/>
      <c r="D2246" s="37"/>
      <c r="E2246" s="46" t="s">
        <v>607</v>
      </c>
      <c r="F2246" s="47">
        <f>M2246*0.05+N2246*0.06</f>
        <v>5611.5350000000008</v>
      </c>
      <c r="G2246" s="21">
        <f>H2246*0.05+I2246*0.02</f>
        <v>17279.500000000004</v>
      </c>
      <c r="H2246" s="49">
        <f>SUBTOTAL(109,Ноябрь2022[Продажа])</f>
        <v>342562</v>
      </c>
      <c r="I2246" s="49">
        <f>SUBTOTAL(109,Ноябрь2022[Продажа НК])</f>
        <v>7570</v>
      </c>
      <c r="J2246" s="49">
        <f>SUBTOTAL(109,Ноябрь2022[отк])</f>
        <v>0</v>
      </c>
      <c r="K2246" s="49">
        <f>SUBTOTAL(109,Ноябрь2022[шланги])</f>
        <v>1600</v>
      </c>
      <c r="L2246" s="49">
        <f>SUBTOTAL(109,Ноябрь2022[Закупка])</f>
        <v>230730.5</v>
      </c>
      <c r="M2246" s="49">
        <f>SUBTOTAL(109,Ноябрь2022[Маржа])</f>
        <v>110231.5</v>
      </c>
      <c r="N2246" s="49">
        <f>SUBTOTAL(109,Ноябрь2022[Маржа НК])</f>
        <v>1666</v>
      </c>
      <c r="O2246" s="44">
        <f t="shared" si="272"/>
        <v>0.3217855453903235</v>
      </c>
    </row>
    <row r="2247" spans="1:15" ht="20.100000000000001" customHeight="1" x14ac:dyDescent="0.25">
      <c r="A2247" s="41" t="s">
        <v>1</v>
      </c>
      <c r="B2247" s="1" t="s">
        <v>0</v>
      </c>
      <c r="C2247" s="1" t="s">
        <v>26</v>
      </c>
      <c r="D2247" s="1" t="s">
        <v>2</v>
      </c>
      <c r="E2247" s="1" t="s">
        <v>3</v>
      </c>
      <c r="F2247" s="1" t="s">
        <v>27</v>
      </c>
      <c r="G2247" s="1" t="s">
        <v>4</v>
      </c>
      <c r="H2247" s="2" t="s">
        <v>132</v>
      </c>
      <c r="I2247" s="2" t="s">
        <v>133</v>
      </c>
      <c r="J2247" s="40" t="s">
        <v>187</v>
      </c>
      <c r="K2247" s="40" t="s">
        <v>188</v>
      </c>
      <c r="L2247" s="40" t="s">
        <v>129</v>
      </c>
      <c r="M2247" s="40" t="s">
        <v>130</v>
      </c>
      <c r="N2247" s="2" t="s">
        <v>131</v>
      </c>
      <c r="O2247" s="2" t="s">
        <v>134</v>
      </c>
    </row>
    <row r="2248" spans="1:15" ht="20.100000000000001" customHeight="1" x14ac:dyDescent="0.25">
      <c r="A2248" s="33">
        <v>1118</v>
      </c>
      <c r="B2248" s="9">
        <v>44896</v>
      </c>
      <c r="C2248" s="18" t="s">
        <v>532</v>
      </c>
      <c r="D2248" s="3">
        <v>5500</v>
      </c>
      <c r="E2248" s="9">
        <v>44897</v>
      </c>
      <c r="F2248" s="15" t="s">
        <v>28</v>
      </c>
      <c r="G2248" s="12">
        <v>44896</v>
      </c>
      <c r="H2248" s="23">
        <f>D2248</f>
        <v>5500</v>
      </c>
      <c r="I2248" s="23"/>
      <c r="J2248" s="23"/>
      <c r="K2248" s="24"/>
      <c r="L2248" s="23">
        <v>4726</v>
      </c>
      <c r="M2248" s="22">
        <f t="shared" ref="M2248:M2270" si="274">H2248-L2248-J2248-K2248</f>
        <v>774</v>
      </c>
      <c r="N2248" s="22"/>
      <c r="O2248" s="30">
        <f t="shared" ref="O2248:O2270" si="275">M2248/H2248</f>
        <v>0.14072727272727273</v>
      </c>
    </row>
    <row r="2249" spans="1:15" ht="20.100000000000001" customHeight="1" x14ac:dyDescent="0.25">
      <c r="A2249" s="33">
        <v>1121</v>
      </c>
      <c r="B2249" s="9">
        <v>44900</v>
      </c>
      <c r="C2249" s="18" t="s">
        <v>508</v>
      </c>
      <c r="D2249" s="3">
        <v>11241</v>
      </c>
      <c r="E2249" s="9">
        <v>44900</v>
      </c>
      <c r="F2249" s="15" t="s">
        <v>28</v>
      </c>
      <c r="G2249" s="12">
        <v>44901</v>
      </c>
      <c r="H2249" s="23">
        <f>D2249</f>
        <v>11241</v>
      </c>
      <c r="I2249" s="23"/>
      <c r="J2249" s="23"/>
      <c r="K2249" s="24"/>
      <c r="L2249" s="23">
        <v>9742</v>
      </c>
      <c r="M2249" s="22">
        <f t="shared" si="274"/>
        <v>1499</v>
      </c>
      <c r="N2249" s="22"/>
      <c r="O2249" s="30">
        <f t="shared" si="275"/>
        <v>0.13335112534472021</v>
      </c>
    </row>
    <row r="2250" spans="1:15" ht="20.100000000000001" customHeight="1" x14ac:dyDescent="0.25">
      <c r="A2250" s="33">
        <v>1120</v>
      </c>
      <c r="B2250" s="9">
        <v>44896</v>
      </c>
      <c r="C2250" s="18" t="s">
        <v>403</v>
      </c>
      <c r="D2250" s="3">
        <v>4920</v>
      </c>
      <c r="E2250" s="9">
        <v>44900</v>
      </c>
      <c r="F2250" s="15" t="s">
        <v>28</v>
      </c>
      <c r="G2250" s="12">
        <v>44902</v>
      </c>
      <c r="H2250" s="23">
        <f>D2250</f>
        <v>4920</v>
      </c>
      <c r="I2250" s="23"/>
      <c r="J2250" s="23"/>
      <c r="K2250" s="24"/>
      <c r="L2250" s="23">
        <v>3788</v>
      </c>
      <c r="M2250" s="22">
        <f t="shared" si="274"/>
        <v>1132</v>
      </c>
      <c r="N2250" s="22"/>
      <c r="O2250" s="30">
        <f t="shared" si="275"/>
        <v>0.23008130081300812</v>
      </c>
    </row>
    <row r="2251" spans="1:15" ht="20.100000000000001" customHeight="1" x14ac:dyDescent="0.25">
      <c r="A2251" s="33">
        <v>965</v>
      </c>
      <c r="B2251" s="9">
        <v>44852</v>
      </c>
      <c r="C2251" s="18" t="s">
        <v>275</v>
      </c>
      <c r="D2251" s="3">
        <v>34313</v>
      </c>
      <c r="E2251" s="9">
        <v>44901</v>
      </c>
      <c r="F2251" s="15" t="s">
        <v>28</v>
      </c>
      <c r="G2251" s="12">
        <v>44862</v>
      </c>
      <c r="H2251" s="23">
        <f>D2251</f>
        <v>34313</v>
      </c>
      <c r="I2251" s="23"/>
      <c r="J2251" s="23"/>
      <c r="K2251" s="24"/>
      <c r="L2251" s="23">
        <v>21790</v>
      </c>
      <c r="M2251" s="22">
        <f t="shared" si="274"/>
        <v>12523</v>
      </c>
      <c r="N2251" s="22"/>
      <c r="O2251" s="30">
        <f t="shared" si="275"/>
        <v>0.36496371637571767</v>
      </c>
    </row>
    <row r="2252" spans="1:15" ht="20.100000000000001" customHeight="1" x14ac:dyDescent="0.25">
      <c r="A2252" s="33">
        <v>1095</v>
      </c>
      <c r="B2252" s="9">
        <v>44893</v>
      </c>
      <c r="C2252" s="18" t="s">
        <v>206</v>
      </c>
      <c r="D2252" s="3">
        <v>3540</v>
      </c>
      <c r="E2252" s="9">
        <v>44901</v>
      </c>
      <c r="F2252" s="15" t="s">
        <v>28</v>
      </c>
      <c r="G2252" s="12">
        <v>44893</v>
      </c>
      <c r="H2252" s="23">
        <f>D2252</f>
        <v>3540</v>
      </c>
      <c r="I2252" s="23"/>
      <c r="J2252" s="23"/>
      <c r="K2252" s="24"/>
      <c r="L2252" s="23">
        <f>1382*2</f>
        <v>2764</v>
      </c>
      <c r="M2252" s="22">
        <f t="shared" si="274"/>
        <v>776</v>
      </c>
      <c r="N2252" s="22"/>
      <c r="O2252" s="30">
        <f t="shared" si="275"/>
        <v>0.21920903954802259</v>
      </c>
    </row>
    <row r="2253" spans="1:15" ht="20.100000000000001" customHeight="1" x14ac:dyDescent="0.25">
      <c r="A2253" s="33">
        <v>1064</v>
      </c>
      <c r="B2253" s="9">
        <v>44887</v>
      </c>
      <c r="C2253" s="18" t="s">
        <v>481</v>
      </c>
      <c r="D2253" s="3">
        <v>211340</v>
      </c>
      <c r="E2253" s="9">
        <v>44902</v>
      </c>
      <c r="F2253" s="15" t="s">
        <v>28</v>
      </c>
      <c r="G2253" s="12">
        <v>44904</v>
      </c>
      <c r="H2253" s="23">
        <f>D2253/2</f>
        <v>105670</v>
      </c>
      <c r="I2253" s="23"/>
      <c r="J2253" s="23"/>
      <c r="K2253" s="24"/>
      <c r="L2253" s="23">
        <f>(150509+1515+331)/2</f>
        <v>76177.5</v>
      </c>
      <c r="M2253" s="22">
        <f t="shared" si="274"/>
        <v>29492.5</v>
      </c>
      <c r="N2253" s="22"/>
      <c r="O2253" s="30">
        <f t="shared" si="275"/>
        <v>0.27910002839027159</v>
      </c>
    </row>
    <row r="2254" spans="1:15" ht="20.100000000000001" customHeight="1" x14ac:dyDescent="0.25">
      <c r="A2254" s="33">
        <v>1060</v>
      </c>
      <c r="B2254" s="9">
        <v>44888</v>
      </c>
      <c r="C2254" s="18" t="s">
        <v>520</v>
      </c>
      <c r="D2254" s="3">
        <v>844110</v>
      </c>
      <c r="E2254" s="31">
        <v>44909</v>
      </c>
      <c r="F2254" s="15">
        <v>44910</v>
      </c>
      <c r="G2254" s="9"/>
      <c r="H2254" s="23">
        <f>D2254</f>
        <v>844110</v>
      </c>
      <c r="I2254" s="23"/>
      <c r="J2254" s="23"/>
      <c r="K2254" s="24"/>
      <c r="L2254" s="23">
        <f>245672+239012+124185</f>
        <v>608869</v>
      </c>
      <c r="M2254" s="22">
        <f t="shared" si="274"/>
        <v>235241</v>
      </c>
      <c r="N2254" s="22"/>
      <c r="O2254" s="30">
        <f t="shared" si="275"/>
        <v>0.27868524244470505</v>
      </c>
    </row>
    <row r="2255" spans="1:15" ht="20.100000000000001" customHeight="1" x14ac:dyDescent="0.25">
      <c r="A2255" s="33">
        <v>1038</v>
      </c>
      <c r="B2255" s="9">
        <v>44875</v>
      </c>
      <c r="C2255" s="18" t="s">
        <v>13</v>
      </c>
      <c r="D2255" s="3">
        <v>26750</v>
      </c>
      <c r="E2255" s="9">
        <v>44911</v>
      </c>
      <c r="F2255" s="15" t="s">
        <v>28</v>
      </c>
      <c r="G2255" s="12">
        <v>44908</v>
      </c>
      <c r="H2255" s="23">
        <f>D2255</f>
        <v>26750</v>
      </c>
      <c r="I2255" s="23"/>
      <c r="J2255" s="23"/>
      <c r="K2255" s="24"/>
      <c r="L2255" s="23">
        <v>15795</v>
      </c>
      <c r="M2255" s="22">
        <f t="shared" si="274"/>
        <v>10955</v>
      </c>
      <c r="N2255" s="22"/>
      <c r="O2255" s="30">
        <f t="shared" si="275"/>
        <v>0.40953271028037386</v>
      </c>
    </row>
    <row r="2256" spans="1:15" ht="20.100000000000001" customHeight="1" x14ac:dyDescent="0.25">
      <c r="A2256" s="33">
        <v>116</v>
      </c>
      <c r="B2256" s="9">
        <v>44670</v>
      </c>
      <c r="C2256" s="18" t="s">
        <v>517</v>
      </c>
      <c r="D2256" s="3">
        <v>96440</v>
      </c>
      <c r="E2256" s="9">
        <v>44911</v>
      </c>
      <c r="F2256" s="15" t="s">
        <v>28</v>
      </c>
      <c r="G2256" s="12">
        <v>44915</v>
      </c>
      <c r="H2256" s="23">
        <v>10970</v>
      </c>
      <c r="I2256" s="23"/>
      <c r="J2256" s="23"/>
      <c r="K2256" s="24"/>
      <c r="L2256" s="23">
        <v>6474</v>
      </c>
      <c r="M2256" s="22">
        <f t="shared" si="274"/>
        <v>4496</v>
      </c>
      <c r="N2256" s="22"/>
      <c r="O2256" s="30">
        <f t="shared" si="275"/>
        <v>0.409845031905196</v>
      </c>
    </row>
    <row r="2257" spans="1:15" ht="20.100000000000001" customHeight="1" x14ac:dyDescent="0.25">
      <c r="A2257" s="33">
        <v>1171</v>
      </c>
      <c r="B2257" s="9">
        <v>44915</v>
      </c>
      <c r="C2257" s="18" t="s">
        <v>124</v>
      </c>
      <c r="D2257" s="3">
        <v>5272</v>
      </c>
      <c r="E2257" s="9">
        <v>44915</v>
      </c>
      <c r="F2257" s="15" t="s">
        <v>28</v>
      </c>
      <c r="G2257" s="12">
        <v>44915</v>
      </c>
      <c r="H2257" s="23">
        <f>D2257</f>
        <v>5272</v>
      </c>
      <c r="I2257" s="23"/>
      <c r="J2257" s="23"/>
      <c r="K2257" s="24"/>
      <c r="L2257" s="23">
        <v>4190</v>
      </c>
      <c r="M2257" s="22">
        <f t="shared" si="274"/>
        <v>1082</v>
      </c>
      <c r="N2257" s="22"/>
      <c r="O2257" s="30">
        <f t="shared" si="275"/>
        <v>0.20523520485584218</v>
      </c>
    </row>
    <row r="2258" spans="1:15" ht="20.100000000000001" customHeight="1" x14ac:dyDescent="0.25">
      <c r="A2258" s="33">
        <v>1173</v>
      </c>
      <c r="B2258" s="9">
        <v>44915</v>
      </c>
      <c r="C2258" s="18" t="s">
        <v>124</v>
      </c>
      <c r="D2258" s="3">
        <v>3960</v>
      </c>
      <c r="E2258" s="31">
        <v>44915</v>
      </c>
      <c r="F2258" s="15">
        <v>44917</v>
      </c>
      <c r="G2258" s="9"/>
      <c r="H2258" s="23">
        <f>D2258</f>
        <v>3960</v>
      </c>
      <c r="I2258" s="23"/>
      <c r="J2258" s="23"/>
      <c r="K2258" s="24"/>
      <c r="L2258" s="23">
        <v>3088</v>
      </c>
      <c r="M2258" s="22">
        <f t="shared" si="274"/>
        <v>872</v>
      </c>
      <c r="N2258" s="22"/>
      <c r="O2258" s="30">
        <f t="shared" si="275"/>
        <v>0.2202020202020202</v>
      </c>
    </row>
    <row r="2259" spans="1:15" ht="20.100000000000001" customHeight="1" x14ac:dyDescent="0.25">
      <c r="A2259" s="33">
        <v>618</v>
      </c>
      <c r="B2259" s="9">
        <v>44753</v>
      </c>
      <c r="C2259" s="18" t="s">
        <v>66</v>
      </c>
      <c r="D2259" s="3">
        <v>63840</v>
      </c>
      <c r="E2259" s="9">
        <v>44916</v>
      </c>
      <c r="F2259" s="15" t="s">
        <v>28</v>
      </c>
      <c r="G2259" s="12">
        <v>44785</v>
      </c>
      <c r="H2259" s="23">
        <f>D2259</f>
        <v>63840</v>
      </c>
      <c r="I2259" s="23"/>
      <c r="J2259" s="23"/>
      <c r="K2259" s="24"/>
      <c r="L2259" s="23">
        <f>4*12289</f>
        <v>49156</v>
      </c>
      <c r="M2259" s="22">
        <f t="shared" si="274"/>
        <v>14684</v>
      </c>
      <c r="N2259" s="22"/>
      <c r="O2259" s="30">
        <f t="shared" si="275"/>
        <v>0.23001253132832081</v>
      </c>
    </row>
    <row r="2260" spans="1:15" ht="20.100000000000001" customHeight="1" x14ac:dyDescent="0.25">
      <c r="A2260" s="33">
        <v>1145</v>
      </c>
      <c r="B2260" s="9">
        <v>44904</v>
      </c>
      <c r="C2260" s="18" t="s">
        <v>345</v>
      </c>
      <c r="D2260" s="3">
        <v>16730</v>
      </c>
      <c r="E2260" s="31">
        <v>44917</v>
      </c>
      <c r="F2260" s="15">
        <v>44910</v>
      </c>
      <c r="G2260" s="9"/>
      <c r="H2260" s="23">
        <f t="shared" ref="H2260:H2270" si="276">D2260</f>
        <v>16730</v>
      </c>
      <c r="I2260" s="23"/>
      <c r="J2260" s="23"/>
      <c r="K2260" s="24"/>
      <c r="L2260" s="23">
        <f>7674+2035*2</f>
        <v>11744</v>
      </c>
      <c r="M2260" s="22">
        <f t="shared" si="274"/>
        <v>4986</v>
      </c>
      <c r="N2260" s="22"/>
      <c r="O2260" s="30">
        <f t="shared" si="275"/>
        <v>0.29802749551703528</v>
      </c>
    </row>
    <row r="2261" spans="1:15" ht="20.100000000000001" customHeight="1" x14ac:dyDescent="0.25">
      <c r="A2261" s="33">
        <v>1180</v>
      </c>
      <c r="B2261" s="9">
        <v>44916</v>
      </c>
      <c r="C2261" s="18" t="s">
        <v>517</v>
      </c>
      <c r="D2261" s="3">
        <v>59440</v>
      </c>
      <c r="E2261" s="31">
        <v>44917</v>
      </c>
      <c r="F2261" s="15">
        <v>44917</v>
      </c>
      <c r="G2261" s="9"/>
      <c r="H2261" s="23">
        <f t="shared" si="276"/>
        <v>59440</v>
      </c>
      <c r="I2261" s="23"/>
      <c r="J2261" s="23"/>
      <c r="K2261" s="24"/>
      <c r="L2261" s="23">
        <v>46531</v>
      </c>
      <c r="M2261" s="22">
        <f t="shared" si="274"/>
        <v>12909</v>
      </c>
      <c r="N2261" s="22"/>
      <c r="O2261" s="30">
        <f t="shared" si="275"/>
        <v>0.21717698519515477</v>
      </c>
    </row>
    <row r="2262" spans="1:15" ht="20.100000000000001" customHeight="1" x14ac:dyDescent="0.25">
      <c r="A2262" s="33">
        <v>1179</v>
      </c>
      <c r="B2262" s="9">
        <v>44916</v>
      </c>
      <c r="C2262" s="18" t="s">
        <v>351</v>
      </c>
      <c r="D2262" s="3">
        <v>8560</v>
      </c>
      <c r="E2262" s="9">
        <v>44918</v>
      </c>
      <c r="F2262" s="15" t="s">
        <v>28</v>
      </c>
      <c r="G2262" s="12">
        <v>44918</v>
      </c>
      <c r="H2262" s="23">
        <f t="shared" si="276"/>
        <v>8560</v>
      </c>
      <c r="I2262" s="23"/>
      <c r="J2262" s="23"/>
      <c r="K2262" s="24"/>
      <c r="L2262" s="23">
        <f>4485+2191</f>
        <v>6676</v>
      </c>
      <c r="M2262" s="22">
        <f t="shared" si="274"/>
        <v>1884</v>
      </c>
      <c r="N2262" s="22"/>
      <c r="O2262" s="30">
        <f t="shared" si="275"/>
        <v>0.22009345794392524</v>
      </c>
    </row>
    <row r="2263" spans="1:15" ht="20.100000000000001" customHeight="1" x14ac:dyDescent="0.25">
      <c r="A2263" s="33">
        <v>1181</v>
      </c>
      <c r="B2263" s="9">
        <v>44916</v>
      </c>
      <c r="C2263" s="18" t="s">
        <v>517</v>
      </c>
      <c r="D2263" s="3">
        <v>14960</v>
      </c>
      <c r="E2263" s="31">
        <v>44921</v>
      </c>
      <c r="F2263" s="15">
        <v>44917</v>
      </c>
      <c r="G2263" s="9"/>
      <c r="H2263" s="23">
        <f t="shared" si="276"/>
        <v>14960</v>
      </c>
      <c r="I2263" s="23"/>
      <c r="J2263" s="23"/>
      <c r="K2263" s="24"/>
      <c r="L2263" s="23">
        <f>6474+2355</f>
        <v>8829</v>
      </c>
      <c r="M2263" s="22">
        <f t="shared" si="274"/>
        <v>6131</v>
      </c>
      <c r="N2263" s="22"/>
      <c r="O2263" s="30">
        <f t="shared" si="275"/>
        <v>0.40982620320855617</v>
      </c>
    </row>
    <row r="2264" spans="1:15" ht="20.100000000000001" customHeight="1" x14ac:dyDescent="0.25">
      <c r="A2264" s="33">
        <v>1192</v>
      </c>
      <c r="B2264" s="9">
        <v>44918</v>
      </c>
      <c r="C2264" s="18" t="s">
        <v>351</v>
      </c>
      <c r="D2264" s="3">
        <v>10058</v>
      </c>
      <c r="E2264" s="31">
        <v>44922</v>
      </c>
      <c r="F2264" s="15">
        <v>44924</v>
      </c>
      <c r="G2264" s="9"/>
      <c r="H2264" s="23">
        <f t="shared" si="276"/>
        <v>10058</v>
      </c>
      <c r="I2264" s="23"/>
      <c r="J2264" s="23"/>
      <c r="K2264" s="24"/>
      <c r="L2264" s="23">
        <v>7254</v>
      </c>
      <c r="M2264" s="22">
        <f t="shared" si="274"/>
        <v>2804</v>
      </c>
      <c r="N2264" s="22"/>
      <c r="O2264" s="30">
        <f t="shared" si="275"/>
        <v>0.27878305826207994</v>
      </c>
    </row>
    <row r="2265" spans="1:15" ht="20.100000000000001" customHeight="1" x14ac:dyDescent="0.25">
      <c r="A2265" s="33">
        <v>1153</v>
      </c>
      <c r="B2265" s="9">
        <v>44914</v>
      </c>
      <c r="C2265" s="18" t="s">
        <v>533</v>
      </c>
      <c r="D2265" s="3">
        <v>65580</v>
      </c>
      <c r="E2265" s="9">
        <v>44922</v>
      </c>
      <c r="F2265" s="15" t="s">
        <v>28</v>
      </c>
      <c r="G2265" s="12">
        <v>44914</v>
      </c>
      <c r="H2265" s="23">
        <f t="shared" si="276"/>
        <v>65580</v>
      </c>
      <c r="I2265" s="23"/>
      <c r="J2265" s="23"/>
      <c r="K2265" s="24"/>
      <c r="L2265" s="23">
        <v>46359</v>
      </c>
      <c r="M2265" s="22">
        <f t="shared" si="274"/>
        <v>19221</v>
      </c>
      <c r="N2265" s="22"/>
      <c r="O2265" s="30">
        <f t="shared" si="275"/>
        <v>0.29309240622140897</v>
      </c>
    </row>
    <row r="2266" spans="1:15" ht="20.100000000000001" customHeight="1" x14ac:dyDescent="0.25">
      <c r="A2266" s="33">
        <v>979</v>
      </c>
      <c r="B2266" s="9">
        <v>44859</v>
      </c>
      <c r="C2266" s="18" t="s">
        <v>56</v>
      </c>
      <c r="D2266" s="3">
        <v>94561</v>
      </c>
      <c r="E2266" s="9">
        <v>44923</v>
      </c>
      <c r="F2266" s="15" t="s">
        <v>28</v>
      </c>
      <c r="G2266" s="12">
        <v>44879</v>
      </c>
      <c r="H2266" s="23">
        <f t="shared" si="276"/>
        <v>94561</v>
      </c>
      <c r="I2266" s="23"/>
      <c r="J2266" s="23"/>
      <c r="K2266" s="24">
        <v>500</v>
      </c>
      <c r="L2266" s="23">
        <v>58371</v>
      </c>
      <c r="M2266" s="22">
        <f t="shared" si="274"/>
        <v>35690</v>
      </c>
      <c r="N2266" s="22"/>
      <c r="O2266" s="30">
        <f t="shared" si="275"/>
        <v>0.37742832668859255</v>
      </c>
    </row>
    <row r="2267" spans="1:15" ht="20.100000000000001" customHeight="1" x14ac:dyDescent="0.25">
      <c r="A2267" s="33">
        <v>978</v>
      </c>
      <c r="B2267" s="9">
        <v>44876</v>
      </c>
      <c r="C2267" s="18" t="s">
        <v>56</v>
      </c>
      <c r="D2267" s="3">
        <v>30600</v>
      </c>
      <c r="E2267" s="9">
        <v>44923</v>
      </c>
      <c r="F2267" s="15" t="s">
        <v>28</v>
      </c>
      <c r="G2267" s="12">
        <v>44879</v>
      </c>
      <c r="H2267" s="23">
        <f t="shared" si="276"/>
        <v>30600</v>
      </c>
      <c r="I2267" s="23"/>
      <c r="J2267" s="23"/>
      <c r="K2267" s="24"/>
      <c r="L2267" s="23">
        <f>11934*2</f>
        <v>23868</v>
      </c>
      <c r="M2267" s="22">
        <f t="shared" si="274"/>
        <v>6732</v>
      </c>
      <c r="N2267" s="22"/>
      <c r="O2267" s="30">
        <f t="shared" si="275"/>
        <v>0.22</v>
      </c>
    </row>
    <row r="2268" spans="1:15" ht="20.100000000000001" customHeight="1" x14ac:dyDescent="0.25">
      <c r="A2268" s="33">
        <v>1201</v>
      </c>
      <c r="B2268" s="9">
        <v>44923</v>
      </c>
      <c r="C2268" s="18" t="s">
        <v>124</v>
      </c>
      <c r="D2268" s="3">
        <v>7500</v>
      </c>
      <c r="E2268" s="9">
        <v>44923</v>
      </c>
      <c r="F2268" s="15" t="s">
        <v>28</v>
      </c>
      <c r="G2268" s="9"/>
      <c r="H2268" s="23">
        <f t="shared" si="276"/>
        <v>7500</v>
      </c>
      <c r="I2268" s="23"/>
      <c r="J2268" s="23"/>
      <c r="K2268" s="24"/>
      <c r="L2268" s="23">
        <f>780*5</f>
        <v>3900</v>
      </c>
      <c r="M2268" s="22">
        <f t="shared" si="274"/>
        <v>3600</v>
      </c>
      <c r="N2268" s="22"/>
      <c r="O2268" s="30">
        <f t="shared" si="275"/>
        <v>0.48</v>
      </c>
    </row>
    <row r="2269" spans="1:15" ht="20.100000000000001" customHeight="1" x14ac:dyDescent="0.25">
      <c r="A2269" s="33">
        <v>1186</v>
      </c>
      <c r="B2269" s="9">
        <v>44917</v>
      </c>
      <c r="C2269" s="5" t="s">
        <v>534</v>
      </c>
      <c r="D2269" s="3">
        <v>13590</v>
      </c>
      <c r="E2269" s="9">
        <v>44923</v>
      </c>
      <c r="F2269" s="15" t="s">
        <v>28</v>
      </c>
      <c r="G2269" s="12">
        <v>44924</v>
      </c>
      <c r="H2269" s="23">
        <f t="shared" si="276"/>
        <v>13590</v>
      </c>
      <c r="I2269" s="23">
        <f>H2269</f>
        <v>13590</v>
      </c>
      <c r="J2269" s="23"/>
      <c r="K2269" s="24"/>
      <c r="L2269" s="23">
        <v>9988</v>
      </c>
      <c r="M2269" s="22">
        <f t="shared" si="274"/>
        <v>3602</v>
      </c>
      <c r="N2269" s="23">
        <f>M2269</f>
        <v>3602</v>
      </c>
      <c r="O2269" s="30">
        <f t="shared" si="275"/>
        <v>0.26504782928623988</v>
      </c>
    </row>
    <row r="2270" spans="1:15" ht="20.100000000000001" customHeight="1" x14ac:dyDescent="0.25">
      <c r="A2270" s="33">
        <v>1202</v>
      </c>
      <c r="B2270" s="9">
        <v>44923</v>
      </c>
      <c r="C2270" s="18" t="s">
        <v>492</v>
      </c>
      <c r="D2270" s="3">
        <v>3460</v>
      </c>
      <c r="E2270" s="9">
        <v>44924</v>
      </c>
      <c r="F2270" s="15" t="s">
        <v>28</v>
      </c>
      <c r="G2270" s="9"/>
      <c r="H2270" s="23">
        <f t="shared" si="276"/>
        <v>3460</v>
      </c>
      <c r="I2270" s="23"/>
      <c r="J2270" s="23"/>
      <c r="K2270" s="24"/>
      <c r="L2270" s="23">
        <f>889*2+920</f>
        <v>2698</v>
      </c>
      <c r="M2270" s="22">
        <f t="shared" si="274"/>
        <v>762</v>
      </c>
      <c r="N2270" s="22"/>
      <c r="O2270" s="30">
        <f t="shared" si="275"/>
        <v>0.22023121387283237</v>
      </c>
    </row>
    <row r="2271" spans="1:15" ht="20.100000000000001" customHeight="1" x14ac:dyDescent="0.25">
      <c r="A2271" s="33">
        <v>737</v>
      </c>
      <c r="B2271" s="9">
        <v>44778</v>
      </c>
      <c r="C2271" s="18" t="s">
        <v>209</v>
      </c>
      <c r="D2271" s="3">
        <v>3294</v>
      </c>
      <c r="E2271" s="9"/>
      <c r="F2271" s="15" t="s">
        <v>28</v>
      </c>
      <c r="G2271" s="9">
        <v>44789</v>
      </c>
      <c r="H2271" s="23"/>
      <c r="I2271" s="23"/>
      <c r="J2271" s="23"/>
      <c r="K2271" s="24"/>
      <c r="L2271" s="23">
        <v>3054</v>
      </c>
      <c r="M2271" s="22"/>
      <c r="N2271" s="23"/>
      <c r="O2271" s="30"/>
    </row>
    <row r="2272" spans="1:15" ht="20.100000000000001" customHeight="1" x14ac:dyDescent="0.25">
      <c r="A2272" s="33">
        <v>1033</v>
      </c>
      <c r="B2272" s="9">
        <v>44873</v>
      </c>
      <c r="C2272" s="18" t="s">
        <v>209</v>
      </c>
      <c r="D2272" s="3">
        <v>17397</v>
      </c>
      <c r="E2272" s="9"/>
      <c r="F2272" s="15" t="s">
        <v>28</v>
      </c>
      <c r="G2272" s="9">
        <v>44873</v>
      </c>
      <c r="H2272" s="23"/>
      <c r="I2272" s="23"/>
      <c r="J2272" s="23"/>
      <c r="K2272" s="24"/>
      <c r="L2272" s="23">
        <v>15401</v>
      </c>
      <c r="M2272" s="22"/>
      <c r="N2272" s="23"/>
      <c r="O2272" s="30"/>
    </row>
    <row r="2273" spans="1:15" ht="20.100000000000001" customHeight="1" x14ac:dyDescent="0.25">
      <c r="A2273" s="33">
        <v>993</v>
      </c>
      <c r="B2273" s="9">
        <v>44860</v>
      </c>
      <c r="C2273" s="18" t="s">
        <v>209</v>
      </c>
      <c r="D2273" s="3">
        <v>11430</v>
      </c>
      <c r="E2273" s="9"/>
      <c r="F2273" s="15" t="s">
        <v>28</v>
      </c>
      <c r="G2273" s="9">
        <v>44860</v>
      </c>
      <c r="H2273" s="23"/>
      <c r="I2273" s="23"/>
      <c r="J2273" s="23"/>
      <c r="K2273" s="24"/>
      <c r="L2273" s="23">
        <v>9778</v>
      </c>
      <c r="M2273" s="22"/>
      <c r="N2273" s="23"/>
      <c r="O2273" s="30"/>
    </row>
    <row r="2274" spans="1:15" ht="20.100000000000001" customHeight="1" x14ac:dyDescent="0.25">
      <c r="A2274" s="35" t="s">
        <v>535</v>
      </c>
      <c r="B2274" s="36"/>
      <c r="C2274" s="42"/>
      <c r="D2274" s="37"/>
      <c r="E2274" s="46" t="s">
        <v>623</v>
      </c>
      <c r="F2274" s="47">
        <f>M2274*0.17+N2274*0.06</f>
        <v>70230.195000000007</v>
      </c>
      <c r="G2274" s="21">
        <f>H2274*0.05+I2274*0.02</f>
        <v>72528.05</v>
      </c>
      <c r="H2274" s="49">
        <f>SUBTOTAL(109,Декабрь2022[Продажа])</f>
        <v>1445125</v>
      </c>
      <c r="I2274" s="49">
        <f>SUBTOTAL(109,Декабрь2022[Продажа НК])</f>
        <v>13590</v>
      </c>
      <c r="J2274" s="49">
        <f>SUBTOTAL(109,Декабрь2022[отк])</f>
        <v>0</v>
      </c>
      <c r="K2274" s="49">
        <f>SUBTOTAL(109,Декабрь2022[шланги])</f>
        <v>500</v>
      </c>
      <c r="L2274" s="49">
        <f>SUBTOTAL(109,Декабрь2022[Закупка])</f>
        <v>1061010.5</v>
      </c>
      <c r="M2274" s="49">
        <f>SUBTOTAL(109,Декабрь2022[Маржа])</f>
        <v>411847.5</v>
      </c>
      <c r="N2274" s="49">
        <f>SUBTOTAL(109,Декабрь2022[Маржа НК])</f>
        <v>3602</v>
      </c>
      <c r="O2274" s="44">
        <f>M2274/H2274</f>
        <v>0.28499091774067986</v>
      </c>
    </row>
    <row r="2275" spans="1:15" ht="20.100000000000001" customHeight="1" x14ac:dyDescent="0.25">
      <c r="A2275" s="34" t="s">
        <v>1</v>
      </c>
      <c r="B2275" s="6" t="s">
        <v>0</v>
      </c>
      <c r="C2275" s="6" t="s">
        <v>26</v>
      </c>
      <c r="D2275" s="6" t="s">
        <v>2</v>
      </c>
      <c r="E2275" s="6" t="s">
        <v>3</v>
      </c>
      <c r="F2275" s="6" t="s">
        <v>27</v>
      </c>
      <c r="G2275" s="6" t="s">
        <v>4</v>
      </c>
      <c r="H2275" s="7" t="s">
        <v>132</v>
      </c>
      <c r="I2275" s="7" t="s">
        <v>133</v>
      </c>
      <c r="J2275" s="8" t="s">
        <v>187</v>
      </c>
      <c r="K2275" s="8" t="s">
        <v>188</v>
      </c>
      <c r="L2275" s="8" t="s">
        <v>129</v>
      </c>
      <c r="M2275" s="8" t="s">
        <v>130</v>
      </c>
      <c r="N2275" s="7" t="s">
        <v>131</v>
      </c>
      <c r="O2275" s="7" t="s">
        <v>134</v>
      </c>
    </row>
    <row r="2276" spans="1:15" ht="20.100000000000001" customHeight="1" x14ac:dyDescent="0.25">
      <c r="A2276" s="33">
        <v>1126</v>
      </c>
      <c r="B2276" s="9">
        <v>44901</v>
      </c>
      <c r="C2276" s="18" t="s">
        <v>99</v>
      </c>
      <c r="D2276" s="3">
        <v>57600</v>
      </c>
      <c r="E2276" s="9"/>
      <c r="F2276" s="15" t="s">
        <v>28</v>
      </c>
      <c r="G2276" s="9">
        <v>44902</v>
      </c>
      <c r="H2276" s="23"/>
      <c r="I2276" s="23"/>
      <c r="J2276" s="23"/>
      <c r="K2276" s="24">
        <v>2000</v>
      </c>
      <c r="L2276" s="23">
        <v>27592</v>
      </c>
      <c r="M2276" s="22"/>
      <c r="N2276" s="22"/>
      <c r="O2276" s="30"/>
    </row>
    <row r="2277" spans="1:15" ht="20.100000000000001" customHeight="1" x14ac:dyDescent="0.25">
      <c r="A2277" s="33">
        <v>1176</v>
      </c>
      <c r="B2277" s="9">
        <v>44915</v>
      </c>
      <c r="C2277" s="18" t="s">
        <v>99</v>
      </c>
      <c r="D2277" s="3">
        <v>91000</v>
      </c>
      <c r="E2277" s="9"/>
      <c r="F2277" s="15" t="s">
        <v>28</v>
      </c>
      <c r="G2277" s="9">
        <v>44916</v>
      </c>
      <c r="H2277" s="23"/>
      <c r="I2277" s="23"/>
      <c r="J2277" s="23"/>
      <c r="K2277" s="24"/>
      <c r="L2277" s="23">
        <v>86391</v>
      </c>
      <c r="M2277" s="22"/>
      <c r="N2277" s="22"/>
      <c r="O2277" s="30"/>
    </row>
    <row r="2278" spans="1:15" ht="20.100000000000001" customHeight="1" x14ac:dyDescent="0.25">
      <c r="A2278" s="33">
        <v>1205</v>
      </c>
      <c r="B2278" s="9">
        <v>44924</v>
      </c>
      <c r="C2278" s="18" t="s">
        <v>99</v>
      </c>
      <c r="D2278" s="3">
        <v>265000</v>
      </c>
      <c r="E2278" s="9"/>
      <c r="F2278" s="15" t="s">
        <v>28</v>
      </c>
      <c r="G2278" s="9">
        <v>44924</v>
      </c>
      <c r="H2278" s="23"/>
      <c r="I2278" s="23"/>
      <c r="J2278" s="23"/>
      <c r="K2278" s="24">
        <v>5000</v>
      </c>
      <c r="L2278" s="23">
        <v>150319</v>
      </c>
      <c r="M2278" s="22"/>
      <c r="N2278" s="22"/>
      <c r="O2278" s="30"/>
    </row>
    <row r="2279" spans="1:15" ht="20.100000000000001" customHeight="1" x14ac:dyDescent="0.25">
      <c r="A2279" s="33">
        <v>1185</v>
      </c>
      <c r="B2279" s="9">
        <v>44917</v>
      </c>
      <c r="C2279" s="18" t="s">
        <v>56</v>
      </c>
      <c r="D2279" s="3">
        <v>17980</v>
      </c>
      <c r="E2279" s="9"/>
      <c r="F2279" s="15" t="s">
        <v>28</v>
      </c>
      <c r="G2279" s="9">
        <v>44923</v>
      </c>
      <c r="H2279" s="23"/>
      <c r="I2279" s="23"/>
      <c r="J2279" s="23"/>
      <c r="K2279" s="24"/>
      <c r="L2279" s="23">
        <v>14024</v>
      </c>
      <c r="M2279" s="22"/>
      <c r="N2279" s="22"/>
      <c r="O2279" s="30"/>
    </row>
    <row r="2280" spans="1:15" ht="20.100000000000001" customHeight="1" x14ac:dyDescent="0.25">
      <c r="A2280" s="33">
        <v>1203</v>
      </c>
      <c r="B2280" s="9">
        <v>44923</v>
      </c>
      <c r="C2280" s="18" t="s">
        <v>65</v>
      </c>
      <c r="D2280" s="3">
        <v>70080</v>
      </c>
      <c r="E2280" s="9"/>
      <c r="F2280" s="15" t="s">
        <v>28</v>
      </c>
      <c r="G2280" s="9">
        <v>44924</v>
      </c>
      <c r="H2280" s="23"/>
      <c r="I2280" s="23"/>
      <c r="J2280" s="23"/>
      <c r="K2280" s="24"/>
      <c r="L2280" s="23">
        <v>56096</v>
      </c>
      <c r="M2280" s="22"/>
      <c r="N2280" s="22"/>
      <c r="O2280" s="30"/>
    </row>
    <row r="2281" spans="1:15" ht="20.100000000000001" customHeight="1" x14ac:dyDescent="0.25">
      <c r="A2281" s="33">
        <v>1175</v>
      </c>
      <c r="B2281" s="9">
        <v>44915</v>
      </c>
      <c r="C2281" s="18" t="s">
        <v>13</v>
      </c>
      <c r="D2281" s="3">
        <v>34920</v>
      </c>
      <c r="E2281" s="31"/>
      <c r="F2281" s="15">
        <v>44917</v>
      </c>
      <c r="G2281" s="9"/>
      <c r="H2281" s="23"/>
      <c r="I2281" s="23"/>
      <c r="J2281" s="23"/>
      <c r="K2281" s="24"/>
      <c r="L2281" s="23"/>
      <c r="M2281" s="22"/>
      <c r="N2281" s="22"/>
      <c r="O2281" s="30"/>
    </row>
    <row r="2282" spans="1:15" ht="20.100000000000001" customHeight="1" x14ac:dyDescent="0.25">
      <c r="A2282" s="33">
        <v>955</v>
      </c>
      <c r="B2282" s="9">
        <v>44847</v>
      </c>
      <c r="C2282" s="18" t="s">
        <v>66</v>
      </c>
      <c r="D2282" s="3">
        <v>20460</v>
      </c>
      <c r="E2282" s="31"/>
      <c r="F2282" s="15">
        <v>44848</v>
      </c>
      <c r="G2282" s="9"/>
      <c r="H2282" s="23"/>
      <c r="I2282" s="23"/>
      <c r="J2282" s="23"/>
      <c r="K2282" s="24"/>
      <c r="L2282" s="23"/>
      <c r="M2282" s="22"/>
      <c r="N2282" s="22"/>
      <c r="O2282" s="30"/>
    </row>
    <row r="2283" spans="1:15" ht="20.100000000000001" customHeight="1" x14ac:dyDescent="0.25">
      <c r="A2283" s="35" t="s">
        <v>535</v>
      </c>
      <c r="B2283" s="36"/>
      <c r="C2283" s="42"/>
      <c r="D2283" s="37"/>
      <c r="E2283" s="46"/>
      <c r="F2283" s="47">
        <f>M2283*0.17+N2283*0.06</f>
        <v>0</v>
      </c>
      <c r="G2283" s="21">
        <f>H2283*0.05+I2283*0.02</f>
        <v>0</v>
      </c>
      <c r="H2283" s="49">
        <f>SUBTOTAL(109,Январь2023[Продажа])</f>
        <v>0</v>
      </c>
      <c r="I2283" s="49">
        <f>SUBTOTAL(109,Январь2023[Продажа НК])</f>
        <v>0</v>
      </c>
      <c r="J2283" s="49">
        <f>SUBTOTAL(109,Январь2023[отк])</f>
        <v>0</v>
      </c>
      <c r="K2283" s="49">
        <f>SUBTOTAL(109,Январь2023[шланги])</f>
        <v>7000</v>
      </c>
      <c r="L2283" s="49">
        <f>SUBTOTAL(109,Январь2023[Закупка])</f>
        <v>334422</v>
      </c>
      <c r="M2283" s="49">
        <f>SUBTOTAL(109,Январь2023[Маржа])</f>
        <v>0</v>
      </c>
      <c r="N2283" s="49">
        <f>SUBTOTAL(109,Январь2023[Маржа НК])</f>
        <v>0</v>
      </c>
      <c r="O2283" s="44"/>
    </row>
  </sheetData>
  <phoneticPr fontId="14" type="noConversion"/>
  <dataValidations count="4">
    <dataValidation type="decimal" operator="greaterThanOrEqual" allowBlank="1" showInputMessage="1" showErrorMessage="1" sqref="N2204 N2211:N2212 J2217:L2224 N2223:N2224 H2215:K2229 I2228:L2228 H2232:K2245 N2245 L2256 L2259 L2271:L2273 N2269 J2266:L2270 H2253:K2273 L2276:L2277 H2:L26 D2:D26 H2214:L2214 L2215:L2226 H2231:L2231 L2232:L2236 H28:L62 D28:D62 H64:L88 D64:D88 H90:L121 D90:D121 H123:L139 D123:D139 H141:L184 D141:D184 H186:L212 D186:D212 H214:L242 D214:D242 H244:L271 D244:D271 H273:L304 D273:D304 D306:D326 H306:L326 D328:D354 H328:L354 D356:D389 H356:L389 D391:D422 H391:L422 D424:D465 H424:L465 D467:D499 H467:L499 D501:D527 H501:L527 D529:D569 H529:L569 D571:D592 H571:L592 D594:D634 H594:L634 D636:D668 H636:L668 D670:D716 H670:L716 D718:D739 H718:L739 D741:D770 H741:L770 D772:D792 H772:L792 D794:D826 H794:L826 D828:D865 H828:L865 D867:D907 H867:L907 D909:D936 H909:L936 D938:D967 H938:L967 D969:D984 H969:L984 D986:D1014 H986:L1014 D1016:D1038 H1016:L1038 D1040:D1066 H1040:L1066 D1068:D1086 H1068:L1086 D1088:D1110 H1088:L1110 D1112:D1145 H1112:L1145 D1147:D1188 H1147:L1188 D1190:D1215 H1190:L1215 D1217:D1251 H1217:L1251 D1253:D1292 H1253:L1292 D1294:D1321 H1294:L1321 D1323:D1355 H1323:L1355 D1357:D1384 H1357:L1384 D1386:D1407 H1386:L1407 D1409:D1441 H1409:L1441 D1443:D1462 H1443:L1462 D1464:D1489 H1464:L1489 D1491:D1531 H1491:L1531 D1533:D1551 H1533:L1551 D1553:D1570 H1553:L1570 D1572:D1597 H1572:L1597 D1599:D1630 H1599:L1630 D1632:D1658 H1632:L1658 D1660:D1679 H1660:L1679 D1681:D1703 H1681:L1703 D1705:D1723 H1705:L1723 D1725:D1743 H1725:L1743 D1745:D1755 H1745:L1755 D1757:D1782 H1757:L1782 D1784:D1812 H1784:L1812 D1814:D1836 H1814:L1836 D1838:D1864 H1838:L1864 D1866:D1888 H1866:L1888 D1890:D1909 H1890:L1909 D1911:D1933 H1911:L1933 D1935:D1963 H1935:L1963 D1965:D1985 H1965:L1985 D1987:D2011 H1987:L2011 D2013:D2036 H2013:L2036 D2038:D2050 H2038:L2050 D2052:D2066 H2052:L2066 D2068:D2095 H2068:L2095 D2097:D2106 H2097:L2106 D2108:D2130 H2108:L2130 D2132:D2149 H2132:L2149 D2151:D2165 H2151:L2165 D2167:D2196 H2167:L2196 H2198:L2212 D2198:D2212 D2214:D2229 D2231:D2245 H2247:L2252 D2247:D2273 H2275:L2275 D2284:D1048576 D2275:D2282 L2281:L2282 H2284:L1048576 H2276:K2282" xr:uid="{DAC4F2AF-DBBA-480D-9F6C-62F5E52F4496}">
      <formula1>0</formula1>
    </dataValidation>
    <dataValidation type="date" operator="greaterThanOrEqual" allowBlank="1" showInputMessage="1" showErrorMessage="1" sqref="E2229 E2232:E2245 E2276:E2282 E2248:E2273 B2:B26 B28:B62 B64:B88 B90:B121 B123:B139 B141:B184 B186:B212 B214:B242 B244:B271 B273:B304 B306:B326 B328:B354 B356:B389 B391:B422 B424:B465 B467:B499 B501:B527 B529:B569 B571:B592 B594:B634 B636:B668 B670:B716 B718:B739 B741:B770 B772:B792 B794:B826 B828:B865 B867:B907 B909:B936 B938:B967 B969:B984 G2:G26 B986:B1014 B1016:B1038 B1040:B1066 B1068:B1086 B1088:B1110 B1112:B1145 B1147:B1188 B1190:B1215 B1217:B1251 B1253:B1292 B1294:B1321 B1323:B1355 B1357:B1384 B1386:B1407 B1409:B1441 B1443:B1462 B1464:B1489 B1491:B1531 B1533:B1551 B1553:B1570 B1572:B1597 B1599:B1630 B1632:B1658 B1660:B1679 B1681:B1703 B1705:B1723 B1725:B1743 B1745:B1755 B1757:B1782 B1784:B1812 B1814:B1836 B1838:B1864 B1866:B1888 B1890:B1909 B1911:B1933 B1935:B1963 B1965:B1985 B1987:B2011 B2013:B2036 B2038:B2050 B2052:B2066 B2068:B2095 B2097:B2106 B2108:B2130 B2132:B2149 B2151:B2165 G986:G1014 B2167:B2196 B2198:B2212 B2214:B2229 G2186:G2196 B2231:B2245 B2247:B2273 G2234:G2245 B2284:B1048576 B2275:B2282 G2284:G1048576 G28:G62 G64:G88 G90:G121 G123:G139 G141:G184 G186:G212 G214:G242 G244:G271 G273:G304 G306:G326 G328:G354 G356:G389 G391:G422 G424:G465 G467:G499 G501:G527 G529:G569 G571:G592 G594:G634 G636:G668 G670:G716 G718:G739 G741:G770 G772:G792 G794:G826 G828:G865 G867:G907 G909:G936 G938:G967 G969:G984 G1016:G1038 G1040:G1066 G1068:G1086 G1088:G1110 G1112:G1145 G1147:G1188 G1190:G1215 G1217:G1251 G1253:G1292 G1294:G1321 G1323:G1355 G1357:G1384 G1386:G1407 G1409:G1441 G1443:G1462 G1464:G1489 G1491:G1531 G1533:G1551 G1553:G1570 G1572:G1597 G1599:G1630 G1632:G1658 G1660:G1679 G1681:G1703 G1705:G1723 G1725:G1743 G1745:G1755 G1757:G1782 G1784:G1812 G1814:G1836 G1838:G1864 G1866:G1888 G1890:G1909 G1911:G1933 G1935:G1963 G1965:G1985 G1987:G2011 G2013:G2036 G2038:G2050 G2052:G2066 G2068:G2095 G2097:G2106 G2108:G2130 G2132:G2149 G2151:G2165 G2167:G2184 G2198:G2212 G2214:G2229 G2231 G2247:G2273 G2275:G2282" xr:uid="{C70B85EE-114A-4509-B141-028514B6B31A}">
      <formula1>41974</formula1>
    </dataValidation>
    <dataValidation operator="greaterThanOrEqual" allowBlank="1" showInputMessage="1" showErrorMessage="1" sqref="B2270 E2:E26 E986:E1014 E2231:E2233 E2247:E2273 E2284:E1048576 E28:E62 E64:E88 E90:E121 E123:E139 E141:E184 E186:E212 E214:E242 E244:E271 E273:E304 E306:E326 E328:E354 E356:E389 E391:E422 E424:E465 E467:E499 E501:E527 E529:E569 E571:E592 E594:E634 E636:E668 E670:E716 E718:E739 E741:E770 E772:E792 E794:E826 E828:E865 E867:E907 E909:E936 E938:E967 E969:E984 E1016:E1038 E1040:E1066 E1068:E1086 E1088:E1110 E1112:E1145 E1147:E1188 E1190:E1215 E1217:E1251 E1253:E1292 E1294:E1321 E1323:E1355 E1357:E1384 E1386:E1407 E1409:E1441 E1443:E1462 E1464:E1489 E1491:E1531 E1533:E1551 E1553:E1570 E1572:E1597 E1599:E1630 E1632:E1658 E1660:E1679 E1681:E1703 E1705:E1723 E1725:E1743 E1745:E1755 E1757:E1782 E1784:E1812 E1814:E1836 E1838:E1864 E1866:E1888 E1890:E1909 E1911:E1933 E1935:E1963 E1965:E1985 E1987:E2011 E2013:E2036 E2038:E2050 E2052:E2066 E2068:E2095 E2097:E2106 E2108:E2130 E2132:E2149 E2151:E2165 E2167:E2196 E2198:E2212 E2214:E2228 E2275:E2282" xr:uid="{B0EB25E4-E4C8-4A54-8756-75216C3BFB42}"/>
    <dataValidation type="whole" operator="greaterThan" allowBlank="1" showInputMessage="1" showErrorMessage="1" sqref="A2:A26 A2275:A2282 A29:A62 A65:A88 A91:A121 A124:A139 A142:A184 A187:A212 A215:A242 A245:A271 A274:A304 A307:A326 A329:A354 A357:A389 A392:A422 A425:A465 A468:A499 A502:A527 A530:A569 A572:A592 A595:A634 A637:A668 A671:A716 A719:A739 A742:A770 A773:A792 A795:A826 A829:A865 A868:A907 A910:A936 A939:A967 A970:A984 A987:A1014 A1017:A1038 A1041:A1066 A1069:A1086 A1089:A1110 A1113:A1145 A1148:A1188 A1191:A1215 A1218:A1251 A1254:A1292 A1295:A1321 A1324:A1355 A1358:A1384 A1387:A1407 A1410:A1441 A1444:A1462 A1465:A1489 A1492:A1531 A1534:A1551 A1554:A1570 A1573:A1597 A1600:A1630 A1633:A1658 A1661:A1679 A1682:A1703 A1706:A1723 A1726:A1743 A1746:A1755 A1758:A1782 A1785:A1812 A1815:A1836 A1839:A1864 A1867:A1888 A1891:A1909 A1912:A1933 A1936:A1963 A1966:A1985 A1988:A2011 A2014:A2036 A2039:A2050 A2053:A2066 A2069:A2095 A2098:A2106 A2109:A2130 A2133:A2149 A2152:A2165 A2168:A2196 A2199:A2212 A2215:A2229 A2232:A2245 A2248:A2273 A2284:A1048576" xr:uid="{3C56723B-B410-4AE6-87A7-E82C96D9F2DA}">
      <formula1>0</formula1>
    </dataValidation>
  </dataValidations>
  <pageMargins left="0" right="0" top="0" bottom="0" header="0" footer="0"/>
  <pageSetup paperSize="9" orientation="landscape" r:id="rId1"/>
  <legacyDrawing r:id="rId2"/>
  <tableParts count="8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59058-747C-487B-A11D-BE175713874F}">
  <dimension ref="A1:O2140"/>
  <sheetViews>
    <sheetView workbookViewId="0">
      <pane ySplit="1" topLeftCell="A2" activePane="bottomLeft" state="frozen"/>
      <selection pane="bottomLeft" activeCell="L12" sqref="L12"/>
    </sheetView>
  </sheetViews>
  <sheetFormatPr defaultColWidth="9.140625" defaultRowHeight="20.100000000000001" customHeight="1" x14ac:dyDescent="0.25"/>
  <cols>
    <col min="1" max="1" width="9.85546875" style="2" hidden="1" customWidth="1"/>
    <col min="2" max="2" width="7.85546875" style="2" bestFit="1" customWidth="1"/>
    <col min="3" max="3" width="11.5703125" style="129" bestFit="1" customWidth="1"/>
    <col min="4" max="4" width="38" style="2" customWidth="1"/>
    <col min="5" max="5" width="14.5703125" style="108" bestFit="1" customWidth="1"/>
    <col min="6" max="6" width="11.28515625" style="129" bestFit="1" customWidth="1"/>
    <col min="7" max="7" width="6" style="128" bestFit="1" customWidth="1"/>
    <col min="8" max="8" width="12.140625" style="129" customWidth="1"/>
    <col min="9" max="9" width="14.5703125" style="108" bestFit="1" customWidth="1"/>
    <col min="10" max="10" width="16.85546875" style="108" bestFit="1" customWidth="1"/>
    <col min="11" max="11" width="12.7109375" style="108" bestFit="1" customWidth="1"/>
    <col min="12" max="12" width="12" style="108" customWidth="1"/>
    <col min="13" max="13" width="14.5703125" style="108" bestFit="1" customWidth="1"/>
    <col min="14" max="14" width="12.7109375" style="2" bestFit="1" customWidth="1"/>
    <col min="15" max="15" width="14.7109375" style="2" bestFit="1" customWidth="1"/>
    <col min="16" max="16384" width="9.140625" style="2"/>
  </cols>
  <sheetData>
    <row r="1" spans="1:15" ht="20.100000000000001" customHeight="1" x14ac:dyDescent="0.25">
      <c r="A1" s="2" t="s">
        <v>1</v>
      </c>
      <c r="B1" s="2" t="s">
        <v>654</v>
      </c>
      <c r="C1" s="129" t="s">
        <v>0</v>
      </c>
      <c r="D1" s="2" t="s">
        <v>26</v>
      </c>
      <c r="E1" s="108" t="s">
        <v>2</v>
      </c>
      <c r="F1" s="129" t="s">
        <v>3</v>
      </c>
      <c r="G1" s="128" t="s">
        <v>652</v>
      </c>
      <c r="H1" s="129" t="s">
        <v>4</v>
      </c>
      <c r="I1" s="108" t="s">
        <v>132</v>
      </c>
      <c r="J1" s="108" t="s">
        <v>651</v>
      </c>
      <c r="K1" s="108" t="s">
        <v>187</v>
      </c>
      <c r="L1" s="108" t="s">
        <v>188</v>
      </c>
      <c r="M1" s="108" t="s">
        <v>129</v>
      </c>
      <c r="N1" s="108" t="s">
        <v>130</v>
      </c>
      <c r="O1" s="108" t="s">
        <v>653</v>
      </c>
    </row>
    <row r="2" spans="1:15" ht="20.100000000000001" customHeight="1" x14ac:dyDescent="0.25">
      <c r="A2" s="2">
        <v>388</v>
      </c>
      <c r="B2" s="2" t="str">
        <f>TEXT(Таблица97[[#This Row],[Дата]],"ГГ")&amp;RIGHT("000"&amp;Таблица97[[#This Row],[Номер]],4)</f>
        <v>150388</v>
      </c>
      <c r="C2" s="133">
        <v>42366</v>
      </c>
      <c r="D2" s="2" t="s">
        <v>30</v>
      </c>
      <c r="E2" s="108">
        <v>2112</v>
      </c>
      <c r="F2" s="129">
        <v>42369</v>
      </c>
      <c r="H2" s="129">
        <v>42384</v>
      </c>
      <c r="I2" s="108">
        <f t="shared" ref="I2" si="0">E2</f>
        <v>2112</v>
      </c>
      <c r="J2" s="108" t="str">
        <f>IF(Таблица97[[#This Row],[НК]]=1,Таблица97[[#This Row],[Продажа]],"")</f>
        <v/>
      </c>
      <c r="M2" s="108">
        <v>1315.91</v>
      </c>
      <c r="N2" s="108">
        <f>Таблица97[[#This Row],[Продажа]]-Таблица97[[#This Row],[Закупка]]</f>
        <v>796.08999999999992</v>
      </c>
      <c r="O2" s="108" t="str">
        <f>IF(Таблица97[[#This Row],[НК]]=1,Таблица97[[#This Row],[Маржа]],"")</f>
        <v/>
      </c>
    </row>
    <row r="3" spans="1:15" ht="20.100000000000001" customHeight="1" x14ac:dyDescent="0.25">
      <c r="A3" s="2">
        <v>389</v>
      </c>
      <c r="B3" s="2" t="str">
        <f>TEXT(Таблица97[[#This Row],[Дата]],"ГГ")&amp;RIGHT("000"&amp;Таблица97[[#This Row],[Номер]],4)</f>
        <v>150389</v>
      </c>
      <c r="C3" s="129">
        <v>42368</v>
      </c>
      <c r="D3" s="2" t="s">
        <v>91</v>
      </c>
      <c r="E3" s="108">
        <v>2488</v>
      </c>
      <c r="F3" s="129">
        <v>42380</v>
      </c>
      <c r="H3" s="129">
        <v>42381</v>
      </c>
      <c r="I3" s="108">
        <f t="shared" ref="I3:I16" si="1">E3</f>
        <v>2488</v>
      </c>
      <c r="J3" s="108" t="str">
        <f>IF(Таблица97[[#This Row],[НК]]=1,Таблица97[[#This Row],[Продажа]],"")</f>
        <v/>
      </c>
      <c r="M3" s="108">
        <v>1781</v>
      </c>
      <c r="N3" s="108">
        <f>Таблица97[[#This Row],[Продажа]]-Таблица97[[#This Row],[Закупка]]</f>
        <v>707</v>
      </c>
      <c r="O3" s="108" t="str">
        <f>IF(Таблица97[[#This Row],[НК]]=1,Таблица97[[#This Row],[Маржа]],"")</f>
        <v/>
      </c>
    </row>
    <row r="4" spans="1:15" ht="20.100000000000001" customHeight="1" x14ac:dyDescent="0.25">
      <c r="A4" s="2">
        <v>5</v>
      </c>
      <c r="B4" s="2" t="str">
        <f>TEXT(Таблица97[[#This Row],[Дата]],"ГГ")&amp;RIGHT("000"&amp;Таблица97[[#This Row],[Номер]],4)</f>
        <v>160005</v>
      </c>
      <c r="C4" s="129">
        <v>42383</v>
      </c>
      <c r="D4" s="2" t="s">
        <v>34</v>
      </c>
      <c r="E4" s="108">
        <v>1898.44</v>
      </c>
      <c r="F4" s="129">
        <v>42384</v>
      </c>
      <c r="H4" s="129">
        <v>42390</v>
      </c>
      <c r="I4" s="108">
        <f t="shared" si="1"/>
        <v>1898.44</v>
      </c>
      <c r="J4" s="108" t="str">
        <f>IF(Таблица97[[#This Row],[НК]]=1,Таблица97[[#This Row],[Продажа]],"")</f>
        <v/>
      </c>
      <c r="M4" s="108">
        <v>1320</v>
      </c>
      <c r="N4" s="108">
        <f>Таблица97[[#This Row],[Продажа]]-Таблица97[[#This Row],[Закупка]]</f>
        <v>578.44000000000005</v>
      </c>
      <c r="O4" s="108" t="str">
        <f>IF(Таблица97[[#This Row],[НК]]=1,Таблица97[[#This Row],[Маржа]],"")</f>
        <v/>
      </c>
    </row>
    <row r="5" spans="1:15" ht="20.100000000000001" customHeight="1" x14ac:dyDescent="0.25">
      <c r="A5" s="2">
        <v>6</v>
      </c>
      <c r="B5" s="2" t="str">
        <f>TEXT(Таблица97[[#This Row],[Дата]],"ГГ")&amp;RIGHT("000"&amp;Таблица97[[#This Row],[Номер]],4)</f>
        <v>160006</v>
      </c>
      <c r="C5" s="129">
        <v>42384</v>
      </c>
      <c r="D5" s="2" t="s">
        <v>50</v>
      </c>
      <c r="E5" s="108">
        <v>5379.86</v>
      </c>
      <c r="F5" s="129">
        <v>42387</v>
      </c>
      <c r="H5" s="129">
        <v>42388</v>
      </c>
      <c r="I5" s="108">
        <f t="shared" si="1"/>
        <v>5379.86</v>
      </c>
      <c r="J5" s="108" t="str">
        <f>IF(Таблица97[[#This Row],[НК]]=1,Таблица97[[#This Row],[Продажа]],"")</f>
        <v/>
      </c>
      <c r="M5" s="108">
        <v>3505</v>
      </c>
      <c r="N5" s="108">
        <f>Таблица97[[#This Row],[Продажа]]-Таблица97[[#This Row],[Закупка]]</f>
        <v>1874.8599999999997</v>
      </c>
      <c r="O5" s="108" t="str">
        <f>IF(Таблица97[[#This Row],[НК]]=1,Таблица97[[#This Row],[Маржа]],"")</f>
        <v/>
      </c>
    </row>
    <row r="6" spans="1:15" ht="20.100000000000001" customHeight="1" x14ac:dyDescent="0.25">
      <c r="A6" s="2">
        <v>7</v>
      </c>
      <c r="B6" s="2" t="str">
        <f>TEXT(Таблица97[[#This Row],[Дата]],"ГГ")&amp;RIGHT("000"&amp;Таблица97[[#This Row],[Номер]],4)</f>
        <v>160007</v>
      </c>
      <c r="C6" s="129">
        <v>42384</v>
      </c>
      <c r="D6" s="2" t="s">
        <v>5</v>
      </c>
      <c r="E6" s="108">
        <v>3892.65</v>
      </c>
      <c r="F6" s="129">
        <v>42387</v>
      </c>
      <c r="H6" s="129">
        <v>42395</v>
      </c>
      <c r="I6" s="108">
        <f t="shared" si="1"/>
        <v>3892.65</v>
      </c>
      <c r="J6" s="108" t="str">
        <f>IF(Таблица97[[#This Row],[НК]]=1,Таблица97[[#This Row],[Продажа]],"")</f>
        <v/>
      </c>
      <c r="M6" s="108">
        <v>2550</v>
      </c>
      <c r="N6" s="108">
        <f>Таблица97[[#This Row],[Продажа]]-Таблица97[[#This Row],[Закупка]]</f>
        <v>1342.65</v>
      </c>
      <c r="O6" s="108" t="str">
        <f>IF(Таблица97[[#This Row],[НК]]=1,Таблица97[[#This Row],[Маржа]],"")</f>
        <v/>
      </c>
    </row>
    <row r="7" spans="1:15" ht="20.100000000000001" customHeight="1" x14ac:dyDescent="0.25">
      <c r="A7" s="2">
        <v>11</v>
      </c>
      <c r="B7" s="2" t="str">
        <f>TEXT(Таблица97[[#This Row],[Дата]],"ГГ")&amp;RIGHT("000"&amp;Таблица97[[#This Row],[Номер]],4)</f>
        <v>160011</v>
      </c>
      <c r="C7" s="129">
        <v>42388</v>
      </c>
      <c r="D7" s="2" t="s">
        <v>116</v>
      </c>
      <c r="E7" s="108">
        <v>4590</v>
      </c>
      <c r="F7" s="129">
        <v>42388</v>
      </c>
      <c r="G7" s="128">
        <v>1</v>
      </c>
      <c r="H7" s="129">
        <v>42389</v>
      </c>
      <c r="I7" s="108">
        <f t="shared" si="1"/>
        <v>4590</v>
      </c>
      <c r="J7" s="108">
        <f>IF(Таблица97[[#This Row],[НК]]=1,Таблица97[[#This Row],[Продажа]],"")</f>
        <v>4590</v>
      </c>
      <c r="M7" s="108">
        <v>3356</v>
      </c>
      <c r="N7" s="108">
        <f>Таблица97[[#This Row],[Продажа]]-Таблица97[[#This Row],[Закупка]]</f>
        <v>1234</v>
      </c>
      <c r="O7" s="108">
        <f>IF(Таблица97[[#This Row],[НК]]=1,Таблица97[[#This Row],[Маржа]],"")</f>
        <v>1234</v>
      </c>
    </row>
    <row r="8" spans="1:15" ht="20.100000000000001" customHeight="1" x14ac:dyDescent="0.25">
      <c r="A8" s="2">
        <v>9</v>
      </c>
      <c r="B8" s="2" t="str">
        <f>TEXT(Таблица97[[#This Row],[Дата]],"ГГ")&amp;RIGHT("000"&amp;Таблица97[[#This Row],[Номер]],4)</f>
        <v>160009</v>
      </c>
      <c r="C8" s="129">
        <v>42387</v>
      </c>
      <c r="D8" s="2" t="s">
        <v>117</v>
      </c>
      <c r="E8" s="108">
        <v>5541.45</v>
      </c>
      <c r="F8" s="129">
        <v>42389</v>
      </c>
      <c r="G8" s="128">
        <v>1</v>
      </c>
      <c r="H8" s="129">
        <v>42391</v>
      </c>
      <c r="I8" s="108">
        <f t="shared" si="1"/>
        <v>5541.45</v>
      </c>
      <c r="J8" s="108">
        <f>IF(Таблица97[[#This Row],[НК]]=1,Таблица97[[#This Row],[Продажа]],"")</f>
        <v>5541.45</v>
      </c>
      <c r="M8" s="108">
        <v>3542</v>
      </c>
      <c r="N8" s="108">
        <f>Таблица97[[#This Row],[Продажа]]-Таблица97[[#This Row],[Закупка]]</f>
        <v>1999.4499999999998</v>
      </c>
      <c r="O8" s="108">
        <f>IF(Таблица97[[#This Row],[НК]]=1,Таблица97[[#This Row],[Маржа]],"")</f>
        <v>1999.4499999999998</v>
      </c>
    </row>
    <row r="9" spans="1:15" ht="20.100000000000001" customHeight="1" x14ac:dyDescent="0.25">
      <c r="A9" s="2">
        <v>381</v>
      </c>
      <c r="B9" s="2" t="str">
        <f>TEXT(Таблица97[[#This Row],[Дата]],"ГГ")&amp;RIGHT("000"&amp;Таблица97[[#This Row],[Номер]],4)</f>
        <v>150381</v>
      </c>
      <c r="C9" s="129">
        <v>42361</v>
      </c>
      <c r="D9" s="2" t="s">
        <v>103</v>
      </c>
      <c r="E9" s="108">
        <v>37813.65</v>
      </c>
      <c r="F9" s="129">
        <v>42391</v>
      </c>
      <c r="H9" s="129">
        <v>42394</v>
      </c>
      <c r="I9" s="108">
        <f t="shared" si="1"/>
        <v>37813.65</v>
      </c>
      <c r="J9" s="108" t="str">
        <f>IF(Таблица97[[#This Row],[НК]]=1,Таблица97[[#This Row],[Продажа]],"")</f>
        <v/>
      </c>
      <c r="M9" s="108">
        <v>28192</v>
      </c>
      <c r="N9" s="108">
        <f>Таблица97[[#This Row],[Продажа]]-Таблица97[[#This Row],[Закупка]]</f>
        <v>9621.6500000000015</v>
      </c>
      <c r="O9" s="108" t="str">
        <f>IF(Таблица97[[#This Row],[НК]]=1,Таблица97[[#This Row],[Маржа]],"")</f>
        <v/>
      </c>
    </row>
    <row r="10" spans="1:15" ht="20.100000000000001" customHeight="1" x14ac:dyDescent="0.25">
      <c r="A10" s="2">
        <v>374</v>
      </c>
      <c r="B10" s="2" t="str">
        <f>TEXT(Таблица97[[#This Row],[Дата]],"ГГ")&amp;RIGHT("000"&amp;Таблица97[[#This Row],[Номер]],4)</f>
        <v>150374</v>
      </c>
      <c r="C10" s="129">
        <v>42359</v>
      </c>
      <c r="D10" s="2" t="s">
        <v>108</v>
      </c>
      <c r="E10" s="108">
        <v>13509.53</v>
      </c>
      <c r="F10" s="129">
        <v>42391</v>
      </c>
      <c r="H10" s="129">
        <v>42394</v>
      </c>
      <c r="I10" s="108">
        <f t="shared" si="1"/>
        <v>13509.53</v>
      </c>
      <c r="J10" s="108" t="str">
        <f>IF(Таблица97[[#This Row],[НК]]=1,Таблица97[[#This Row],[Продажа]],"")</f>
        <v/>
      </c>
      <c r="M10" s="108">
        <v>10663</v>
      </c>
      <c r="N10" s="108">
        <f>Таблица97[[#This Row],[Продажа]]-Таблица97[[#This Row],[Закупка]]</f>
        <v>2846.5300000000007</v>
      </c>
      <c r="O10" s="108" t="str">
        <f>IF(Таблица97[[#This Row],[НК]]=1,Таблица97[[#This Row],[Маржа]],"")</f>
        <v/>
      </c>
    </row>
    <row r="11" spans="1:15" ht="20.100000000000001" customHeight="1" x14ac:dyDescent="0.25">
      <c r="A11" s="2">
        <v>10</v>
      </c>
      <c r="B11" s="2" t="str">
        <f>TEXT(Таблица97[[#This Row],[Дата]],"ГГ")&amp;RIGHT("000"&amp;Таблица97[[#This Row],[Номер]],4)</f>
        <v>160010</v>
      </c>
      <c r="C11" s="129">
        <v>42387</v>
      </c>
      <c r="D11" s="2" t="s">
        <v>108</v>
      </c>
      <c r="E11" s="108">
        <v>7000</v>
      </c>
      <c r="F11" s="129">
        <v>42391</v>
      </c>
      <c r="H11" s="129">
        <v>42394</v>
      </c>
      <c r="I11" s="108">
        <f t="shared" si="1"/>
        <v>7000</v>
      </c>
      <c r="J11" s="108" t="str">
        <f>IF(Таблица97[[#This Row],[НК]]=1,Таблица97[[#This Row],[Продажа]],"")</f>
        <v/>
      </c>
      <c r="L11" s="108">
        <v>600</v>
      </c>
      <c r="M11" s="108">
        <v>3384.62</v>
      </c>
      <c r="N11" s="108">
        <f>Таблица97[[#This Row],[Продажа]]-Таблица97[[#This Row],[Закупка]]</f>
        <v>3615.38</v>
      </c>
      <c r="O11" s="108" t="str">
        <f>IF(Таблица97[[#This Row],[НК]]=1,Таблица97[[#This Row],[Маржа]],"")</f>
        <v/>
      </c>
    </row>
    <row r="12" spans="1:15" ht="20.100000000000001" customHeight="1" x14ac:dyDescent="0.25">
      <c r="A12" s="2">
        <v>17</v>
      </c>
      <c r="B12" s="2" t="str">
        <f>TEXT(Таблица97[[#This Row],[Дата]],"ГГ")&amp;RIGHT("000"&amp;Таблица97[[#This Row],[Номер]],4)</f>
        <v>160017</v>
      </c>
      <c r="C12" s="129">
        <v>42390</v>
      </c>
      <c r="D12" s="2" t="s">
        <v>16</v>
      </c>
      <c r="E12" s="108">
        <v>9436.42</v>
      </c>
      <c r="F12" s="129">
        <v>42391</v>
      </c>
      <c r="H12" s="129">
        <v>42394</v>
      </c>
      <c r="I12" s="108">
        <f t="shared" si="1"/>
        <v>9436.42</v>
      </c>
      <c r="J12" s="108" t="str">
        <f>IF(Таблица97[[#This Row],[НК]]=1,Таблица97[[#This Row],[Продажа]],"")</f>
        <v/>
      </c>
      <c r="M12" s="108">
        <v>5221.8</v>
      </c>
      <c r="N12" s="108">
        <f>Таблица97[[#This Row],[Продажа]]-Таблица97[[#This Row],[Закупка]]</f>
        <v>4214.62</v>
      </c>
      <c r="O12" s="108" t="str">
        <f>IF(Таблица97[[#This Row],[НК]]=1,Таблица97[[#This Row],[Маржа]],"")</f>
        <v/>
      </c>
    </row>
    <row r="13" spans="1:15" ht="20.100000000000001" customHeight="1" x14ac:dyDescent="0.25">
      <c r="A13" s="2">
        <v>19</v>
      </c>
      <c r="B13" s="2" t="str">
        <f>TEXT(Таблица97[[#This Row],[Дата]],"ГГ")&amp;RIGHT("000"&amp;Таблица97[[#This Row],[Номер]],4)</f>
        <v>160019</v>
      </c>
      <c r="C13" s="129">
        <v>42391</v>
      </c>
      <c r="D13" s="2" t="s">
        <v>118</v>
      </c>
      <c r="E13" s="108">
        <v>11960</v>
      </c>
      <c r="F13" s="129">
        <v>42394</v>
      </c>
      <c r="G13" s="128">
        <v>1</v>
      </c>
      <c r="H13" s="129">
        <v>42394</v>
      </c>
      <c r="I13" s="108">
        <f t="shared" si="1"/>
        <v>11960</v>
      </c>
      <c r="J13" s="108">
        <f>IF(Таблица97[[#This Row],[НК]]=1,Таблица97[[#This Row],[Продажа]],"")</f>
        <v>11960</v>
      </c>
      <c r="M13" s="108">
        <v>7890</v>
      </c>
      <c r="N13" s="108">
        <f>Таблица97[[#This Row],[Продажа]]-Таблица97[[#This Row],[Закупка]]</f>
        <v>4070</v>
      </c>
      <c r="O13" s="108">
        <f>IF(Таблица97[[#This Row],[НК]]=1,Таблица97[[#This Row],[Маржа]],"")</f>
        <v>4070</v>
      </c>
    </row>
    <row r="14" spans="1:15" ht="20.100000000000001" customHeight="1" x14ac:dyDescent="0.25">
      <c r="A14" s="2">
        <v>27</v>
      </c>
      <c r="B14" s="2" t="str">
        <f>TEXT(Таблица97[[#This Row],[Дата]],"ГГ")&amp;RIGHT("000"&amp;Таблица97[[#This Row],[Номер]],4)</f>
        <v>160027</v>
      </c>
      <c r="C14" s="129">
        <v>42395</v>
      </c>
      <c r="D14" s="2" t="s">
        <v>65</v>
      </c>
      <c r="E14" s="108">
        <v>4900</v>
      </c>
      <c r="F14" s="129">
        <v>42396</v>
      </c>
      <c r="H14" s="129">
        <v>42396</v>
      </c>
      <c r="I14" s="108">
        <f t="shared" si="1"/>
        <v>4900</v>
      </c>
      <c r="J14" s="108" t="str">
        <f>IF(Таблица97[[#This Row],[НК]]=1,Таблица97[[#This Row],[Продажа]],"")</f>
        <v/>
      </c>
      <c r="M14" s="108">
        <v>4348</v>
      </c>
      <c r="N14" s="108">
        <f>Таблица97[[#This Row],[Продажа]]-Таблица97[[#This Row],[Закупка]]</f>
        <v>552</v>
      </c>
      <c r="O14" s="108" t="str">
        <f>IF(Таблица97[[#This Row],[НК]]=1,Таблица97[[#This Row],[Маржа]],"")</f>
        <v/>
      </c>
    </row>
    <row r="15" spans="1:15" ht="20.100000000000001" customHeight="1" x14ac:dyDescent="0.25">
      <c r="A15" s="2">
        <v>30</v>
      </c>
      <c r="B15" s="2" t="str">
        <f>TEXT(Таблица97[[#This Row],[Дата]],"ГГ")&amp;RIGHT("000"&amp;Таблица97[[#This Row],[Номер]],4)</f>
        <v>160030</v>
      </c>
      <c r="C15" s="129">
        <v>42396</v>
      </c>
      <c r="D15" s="2" t="s">
        <v>91</v>
      </c>
      <c r="E15" s="108">
        <v>5439.84</v>
      </c>
      <c r="F15" s="129">
        <v>42397</v>
      </c>
      <c r="H15" s="129">
        <v>42405</v>
      </c>
      <c r="I15" s="108">
        <f t="shared" si="1"/>
        <v>5439.84</v>
      </c>
      <c r="J15" s="108" t="str">
        <f>IF(Таблица97[[#This Row],[НК]]=1,Таблица97[[#This Row],[Продажа]],"")</f>
        <v/>
      </c>
      <c r="M15" s="108">
        <v>3486</v>
      </c>
      <c r="N15" s="108">
        <f>Таблица97[[#This Row],[Продажа]]-Таблица97[[#This Row],[Закупка]]</f>
        <v>1953.8400000000001</v>
      </c>
      <c r="O15" s="108" t="str">
        <f>IF(Таблица97[[#This Row],[НК]]=1,Таблица97[[#This Row],[Маржа]],"")</f>
        <v/>
      </c>
    </row>
    <row r="16" spans="1:15" ht="20.100000000000001" customHeight="1" x14ac:dyDescent="0.25">
      <c r="A16" s="2">
        <v>31</v>
      </c>
      <c r="B16" s="2" t="str">
        <f>TEXT(Таблица97[[#This Row],[Дата]],"ГГ")&amp;RIGHT("000"&amp;Таблица97[[#This Row],[Номер]],4)</f>
        <v>160031</v>
      </c>
      <c r="C16" s="129">
        <v>42397</v>
      </c>
      <c r="D16" s="2" t="s">
        <v>42</v>
      </c>
      <c r="E16" s="108">
        <v>12250</v>
      </c>
      <c r="F16" s="129">
        <v>42398</v>
      </c>
      <c r="H16" s="129">
        <v>42401</v>
      </c>
      <c r="I16" s="108">
        <f t="shared" si="1"/>
        <v>12250</v>
      </c>
      <c r="J16" s="108" t="str">
        <f>IF(Таблица97[[#This Row],[НК]]=1,Таблица97[[#This Row],[Продажа]],"")</f>
        <v/>
      </c>
      <c r="M16" s="108">
        <v>10870</v>
      </c>
      <c r="N16" s="108">
        <f>Таблица97[[#This Row],[Продажа]]-Таблица97[[#This Row],[Закупка]]</f>
        <v>1380</v>
      </c>
      <c r="O16" s="108" t="str">
        <f>IF(Таблица97[[#This Row],[НК]]=1,Таблица97[[#This Row],[Маржа]],"")</f>
        <v/>
      </c>
    </row>
    <row r="17" spans="1:15" ht="20.100000000000001" customHeight="1" x14ac:dyDescent="0.25">
      <c r="A17" s="2">
        <v>1</v>
      </c>
      <c r="B17" s="2" t="str">
        <f>TEXT(Таблица97[[#This Row],[Дата]],"ГГ")&amp;RIGHT("000"&amp;Таблица97[[#This Row],[Номер]],4)</f>
        <v>160001</v>
      </c>
      <c r="C17" s="129">
        <v>42380</v>
      </c>
      <c r="D17" s="2" t="s">
        <v>99</v>
      </c>
      <c r="E17" s="108">
        <v>110643.69</v>
      </c>
      <c r="F17" s="129">
        <v>42405</v>
      </c>
      <c r="H17" s="129">
        <v>42390</v>
      </c>
      <c r="I17" s="108">
        <f t="shared" ref="I17:I33" si="2">E17</f>
        <v>110643.69</v>
      </c>
      <c r="J17" s="108" t="str">
        <f>IF(Таблица97[[#This Row],[НК]]=1,Таблица97[[#This Row],[Продажа]],"")</f>
        <v/>
      </c>
      <c r="K17" s="108">
        <v>18000</v>
      </c>
      <c r="L17" s="108">
        <f>6*300</f>
        <v>1800</v>
      </c>
      <c r="M17" s="108">
        <v>39625.83</v>
      </c>
      <c r="N17" s="108">
        <f>Таблица97[[#This Row],[Продажа]]-Таблица97[[#This Row],[Закупка]]</f>
        <v>71017.86</v>
      </c>
      <c r="O17" s="108" t="str">
        <f>IF(Таблица97[[#This Row],[НК]]=1,Таблица97[[#This Row],[Маржа]],"")</f>
        <v/>
      </c>
    </row>
    <row r="18" spans="1:15" ht="20.100000000000001" customHeight="1" x14ac:dyDescent="0.25">
      <c r="A18" s="2">
        <v>36</v>
      </c>
      <c r="B18" s="2" t="str">
        <f>TEXT(Таблица97[[#This Row],[Дата]],"ГГ")&amp;RIGHT("000"&amp;Таблица97[[#This Row],[Номер]],4)</f>
        <v>160036</v>
      </c>
      <c r="C18" s="129">
        <v>42402</v>
      </c>
      <c r="D18" s="2" t="s">
        <v>91</v>
      </c>
      <c r="E18" s="108">
        <v>2602</v>
      </c>
      <c r="F18" s="129">
        <v>42403</v>
      </c>
      <c r="H18" s="129">
        <v>42404</v>
      </c>
      <c r="I18" s="108">
        <f t="shared" si="2"/>
        <v>2602</v>
      </c>
      <c r="J18" s="108" t="str">
        <f>IF(Таблица97[[#This Row],[НК]]=1,Таблица97[[#This Row],[Продажа]],"")</f>
        <v/>
      </c>
      <c r="M18" s="108">
        <v>1800</v>
      </c>
      <c r="N18" s="108">
        <f>Таблица97[[#This Row],[Продажа]]-Таблица97[[#This Row],[Закупка]]</f>
        <v>802</v>
      </c>
      <c r="O18" s="108" t="str">
        <f>IF(Таблица97[[#This Row],[НК]]=1,Таблица97[[#This Row],[Маржа]],"")</f>
        <v/>
      </c>
    </row>
    <row r="19" spans="1:15" ht="20.100000000000001" customHeight="1" x14ac:dyDescent="0.25">
      <c r="A19" s="2">
        <v>15</v>
      </c>
      <c r="B19" s="2" t="str">
        <f>TEXT(Таблица97[[#This Row],[Дата]],"ГГ")&amp;RIGHT("000"&amp;Таблица97[[#This Row],[Номер]],4)</f>
        <v>160015</v>
      </c>
      <c r="C19" s="129">
        <v>42389</v>
      </c>
      <c r="D19" s="2" t="s">
        <v>66</v>
      </c>
      <c r="E19" s="108">
        <v>22546.15</v>
      </c>
      <c r="F19" s="129">
        <v>42405</v>
      </c>
      <c r="H19" s="129">
        <v>42418</v>
      </c>
      <c r="I19" s="108">
        <f t="shared" si="2"/>
        <v>22546.15</v>
      </c>
      <c r="J19" s="108" t="str">
        <f>IF(Таблица97[[#This Row],[НК]]=1,Таблица97[[#This Row],[Продажа]],"")</f>
        <v/>
      </c>
      <c r="M19" s="108">
        <v>12571</v>
      </c>
      <c r="N19" s="108">
        <f>Таблица97[[#This Row],[Продажа]]-Таблица97[[#This Row],[Закупка]]</f>
        <v>9975.1500000000015</v>
      </c>
      <c r="O19" s="108" t="str">
        <f>IF(Таблица97[[#This Row],[НК]]=1,Таблица97[[#This Row],[Маржа]],"")</f>
        <v/>
      </c>
    </row>
    <row r="20" spans="1:15" ht="20.100000000000001" customHeight="1" x14ac:dyDescent="0.25">
      <c r="A20" s="2">
        <v>42</v>
      </c>
      <c r="B20" s="2" t="str">
        <f>TEXT(Таблица97[[#This Row],[Дата]],"ГГ")&amp;RIGHT("000"&amp;Таблица97[[#This Row],[Номер]],4)</f>
        <v>160042</v>
      </c>
      <c r="C20" s="129">
        <v>42405</v>
      </c>
      <c r="D20" s="2" t="s">
        <v>42</v>
      </c>
      <c r="E20" s="108">
        <v>230580</v>
      </c>
      <c r="F20" s="129">
        <v>42409</v>
      </c>
      <c r="H20" s="129">
        <v>42410</v>
      </c>
      <c r="I20" s="108">
        <f t="shared" si="2"/>
        <v>230580</v>
      </c>
      <c r="J20" s="108" t="str">
        <f>IF(Таблица97[[#This Row],[НК]]=1,Таблица97[[#This Row],[Продажа]],"")</f>
        <v/>
      </c>
      <c r="M20" s="108">
        <v>171825.04</v>
      </c>
      <c r="N20" s="108">
        <f>Таблица97[[#This Row],[Продажа]]-Таблица97[[#This Row],[Закупка]]</f>
        <v>58754.959999999992</v>
      </c>
      <c r="O20" s="108" t="str">
        <f>IF(Таблица97[[#This Row],[НК]]=1,Таблица97[[#This Row],[Маржа]],"")</f>
        <v/>
      </c>
    </row>
    <row r="21" spans="1:15" ht="20.100000000000001" customHeight="1" x14ac:dyDescent="0.25">
      <c r="A21" s="2">
        <v>37</v>
      </c>
      <c r="B21" s="2" t="str">
        <f>TEXT(Таблица97[[#This Row],[Дата]],"ГГ")&amp;RIGHT("000"&amp;Таблица97[[#This Row],[Номер]],4)</f>
        <v>160037</v>
      </c>
      <c r="C21" s="129">
        <v>42403</v>
      </c>
      <c r="D21" s="2" t="s">
        <v>65</v>
      </c>
      <c r="E21" s="108">
        <v>47737.52</v>
      </c>
      <c r="F21" s="129">
        <v>42410</v>
      </c>
      <c r="H21" s="129">
        <v>42410</v>
      </c>
      <c r="I21" s="108">
        <f t="shared" si="2"/>
        <v>47737.52</v>
      </c>
      <c r="J21" s="108" t="str">
        <f>IF(Таблица97[[#This Row],[НК]]=1,Таблица97[[#This Row],[Продажа]],"")</f>
        <v/>
      </c>
      <c r="M21" s="108">
        <v>35976</v>
      </c>
      <c r="N21" s="108">
        <f>Таблица97[[#This Row],[Продажа]]-Таблица97[[#This Row],[Закупка]]</f>
        <v>11761.519999999997</v>
      </c>
      <c r="O21" s="108" t="str">
        <f>IF(Таблица97[[#This Row],[НК]]=1,Таблица97[[#This Row],[Маржа]],"")</f>
        <v/>
      </c>
    </row>
    <row r="22" spans="1:15" ht="20.100000000000001" customHeight="1" x14ac:dyDescent="0.25">
      <c r="A22" s="2">
        <v>46</v>
      </c>
      <c r="B22" s="2" t="str">
        <f>TEXT(Таблица97[[#This Row],[Дата]],"ГГ")&amp;RIGHT("000"&amp;Таблица97[[#This Row],[Номер]],4)</f>
        <v>160046</v>
      </c>
      <c r="C22" s="129">
        <v>42409</v>
      </c>
      <c r="D22" s="2" t="s">
        <v>119</v>
      </c>
      <c r="E22" s="108">
        <v>91916</v>
      </c>
      <c r="F22" s="129">
        <v>42411</v>
      </c>
      <c r="G22" s="128">
        <v>1</v>
      </c>
      <c r="H22" s="129">
        <v>42411</v>
      </c>
      <c r="I22" s="108">
        <f t="shared" si="2"/>
        <v>91916</v>
      </c>
      <c r="J22" s="108">
        <f>IF(Таблица97[[#This Row],[НК]]=1,Таблица97[[#This Row],[Продажа]],"")</f>
        <v>91916</v>
      </c>
      <c r="M22" s="108">
        <v>67858.490000000005</v>
      </c>
      <c r="N22" s="108">
        <f>Таблица97[[#This Row],[Продажа]]-Таблица97[[#This Row],[Закупка]]</f>
        <v>24057.509999999995</v>
      </c>
      <c r="O22" s="108">
        <f>IF(Таблица97[[#This Row],[НК]]=1,Таблица97[[#This Row],[Маржа]],"")</f>
        <v>24057.509999999995</v>
      </c>
    </row>
    <row r="23" spans="1:15" ht="20.100000000000001" customHeight="1" x14ac:dyDescent="0.25">
      <c r="A23" s="2">
        <v>12</v>
      </c>
      <c r="B23" s="2" t="str">
        <f>TEXT(Таблица97[[#This Row],[Дата]],"ГГ")&amp;RIGHT("000"&amp;Таблица97[[#This Row],[Номер]],4)</f>
        <v>160012</v>
      </c>
      <c r="C23" s="129">
        <v>42388</v>
      </c>
      <c r="D23" s="2" t="s">
        <v>120</v>
      </c>
      <c r="E23" s="108">
        <v>93165.63</v>
      </c>
      <c r="F23" s="129">
        <v>42415</v>
      </c>
      <c r="G23" s="128">
        <v>1</v>
      </c>
      <c r="H23" s="129">
        <v>42419</v>
      </c>
      <c r="I23" s="108">
        <f t="shared" si="2"/>
        <v>93165.63</v>
      </c>
      <c r="J23" s="108">
        <f>IF(Таблица97[[#This Row],[НК]]=1,Таблица97[[#This Row],[Продажа]],"")</f>
        <v>93165.63</v>
      </c>
      <c r="M23" s="108">
        <v>75819.12</v>
      </c>
      <c r="N23" s="108">
        <f>Таблица97[[#This Row],[Продажа]]-Таблица97[[#This Row],[Закупка]]</f>
        <v>17346.510000000009</v>
      </c>
      <c r="O23" s="108">
        <f>IF(Таблица97[[#This Row],[НК]]=1,Таблица97[[#This Row],[Маржа]],"")</f>
        <v>17346.510000000009</v>
      </c>
    </row>
    <row r="24" spans="1:15" ht="20.100000000000001" customHeight="1" x14ac:dyDescent="0.25">
      <c r="A24" s="2">
        <v>52</v>
      </c>
      <c r="B24" s="2" t="str">
        <f>TEXT(Таблица97[[#This Row],[Дата]],"ГГ")&amp;RIGHT("000"&amp;Таблица97[[#This Row],[Номер]],4)</f>
        <v>160052</v>
      </c>
      <c r="C24" s="129">
        <v>42412</v>
      </c>
      <c r="D24" s="2" t="s">
        <v>121</v>
      </c>
      <c r="E24" s="108">
        <v>7176.69</v>
      </c>
      <c r="F24" s="129">
        <v>42416</v>
      </c>
      <c r="G24" s="128">
        <v>1</v>
      </c>
      <c r="H24" s="129">
        <v>42417</v>
      </c>
      <c r="I24" s="108">
        <f t="shared" si="2"/>
        <v>7176.69</v>
      </c>
      <c r="J24" s="108">
        <f>IF(Таблица97[[#This Row],[НК]]=1,Таблица97[[#This Row],[Продажа]],"")</f>
        <v>7176.69</v>
      </c>
      <c r="M24" s="108">
        <v>4962</v>
      </c>
      <c r="N24" s="108">
        <f>Таблица97[[#This Row],[Продажа]]-Таблица97[[#This Row],[Закупка]]</f>
        <v>2214.6899999999996</v>
      </c>
      <c r="O24" s="108">
        <f>IF(Таблица97[[#This Row],[НК]]=1,Таблица97[[#This Row],[Маржа]],"")</f>
        <v>2214.6899999999996</v>
      </c>
    </row>
    <row r="25" spans="1:15" ht="20.100000000000001" customHeight="1" x14ac:dyDescent="0.25">
      <c r="A25" s="2">
        <v>59</v>
      </c>
      <c r="B25" s="2" t="str">
        <f>TEXT(Таблица97[[#This Row],[Дата]],"ГГ")&amp;RIGHT("000"&amp;Таблица97[[#This Row],[Номер]],4)</f>
        <v>160059</v>
      </c>
      <c r="C25" s="129">
        <v>42416</v>
      </c>
      <c r="D25" s="2" t="s">
        <v>102</v>
      </c>
      <c r="E25" s="108">
        <v>5991.38</v>
      </c>
      <c r="F25" s="129">
        <v>42416</v>
      </c>
      <c r="H25" s="129">
        <v>42416</v>
      </c>
      <c r="I25" s="108">
        <f t="shared" si="2"/>
        <v>5991.38</v>
      </c>
      <c r="J25" s="108" t="str">
        <f>IF(Таблица97[[#This Row],[НК]]=1,Таблица97[[#This Row],[Продажа]],"")</f>
        <v/>
      </c>
      <c r="M25" s="108">
        <v>3782</v>
      </c>
      <c r="N25" s="108">
        <f>Таблица97[[#This Row],[Продажа]]-Таблица97[[#This Row],[Закупка]]</f>
        <v>2209.38</v>
      </c>
      <c r="O25" s="108" t="str">
        <f>IF(Таблица97[[#This Row],[НК]]=1,Таблица97[[#This Row],[Маржа]],"")</f>
        <v/>
      </c>
    </row>
    <row r="26" spans="1:15" ht="20.100000000000001" customHeight="1" x14ac:dyDescent="0.25">
      <c r="A26" s="2">
        <v>47</v>
      </c>
      <c r="B26" s="2" t="str">
        <f>TEXT(Таблица97[[#This Row],[Дата]],"ГГ")&amp;RIGHT("000"&amp;Таблица97[[#This Row],[Номер]],4)</f>
        <v>160047</v>
      </c>
      <c r="C26" s="129">
        <v>42411</v>
      </c>
      <c r="D26" s="2" t="s">
        <v>122</v>
      </c>
      <c r="E26" s="108">
        <v>9432.16</v>
      </c>
      <c r="F26" s="129">
        <v>42416</v>
      </c>
      <c r="H26" s="129">
        <v>42418</v>
      </c>
      <c r="I26" s="108">
        <f t="shared" si="2"/>
        <v>9432.16</v>
      </c>
      <c r="J26" s="108" t="str">
        <f>IF(Таблица97[[#This Row],[НК]]=1,Таблица97[[#This Row],[Продажа]],"")</f>
        <v/>
      </c>
      <c r="M26" s="108">
        <v>6366.91</v>
      </c>
      <c r="N26" s="108">
        <f>Таблица97[[#This Row],[Продажа]]-Таблица97[[#This Row],[Закупка]]</f>
        <v>3065.25</v>
      </c>
      <c r="O26" s="108" t="str">
        <f>IF(Таблица97[[#This Row],[НК]]=1,Таблица97[[#This Row],[Маржа]],"")</f>
        <v/>
      </c>
    </row>
    <row r="27" spans="1:15" ht="20.100000000000001" customHeight="1" x14ac:dyDescent="0.25">
      <c r="A27" s="2">
        <v>55</v>
      </c>
      <c r="B27" s="2" t="str">
        <f>TEXT(Таблица97[[#This Row],[Дата]],"ГГ")&amp;RIGHT("000"&amp;Таблица97[[#This Row],[Номер]],4)</f>
        <v>160055</v>
      </c>
      <c r="C27" s="129">
        <v>42412</v>
      </c>
      <c r="D27" s="2" t="s">
        <v>16</v>
      </c>
      <c r="E27" s="108">
        <v>5379.86</v>
      </c>
      <c r="F27" s="129">
        <v>42417</v>
      </c>
      <c r="H27" s="129">
        <v>42418</v>
      </c>
      <c r="I27" s="108">
        <f t="shared" si="2"/>
        <v>5379.86</v>
      </c>
      <c r="J27" s="108" t="str">
        <f>IF(Таблица97[[#This Row],[НК]]=1,Таблица97[[#This Row],[Продажа]],"")</f>
        <v/>
      </c>
      <c r="M27" s="108">
        <v>3505</v>
      </c>
      <c r="N27" s="108">
        <f>Таблица97[[#This Row],[Продажа]]-Таблица97[[#This Row],[Закупка]]</f>
        <v>1874.8599999999997</v>
      </c>
      <c r="O27" s="108" t="str">
        <f>IF(Таблица97[[#This Row],[НК]]=1,Таблица97[[#This Row],[Маржа]],"")</f>
        <v/>
      </c>
    </row>
    <row r="28" spans="1:15" ht="20.100000000000001" customHeight="1" x14ac:dyDescent="0.25">
      <c r="A28" s="2">
        <v>69</v>
      </c>
      <c r="B28" s="2" t="str">
        <f>TEXT(Таблица97[[#This Row],[Дата]],"ГГ")&amp;RIGHT("000"&amp;Таблица97[[#This Row],[Номер]],4)</f>
        <v>160069</v>
      </c>
      <c r="C28" s="129">
        <v>42419</v>
      </c>
      <c r="D28" s="2" t="s">
        <v>56</v>
      </c>
      <c r="E28" s="108">
        <v>12250</v>
      </c>
      <c r="F28" s="129">
        <v>42426</v>
      </c>
      <c r="H28" s="129">
        <v>42419</v>
      </c>
      <c r="I28" s="108">
        <f t="shared" si="2"/>
        <v>12250</v>
      </c>
      <c r="J28" s="108" t="str">
        <f>IF(Таблица97[[#This Row],[НК]]=1,Таблица97[[#This Row],[Продажа]],"")</f>
        <v/>
      </c>
      <c r="M28" s="108">
        <v>10870</v>
      </c>
      <c r="N28" s="108">
        <f>Таблица97[[#This Row],[Продажа]]-Таблица97[[#This Row],[Закупка]]</f>
        <v>1380</v>
      </c>
      <c r="O28" s="108" t="str">
        <f>IF(Таблица97[[#This Row],[НК]]=1,Таблица97[[#This Row],[Маржа]],"")</f>
        <v/>
      </c>
    </row>
    <row r="29" spans="1:15" ht="20.100000000000001" customHeight="1" x14ac:dyDescent="0.25">
      <c r="A29" s="2">
        <v>68</v>
      </c>
      <c r="B29" s="2" t="str">
        <f>TEXT(Таблица97[[#This Row],[Дата]],"ГГ")&amp;RIGHT("000"&amp;Таблица97[[#This Row],[Номер]],4)</f>
        <v>160068</v>
      </c>
      <c r="C29" s="129">
        <v>42419</v>
      </c>
      <c r="D29" s="2" t="s">
        <v>123</v>
      </c>
      <c r="E29" s="108">
        <v>17890.689999999999</v>
      </c>
      <c r="F29" s="129">
        <v>42419</v>
      </c>
      <c r="G29" s="128">
        <v>1</v>
      </c>
      <c r="H29" s="129">
        <v>42430</v>
      </c>
      <c r="I29" s="108">
        <f t="shared" si="2"/>
        <v>17890.689999999999</v>
      </c>
      <c r="J29" s="108">
        <f>IF(Таблица97[[#This Row],[НК]]=1,Таблица97[[#This Row],[Продажа]],"")</f>
        <v>17890.689999999999</v>
      </c>
      <c r="M29" s="108">
        <v>12908</v>
      </c>
      <c r="N29" s="108">
        <f>Таблица97[[#This Row],[Продажа]]-Таблица97[[#This Row],[Закупка]]</f>
        <v>4982.6899999999987</v>
      </c>
      <c r="O29" s="108">
        <f>IF(Таблица97[[#This Row],[НК]]=1,Таблица97[[#This Row],[Маржа]],"")</f>
        <v>4982.6899999999987</v>
      </c>
    </row>
    <row r="30" spans="1:15" ht="20.100000000000001" customHeight="1" x14ac:dyDescent="0.25">
      <c r="A30" s="2">
        <v>65</v>
      </c>
      <c r="B30" s="2" t="str">
        <f>TEXT(Таблица97[[#This Row],[Дата]],"ГГ")&amp;RIGHT("000"&amp;Таблица97[[#This Row],[Номер]],4)</f>
        <v>160065</v>
      </c>
      <c r="C30" s="129">
        <v>42417</v>
      </c>
      <c r="D30" s="2" t="s">
        <v>16</v>
      </c>
      <c r="E30" s="108">
        <v>21519.439999999999</v>
      </c>
      <c r="F30" s="129">
        <v>42419</v>
      </c>
      <c r="H30" s="129">
        <v>42424</v>
      </c>
      <c r="I30" s="108">
        <f t="shared" si="2"/>
        <v>21519.439999999999</v>
      </c>
      <c r="J30" s="108" t="str">
        <f>IF(Таблица97[[#This Row],[НК]]=1,Таблица97[[#This Row],[Продажа]],"")</f>
        <v/>
      </c>
      <c r="M30" s="108">
        <v>16572</v>
      </c>
      <c r="N30" s="108">
        <f>Таблица97[[#This Row],[Продажа]]-Таблица97[[#This Row],[Закупка]]</f>
        <v>4947.4399999999987</v>
      </c>
      <c r="O30" s="108" t="str">
        <f>IF(Таблица97[[#This Row],[НК]]=1,Таблица97[[#This Row],[Маржа]],"")</f>
        <v/>
      </c>
    </row>
    <row r="31" spans="1:15" ht="20.100000000000001" customHeight="1" x14ac:dyDescent="0.25">
      <c r="A31" s="2">
        <v>64</v>
      </c>
      <c r="B31" s="2" t="str">
        <f>TEXT(Таблица97[[#This Row],[Дата]],"ГГ")&amp;RIGHT("000"&amp;Таблица97[[#This Row],[Номер]],4)</f>
        <v>160064</v>
      </c>
      <c r="C31" s="129">
        <v>42417</v>
      </c>
      <c r="D31" s="2" t="s">
        <v>65</v>
      </c>
      <c r="E31" s="108">
        <v>2922.15</v>
      </c>
      <c r="F31" s="129">
        <v>42424</v>
      </c>
      <c r="H31" s="129">
        <v>42424</v>
      </c>
      <c r="I31" s="108">
        <f t="shared" si="2"/>
        <v>2922.15</v>
      </c>
      <c r="J31" s="108" t="str">
        <f>IF(Таблица97[[#This Row],[НК]]=1,Таблица97[[#This Row],[Продажа]],"")</f>
        <v/>
      </c>
      <c r="M31" s="108">
        <v>1755</v>
      </c>
      <c r="N31" s="108">
        <f>Таблица97[[#This Row],[Продажа]]-Таблица97[[#This Row],[Закупка]]</f>
        <v>1167.1500000000001</v>
      </c>
      <c r="O31" s="108" t="str">
        <f>IF(Таблица97[[#This Row],[НК]]=1,Таблица97[[#This Row],[Маржа]],"")</f>
        <v/>
      </c>
    </row>
    <row r="32" spans="1:15" ht="20.100000000000001" customHeight="1" x14ac:dyDescent="0.25">
      <c r="A32" s="2">
        <v>57</v>
      </c>
      <c r="B32" s="2" t="str">
        <f>TEXT(Таблица97[[#This Row],[Дата]],"ГГ")&amp;RIGHT("000"&amp;Таблица97[[#This Row],[Номер]],4)</f>
        <v>160057</v>
      </c>
      <c r="C32" s="129">
        <v>42415</v>
      </c>
      <c r="D32" s="2" t="s">
        <v>65</v>
      </c>
      <c r="E32" s="108">
        <v>49238.18</v>
      </c>
      <c r="F32" s="129">
        <v>42424</v>
      </c>
      <c r="H32" s="129">
        <v>42424</v>
      </c>
      <c r="I32" s="108">
        <f t="shared" si="2"/>
        <v>49238.18</v>
      </c>
      <c r="J32" s="108" t="str">
        <f>IF(Таблица97[[#This Row],[НК]]=1,Таблица97[[#This Row],[Продажа]],"")</f>
        <v/>
      </c>
      <c r="M32" s="108">
        <v>37437</v>
      </c>
      <c r="N32" s="108">
        <f>Таблица97[[#This Row],[Продажа]]-Таблица97[[#This Row],[Закупка]]</f>
        <v>11801.18</v>
      </c>
      <c r="O32" s="108" t="str">
        <f>IF(Таблица97[[#This Row],[НК]]=1,Таблица97[[#This Row],[Маржа]],"")</f>
        <v/>
      </c>
    </row>
    <row r="33" spans="1:15" ht="20.100000000000001" customHeight="1" x14ac:dyDescent="0.25">
      <c r="A33" s="2">
        <v>74</v>
      </c>
      <c r="B33" s="2" t="str">
        <f>TEXT(Таблица97[[#This Row],[Дата]],"ГГ")&amp;RIGHT("000"&amp;Таблица97[[#This Row],[Номер]],4)</f>
        <v>160074</v>
      </c>
      <c r="C33" s="129">
        <v>42426</v>
      </c>
      <c r="D33" s="2" t="s">
        <v>124</v>
      </c>
      <c r="E33" s="108">
        <v>40937.79</v>
      </c>
      <c r="F33" s="129">
        <v>42426</v>
      </c>
      <c r="G33" s="128">
        <v>1</v>
      </c>
      <c r="H33" s="129">
        <v>42508</v>
      </c>
      <c r="I33" s="108">
        <f t="shared" si="2"/>
        <v>40937.79</v>
      </c>
      <c r="J33" s="108">
        <f>IF(Таблица97[[#This Row],[НК]]=1,Таблица97[[#This Row],[Продажа]],"")</f>
        <v>40937.79</v>
      </c>
      <c r="M33" s="108">
        <f>23759+933</f>
        <v>24692</v>
      </c>
      <c r="N33" s="108">
        <f>Таблица97[[#This Row],[Продажа]]-Таблица97[[#This Row],[Закупка]]</f>
        <v>16245.79</v>
      </c>
      <c r="O33" s="108">
        <f>IF(Таблица97[[#This Row],[НК]]=1,Таблица97[[#This Row],[Маржа]],"")</f>
        <v>16245.79</v>
      </c>
    </row>
    <row r="34" spans="1:15" ht="20.100000000000001" customHeight="1" x14ac:dyDescent="0.25">
      <c r="A34" s="2">
        <v>43</v>
      </c>
      <c r="B34" s="2" t="str">
        <f>TEXT(Таблица97[[#This Row],[Дата]],"ГГ")&amp;RIGHT("000"&amp;Таблица97[[#This Row],[Номер]],4)</f>
        <v>160043</v>
      </c>
      <c r="C34" s="129">
        <v>42405</v>
      </c>
      <c r="D34" s="2" t="s">
        <v>99</v>
      </c>
      <c r="E34" s="108">
        <v>85747.9</v>
      </c>
      <c r="F34" s="129">
        <v>42452</v>
      </c>
      <c r="H34" s="129">
        <v>42408</v>
      </c>
      <c r="I34" s="108">
        <f t="shared" ref="I34:I58" si="3">E34</f>
        <v>85747.9</v>
      </c>
      <c r="J34" s="108" t="str">
        <f>IF(Таблица97[[#This Row],[НК]]=1,Таблица97[[#This Row],[Продажа]],"")</f>
        <v/>
      </c>
      <c r="K34" s="108">
        <v>21000</v>
      </c>
      <c r="L34" s="108">
        <v>2100</v>
      </c>
      <c r="M34" s="108">
        <v>17895.490000000002</v>
      </c>
      <c r="N34" s="108">
        <f>Таблица97[[#This Row],[Продажа]]-Таблица97[[#This Row],[Закупка]]</f>
        <v>67852.409999999989</v>
      </c>
      <c r="O34" s="108" t="str">
        <f>IF(Таблица97[[#This Row],[НК]]=1,Таблица97[[#This Row],[Маржа]],"")</f>
        <v/>
      </c>
    </row>
    <row r="35" spans="1:15" ht="20.100000000000001" customHeight="1" x14ac:dyDescent="0.25">
      <c r="A35" s="2">
        <v>44</v>
      </c>
      <c r="B35" s="2" t="str">
        <f>TEXT(Таблица97[[#This Row],[Дата]],"ГГ")&amp;RIGHT("000"&amp;Таблица97[[#This Row],[Номер]],4)</f>
        <v>160044</v>
      </c>
      <c r="C35" s="129">
        <v>42415</v>
      </c>
      <c r="D35" s="2" t="s">
        <v>99</v>
      </c>
      <c r="E35" s="108">
        <v>177592.3</v>
      </c>
      <c r="F35" s="129">
        <v>42452</v>
      </c>
      <c r="H35" s="129">
        <v>42432</v>
      </c>
      <c r="I35" s="108">
        <f t="shared" si="3"/>
        <v>177592.3</v>
      </c>
      <c r="J35" s="108" t="str">
        <f>IF(Таблица97[[#This Row],[НК]]=1,Таблица97[[#This Row],[Продажа]],"")</f>
        <v/>
      </c>
      <c r="K35" s="108">
        <v>9000</v>
      </c>
      <c r="L35" s="108">
        <v>900</v>
      </c>
      <c r="M35" s="108">
        <f>17163.69+86610</f>
        <v>103773.69</v>
      </c>
      <c r="N35" s="108">
        <f>Таблица97[[#This Row],[Продажа]]-Таблица97[[#This Row],[Закупка]]</f>
        <v>73818.609999999986</v>
      </c>
      <c r="O35" s="108" t="str">
        <f>IF(Таблица97[[#This Row],[НК]]=1,Таблица97[[#This Row],[Маржа]],"")</f>
        <v/>
      </c>
    </row>
    <row r="36" spans="1:15" ht="20.100000000000001" customHeight="1" x14ac:dyDescent="0.25">
      <c r="A36" s="2">
        <v>79</v>
      </c>
      <c r="B36" s="2" t="str">
        <f>TEXT(Таблица97[[#This Row],[Дата]],"ГГ")&amp;RIGHT("000"&amp;Таблица97[[#This Row],[Номер]],4)</f>
        <v>160079</v>
      </c>
      <c r="C36" s="129">
        <v>42430</v>
      </c>
      <c r="D36" s="2" t="s">
        <v>16</v>
      </c>
      <c r="E36" s="108">
        <v>3065.36</v>
      </c>
      <c r="F36" s="129">
        <v>42430</v>
      </c>
      <c r="H36" s="129">
        <v>42431</v>
      </c>
      <c r="I36" s="108">
        <f t="shared" si="3"/>
        <v>3065.36</v>
      </c>
      <c r="J36" s="108" t="str">
        <f>IF(Таблица97[[#This Row],[НК]]=1,Таблица97[[#This Row],[Продажа]],"")</f>
        <v/>
      </c>
      <c r="M36" s="108">
        <v>1390</v>
      </c>
      <c r="N36" s="108">
        <f>Таблица97[[#This Row],[Продажа]]-Таблица97[[#This Row],[Закупка]]</f>
        <v>1675.3600000000001</v>
      </c>
      <c r="O36" s="108" t="str">
        <f>IF(Таблица97[[#This Row],[НК]]=1,Таблица97[[#This Row],[Маржа]],"")</f>
        <v/>
      </c>
    </row>
    <row r="37" spans="1:15" ht="20.100000000000001" customHeight="1" x14ac:dyDescent="0.25">
      <c r="A37" s="2">
        <v>76</v>
      </c>
      <c r="B37" s="2" t="str">
        <f>TEXT(Таблица97[[#This Row],[Дата]],"ГГ")&amp;RIGHT("000"&amp;Таблица97[[#This Row],[Номер]],4)</f>
        <v>160076</v>
      </c>
      <c r="C37" s="129">
        <v>42429</v>
      </c>
      <c r="D37" s="2" t="s">
        <v>122</v>
      </c>
      <c r="E37" s="108">
        <v>32080</v>
      </c>
      <c r="F37" s="129">
        <v>42431</v>
      </c>
      <c r="H37" s="129">
        <v>42457</v>
      </c>
      <c r="I37" s="108">
        <f t="shared" si="3"/>
        <v>32080</v>
      </c>
      <c r="J37" s="108" t="str">
        <f>IF(Таблица97[[#This Row],[НК]]=1,Таблица97[[#This Row],[Продажа]],"")</f>
        <v/>
      </c>
      <c r="M37" s="108">
        <f>21308+1278</f>
        <v>22586</v>
      </c>
      <c r="N37" s="108">
        <f>Таблица97[[#This Row],[Продажа]]-Таблица97[[#This Row],[Закупка]]</f>
        <v>9494</v>
      </c>
      <c r="O37" s="108" t="str">
        <f>IF(Таблица97[[#This Row],[НК]]=1,Таблица97[[#This Row],[Маржа]],"")</f>
        <v/>
      </c>
    </row>
    <row r="38" spans="1:15" ht="20.100000000000001" customHeight="1" x14ac:dyDescent="0.25">
      <c r="A38" s="2">
        <v>50</v>
      </c>
      <c r="B38" s="2" t="str">
        <f>TEXT(Таблица97[[#This Row],[Дата]],"ГГ")&amp;RIGHT("000"&amp;Таблица97[[#This Row],[Номер]],4)</f>
        <v>160050</v>
      </c>
      <c r="C38" s="129">
        <v>42411</v>
      </c>
      <c r="D38" s="2" t="s">
        <v>13</v>
      </c>
      <c r="E38" s="108">
        <v>11831.82</v>
      </c>
      <c r="F38" s="129">
        <v>42450</v>
      </c>
      <c r="H38" s="129">
        <v>42432</v>
      </c>
      <c r="I38" s="108">
        <f t="shared" si="3"/>
        <v>11831.82</v>
      </c>
      <c r="J38" s="108" t="str">
        <f>IF(Таблица97[[#This Row],[НК]]=1,Таблица97[[#This Row],[Продажа]],"")</f>
        <v/>
      </c>
      <c r="M38" s="108">
        <v>7100</v>
      </c>
      <c r="N38" s="108">
        <f>Таблица97[[#This Row],[Продажа]]-Таблица97[[#This Row],[Закупка]]</f>
        <v>4731.82</v>
      </c>
      <c r="O38" s="108" t="str">
        <f>IF(Таблица97[[#This Row],[НК]]=1,Таблица97[[#This Row],[Маржа]],"")</f>
        <v/>
      </c>
    </row>
    <row r="39" spans="1:15" ht="20.100000000000001" customHeight="1" x14ac:dyDescent="0.25">
      <c r="A39" s="2">
        <v>94</v>
      </c>
      <c r="B39" s="2" t="str">
        <f>TEXT(Таблица97[[#This Row],[Дата]],"ГГ")&amp;RIGHT("000"&amp;Таблица97[[#This Row],[Номер]],4)</f>
        <v>160094</v>
      </c>
      <c r="C39" s="129">
        <v>42438</v>
      </c>
      <c r="D39" s="2" t="s">
        <v>40</v>
      </c>
      <c r="E39" s="108">
        <v>5198.91</v>
      </c>
      <c r="F39" s="129">
        <v>42444</v>
      </c>
      <c r="H39" s="129">
        <v>42438</v>
      </c>
      <c r="I39" s="108">
        <f t="shared" si="3"/>
        <v>5198.91</v>
      </c>
      <c r="J39" s="108" t="str">
        <f>IF(Таблица97[[#This Row],[НК]]=1,Таблица97[[#This Row],[Продажа]],"")</f>
        <v/>
      </c>
      <c r="M39" s="108">
        <v>3330</v>
      </c>
      <c r="N39" s="108">
        <f>Таблица97[[#This Row],[Продажа]]-Таблица97[[#This Row],[Закупка]]</f>
        <v>1868.9099999999999</v>
      </c>
      <c r="O39" s="108" t="str">
        <f>IF(Таблица97[[#This Row],[НК]]=1,Таблица97[[#This Row],[Маржа]],"")</f>
        <v/>
      </c>
    </row>
    <row r="40" spans="1:15" ht="20.100000000000001" customHeight="1" x14ac:dyDescent="0.25">
      <c r="A40" s="2">
        <v>33</v>
      </c>
      <c r="B40" s="2" t="str">
        <f>TEXT(Таблица97[[#This Row],[Дата]],"ГГ")&amp;RIGHT("000"&amp;Таблица97[[#This Row],[Номер]],4)</f>
        <v>160033</v>
      </c>
      <c r="C40" s="129">
        <v>42401</v>
      </c>
      <c r="D40" s="2" t="s">
        <v>72</v>
      </c>
      <c r="E40" s="108">
        <v>5439.84</v>
      </c>
      <c r="F40" s="129">
        <v>42438</v>
      </c>
      <c r="H40" s="129">
        <v>42443</v>
      </c>
      <c r="I40" s="108">
        <f t="shared" si="3"/>
        <v>5439.84</v>
      </c>
      <c r="J40" s="108" t="str">
        <f>IF(Таблица97[[#This Row],[НК]]=1,Таблица97[[#This Row],[Продажа]],"")</f>
        <v/>
      </c>
      <c r="M40" s="108">
        <v>3486</v>
      </c>
      <c r="N40" s="108">
        <f>Таблица97[[#This Row],[Продажа]]-Таблица97[[#This Row],[Закупка]]</f>
        <v>1953.8400000000001</v>
      </c>
      <c r="O40" s="108" t="str">
        <f>IF(Таблица97[[#This Row],[НК]]=1,Таблица97[[#This Row],[Маржа]],"")</f>
        <v/>
      </c>
    </row>
    <row r="41" spans="1:15" ht="20.100000000000001" customHeight="1" x14ac:dyDescent="0.25">
      <c r="A41" s="2">
        <v>93</v>
      </c>
      <c r="B41" s="2" t="str">
        <f>TEXT(Таблица97[[#This Row],[Дата]],"ГГ")&amp;RIGHT("000"&amp;Таблица97[[#This Row],[Номер]],4)</f>
        <v>160093</v>
      </c>
      <c r="C41" s="129">
        <v>42438</v>
      </c>
      <c r="D41" s="2" t="s">
        <v>125</v>
      </c>
      <c r="E41" s="108">
        <v>27187.55</v>
      </c>
      <c r="F41" s="129">
        <v>42439</v>
      </c>
      <c r="G41" s="128">
        <v>1</v>
      </c>
      <c r="H41" s="129">
        <v>42457</v>
      </c>
      <c r="I41" s="108">
        <f t="shared" si="3"/>
        <v>27187.55</v>
      </c>
      <c r="J41" s="108">
        <f>IF(Таблица97[[#This Row],[НК]]=1,Таблица97[[#This Row],[Продажа]],"")</f>
        <v>27187.55</v>
      </c>
      <c r="M41" s="108">
        <v>18569</v>
      </c>
      <c r="N41" s="108">
        <f>Таблица97[[#This Row],[Продажа]]-Таблица97[[#This Row],[Закупка]]</f>
        <v>8618.5499999999993</v>
      </c>
      <c r="O41" s="108">
        <f>IF(Таблица97[[#This Row],[НК]]=1,Таблица97[[#This Row],[Маржа]],"")</f>
        <v>8618.5499999999993</v>
      </c>
    </row>
    <row r="42" spans="1:15" ht="20.100000000000001" customHeight="1" x14ac:dyDescent="0.25">
      <c r="A42" s="2">
        <v>95</v>
      </c>
      <c r="B42" s="2" t="str">
        <f>TEXT(Таблица97[[#This Row],[Дата]],"ГГ")&amp;RIGHT("000"&amp;Таблица97[[#This Row],[Номер]],4)</f>
        <v>160095</v>
      </c>
      <c r="C42" s="129">
        <v>42439</v>
      </c>
      <c r="D42" s="2" t="s">
        <v>101</v>
      </c>
      <c r="E42" s="108">
        <v>6482.92</v>
      </c>
      <c r="F42" s="129">
        <v>42440</v>
      </c>
      <c r="H42" s="129">
        <v>42458</v>
      </c>
      <c r="I42" s="108">
        <f t="shared" si="3"/>
        <v>6482.92</v>
      </c>
      <c r="J42" s="108" t="str">
        <f>IF(Таблица97[[#This Row],[НК]]=1,Таблица97[[#This Row],[Продажа]],"")</f>
        <v/>
      </c>
      <c r="M42" s="108">
        <v>4792</v>
      </c>
      <c r="N42" s="108">
        <f>Таблица97[[#This Row],[Продажа]]-Таблица97[[#This Row],[Закупка]]</f>
        <v>1690.92</v>
      </c>
      <c r="O42" s="108" t="str">
        <f>IF(Таблица97[[#This Row],[НК]]=1,Таблица97[[#This Row],[Маржа]],"")</f>
        <v/>
      </c>
    </row>
    <row r="43" spans="1:15" ht="20.100000000000001" customHeight="1" x14ac:dyDescent="0.25">
      <c r="A43" s="2">
        <v>87</v>
      </c>
      <c r="B43" s="2" t="str">
        <f>TEXT(Таблица97[[#This Row],[Дата]],"ГГ")&amp;RIGHT("000"&amp;Таблица97[[#This Row],[Номер]],4)</f>
        <v>160087</v>
      </c>
      <c r="C43" s="129">
        <v>42432</v>
      </c>
      <c r="D43" s="2" t="s">
        <v>97</v>
      </c>
      <c r="E43" s="108">
        <v>4404.5200000000004</v>
      </c>
      <c r="F43" s="129">
        <v>42440</v>
      </c>
      <c r="H43" s="129">
        <v>42444</v>
      </c>
      <c r="I43" s="108">
        <f t="shared" si="3"/>
        <v>4404.5200000000004</v>
      </c>
      <c r="J43" s="108" t="str">
        <f>IF(Таблица97[[#This Row],[НК]]=1,Таблица97[[#This Row],[Продажа]],"")</f>
        <v/>
      </c>
      <c r="M43" s="108">
        <v>2893</v>
      </c>
      <c r="N43" s="108">
        <f>Таблица97[[#This Row],[Продажа]]-Таблица97[[#This Row],[Закупка]]</f>
        <v>1511.5200000000004</v>
      </c>
      <c r="O43" s="108" t="str">
        <f>IF(Таблица97[[#This Row],[НК]]=1,Таблица97[[#This Row],[Маржа]],"")</f>
        <v/>
      </c>
    </row>
    <row r="44" spans="1:15" ht="20.100000000000001" customHeight="1" x14ac:dyDescent="0.25">
      <c r="A44" s="2">
        <v>89</v>
      </c>
      <c r="B44" s="2" t="str">
        <f>TEXT(Таблица97[[#This Row],[Дата]],"ГГ")&amp;RIGHT("000"&amp;Таблица97[[#This Row],[Номер]],4)</f>
        <v>160089</v>
      </c>
      <c r="C44" s="129">
        <v>42433</v>
      </c>
      <c r="D44" s="2" t="s">
        <v>97</v>
      </c>
      <c r="E44" s="108">
        <v>2719.92</v>
      </c>
      <c r="F44" s="129">
        <v>42440</v>
      </c>
      <c r="H44" s="129">
        <v>42444</v>
      </c>
      <c r="I44" s="108">
        <f t="shared" si="3"/>
        <v>2719.92</v>
      </c>
      <c r="J44" s="108" t="str">
        <f>IF(Таблица97[[#This Row],[НК]]=1,Таблица97[[#This Row],[Продажа]],"")</f>
        <v/>
      </c>
      <c r="M44" s="108">
        <v>1743</v>
      </c>
      <c r="N44" s="108">
        <f>Таблица97[[#This Row],[Продажа]]-Таблица97[[#This Row],[Закупка]]</f>
        <v>976.92000000000007</v>
      </c>
      <c r="O44" s="108" t="str">
        <f>IF(Таблица97[[#This Row],[НК]]=1,Таблица97[[#This Row],[Маржа]],"")</f>
        <v/>
      </c>
    </row>
    <row r="45" spans="1:15" ht="20.100000000000001" customHeight="1" x14ac:dyDescent="0.25">
      <c r="A45" s="2">
        <v>97</v>
      </c>
      <c r="B45" s="2" t="str">
        <f>TEXT(Таблица97[[#This Row],[Дата]],"ГГ")&amp;RIGHT("000"&amp;Таблица97[[#This Row],[Номер]],4)</f>
        <v>160097</v>
      </c>
      <c r="C45" s="129">
        <v>42440</v>
      </c>
      <c r="D45" s="2" t="s">
        <v>126</v>
      </c>
      <c r="E45" s="108">
        <v>18399</v>
      </c>
      <c r="F45" s="129">
        <v>42443</v>
      </c>
      <c r="G45" s="128">
        <v>1</v>
      </c>
      <c r="H45" s="129">
        <v>42444</v>
      </c>
      <c r="I45" s="108">
        <f t="shared" si="3"/>
        <v>18399</v>
      </c>
      <c r="J45" s="108">
        <f>IF(Таблица97[[#This Row],[НК]]=1,Таблица97[[#This Row],[Продажа]],"")</f>
        <v>18399</v>
      </c>
      <c r="M45" s="108">
        <v>14876</v>
      </c>
      <c r="N45" s="108">
        <f>Таблица97[[#This Row],[Продажа]]-Таблица97[[#This Row],[Закупка]]</f>
        <v>3523</v>
      </c>
      <c r="O45" s="108">
        <f>IF(Таблица97[[#This Row],[НК]]=1,Таблица97[[#This Row],[Маржа]],"")</f>
        <v>3523</v>
      </c>
    </row>
    <row r="46" spans="1:15" ht="20.100000000000001" customHeight="1" x14ac:dyDescent="0.25">
      <c r="A46" s="2">
        <v>100</v>
      </c>
      <c r="B46" s="2" t="str">
        <f>TEXT(Таблица97[[#This Row],[Дата]],"ГГ")&amp;RIGHT("000"&amp;Таблица97[[#This Row],[Номер]],4)</f>
        <v>160100</v>
      </c>
      <c r="C46" s="129">
        <v>42444</v>
      </c>
      <c r="D46" s="2" t="s">
        <v>19</v>
      </c>
      <c r="E46" s="108">
        <v>17625.8</v>
      </c>
      <c r="F46" s="129">
        <v>42445</v>
      </c>
      <c r="H46" s="129">
        <v>42446</v>
      </c>
      <c r="I46" s="108">
        <f t="shared" si="3"/>
        <v>17625.8</v>
      </c>
      <c r="J46" s="108" t="str">
        <f>IF(Таблица97[[#This Row],[НК]]=1,Таблица97[[#This Row],[Продажа]],"")</f>
        <v/>
      </c>
      <c r="M46" s="108">
        <v>11082</v>
      </c>
      <c r="N46" s="108">
        <f>Таблица97[[#This Row],[Продажа]]-Таблица97[[#This Row],[Закупка]]</f>
        <v>6543.7999999999993</v>
      </c>
      <c r="O46" s="108" t="str">
        <f>IF(Таблица97[[#This Row],[НК]]=1,Таблица97[[#This Row],[Маржа]],"")</f>
        <v/>
      </c>
    </row>
    <row r="47" spans="1:15" ht="20.100000000000001" customHeight="1" x14ac:dyDescent="0.25">
      <c r="A47" s="2">
        <v>98</v>
      </c>
      <c r="B47" s="2" t="str">
        <f>TEXT(Таблица97[[#This Row],[Дата]],"ГГ")&amp;RIGHT("000"&amp;Таблица97[[#This Row],[Номер]],4)</f>
        <v>160098</v>
      </c>
      <c r="C47" s="129">
        <v>42443</v>
      </c>
      <c r="D47" s="2" t="s">
        <v>16</v>
      </c>
      <c r="E47" s="108">
        <v>6000</v>
      </c>
      <c r="F47" s="129">
        <v>42445</v>
      </c>
      <c r="H47" s="129">
        <v>42446</v>
      </c>
      <c r="I47" s="108">
        <f t="shared" si="3"/>
        <v>6000</v>
      </c>
      <c r="J47" s="108" t="str">
        <f>IF(Таблица97[[#This Row],[НК]]=1,Таблица97[[#This Row],[Продажа]],"")</f>
        <v/>
      </c>
      <c r="L47" s="108">
        <v>300</v>
      </c>
      <c r="M47" s="108">
        <v>2711.56</v>
      </c>
      <c r="N47" s="108">
        <f>Таблица97[[#This Row],[Продажа]]-Таблица97[[#This Row],[Закупка]]</f>
        <v>3288.44</v>
      </c>
      <c r="O47" s="108" t="str">
        <f>IF(Таблица97[[#This Row],[НК]]=1,Таблица97[[#This Row],[Маржа]],"")</f>
        <v/>
      </c>
    </row>
    <row r="48" spans="1:15" ht="20.100000000000001" customHeight="1" x14ac:dyDescent="0.25">
      <c r="A48" s="2">
        <v>102</v>
      </c>
      <c r="B48" s="2" t="str">
        <f>TEXT(Таблица97[[#This Row],[Дата]],"ГГ")&amp;RIGHT("000"&amp;Таблица97[[#This Row],[Номер]],4)</f>
        <v>160102</v>
      </c>
      <c r="C48" s="129">
        <v>42446</v>
      </c>
      <c r="D48" s="2" t="s">
        <v>127</v>
      </c>
      <c r="E48" s="108">
        <v>13108.33</v>
      </c>
      <c r="F48" s="129">
        <v>42446</v>
      </c>
      <c r="G48" s="128">
        <v>1</v>
      </c>
      <c r="H48" s="129">
        <v>42460</v>
      </c>
      <c r="I48" s="108">
        <f t="shared" si="3"/>
        <v>13108.33</v>
      </c>
      <c r="J48" s="108">
        <f>IF(Таблица97[[#This Row],[НК]]=1,Таблица97[[#This Row],[Продажа]],"")</f>
        <v>13108.33</v>
      </c>
      <c r="M48" s="108">
        <v>5909</v>
      </c>
      <c r="N48" s="108">
        <f>Таблица97[[#This Row],[Продажа]]-Таблица97[[#This Row],[Закупка]]</f>
        <v>7199.33</v>
      </c>
      <c r="O48" s="108">
        <f>IF(Таблица97[[#This Row],[НК]]=1,Таблица97[[#This Row],[Маржа]],"")</f>
        <v>7199.33</v>
      </c>
    </row>
    <row r="49" spans="1:15" ht="20.100000000000001" customHeight="1" x14ac:dyDescent="0.25">
      <c r="A49" s="2">
        <v>51</v>
      </c>
      <c r="B49" s="2" t="str">
        <f>TEXT(Таблица97[[#This Row],[Дата]],"ГГ")&amp;RIGHT("000"&amp;Таблица97[[#This Row],[Номер]],4)</f>
        <v>160051</v>
      </c>
      <c r="C49" s="129">
        <v>42419</v>
      </c>
      <c r="D49" s="2" t="s">
        <v>49</v>
      </c>
      <c r="E49" s="108">
        <v>15665.44</v>
      </c>
      <c r="F49" s="129">
        <v>42447</v>
      </c>
      <c r="H49" s="129">
        <v>42459</v>
      </c>
      <c r="I49" s="108">
        <f t="shared" si="3"/>
        <v>15665.44</v>
      </c>
      <c r="J49" s="108" t="str">
        <f>IF(Таблица97[[#This Row],[НК]]=1,Таблица97[[#This Row],[Продажа]],"")</f>
        <v/>
      </c>
      <c r="M49" s="108">
        <v>10916</v>
      </c>
      <c r="N49" s="108">
        <f>Таблица97[[#This Row],[Продажа]]-Таблица97[[#This Row],[Закупка]]</f>
        <v>4749.4400000000005</v>
      </c>
      <c r="O49" s="108" t="str">
        <f>IF(Таблица97[[#This Row],[НК]]=1,Таблица97[[#This Row],[Маржа]],"")</f>
        <v/>
      </c>
    </row>
    <row r="50" spans="1:15" ht="20.100000000000001" customHeight="1" x14ac:dyDescent="0.25">
      <c r="A50" s="2">
        <v>106</v>
      </c>
      <c r="B50" s="2" t="str">
        <f>TEXT(Таблица97[[#This Row],[Дата]],"ГГ")&amp;RIGHT("000"&amp;Таблица97[[#This Row],[Номер]],4)</f>
        <v>160106</v>
      </c>
      <c r="C50" s="129">
        <v>42450</v>
      </c>
      <c r="D50" s="2" t="s">
        <v>128</v>
      </c>
      <c r="E50" s="108">
        <v>43290</v>
      </c>
      <c r="F50" s="129">
        <v>42450</v>
      </c>
      <c r="G50" s="128">
        <v>1</v>
      </c>
      <c r="H50" s="129">
        <v>42454</v>
      </c>
      <c r="I50" s="108">
        <f t="shared" si="3"/>
        <v>43290</v>
      </c>
      <c r="J50" s="108">
        <f>IF(Таблица97[[#This Row],[НК]]=1,Таблица97[[#This Row],[Продажа]],"")</f>
        <v>43290</v>
      </c>
      <c r="M50" s="108">
        <v>28814</v>
      </c>
      <c r="N50" s="108">
        <f>Таблица97[[#This Row],[Продажа]]-Таблица97[[#This Row],[Закупка]]</f>
        <v>14476</v>
      </c>
      <c r="O50" s="108">
        <f>IF(Таблица97[[#This Row],[НК]]=1,Таблица97[[#This Row],[Маржа]],"")</f>
        <v>14476</v>
      </c>
    </row>
    <row r="51" spans="1:15" ht="20.100000000000001" customHeight="1" x14ac:dyDescent="0.25">
      <c r="A51" s="2">
        <v>108</v>
      </c>
      <c r="B51" s="2" t="str">
        <f>TEXT(Таблица97[[#This Row],[Дата]],"ГГ")&amp;RIGHT("000"&amp;Таблица97[[#This Row],[Номер]],4)</f>
        <v>160108</v>
      </c>
      <c r="C51" s="129">
        <v>42450</v>
      </c>
      <c r="D51" s="2" t="s">
        <v>19</v>
      </c>
      <c r="E51" s="108">
        <v>5117.42</v>
      </c>
      <c r="F51" s="129">
        <v>42451</v>
      </c>
      <c r="H51" s="129">
        <v>42452</v>
      </c>
      <c r="I51" s="108">
        <f t="shared" si="3"/>
        <v>5117.42</v>
      </c>
      <c r="J51" s="108" t="str">
        <f>IF(Таблица97[[#This Row],[НК]]=1,Таблица97[[#This Row],[Продажа]],"")</f>
        <v/>
      </c>
      <c r="M51" s="108">
        <v>3990</v>
      </c>
      <c r="N51" s="108">
        <f>Таблица97[[#This Row],[Продажа]]-Таблица97[[#This Row],[Закупка]]</f>
        <v>1127.42</v>
      </c>
      <c r="O51" s="108" t="str">
        <f>IF(Таблица97[[#This Row],[НК]]=1,Таблица97[[#This Row],[Маржа]],"")</f>
        <v/>
      </c>
    </row>
    <row r="52" spans="1:15" ht="20.100000000000001" customHeight="1" x14ac:dyDescent="0.25">
      <c r="A52" s="2">
        <v>104</v>
      </c>
      <c r="B52" s="2" t="str">
        <f>TEXT(Таблица97[[#This Row],[Дата]],"ГГ")&amp;RIGHT("000"&amp;Таблица97[[#This Row],[Номер]],4)</f>
        <v>160104</v>
      </c>
      <c r="C52" s="129">
        <v>42447</v>
      </c>
      <c r="D52" s="2" t="s">
        <v>65</v>
      </c>
      <c r="E52" s="108">
        <v>8000</v>
      </c>
      <c r="F52" s="129">
        <v>42451</v>
      </c>
      <c r="H52" s="129">
        <v>42451</v>
      </c>
      <c r="I52" s="108">
        <f t="shared" si="3"/>
        <v>8000</v>
      </c>
      <c r="J52" s="108" t="str">
        <f>IF(Таблица97[[#This Row],[НК]]=1,Таблица97[[#This Row],[Продажа]],"")</f>
        <v/>
      </c>
      <c r="M52" s="108">
        <v>3778.2</v>
      </c>
      <c r="N52" s="108">
        <f>Таблица97[[#This Row],[Продажа]]-Таблица97[[#This Row],[Закупка]]</f>
        <v>4221.8</v>
      </c>
      <c r="O52" s="108" t="str">
        <f>IF(Таблица97[[#This Row],[НК]]=1,Таблица97[[#This Row],[Маржа]],"")</f>
        <v/>
      </c>
    </row>
    <row r="53" spans="1:15" ht="20.100000000000001" customHeight="1" x14ac:dyDescent="0.25">
      <c r="A53" s="2">
        <v>85</v>
      </c>
      <c r="B53" s="2" t="str">
        <f>TEXT(Таблица97[[#This Row],[Дата]],"ГГ")&amp;RIGHT("000"&amp;Таблица97[[#This Row],[Номер]],4)</f>
        <v>160085</v>
      </c>
      <c r="C53" s="129">
        <v>42432</v>
      </c>
      <c r="D53" s="2" t="s">
        <v>108</v>
      </c>
      <c r="E53" s="108">
        <v>110090</v>
      </c>
      <c r="F53" s="129">
        <v>42453</v>
      </c>
      <c r="H53" s="129">
        <v>42458</v>
      </c>
      <c r="I53" s="108">
        <f t="shared" si="3"/>
        <v>110090</v>
      </c>
      <c r="J53" s="108" t="str">
        <f>IF(Таблица97[[#This Row],[НК]]=1,Таблица97[[#This Row],[Продажа]],"")</f>
        <v/>
      </c>
      <c r="M53" s="108">
        <v>83228</v>
      </c>
      <c r="N53" s="108">
        <f>Таблица97[[#This Row],[Продажа]]-Таблица97[[#This Row],[Закупка]]</f>
        <v>26862</v>
      </c>
      <c r="O53" s="108" t="str">
        <f>IF(Таблица97[[#This Row],[НК]]=1,Таблица97[[#This Row],[Маржа]],"")</f>
        <v/>
      </c>
    </row>
    <row r="54" spans="1:15" ht="20.100000000000001" customHeight="1" x14ac:dyDescent="0.25">
      <c r="A54" s="2">
        <v>112</v>
      </c>
      <c r="B54" s="2" t="str">
        <f>TEXT(Таблица97[[#This Row],[Дата]],"ГГ")&amp;RIGHT("000"&amp;Таблица97[[#This Row],[Номер]],4)</f>
        <v>160112</v>
      </c>
      <c r="C54" s="129">
        <v>42453</v>
      </c>
      <c r="D54" s="2" t="s">
        <v>43</v>
      </c>
      <c r="E54" s="108">
        <v>1433.98</v>
      </c>
      <c r="F54" s="129">
        <v>42457</v>
      </c>
      <c r="H54" s="129">
        <v>42457</v>
      </c>
      <c r="I54" s="108">
        <f t="shared" si="3"/>
        <v>1433.98</v>
      </c>
      <c r="J54" s="108" t="str">
        <f>IF(Таблица97[[#This Row],[НК]]=1,Таблица97[[#This Row],[Продажа]],"")</f>
        <v/>
      </c>
      <c r="M54" s="108">
        <v>1140</v>
      </c>
      <c r="N54" s="108">
        <f>Таблица97[[#This Row],[Продажа]]-Таблица97[[#This Row],[Закупка]]</f>
        <v>293.98</v>
      </c>
      <c r="O54" s="108" t="str">
        <f>IF(Таблица97[[#This Row],[НК]]=1,Таблица97[[#This Row],[Маржа]],"")</f>
        <v/>
      </c>
    </row>
    <row r="55" spans="1:15" ht="20.100000000000001" customHeight="1" x14ac:dyDescent="0.25">
      <c r="A55" s="2">
        <v>88</v>
      </c>
      <c r="B55" s="2" t="str">
        <f>TEXT(Таблица97[[#This Row],[Дата]],"ГГ")&amp;RIGHT("000"&amp;Таблица97[[#This Row],[Номер]],4)</f>
        <v>160088</v>
      </c>
      <c r="C55" s="129">
        <v>42452</v>
      </c>
      <c r="D55" s="2" t="s">
        <v>56</v>
      </c>
      <c r="E55" s="108">
        <v>79323.59</v>
      </c>
      <c r="F55" s="129">
        <v>42460</v>
      </c>
      <c r="H55" s="129">
        <v>42452</v>
      </c>
      <c r="I55" s="108">
        <f t="shared" si="3"/>
        <v>79323.59</v>
      </c>
      <c r="J55" s="108" t="str">
        <f>IF(Таблица97[[#This Row],[НК]]=1,Таблица97[[#This Row],[Продажа]],"")</f>
        <v/>
      </c>
      <c r="M55" s="108">
        <v>50516.85</v>
      </c>
      <c r="N55" s="108">
        <f>Таблица97[[#This Row],[Продажа]]-Таблица97[[#This Row],[Закупка]]</f>
        <v>28806.739999999998</v>
      </c>
      <c r="O55" s="108" t="str">
        <f>IF(Таблица97[[#This Row],[НК]]=1,Таблица97[[#This Row],[Маржа]],"")</f>
        <v/>
      </c>
    </row>
    <row r="56" spans="1:15" ht="20.100000000000001" customHeight="1" x14ac:dyDescent="0.25">
      <c r="A56" s="2">
        <v>128</v>
      </c>
      <c r="B56" s="2" t="str">
        <f>TEXT(Таблица97[[#This Row],[Дата]],"ГГ")&amp;RIGHT("000"&amp;Таблица97[[#This Row],[Номер]],4)</f>
        <v>160128</v>
      </c>
      <c r="C56" s="129">
        <v>42460</v>
      </c>
      <c r="D56" s="2" t="s">
        <v>106</v>
      </c>
      <c r="E56" s="108">
        <v>4509.96</v>
      </c>
      <c r="F56" s="129">
        <v>42460</v>
      </c>
      <c r="H56" s="129">
        <v>42460</v>
      </c>
      <c r="I56" s="108">
        <f t="shared" si="3"/>
        <v>4509.96</v>
      </c>
      <c r="J56" s="108" t="str">
        <f>IF(Таблица97[[#This Row],[НК]]=1,Таблица97[[#This Row],[Продажа]],"")</f>
        <v/>
      </c>
      <c r="M56" s="108">
        <v>2631.81</v>
      </c>
      <c r="N56" s="108">
        <f>Таблица97[[#This Row],[Продажа]]-Таблица97[[#This Row],[Закупка]]</f>
        <v>1878.15</v>
      </c>
      <c r="O56" s="108" t="str">
        <f>IF(Таблица97[[#This Row],[НК]]=1,Таблица97[[#This Row],[Маржа]],"")</f>
        <v/>
      </c>
    </row>
    <row r="57" spans="1:15" ht="20.100000000000001" customHeight="1" x14ac:dyDescent="0.25">
      <c r="A57" s="2">
        <v>22</v>
      </c>
      <c r="B57" s="2" t="str">
        <f>TEXT(Таблица97[[#This Row],[Дата]],"ГГ")&amp;RIGHT("000"&amp;Таблица97[[#This Row],[Номер]],4)</f>
        <v>160022</v>
      </c>
      <c r="C57" s="129">
        <v>42394</v>
      </c>
      <c r="D57" s="2" t="s">
        <v>38</v>
      </c>
      <c r="E57" s="108">
        <v>121192.7</v>
      </c>
      <c r="F57" s="129">
        <v>42460</v>
      </c>
      <c r="H57" s="129">
        <v>42429</v>
      </c>
      <c r="I57" s="108">
        <f t="shared" si="3"/>
        <v>121192.7</v>
      </c>
      <c r="J57" s="108" t="str">
        <f>IF(Таблица97[[#This Row],[НК]]=1,Таблица97[[#This Row],[Продажа]],"")</f>
        <v/>
      </c>
      <c r="K57" s="108">
        <f>E57*0.02</f>
        <v>2423.8539999999998</v>
      </c>
      <c r="M57" s="108">
        <v>78960.92</v>
      </c>
      <c r="N57" s="108">
        <f>Таблица97[[#This Row],[Продажа]]-Таблица97[[#This Row],[Закупка]]</f>
        <v>42231.78</v>
      </c>
      <c r="O57" s="108" t="str">
        <f>IF(Таблица97[[#This Row],[НК]]=1,Таблица97[[#This Row],[Маржа]],"")</f>
        <v/>
      </c>
    </row>
    <row r="58" spans="1:15" ht="20.100000000000001" customHeight="1" x14ac:dyDescent="0.25">
      <c r="A58" s="2">
        <v>23</v>
      </c>
      <c r="B58" s="2" t="str">
        <f>TEXT(Таблица97[[#This Row],[Дата]],"ГГ")&amp;RIGHT("000"&amp;Таблица97[[#This Row],[Номер]],4)</f>
        <v>160023</v>
      </c>
      <c r="C58" s="129">
        <v>42394</v>
      </c>
      <c r="D58" s="2" t="s">
        <v>38</v>
      </c>
      <c r="E58" s="108">
        <v>97890.96</v>
      </c>
      <c r="F58" s="129">
        <v>42460</v>
      </c>
      <c r="H58" s="129">
        <v>42429</v>
      </c>
      <c r="I58" s="108">
        <f t="shared" si="3"/>
        <v>97890.96</v>
      </c>
      <c r="J58" s="108" t="str">
        <f>IF(Таблица97[[#This Row],[НК]]=1,Таблица97[[#This Row],[Продажа]],"")</f>
        <v/>
      </c>
      <c r="K58" s="108">
        <f>E58*0.02</f>
        <v>1957.8192000000001</v>
      </c>
      <c r="M58" s="108">
        <v>61344.92</v>
      </c>
      <c r="N58" s="108">
        <f>Таблица97[[#This Row],[Продажа]]-Таблица97[[#This Row],[Закупка]]</f>
        <v>36546.040000000008</v>
      </c>
      <c r="O58" s="108" t="str">
        <f>IF(Таблица97[[#This Row],[НК]]=1,Таблица97[[#This Row],[Маржа]],"")</f>
        <v/>
      </c>
    </row>
    <row r="59" spans="1:15" ht="20.100000000000001" customHeight="1" x14ac:dyDescent="0.25">
      <c r="A59" s="2">
        <v>107</v>
      </c>
      <c r="B59" s="2" t="str">
        <f>TEXT(Таблица97[[#This Row],[Дата]],"ГГ")&amp;RIGHT("000"&amp;Таблица97[[#This Row],[Номер]],4)</f>
        <v>160107</v>
      </c>
      <c r="C59" s="129">
        <v>42450</v>
      </c>
      <c r="D59" s="2" t="s">
        <v>60</v>
      </c>
      <c r="E59" s="108">
        <v>14835.91</v>
      </c>
      <c r="F59" s="129">
        <v>42475</v>
      </c>
      <c r="H59" s="129">
        <v>42460</v>
      </c>
      <c r="I59" s="108">
        <f t="shared" ref="I59:I92" si="4">E59</f>
        <v>14835.91</v>
      </c>
      <c r="J59" s="108" t="str">
        <f>IF(Таблица97[[#This Row],[НК]]=1,Таблица97[[#This Row],[Продажа]],"")</f>
        <v/>
      </c>
      <c r="M59" s="108">
        <v>10365</v>
      </c>
      <c r="N59" s="108">
        <f>Таблица97[[#This Row],[Продажа]]-Таблица97[[#This Row],[Закупка]]</f>
        <v>4470.91</v>
      </c>
      <c r="O59" s="108" t="str">
        <f>IF(Таблица97[[#This Row],[НК]]=1,Таблица97[[#This Row],[Маржа]],"")</f>
        <v/>
      </c>
    </row>
    <row r="60" spans="1:15" ht="20.100000000000001" customHeight="1" x14ac:dyDescent="0.25">
      <c r="A60" s="2">
        <v>127</v>
      </c>
      <c r="B60" s="2" t="str">
        <f>TEXT(Таблица97[[#This Row],[Дата]],"ГГ")&amp;RIGHT("000"&amp;Таблица97[[#This Row],[Номер]],4)</f>
        <v>160127</v>
      </c>
      <c r="C60" s="129">
        <v>42459</v>
      </c>
      <c r="D60" s="2" t="s">
        <v>56</v>
      </c>
      <c r="E60" s="108">
        <v>85251.28</v>
      </c>
      <c r="F60" s="129">
        <v>42480</v>
      </c>
      <c r="H60" s="129">
        <v>42460</v>
      </c>
      <c r="I60" s="108">
        <f t="shared" si="4"/>
        <v>85251.28</v>
      </c>
      <c r="J60" s="108" t="str">
        <f>IF(Таблица97[[#This Row],[НК]]=1,Таблица97[[#This Row],[Продажа]],"")</f>
        <v/>
      </c>
      <c r="L60" s="108">
        <v>2400</v>
      </c>
      <c r="M60" s="108">
        <v>43754.37</v>
      </c>
      <c r="N60" s="108">
        <f>Таблица97[[#This Row],[Продажа]]-Таблица97[[#This Row],[Закупка]]</f>
        <v>41496.909999999996</v>
      </c>
      <c r="O60" s="108" t="str">
        <f>IF(Таблица97[[#This Row],[НК]]=1,Таблица97[[#This Row],[Маржа]],"")</f>
        <v/>
      </c>
    </row>
    <row r="61" spans="1:15" ht="20.100000000000001" customHeight="1" x14ac:dyDescent="0.25">
      <c r="A61" s="2">
        <v>24</v>
      </c>
      <c r="B61" s="2" t="str">
        <f>TEXT(Таблица97[[#This Row],[Дата]],"ГГ")&amp;RIGHT("000"&amp;Таблица97[[#This Row],[Номер]],4)</f>
        <v>160024</v>
      </c>
      <c r="C61" s="129">
        <v>42394</v>
      </c>
      <c r="D61" s="2" t="s">
        <v>38</v>
      </c>
      <c r="E61" s="108">
        <v>13724.5</v>
      </c>
      <c r="F61" s="129">
        <v>42486</v>
      </c>
      <c r="H61" s="129">
        <v>42429</v>
      </c>
      <c r="I61" s="108">
        <f t="shared" si="4"/>
        <v>13724.5</v>
      </c>
      <c r="J61" s="108" t="str">
        <f>IF(Таблица97[[#This Row],[НК]]=1,Таблица97[[#This Row],[Продажа]],"")</f>
        <v/>
      </c>
      <c r="K61" s="108">
        <f>E61*0.02</f>
        <v>274.49</v>
      </c>
      <c r="M61" s="108">
        <v>9710</v>
      </c>
      <c r="N61" s="108">
        <f>Таблица97[[#This Row],[Продажа]]-Таблица97[[#This Row],[Закупка]]</f>
        <v>4014.5</v>
      </c>
      <c r="O61" s="108" t="str">
        <f>IF(Таблица97[[#This Row],[НК]]=1,Таблица97[[#This Row],[Маржа]],"")</f>
        <v/>
      </c>
    </row>
    <row r="62" spans="1:15" ht="20.100000000000001" customHeight="1" x14ac:dyDescent="0.25">
      <c r="A62" s="2">
        <v>25</v>
      </c>
      <c r="B62" s="2" t="str">
        <f>TEXT(Таблица97[[#This Row],[Дата]],"ГГ")&amp;RIGHT("000"&amp;Таблица97[[#This Row],[Номер]],4)</f>
        <v>160025</v>
      </c>
      <c r="C62" s="129">
        <v>42394</v>
      </c>
      <c r="D62" s="2" t="s">
        <v>38</v>
      </c>
      <c r="E62" s="108">
        <v>142294.54</v>
      </c>
      <c r="F62" s="129">
        <v>42486</v>
      </c>
      <c r="H62" s="129">
        <v>42429</v>
      </c>
      <c r="I62" s="108">
        <f t="shared" si="4"/>
        <v>142294.54</v>
      </c>
      <c r="J62" s="108" t="str">
        <f>IF(Таблица97[[#This Row],[НК]]=1,Таблица97[[#This Row],[Продажа]],"")</f>
        <v/>
      </c>
      <c r="K62" s="108">
        <f>E62*0.02</f>
        <v>2845.8908000000001</v>
      </c>
      <c r="L62" s="108">
        <v>1200</v>
      </c>
      <c r="M62" s="108">
        <v>82212.84</v>
      </c>
      <c r="N62" s="108">
        <f>Таблица97[[#This Row],[Продажа]]-Таблица97[[#This Row],[Закупка]]</f>
        <v>60081.700000000012</v>
      </c>
      <c r="O62" s="108" t="str">
        <f>IF(Таблица97[[#This Row],[НК]]=1,Таблица97[[#This Row],[Маржа]],"")</f>
        <v/>
      </c>
    </row>
    <row r="63" spans="1:15" ht="20.100000000000001" customHeight="1" x14ac:dyDescent="0.25">
      <c r="A63" s="2">
        <v>26</v>
      </c>
      <c r="B63" s="2" t="str">
        <f>TEXT(Таблица97[[#This Row],[Дата]],"ГГ")&amp;RIGHT("000"&amp;Таблица97[[#This Row],[Номер]],4)</f>
        <v>160026</v>
      </c>
      <c r="C63" s="129">
        <v>42394</v>
      </c>
      <c r="D63" s="2" t="s">
        <v>38</v>
      </c>
      <c r="E63" s="108">
        <v>142294.54999999999</v>
      </c>
      <c r="F63" s="129">
        <v>42486</v>
      </c>
      <c r="H63" s="129">
        <v>42429</v>
      </c>
      <c r="I63" s="108">
        <f t="shared" si="4"/>
        <v>142294.54999999999</v>
      </c>
      <c r="J63" s="108" t="str">
        <f>IF(Таблица97[[#This Row],[НК]]=1,Таблица97[[#This Row],[Продажа]],"")</f>
        <v/>
      </c>
      <c r="K63" s="108">
        <f>E63*0.02</f>
        <v>2845.8909999999996</v>
      </c>
      <c r="L63" s="108">
        <v>1200</v>
      </c>
      <c r="M63" s="108">
        <v>82212.84</v>
      </c>
      <c r="N63" s="108">
        <f>Таблица97[[#This Row],[Продажа]]-Таблица97[[#This Row],[Закупка]]</f>
        <v>60081.709999999992</v>
      </c>
      <c r="O63" s="108" t="str">
        <f>IF(Таблица97[[#This Row],[НК]]=1,Таблица97[[#This Row],[Маржа]],"")</f>
        <v/>
      </c>
    </row>
    <row r="64" spans="1:15" ht="20.100000000000001" customHeight="1" x14ac:dyDescent="0.25">
      <c r="A64" s="2">
        <v>129</v>
      </c>
      <c r="B64" s="2" t="str">
        <f>TEXT(Таблица97[[#This Row],[Дата]],"ГГ")&amp;RIGHT("000"&amp;Таблица97[[#This Row],[Номер]],4)</f>
        <v>160129</v>
      </c>
      <c r="C64" s="129">
        <v>42460</v>
      </c>
      <c r="D64" s="2" t="s">
        <v>135</v>
      </c>
      <c r="E64" s="108">
        <v>47199</v>
      </c>
      <c r="F64" s="129">
        <v>42461</v>
      </c>
      <c r="G64" s="128">
        <v>1</v>
      </c>
      <c r="H64" s="129">
        <v>42461</v>
      </c>
      <c r="I64" s="108">
        <f t="shared" si="4"/>
        <v>47199</v>
      </c>
      <c r="J64" s="108">
        <f>IF(Таблица97[[#This Row],[НК]]=1,Таблица97[[#This Row],[Продажа]],"")</f>
        <v>47199</v>
      </c>
      <c r="M64" s="108">
        <v>33644</v>
      </c>
      <c r="N64" s="108">
        <f>Таблица97[[#This Row],[Продажа]]-Таблица97[[#This Row],[Закупка]]</f>
        <v>13555</v>
      </c>
      <c r="O64" s="108">
        <f>IF(Таблица97[[#This Row],[НК]]=1,Таблица97[[#This Row],[Маржа]],"")</f>
        <v>13555</v>
      </c>
    </row>
    <row r="65" spans="1:15" ht="20.100000000000001" customHeight="1" x14ac:dyDescent="0.25">
      <c r="A65" s="2">
        <v>130</v>
      </c>
      <c r="B65" s="2" t="str">
        <f>TEXT(Таблица97[[#This Row],[Дата]],"ГГ")&amp;RIGHT("000"&amp;Таблица97[[#This Row],[Номер]],4)</f>
        <v>160130</v>
      </c>
      <c r="C65" s="129">
        <v>42460</v>
      </c>
      <c r="D65" s="2" t="s">
        <v>135</v>
      </c>
      <c r="E65" s="108">
        <v>9224.4500000000007</v>
      </c>
      <c r="F65" s="129">
        <v>42461</v>
      </c>
      <c r="G65" s="128">
        <v>1</v>
      </c>
      <c r="H65" s="129">
        <v>42461</v>
      </c>
      <c r="I65" s="108">
        <f t="shared" si="4"/>
        <v>9224.4500000000007</v>
      </c>
      <c r="J65" s="108">
        <f>IF(Таблица97[[#This Row],[НК]]=1,Таблица97[[#This Row],[Продажа]],"")</f>
        <v>9224.4500000000007</v>
      </c>
      <c r="M65" s="108">
        <v>5270.52</v>
      </c>
      <c r="N65" s="108">
        <f>Таблица97[[#This Row],[Продажа]]-Таблица97[[#This Row],[Закупка]]</f>
        <v>3953.9300000000003</v>
      </c>
      <c r="O65" s="108">
        <f>IF(Таблица97[[#This Row],[НК]]=1,Таблица97[[#This Row],[Маржа]],"")</f>
        <v>3953.9300000000003</v>
      </c>
    </row>
    <row r="66" spans="1:15" ht="20.100000000000001" customHeight="1" x14ac:dyDescent="0.25">
      <c r="A66" s="2">
        <v>131</v>
      </c>
      <c r="B66" s="2" t="str">
        <f>TEXT(Таблица97[[#This Row],[Дата]],"ГГ")&amp;RIGHT("000"&amp;Таблица97[[#This Row],[Номер]],4)</f>
        <v>160131</v>
      </c>
      <c r="C66" s="129">
        <v>42464</v>
      </c>
      <c r="D66" s="2" t="s">
        <v>69</v>
      </c>
      <c r="E66" s="108">
        <v>64589</v>
      </c>
      <c r="F66" s="129">
        <v>42495</v>
      </c>
      <c r="H66" s="129">
        <v>42495</v>
      </c>
      <c r="I66" s="108">
        <f t="shared" si="4"/>
        <v>64589</v>
      </c>
      <c r="J66" s="108" t="str">
        <f>IF(Таблица97[[#This Row],[НК]]=1,Таблица97[[#This Row],[Продажа]],"")</f>
        <v/>
      </c>
      <c r="M66" s="108">
        <v>34400</v>
      </c>
      <c r="N66" s="108">
        <f>Таблица97[[#This Row],[Продажа]]-Таблица97[[#This Row],[Закупка]]</f>
        <v>30189</v>
      </c>
      <c r="O66" s="108" t="str">
        <f>IF(Таблица97[[#This Row],[НК]]=1,Таблица97[[#This Row],[Маржа]],"")</f>
        <v/>
      </c>
    </row>
    <row r="67" spans="1:15" ht="20.100000000000001" customHeight="1" x14ac:dyDescent="0.25">
      <c r="A67" s="2">
        <v>142</v>
      </c>
      <c r="B67" s="2" t="str">
        <f>TEXT(Таблица97[[#This Row],[Дата]],"ГГ")&amp;RIGHT("000"&amp;Таблица97[[#This Row],[Номер]],4)</f>
        <v>160142</v>
      </c>
      <c r="C67" s="129">
        <v>42468</v>
      </c>
      <c r="D67" s="2" t="s">
        <v>91</v>
      </c>
      <c r="E67" s="108">
        <v>5174.4799999999996</v>
      </c>
      <c r="F67" s="129">
        <v>42468</v>
      </c>
      <c r="H67" s="129">
        <v>42472</v>
      </c>
      <c r="I67" s="108">
        <f t="shared" si="4"/>
        <v>5174.4799999999996</v>
      </c>
      <c r="J67" s="108" t="str">
        <f>IF(Таблица97[[#This Row],[НК]]=1,Таблица97[[#This Row],[Продажа]],"")</f>
        <v/>
      </c>
      <c r="M67" s="108">
        <v>3486</v>
      </c>
      <c r="N67" s="108">
        <f>Таблица97[[#This Row],[Продажа]]-Таблица97[[#This Row],[Закупка]]</f>
        <v>1688.4799999999996</v>
      </c>
      <c r="O67" s="108" t="str">
        <f>IF(Таблица97[[#This Row],[НК]]=1,Таблица97[[#This Row],[Маржа]],"")</f>
        <v/>
      </c>
    </row>
    <row r="68" spans="1:15" ht="20.100000000000001" customHeight="1" x14ac:dyDescent="0.25">
      <c r="A68" s="2">
        <v>137</v>
      </c>
      <c r="B68" s="2" t="str">
        <f>TEXT(Таблица97[[#This Row],[Дата]],"ГГ")&amp;RIGHT("000"&amp;Таблица97[[#This Row],[Номер]],4)</f>
        <v>160137</v>
      </c>
      <c r="C68" s="129">
        <v>42466</v>
      </c>
      <c r="D68" s="2" t="s">
        <v>136</v>
      </c>
      <c r="E68" s="108">
        <v>22668</v>
      </c>
      <c r="F68" s="129">
        <v>42468</v>
      </c>
      <c r="G68" s="128">
        <v>1</v>
      </c>
      <c r="H68" s="129">
        <v>42471</v>
      </c>
      <c r="I68" s="108">
        <f t="shared" si="4"/>
        <v>22668</v>
      </c>
      <c r="J68" s="108">
        <f>IF(Таблица97[[#This Row],[НК]]=1,Таблица97[[#This Row],[Продажа]],"")</f>
        <v>22668</v>
      </c>
      <c r="M68" s="108">
        <v>17875</v>
      </c>
      <c r="N68" s="108">
        <f>Таблица97[[#This Row],[Продажа]]-Таблица97[[#This Row],[Закупка]]</f>
        <v>4793</v>
      </c>
      <c r="O68" s="108">
        <f>IF(Таблица97[[#This Row],[НК]]=1,Таблица97[[#This Row],[Маржа]],"")</f>
        <v>4793</v>
      </c>
    </row>
    <row r="69" spans="1:15" ht="20.100000000000001" customHeight="1" x14ac:dyDescent="0.25">
      <c r="A69" s="2">
        <v>117</v>
      </c>
      <c r="B69" s="2" t="str">
        <f>TEXT(Таблица97[[#This Row],[Дата]],"ГГ")&amp;RIGHT("000"&amp;Таблица97[[#This Row],[Номер]],4)</f>
        <v>160117</v>
      </c>
      <c r="C69" s="129">
        <v>42457</v>
      </c>
      <c r="D69" s="2" t="s">
        <v>50</v>
      </c>
      <c r="E69" s="108">
        <v>10741.99</v>
      </c>
      <c r="F69" s="129">
        <v>42466</v>
      </c>
      <c r="H69" s="129">
        <v>42474</v>
      </c>
      <c r="I69" s="108">
        <f t="shared" si="4"/>
        <v>10741.99</v>
      </c>
      <c r="J69" s="108" t="str">
        <f>IF(Таблица97[[#This Row],[НК]]=1,Таблица97[[#This Row],[Продажа]],"")</f>
        <v/>
      </c>
      <c r="M69" s="108">
        <v>7876</v>
      </c>
      <c r="N69" s="108">
        <f>Таблица97[[#This Row],[Продажа]]-Таблица97[[#This Row],[Закупка]]</f>
        <v>2865.99</v>
      </c>
      <c r="O69" s="108" t="str">
        <f>IF(Таблица97[[#This Row],[НК]]=1,Таблица97[[#This Row],[Маржа]],"")</f>
        <v/>
      </c>
    </row>
    <row r="70" spans="1:15" ht="20.100000000000001" customHeight="1" x14ac:dyDescent="0.25">
      <c r="A70" s="2">
        <v>138</v>
      </c>
      <c r="B70" s="2" t="str">
        <f>TEXT(Таблица97[[#This Row],[Дата]],"ГГ")&amp;RIGHT("000"&amp;Таблица97[[#This Row],[Номер]],4)</f>
        <v>160138</v>
      </c>
      <c r="C70" s="129">
        <v>42466</v>
      </c>
      <c r="D70" s="2" t="s">
        <v>137</v>
      </c>
      <c r="E70" s="108">
        <v>32890</v>
      </c>
      <c r="F70" s="129">
        <v>42468</v>
      </c>
      <c r="G70" s="128">
        <v>1</v>
      </c>
      <c r="H70" s="129">
        <v>42471</v>
      </c>
      <c r="I70" s="108">
        <f t="shared" si="4"/>
        <v>32890</v>
      </c>
      <c r="J70" s="108">
        <f>IF(Таблица97[[#This Row],[НК]]=1,Таблица97[[#This Row],[Продажа]],"")</f>
        <v>32890</v>
      </c>
      <c r="M70" s="108">
        <v>25556</v>
      </c>
      <c r="N70" s="108">
        <f>Таблица97[[#This Row],[Продажа]]-Таблица97[[#This Row],[Закупка]]</f>
        <v>7334</v>
      </c>
      <c r="O70" s="108">
        <f>IF(Таблица97[[#This Row],[НК]]=1,Таблица97[[#This Row],[Маржа]],"")</f>
        <v>7334</v>
      </c>
    </row>
    <row r="71" spans="1:15" ht="20.100000000000001" customHeight="1" x14ac:dyDescent="0.25">
      <c r="A71" s="2">
        <v>145</v>
      </c>
      <c r="B71" s="2" t="str">
        <f>TEXT(Таблица97[[#This Row],[Дата]],"ГГ")&amp;RIGHT("000"&amp;Таблица97[[#This Row],[Номер]],4)</f>
        <v>160145</v>
      </c>
      <c r="C71" s="129">
        <v>42468</v>
      </c>
      <c r="D71" s="2" t="s">
        <v>138</v>
      </c>
      <c r="E71" s="108">
        <v>30699</v>
      </c>
      <c r="F71" s="129">
        <v>42471</v>
      </c>
      <c r="G71" s="128">
        <v>1</v>
      </c>
      <c r="H71" s="129">
        <v>42496</v>
      </c>
      <c r="I71" s="108">
        <f t="shared" si="4"/>
        <v>30699</v>
      </c>
      <c r="J71" s="108">
        <f>IF(Таблица97[[#This Row],[НК]]=1,Таблица97[[#This Row],[Продажа]],"")</f>
        <v>30699</v>
      </c>
      <c r="M71" s="108">
        <v>21551</v>
      </c>
      <c r="N71" s="108">
        <f>Таблица97[[#This Row],[Продажа]]-Таблица97[[#This Row],[Закупка]]</f>
        <v>9148</v>
      </c>
      <c r="O71" s="108">
        <f>IF(Таблица97[[#This Row],[НК]]=1,Таблица97[[#This Row],[Маржа]],"")</f>
        <v>9148</v>
      </c>
    </row>
    <row r="72" spans="1:15" ht="20.100000000000001" customHeight="1" x14ac:dyDescent="0.25">
      <c r="A72" s="2">
        <v>111</v>
      </c>
      <c r="B72" s="2" t="str">
        <f>TEXT(Таблица97[[#This Row],[Дата]],"ГГ")&amp;RIGHT("000"&amp;Таблица97[[#This Row],[Номер]],4)</f>
        <v>160111</v>
      </c>
      <c r="C72" s="129">
        <v>42465</v>
      </c>
      <c r="D72" s="2" t="s">
        <v>139</v>
      </c>
      <c r="E72" s="108">
        <v>9890</v>
      </c>
      <c r="F72" s="129">
        <v>42471</v>
      </c>
      <c r="H72" s="129">
        <v>42474</v>
      </c>
      <c r="I72" s="108">
        <f t="shared" si="4"/>
        <v>9890</v>
      </c>
      <c r="J72" s="108" t="str">
        <f>IF(Таблица97[[#This Row],[НК]]=1,Таблица97[[#This Row],[Продажа]],"")</f>
        <v/>
      </c>
      <c r="M72" s="108">
        <v>7269</v>
      </c>
      <c r="N72" s="108">
        <f>Таблица97[[#This Row],[Продажа]]-Таблица97[[#This Row],[Закупка]]</f>
        <v>2621</v>
      </c>
      <c r="O72" s="108" t="str">
        <f>IF(Таблица97[[#This Row],[НК]]=1,Таблица97[[#This Row],[Маржа]],"")</f>
        <v/>
      </c>
    </row>
    <row r="73" spans="1:15" ht="20.100000000000001" customHeight="1" x14ac:dyDescent="0.25">
      <c r="A73" s="2">
        <v>105</v>
      </c>
      <c r="B73" s="2" t="str">
        <f>TEXT(Таблица97[[#This Row],[Дата]],"ГГ")&amp;RIGHT("000"&amp;Таблица97[[#This Row],[Номер]],4)</f>
        <v>160105</v>
      </c>
      <c r="C73" s="129">
        <v>42461</v>
      </c>
      <c r="D73" s="2" t="s">
        <v>102</v>
      </c>
      <c r="E73" s="108">
        <v>95305.56</v>
      </c>
      <c r="F73" s="129">
        <v>42473</v>
      </c>
      <c r="H73" s="129">
        <v>42503</v>
      </c>
      <c r="I73" s="108">
        <f t="shared" si="4"/>
        <v>95305.56</v>
      </c>
      <c r="J73" s="108" t="str">
        <f>IF(Таблица97[[#This Row],[НК]]=1,Таблица97[[#This Row],[Продажа]],"")</f>
        <v/>
      </c>
      <c r="M73" s="108">
        <f>64451+6008</f>
        <v>70459</v>
      </c>
      <c r="N73" s="108">
        <f>Таблица97[[#This Row],[Продажа]]-Таблица97[[#This Row],[Закупка]]</f>
        <v>24846.559999999998</v>
      </c>
      <c r="O73" s="108" t="str">
        <f>IF(Таблица97[[#This Row],[НК]]=1,Таблица97[[#This Row],[Маржа]],"")</f>
        <v/>
      </c>
    </row>
    <row r="74" spans="1:15" ht="20.100000000000001" customHeight="1" x14ac:dyDescent="0.25">
      <c r="A74" s="2">
        <v>153</v>
      </c>
      <c r="B74" s="2" t="str">
        <f>TEXT(Таблица97[[#This Row],[Дата]],"ГГ")&amp;RIGHT("000"&amp;Таблица97[[#This Row],[Номер]],4)</f>
        <v>160153</v>
      </c>
      <c r="C74" s="129">
        <v>42472</v>
      </c>
      <c r="D74" s="2" t="s">
        <v>140</v>
      </c>
      <c r="E74" s="108">
        <v>18078.89</v>
      </c>
      <c r="F74" s="129">
        <v>42474</v>
      </c>
      <c r="G74" s="128">
        <v>1</v>
      </c>
      <c r="H74" s="129">
        <v>42481</v>
      </c>
      <c r="I74" s="108">
        <f t="shared" si="4"/>
        <v>18078.89</v>
      </c>
      <c r="J74" s="108">
        <f>IF(Таблица97[[#This Row],[НК]]=1,Таблица97[[#This Row],[Продажа]],"")</f>
        <v>18078.89</v>
      </c>
      <c r="M74" s="108">
        <v>16045</v>
      </c>
      <c r="N74" s="108">
        <f>Таблица97[[#This Row],[Продажа]]-Таблица97[[#This Row],[Закупка]]</f>
        <v>2033.8899999999994</v>
      </c>
      <c r="O74" s="108">
        <f>IF(Таблица97[[#This Row],[НК]]=1,Таблица97[[#This Row],[Маржа]],"")</f>
        <v>2033.8899999999994</v>
      </c>
    </row>
    <row r="75" spans="1:15" ht="20.100000000000001" customHeight="1" x14ac:dyDescent="0.25">
      <c r="A75" s="2">
        <v>154</v>
      </c>
      <c r="B75" s="2" t="str">
        <f>TEXT(Таблица97[[#This Row],[Дата]],"ГГ")&amp;RIGHT("000"&amp;Таблица97[[#This Row],[Номер]],4)</f>
        <v>160154</v>
      </c>
      <c r="C75" s="129">
        <v>42472</v>
      </c>
      <c r="D75" s="2" t="s">
        <v>140</v>
      </c>
      <c r="E75" s="108">
        <v>8952.5400000000009</v>
      </c>
      <c r="F75" s="129">
        <v>42474</v>
      </c>
      <c r="G75" s="128">
        <v>1</v>
      </c>
      <c r="H75" s="129">
        <v>42481</v>
      </c>
      <c r="I75" s="108">
        <f t="shared" si="4"/>
        <v>8952.5400000000009</v>
      </c>
      <c r="J75" s="108">
        <f>IF(Таблица97[[#This Row],[НК]]=1,Таблица97[[#This Row],[Продажа]],"")</f>
        <v>8952.5400000000009</v>
      </c>
      <c r="M75" s="108">
        <v>6941</v>
      </c>
      <c r="N75" s="108">
        <f>Таблица97[[#This Row],[Продажа]]-Таблица97[[#This Row],[Закупка]]</f>
        <v>2011.5400000000009</v>
      </c>
      <c r="O75" s="108">
        <f>IF(Таблица97[[#This Row],[НК]]=1,Таблица97[[#This Row],[Маржа]],"")</f>
        <v>2011.5400000000009</v>
      </c>
    </row>
    <row r="76" spans="1:15" ht="20.100000000000001" customHeight="1" x14ac:dyDescent="0.25">
      <c r="A76" s="2">
        <v>143</v>
      </c>
      <c r="B76" s="2" t="str">
        <f>TEXT(Таблица97[[#This Row],[Дата]],"ГГ")&amp;RIGHT("000"&amp;Таблица97[[#This Row],[Номер]],4)</f>
        <v>160143</v>
      </c>
      <c r="C76" s="129">
        <v>42468</v>
      </c>
      <c r="D76" s="2" t="s">
        <v>56</v>
      </c>
      <c r="E76" s="108">
        <v>28771.63</v>
      </c>
      <c r="F76" s="129">
        <v>42486</v>
      </c>
      <c r="H76" s="129">
        <v>42478</v>
      </c>
      <c r="I76" s="108">
        <f t="shared" si="4"/>
        <v>28771.63</v>
      </c>
      <c r="J76" s="108" t="str">
        <f>IF(Таблица97[[#This Row],[НК]]=1,Таблица97[[#This Row],[Продажа]],"")</f>
        <v/>
      </c>
      <c r="M76" s="108">
        <v>18068.16</v>
      </c>
      <c r="N76" s="108">
        <f>Таблица97[[#This Row],[Продажа]]-Таблица97[[#This Row],[Закупка]]</f>
        <v>10703.470000000001</v>
      </c>
      <c r="O76" s="108" t="str">
        <f>IF(Таблица97[[#This Row],[НК]]=1,Таблица97[[#This Row],[Маржа]],"")</f>
        <v/>
      </c>
    </row>
    <row r="77" spans="1:15" ht="20.100000000000001" customHeight="1" x14ac:dyDescent="0.25">
      <c r="A77" s="2">
        <v>134</v>
      </c>
      <c r="B77" s="2" t="str">
        <f>TEXT(Таблица97[[#This Row],[Дата]],"ГГ")&amp;RIGHT("000"&amp;Таблица97[[#This Row],[Номер]],4)</f>
        <v>160134</v>
      </c>
      <c r="C77" s="129">
        <v>42465</v>
      </c>
      <c r="D77" s="2" t="s">
        <v>53</v>
      </c>
      <c r="E77" s="108">
        <v>64470.33</v>
      </c>
      <c r="F77" s="129">
        <v>42475</v>
      </c>
      <c r="H77" s="129">
        <v>42516</v>
      </c>
      <c r="I77" s="108">
        <f t="shared" si="4"/>
        <v>64470.33</v>
      </c>
      <c r="J77" s="108" t="str">
        <f>IF(Таблица97[[#This Row],[НК]]=1,Таблица97[[#This Row],[Продажа]],"")</f>
        <v/>
      </c>
      <c r="M77" s="108">
        <v>47668</v>
      </c>
      <c r="N77" s="108">
        <f>Таблица97[[#This Row],[Продажа]]-Таблица97[[#This Row],[Закупка]]</f>
        <v>16802.330000000002</v>
      </c>
      <c r="O77" s="108" t="str">
        <f>IF(Таблица97[[#This Row],[НК]]=1,Таблица97[[#This Row],[Маржа]],"")</f>
        <v/>
      </c>
    </row>
    <row r="78" spans="1:15" ht="20.100000000000001" customHeight="1" x14ac:dyDescent="0.25">
      <c r="A78" s="2">
        <v>144</v>
      </c>
      <c r="B78" s="2" t="str">
        <f>TEXT(Таблица97[[#This Row],[Дата]],"ГГ")&amp;RIGHT("000"&amp;Таблица97[[#This Row],[Номер]],4)</f>
        <v>160144</v>
      </c>
      <c r="C78" s="129">
        <v>42474</v>
      </c>
      <c r="D78" s="2" t="s">
        <v>60</v>
      </c>
      <c r="E78" s="108">
        <v>2127.96</v>
      </c>
      <c r="F78" s="129">
        <v>42482</v>
      </c>
      <c r="H78" s="129">
        <v>42479</v>
      </c>
      <c r="I78" s="108">
        <f t="shared" si="4"/>
        <v>2127.96</v>
      </c>
      <c r="J78" s="108" t="str">
        <f>IF(Таблица97[[#This Row],[НК]]=1,Таблица97[[#This Row],[Продажа]],"")</f>
        <v/>
      </c>
      <c r="M78" s="108">
        <v>1608</v>
      </c>
      <c r="N78" s="108">
        <f>Таблица97[[#This Row],[Продажа]]-Таблица97[[#This Row],[Закупка]]</f>
        <v>519.96</v>
      </c>
      <c r="O78" s="108" t="str">
        <f>IF(Таблица97[[#This Row],[НК]]=1,Таблица97[[#This Row],[Маржа]],"")</f>
        <v/>
      </c>
    </row>
    <row r="79" spans="1:15" ht="20.100000000000001" customHeight="1" x14ac:dyDescent="0.25">
      <c r="A79" s="2">
        <v>158</v>
      </c>
      <c r="B79" s="2" t="str">
        <f>TEXT(Таблица97[[#This Row],[Дата]],"ГГ")&amp;RIGHT("000"&amp;Таблица97[[#This Row],[Номер]],4)</f>
        <v>160158</v>
      </c>
      <c r="C79" s="129">
        <v>42478</v>
      </c>
      <c r="D79" s="2" t="s">
        <v>141</v>
      </c>
      <c r="E79" s="108">
        <v>4130.76</v>
      </c>
      <c r="F79" s="129">
        <v>42478</v>
      </c>
      <c r="G79" s="128">
        <v>1</v>
      </c>
      <c r="H79" s="129">
        <v>42482</v>
      </c>
      <c r="I79" s="108">
        <f t="shared" si="4"/>
        <v>4130.76</v>
      </c>
      <c r="J79" s="108">
        <f>IF(Таблица97[[#This Row],[НК]]=1,Таблица97[[#This Row],[Продажа]],"")</f>
        <v>4130.76</v>
      </c>
      <c r="M79" s="108">
        <v>3114</v>
      </c>
      <c r="N79" s="108">
        <f>Таблица97[[#This Row],[Продажа]]-Таблица97[[#This Row],[Закупка]]</f>
        <v>1016.7600000000002</v>
      </c>
      <c r="O79" s="108">
        <f>IF(Таблица97[[#This Row],[НК]]=1,Таблица97[[#This Row],[Маржа]],"")</f>
        <v>1016.7600000000002</v>
      </c>
    </row>
    <row r="80" spans="1:15" ht="20.100000000000001" customHeight="1" x14ac:dyDescent="0.25">
      <c r="A80" s="2">
        <v>164</v>
      </c>
      <c r="B80" s="2" t="str">
        <f>TEXT(Таблица97[[#This Row],[Дата]],"ГГ")&amp;RIGHT("000"&amp;Таблица97[[#This Row],[Номер]],4)</f>
        <v>160164</v>
      </c>
      <c r="C80" s="129">
        <v>42480</v>
      </c>
      <c r="D80" s="2" t="s">
        <v>40</v>
      </c>
      <c r="E80" s="108">
        <v>31590</v>
      </c>
      <c r="F80" s="129">
        <v>42481</v>
      </c>
      <c r="H80" s="129">
        <v>42480</v>
      </c>
      <c r="I80" s="108">
        <f t="shared" si="4"/>
        <v>31590</v>
      </c>
      <c r="J80" s="108" t="str">
        <f>IF(Таблица97[[#This Row],[НК]]=1,Таблица97[[#This Row],[Продажа]],"")</f>
        <v/>
      </c>
      <c r="M80" s="108">
        <v>25556</v>
      </c>
      <c r="N80" s="108">
        <f>Таблица97[[#This Row],[Продажа]]-Таблица97[[#This Row],[Закупка]]</f>
        <v>6034</v>
      </c>
      <c r="O80" s="108" t="str">
        <f>IF(Таблица97[[#This Row],[НК]]=1,Таблица97[[#This Row],[Маржа]],"")</f>
        <v/>
      </c>
    </row>
    <row r="81" spans="1:15" ht="20.100000000000001" customHeight="1" x14ac:dyDescent="0.25">
      <c r="A81" s="2">
        <v>161</v>
      </c>
      <c r="B81" s="2" t="str">
        <f>TEXT(Таблица97[[#This Row],[Дата]],"ГГ")&amp;RIGHT("000"&amp;Таблица97[[#This Row],[Номер]],4)</f>
        <v>160161</v>
      </c>
      <c r="C81" s="129">
        <v>42479</v>
      </c>
      <c r="D81" s="2" t="s">
        <v>34</v>
      </c>
      <c r="E81" s="108">
        <v>1950.13</v>
      </c>
      <c r="F81" s="129">
        <v>42480</v>
      </c>
      <c r="H81" s="129">
        <v>42485</v>
      </c>
      <c r="I81" s="108">
        <f t="shared" si="4"/>
        <v>1950.13</v>
      </c>
      <c r="J81" s="108" t="str">
        <f>IF(Таблица97[[#This Row],[НК]]=1,Таблица97[[#This Row],[Продажа]],"")</f>
        <v/>
      </c>
      <c r="M81" s="108">
        <v>1866</v>
      </c>
      <c r="N81" s="108">
        <f>Таблица97[[#This Row],[Продажа]]-Таблица97[[#This Row],[Закупка]]</f>
        <v>84.130000000000109</v>
      </c>
      <c r="O81" s="108" t="str">
        <f>IF(Таблица97[[#This Row],[НК]]=1,Таблица97[[#This Row],[Маржа]],"")</f>
        <v/>
      </c>
    </row>
    <row r="82" spans="1:15" ht="20.100000000000001" customHeight="1" x14ac:dyDescent="0.25">
      <c r="A82" s="2">
        <v>20</v>
      </c>
      <c r="B82" s="2" t="str">
        <f>TEXT(Таблица97[[#This Row],[Дата]],"ГГ")&amp;RIGHT("000"&amp;Таблица97[[#This Row],[Номер]],4)</f>
        <v>160020</v>
      </c>
      <c r="C82" s="129">
        <v>42451</v>
      </c>
      <c r="D82" s="2" t="s">
        <v>13</v>
      </c>
      <c r="E82" s="108">
        <v>5174.4799999999996</v>
      </c>
      <c r="F82" s="129">
        <v>42480</v>
      </c>
      <c r="H82" s="129">
        <v>42453</v>
      </c>
      <c r="I82" s="108">
        <f t="shared" si="4"/>
        <v>5174.4799999999996</v>
      </c>
      <c r="J82" s="108" t="str">
        <f>IF(Таблица97[[#This Row],[НК]]=1,Таблица97[[#This Row],[Продажа]],"")</f>
        <v/>
      </c>
      <c r="M82" s="108">
        <v>3486</v>
      </c>
      <c r="N82" s="108">
        <f>Таблица97[[#This Row],[Продажа]]-Таблица97[[#This Row],[Закупка]]</f>
        <v>1688.4799999999996</v>
      </c>
      <c r="O82" s="108" t="str">
        <f>IF(Таблица97[[#This Row],[НК]]=1,Таблица97[[#This Row],[Маржа]],"")</f>
        <v/>
      </c>
    </row>
    <row r="83" spans="1:15" ht="20.100000000000001" customHeight="1" x14ac:dyDescent="0.25">
      <c r="A83" s="2">
        <v>156</v>
      </c>
      <c r="B83" s="2" t="str">
        <f>TEXT(Таблица97[[#This Row],[Дата]],"ГГ")&amp;RIGHT("000"&amp;Таблица97[[#This Row],[Номер]],4)</f>
        <v>160156</v>
      </c>
      <c r="C83" s="129">
        <v>42474</v>
      </c>
      <c r="D83" s="2" t="s">
        <v>89</v>
      </c>
      <c r="E83" s="108">
        <v>9701.02</v>
      </c>
      <c r="F83" s="129">
        <v>42480</v>
      </c>
      <c r="H83" s="129">
        <v>42481</v>
      </c>
      <c r="I83" s="108">
        <f t="shared" si="4"/>
        <v>9701.02</v>
      </c>
      <c r="J83" s="108" t="str">
        <f>IF(Таблица97[[#This Row],[НК]]=1,Таблица97[[#This Row],[Продажа]],"")</f>
        <v/>
      </c>
      <c r="M83" s="108">
        <v>7334</v>
      </c>
      <c r="N83" s="108">
        <f>Таблица97[[#This Row],[Продажа]]-Таблица97[[#This Row],[Закупка]]</f>
        <v>2367.0200000000004</v>
      </c>
      <c r="O83" s="108" t="str">
        <f>IF(Таблица97[[#This Row],[НК]]=1,Таблица97[[#This Row],[Маржа]],"")</f>
        <v/>
      </c>
    </row>
    <row r="84" spans="1:15" ht="20.100000000000001" customHeight="1" x14ac:dyDescent="0.25">
      <c r="A84" s="2">
        <v>152</v>
      </c>
      <c r="B84" s="2" t="str">
        <f>TEXT(Таблица97[[#This Row],[Дата]],"ГГ")&amp;RIGHT("000"&amp;Таблица97[[#This Row],[Номер]],4)</f>
        <v>160152</v>
      </c>
      <c r="C84" s="129">
        <v>42471</v>
      </c>
      <c r="D84" s="2" t="s">
        <v>33</v>
      </c>
      <c r="E84" s="108">
        <v>1568.36</v>
      </c>
      <c r="F84" s="129">
        <v>42481</v>
      </c>
      <c r="H84" s="129">
        <v>42495</v>
      </c>
      <c r="I84" s="108">
        <f t="shared" si="4"/>
        <v>1568.36</v>
      </c>
      <c r="J84" s="108" t="str">
        <f>IF(Таблица97[[#This Row],[НК]]=1,Таблица97[[#This Row],[Продажа]],"")</f>
        <v/>
      </c>
      <c r="M84" s="108">
        <v>941</v>
      </c>
      <c r="N84" s="108">
        <f>Таблица97[[#This Row],[Продажа]]-Таблица97[[#This Row],[Закупка]]</f>
        <v>627.3599999999999</v>
      </c>
      <c r="O84" s="108" t="str">
        <f>IF(Таблица97[[#This Row],[НК]]=1,Таблица97[[#This Row],[Маржа]],"")</f>
        <v/>
      </c>
    </row>
    <row r="85" spans="1:15" ht="20.100000000000001" customHeight="1" x14ac:dyDescent="0.25">
      <c r="A85" s="2">
        <v>170</v>
      </c>
      <c r="B85" s="2" t="str">
        <f>TEXT(Таблица97[[#This Row],[Дата]],"ГГ")&amp;RIGHT("000"&amp;Таблица97[[#This Row],[Номер]],4)</f>
        <v>160170</v>
      </c>
      <c r="C85" s="129">
        <v>42485</v>
      </c>
      <c r="D85" s="2" t="s">
        <v>143</v>
      </c>
      <c r="E85" s="108">
        <v>9490</v>
      </c>
      <c r="F85" s="129">
        <v>42485</v>
      </c>
      <c r="G85" s="128">
        <v>1</v>
      </c>
      <c r="H85" s="129">
        <v>42485</v>
      </c>
      <c r="I85" s="108">
        <f t="shared" si="4"/>
        <v>9490</v>
      </c>
      <c r="J85" s="108">
        <f>IF(Таблица97[[#This Row],[НК]]=1,Таблица97[[#This Row],[Продажа]],"")</f>
        <v>9490</v>
      </c>
      <c r="M85" s="108">
        <v>8036</v>
      </c>
      <c r="N85" s="108">
        <f>Таблица97[[#This Row],[Продажа]]-Таблица97[[#This Row],[Закупка]]</f>
        <v>1454</v>
      </c>
      <c r="O85" s="108">
        <f>IF(Таблица97[[#This Row],[НК]]=1,Таблица97[[#This Row],[Маржа]],"")</f>
        <v>1454</v>
      </c>
    </row>
    <row r="86" spans="1:15" ht="20.100000000000001" customHeight="1" x14ac:dyDescent="0.25">
      <c r="A86" s="2">
        <v>169</v>
      </c>
      <c r="B86" s="2" t="str">
        <f>TEXT(Таблица97[[#This Row],[Дата]],"ГГ")&amp;RIGHT("000"&amp;Таблица97[[#This Row],[Номер]],4)</f>
        <v>160169</v>
      </c>
      <c r="C86" s="129">
        <v>42482</v>
      </c>
      <c r="D86" s="2" t="s">
        <v>144</v>
      </c>
      <c r="E86" s="108">
        <v>10900.87</v>
      </c>
      <c r="F86" s="129">
        <v>42485</v>
      </c>
      <c r="H86" s="129">
        <v>42523</v>
      </c>
      <c r="I86" s="108">
        <f t="shared" si="4"/>
        <v>10900.87</v>
      </c>
      <c r="J86" s="108" t="str">
        <f>IF(Таблица97[[#This Row],[НК]]=1,Таблица97[[#This Row],[Продажа]],"")</f>
        <v/>
      </c>
      <c r="M86" s="108">
        <f>4886+2174</f>
        <v>7060</v>
      </c>
      <c r="N86" s="108">
        <f>Таблица97[[#This Row],[Продажа]]-Таблица97[[#This Row],[Закупка]]</f>
        <v>3840.8700000000008</v>
      </c>
      <c r="O86" s="108" t="str">
        <f>IF(Таблица97[[#This Row],[НК]]=1,Таблица97[[#This Row],[Маржа]],"")</f>
        <v/>
      </c>
    </row>
    <row r="87" spans="1:15" ht="20.100000000000001" customHeight="1" x14ac:dyDescent="0.25">
      <c r="A87" s="2">
        <v>175</v>
      </c>
      <c r="B87" s="2" t="str">
        <f>TEXT(Таблица97[[#This Row],[Дата]],"ГГ")&amp;RIGHT("000"&amp;Таблица97[[#This Row],[Номер]],4)</f>
        <v>160175</v>
      </c>
      <c r="C87" s="129">
        <v>42487</v>
      </c>
      <c r="D87" s="2" t="s">
        <v>34</v>
      </c>
      <c r="E87" s="108">
        <v>7290</v>
      </c>
      <c r="F87" s="129">
        <v>42487</v>
      </c>
      <c r="H87" s="129">
        <v>42489</v>
      </c>
      <c r="I87" s="108">
        <f t="shared" si="4"/>
        <v>7290</v>
      </c>
      <c r="J87" s="108" t="str">
        <f>IF(Таблица97[[#This Row],[НК]]=1,Таблица97[[#This Row],[Продажа]],"")</f>
        <v/>
      </c>
      <c r="M87" s="108">
        <v>5897</v>
      </c>
      <c r="N87" s="108">
        <f>Таблица97[[#This Row],[Продажа]]-Таблица97[[#This Row],[Закупка]]</f>
        <v>1393</v>
      </c>
      <c r="O87" s="108" t="str">
        <f>IF(Таблица97[[#This Row],[НК]]=1,Таблица97[[#This Row],[Маржа]],"")</f>
        <v/>
      </c>
    </row>
    <row r="88" spans="1:15" ht="19.5" customHeight="1" x14ac:dyDescent="0.25">
      <c r="A88" s="2">
        <v>159</v>
      </c>
      <c r="B88" s="2" t="str">
        <f>TEXT(Таблица97[[#This Row],[Дата]],"ГГ")&amp;RIGHT("000"&amp;Таблица97[[#This Row],[Номер]],4)</f>
        <v>160159</v>
      </c>
      <c r="C88" s="129">
        <v>42478</v>
      </c>
      <c r="D88" s="2" t="s">
        <v>145</v>
      </c>
      <c r="E88" s="108">
        <v>32890</v>
      </c>
      <c r="F88" s="129">
        <v>42487</v>
      </c>
      <c r="G88" s="128">
        <v>1</v>
      </c>
      <c r="H88" s="129">
        <v>42488</v>
      </c>
      <c r="I88" s="108">
        <f t="shared" si="4"/>
        <v>32890</v>
      </c>
      <c r="J88" s="108">
        <f>IF(Таблица97[[#This Row],[НК]]=1,Таблица97[[#This Row],[Продажа]],"")</f>
        <v>32890</v>
      </c>
      <c r="M88" s="108">
        <v>25556</v>
      </c>
      <c r="N88" s="108">
        <f>Таблица97[[#This Row],[Продажа]]-Таблица97[[#This Row],[Закупка]]</f>
        <v>7334</v>
      </c>
      <c r="O88" s="108">
        <f>IF(Таблица97[[#This Row],[НК]]=1,Таблица97[[#This Row],[Маржа]],"")</f>
        <v>7334</v>
      </c>
    </row>
    <row r="89" spans="1:15" ht="20.100000000000001" customHeight="1" x14ac:dyDescent="0.25">
      <c r="A89" s="2">
        <v>176</v>
      </c>
      <c r="B89" s="2" t="str">
        <f>TEXT(Таблица97[[#This Row],[Дата]],"ГГ")&amp;RIGHT("000"&amp;Таблица97[[#This Row],[Номер]],4)</f>
        <v>160176</v>
      </c>
      <c r="C89" s="129">
        <v>42488</v>
      </c>
      <c r="D89" s="2" t="s">
        <v>42</v>
      </c>
      <c r="E89" s="108">
        <v>28257.17</v>
      </c>
      <c r="F89" s="129">
        <v>42489</v>
      </c>
      <c r="H89" s="129">
        <v>42510</v>
      </c>
      <c r="I89" s="108">
        <f t="shared" si="4"/>
        <v>28257.17</v>
      </c>
      <c r="J89" s="108" t="str">
        <f>IF(Таблица97[[#This Row],[НК]]=1,Таблица97[[#This Row],[Продажа]],"")</f>
        <v/>
      </c>
      <c r="M89" s="108">
        <v>22180</v>
      </c>
      <c r="N89" s="108">
        <f>Таблица97[[#This Row],[Продажа]]-Таблица97[[#This Row],[Закупка]]</f>
        <v>6077.1699999999983</v>
      </c>
      <c r="O89" s="108" t="str">
        <f>IF(Таблица97[[#This Row],[НК]]=1,Таблица97[[#This Row],[Маржа]],"")</f>
        <v/>
      </c>
    </row>
    <row r="90" spans="1:15" ht="20.100000000000001" customHeight="1" x14ac:dyDescent="0.25">
      <c r="A90" s="2">
        <v>177</v>
      </c>
      <c r="B90" s="2" t="str">
        <f>TEXT(Таблица97[[#This Row],[Дата]],"ГГ")&amp;RIGHT("000"&amp;Таблица97[[#This Row],[Номер]],4)</f>
        <v>160177</v>
      </c>
      <c r="C90" s="129">
        <v>42488</v>
      </c>
      <c r="D90" s="2" t="s">
        <v>118</v>
      </c>
      <c r="E90" s="108">
        <v>9490</v>
      </c>
      <c r="F90" s="129">
        <v>42488</v>
      </c>
      <c r="H90" s="129">
        <v>42489</v>
      </c>
      <c r="I90" s="108">
        <f t="shared" si="4"/>
        <v>9490</v>
      </c>
      <c r="J90" s="108" t="str">
        <f>IF(Таблица97[[#This Row],[НК]]=1,Таблица97[[#This Row],[Продажа]],"")</f>
        <v/>
      </c>
      <c r="M90" s="108">
        <v>8036</v>
      </c>
      <c r="N90" s="108">
        <f>Таблица97[[#This Row],[Продажа]]-Таблица97[[#This Row],[Закупка]]</f>
        <v>1454</v>
      </c>
      <c r="O90" s="108" t="str">
        <f>IF(Таблица97[[#This Row],[НК]]=1,Таблица97[[#This Row],[Маржа]],"")</f>
        <v/>
      </c>
    </row>
    <row r="91" spans="1:15" ht="20.100000000000001" customHeight="1" x14ac:dyDescent="0.25">
      <c r="A91" s="2">
        <v>179</v>
      </c>
      <c r="B91" s="2" t="str">
        <f>TEXT(Таблица97[[#This Row],[Дата]],"ГГ")&amp;RIGHT("000"&amp;Таблица97[[#This Row],[Номер]],4)</f>
        <v>160179</v>
      </c>
      <c r="C91" s="129">
        <v>42489</v>
      </c>
      <c r="D91" s="2" t="s">
        <v>145</v>
      </c>
      <c r="E91" s="108">
        <v>7637.56</v>
      </c>
      <c r="F91" s="129">
        <v>42489</v>
      </c>
      <c r="G91" s="128">
        <v>1</v>
      </c>
      <c r="H91" s="129">
        <v>42508</v>
      </c>
      <c r="I91" s="108">
        <f t="shared" si="4"/>
        <v>7637.56</v>
      </c>
      <c r="J91" s="108">
        <f>IF(Таблица97[[#This Row],[НК]]=1,Таблица97[[#This Row],[Продажа]],"")</f>
        <v>7637.56</v>
      </c>
      <c r="M91" s="108">
        <v>5775</v>
      </c>
      <c r="N91" s="108">
        <f>Таблица97[[#This Row],[Продажа]]-Таблица97[[#This Row],[Закупка]]</f>
        <v>1862.5600000000004</v>
      </c>
      <c r="O91" s="108">
        <f>IF(Таблица97[[#This Row],[НК]]=1,Таблица97[[#This Row],[Маржа]],"")</f>
        <v>1862.5600000000004</v>
      </c>
    </row>
    <row r="92" spans="1:15" ht="20.100000000000001" customHeight="1" x14ac:dyDescent="0.25">
      <c r="A92" s="2">
        <v>173</v>
      </c>
      <c r="B92" s="2" t="str">
        <f>TEXT(Таблица97[[#This Row],[Дата]],"ГГ")&amp;RIGHT("000"&amp;Таблица97[[#This Row],[Номер]],4)</f>
        <v>160173</v>
      </c>
      <c r="C92" s="129">
        <v>42486</v>
      </c>
      <c r="D92" s="2" t="s">
        <v>146</v>
      </c>
      <c r="E92" s="108">
        <v>5040.08</v>
      </c>
      <c r="F92" s="129">
        <v>42489</v>
      </c>
      <c r="G92" s="128">
        <v>1</v>
      </c>
      <c r="H92" s="129">
        <v>42496</v>
      </c>
      <c r="I92" s="108">
        <f t="shared" si="4"/>
        <v>5040.08</v>
      </c>
      <c r="J92" s="108">
        <f>IF(Таблица97[[#This Row],[НК]]=1,Таблица97[[#This Row],[Продажа]],"")</f>
        <v>5040.08</v>
      </c>
      <c r="M92" s="108">
        <v>3962</v>
      </c>
      <c r="N92" s="108">
        <f>Таблица97[[#This Row],[Продажа]]-Таблица97[[#This Row],[Закупка]]</f>
        <v>1078.08</v>
      </c>
      <c r="O92" s="108">
        <f>IF(Таблица97[[#This Row],[НК]]=1,Таблица97[[#This Row],[Маржа]],"")</f>
        <v>1078.08</v>
      </c>
    </row>
    <row r="93" spans="1:15" ht="20.100000000000001" customHeight="1" x14ac:dyDescent="0.25">
      <c r="A93" s="2">
        <v>110</v>
      </c>
      <c r="B93" s="2" t="str">
        <f>TEXT(Таблица97[[#This Row],[Дата]],"ГГ")&amp;RIGHT("000"&amp;Таблица97[[#This Row],[Номер]],4)</f>
        <v>160110</v>
      </c>
      <c r="C93" s="129">
        <v>42452</v>
      </c>
      <c r="D93" s="2" t="s">
        <v>99</v>
      </c>
      <c r="E93" s="108">
        <v>267240.5</v>
      </c>
      <c r="F93" s="129">
        <v>42507</v>
      </c>
      <c r="H93" s="129">
        <v>42472</v>
      </c>
      <c r="I93" s="108">
        <f t="shared" ref="I93:I116" si="5">E93</f>
        <v>267240.5</v>
      </c>
      <c r="J93" s="108" t="str">
        <f>IF(Таблица97[[#This Row],[НК]]=1,Таблица97[[#This Row],[Продажа]],"")</f>
        <v/>
      </c>
      <c r="K93" s="108">
        <v>60000</v>
      </c>
      <c r="L93" s="108">
        <v>6000</v>
      </c>
      <c r="M93" s="108">
        <v>63317.94</v>
      </c>
      <c r="N93" s="108">
        <f>Таблица97[[#This Row],[Продажа]]-Таблица97[[#This Row],[Закупка]]</f>
        <v>203922.56</v>
      </c>
      <c r="O93" s="108" t="str">
        <f>IF(Таблица97[[#This Row],[НК]]=1,Таблица97[[#This Row],[Маржа]],"")</f>
        <v/>
      </c>
    </row>
    <row r="94" spans="1:15" ht="20.100000000000001" customHeight="1" x14ac:dyDescent="0.25">
      <c r="A94" s="2">
        <v>125</v>
      </c>
      <c r="B94" s="2" t="str">
        <f>TEXT(Таблица97[[#This Row],[Дата]],"ГГ")&amp;RIGHT("000"&amp;Таблица97[[#This Row],[Номер]],4)</f>
        <v>160125</v>
      </c>
      <c r="C94" s="129">
        <v>42458</v>
      </c>
      <c r="D94" s="2" t="s">
        <v>99</v>
      </c>
      <c r="E94" s="108">
        <v>153394.79999999999</v>
      </c>
      <c r="F94" s="129">
        <v>42507</v>
      </c>
      <c r="H94" s="129">
        <v>42496</v>
      </c>
      <c r="I94" s="108">
        <f t="shared" si="5"/>
        <v>153394.79999999999</v>
      </c>
      <c r="J94" s="108" t="str">
        <f>IF(Таблица97[[#This Row],[НК]]=1,Таблица97[[#This Row],[Продажа]],"")</f>
        <v/>
      </c>
      <c r="M94" s="108">
        <v>112650</v>
      </c>
      <c r="N94" s="108">
        <f>Таблица97[[#This Row],[Продажа]]-Таблица97[[#This Row],[Закупка]]</f>
        <v>40744.799999999988</v>
      </c>
      <c r="O94" s="108" t="str">
        <f>IF(Таблица97[[#This Row],[НК]]=1,Таблица97[[#This Row],[Маржа]],"")</f>
        <v/>
      </c>
    </row>
    <row r="95" spans="1:15" ht="20.100000000000001" customHeight="1" x14ac:dyDescent="0.25">
      <c r="A95" s="2">
        <v>171</v>
      </c>
      <c r="B95" s="2" t="str">
        <f>TEXT(Таблица97[[#This Row],[Дата]],"ГГ")&amp;RIGHT("000"&amp;Таблица97[[#This Row],[Номер]],4)</f>
        <v>160171</v>
      </c>
      <c r="C95" s="129">
        <v>42485</v>
      </c>
      <c r="D95" s="2" t="s">
        <v>56</v>
      </c>
      <c r="E95" s="108">
        <v>44761.39</v>
      </c>
      <c r="F95" s="129">
        <v>42507</v>
      </c>
      <c r="H95" s="129">
        <v>42495</v>
      </c>
      <c r="I95" s="108">
        <f t="shared" si="5"/>
        <v>44761.39</v>
      </c>
      <c r="J95" s="108" t="str">
        <f>IF(Таблица97[[#This Row],[НК]]=1,Таблица97[[#This Row],[Продажа]],"")</f>
        <v/>
      </c>
      <c r="M95" s="108">
        <v>32798</v>
      </c>
      <c r="N95" s="108">
        <f>Таблица97[[#This Row],[Продажа]]-Таблица97[[#This Row],[Закупка]]</f>
        <v>11963.39</v>
      </c>
      <c r="O95" s="108" t="str">
        <f>IF(Таблица97[[#This Row],[НК]]=1,Таблица97[[#This Row],[Маржа]],"")</f>
        <v/>
      </c>
    </row>
    <row r="96" spans="1:15" ht="20.100000000000001" customHeight="1" x14ac:dyDescent="0.25">
      <c r="A96" s="2">
        <v>162</v>
      </c>
      <c r="B96" s="2" t="str">
        <f>TEXT(Таблица97[[#This Row],[Дата]],"ГГ")&amp;RIGHT("000"&amp;Таблица97[[#This Row],[Номер]],4)</f>
        <v>160162</v>
      </c>
      <c r="C96" s="129">
        <v>42489</v>
      </c>
      <c r="D96" s="2" t="s">
        <v>114</v>
      </c>
      <c r="E96" s="108">
        <v>4154.7</v>
      </c>
      <c r="F96" s="129">
        <v>42501</v>
      </c>
      <c r="H96" s="129">
        <v>42495</v>
      </c>
      <c r="I96" s="108">
        <f t="shared" si="5"/>
        <v>4154.7</v>
      </c>
      <c r="J96" s="108" t="str">
        <f>IF(Таблица97[[#This Row],[НК]]=1,Таблица97[[#This Row],[Продажа]],"")</f>
        <v/>
      </c>
      <c r="M96" s="108">
        <v>3020</v>
      </c>
      <c r="N96" s="108">
        <f>Таблица97[[#This Row],[Продажа]]-Таблица97[[#This Row],[Закупка]]</f>
        <v>1134.6999999999998</v>
      </c>
      <c r="O96" s="108" t="str">
        <f>IF(Таблица97[[#This Row],[НК]]=1,Таблица97[[#This Row],[Маржа]],"")</f>
        <v/>
      </c>
    </row>
    <row r="97" spans="1:15" ht="20.100000000000001" customHeight="1" x14ac:dyDescent="0.25">
      <c r="A97" s="2">
        <v>184</v>
      </c>
      <c r="B97" s="2" t="str">
        <f>TEXT(Таблица97[[#This Row],[Дата]],"ГГ")&amp;RIGHT("000"&amp;Таблица97[[#This Row],[Номер]],4)</f>
        <v>160184</v>
      </c>
      <c r="C97" s="129">
        <v>42494</v>
      </c>
      <c r="D97" s="2" t="s">
        <v>147</v>
      </c>
      <c r="E97" s="108">
        <v>2181.5300000000002</v>
      </c>
      <c r="F97" s="129">
        <v>42495</v>
      </c>
      <c r="G97" s="128">
        <v>1</v>
      </c>
      <c r="H97" s="129">
        <v>42508</v>
      </c>
      <c r="I97" s="108">
        <f t="shared" si="5"/>
        <v>2181.5300000000002</v>
      </c>
      <c r="J97" s="108">
        <f>IF(Таблица97[[#This Row],[НК]]=1,Таблица97[[#This Row],[Продажа]],"")</f>
        <v>2181.5300000000002</v>
      </c>
      <c r="M97" s="108">
        <v>1803</v>
      </c>
      <c r="N97" s="108">
        <f>Таблица97[[#This Row],[Продажа]]-Таблица97[[#This Row],[Закупка]]</f>
        <v>378.5300000000002</v>
      </c>
      <c r="O97" s="108">
        <f>IF(Таблица97[[#This Row],[НК]]=1,Таблица97[[#This Row],[Маржа]],"")</f>
        <v>378.5300000000002</v>
      </c>
    </row>
    <row r="98" spans="1:15" ht="20.100000000000001" customHeight="1" x14ac:dyDescent="0.25">
      <c r="A98" s="2">
        <v>193</v>
      </c>
      <c r="B98" s="2" t="str">
        <f>TEXT(Таблица97[[#This Row],[Дата]],"ГГ")&amp;RIGHT("000"&amp;Таблица97[[#This Row],[Номер]],4)</f>
        <v>160193</v>
      </c>
      <c r="C98" s="129">
        <v>42501</v>
      </c>
      <c r="D98" s="2" t="s">
        <v>147</v>
      </c>
      <c r="E98" s="108">
        <v>5411</v>
      </c>
      <c r="F98" s="129">
        <v>42502</v>
      </c>
      <c r="G98" s="128">
        <v>1</v>
      </c>
      <c r="H98" s="129">
        <v>42508</v>
      </c>
      <c r="I98" s="108">
        <f t="shared" si="5"/>
        <v>5411</v>
      </c>
      <c r="J98" s="108">
        <f>IF(Таблица97[[#This Row],[НК]]=1,Таблица97[[#This Row],[Продажа]],"")</f>
        <v>5411</v>
      </c>
      <c r="M98" s="108">
        <v>3377</v>
      </c>
      <c r="N98" s="108">
        <f>Таблица97[[#This Row],[Продажа]]-Таблица97[[#This Row],[Закупка]]</f>
        <v>2034</v>
      </c>
      <c r="O98" s="108">
        <f>IF(Таблица97[[#This Row],[НК]]=1,Таблица97[[#This Row],[Маржа]],"")</f>
        <v>2034</v>
      </c>
    </row>
    <row r="99" spans="1:15" ht="20.100000000000001" customHeight="1" x14ac:dyDescent="0.25">
      <c r="A99" s="2">
        <v>180</v>
      </c>
      <c r="B99" s="2" t="str">
        <f>TEXT(Таблица97[[#This Row],[Дата]],"ГГ")&amp;RIGHT("000"&amp;Таблица97[[#This Row],[Номер]],4)</f>
        <v>160180</v>
      </c>
      <c r="C99" s="129">
        <v>42489</v>
      </c>
      <c r="D99" s="2" t="s">
        <v>148</v>
      </c>
      <c r="E99" s="108">
        <v>3200.16</v>
      </c>
      <c r="F99" s="129">
        <v>42494</v>
      </c>
      <c r="G99" s="128">
        <v>1</v>
      </c>
      <c r="H99" s="129">
        <v>42508</v>
      </c>
      <c r="I99" s="108">
        <f t="shared" si="5"/>
        <v>3200.16</v>
      </c>
      <c r="J99" s="108">
        <f>IF(Таблица97[[#This Row],[НК]]=1,Таблица97[[#This Row],[Продажа]],"")</f>
        <v>3200.16</v>
      </c>
      <c r="M99" s="108">
        <v>1920</v>
      </c>
      <c r="N99" s="108">
        <f>Таблица97[[#This Row],[Продажа]]-Таблица97[[#This Row],[Закупка]]</f>
        <v>1280.1599999999999</v>
      </c>
      <c r="O99" s="108">
        <f>IF(Таблица97[[#This Row],[НК]]=1,Таблица97[[#This Row],[Маржа]],"")</f>
        <v>1280.1599999999999</v>
      </c>
    </row>
    <row r="100" spans="1:15" ht="20.100000000000001" customHeight="1" x14ac:dyDescent="0.25">
      <c r="A100" s="2">
        <v>166</v>
      </c>
      <c r="B100" s="2" t="str">
        <f>TEXT(Таблица97[[#This Row],[Дата]],"ГГ")&amp;RIGHT("000"&amp;Таблица97[[#This Row],[Номер]],4)</f>
        <v>160166</v>
      </c>
      <c r="C100" s="129">
        <v>42481</v>
      </c>
      <c r="D100" s="2" t="s">
        <v>142</v>
      </c>
      <c r="E100" s="108">
        <v>15540.7</v>
      </c>
      <c r="F100" s="129">
        <v>42507</v>
      </c>
      <c r="H100" s="129">
        <v>42495</v>
      </c>
      <c r="I100" s="108">
        <f t="shared" si="5"/>
        <v>15540.7</v>
      </c>
      <c r="J100" s="108" t="str">
        <f>IF(Таблица97[[#This Row],[НК]]=1,Таблица97[[#This Row],[Продажа]],"")</f>
        <v/>
      </c>
      <c r="M100" s="108">
        <f>412*2+154*20+166*10+351*15</f>
        <v>10829</v>
      </c>
      <c r="N100" s="108">
        <f>Таблица97[[#This Row],[Продажа]]-Таблица97[[#This Row],[Закупка]]</f>
        <v>4711.7000000000007</v>
      </c>
      <c r="O100" s="108" t="str">
        <f>IF(Таблица97[[#This Row],[НК]]=1,Таблица97[[#This Row],[Маржа]],"")</f>
        <v/>
      </c>
    </row>
    <row r="101" spans="1:15" ht="20.100000000000001" customHeight="1" x14ac:dyDescent="0.25">
      <c r="A101" s="2">
        <v>188</v>
      </c>
      <c r="B101" s="2" t="str">
        <f>TEXT(Таблица97[[#This Row],[Дата]],"ГГ")&amp;RIGHT("000"&amp;Таблица97[[#This Row],[Номер]],4)</f>
        <v>160188</v>
      </c>
      <c r="C101" s="129">
        <v>42496</v>
      </c>
      <c r="D101" s="2" t="s">
        <v>149</v>
      </c>
      <c r="E101" s="108">
        <v>38590</v>
      </c>
      <c r="F101" s="129">
        <v>42501</v>
      </c>
      <c r="G101" s="128">
        <v>1</v>
      </c>
      <c r="H101" s="129">
        <v>42508</v>
      </c>
      <c r="I101" s="108">
        <f t="shared" si="5"/>
        <v>38590</v>
      </c>
      <c r="J101" s="108">
        <f>IF(Таблица97[[#This Row],[НК]]=1,Таблица97[[#This Row],[Продажа]],"")</f>
        <v>38590</v>
      </c>
      <c r="M101" s="108">
        <v>31571</v>
      </c>
      <c r="N101" s="108">
        <f>Таблица97[[#This Row],[Продажа]]-Таблица97[[#This Row],[Закупка]]</f>
        <v>7019</v>
      </c>
      <c r="O101" s="108">
        <f>IF(Таблица97[[#This Row],[НК]]=1,Таблица97[[#This Row],[Маржа]],"")</f>
        <v>7019</v>
      </c>
    </row>
    <row r="102" spans="1:15" ht="20.100000000000001" customHeight="1" x14ac:dyDescent="0.25">
      <c r="A102" s="2">
        <v>194</v>
      </c>
      <c r="B102" s="2" t="str">
        <f>TEXT(Таблица97[[#This Row],[Дата]],"ГГ")&amp;RIGHT("000"&amp;Таблица97[[#This Row],[Номер]],4)</f>
        <v>160194</v>
      </c>
      <c r="C102" s="129">
        <v>42502</v>
      </c>
      <c r="D102" s="2" t="s">
        <v>86</v>
      </c>
      <c r="E102" s="108">
        <v>10721</v>
      </c>
      <c r="F102" s="129">
        <v>42507</v>
      </c>
      <c r="H102" s="129">
        <v>42527</v>
      </c>
      <c r="I102" s="108">
        <f t="shared" si="5"/>
        <v>10721</v>
      </c>
      <c r="J102" s="108" t="str">
        <f>IF(Таблица97[[#This Row],[НК]]=1,Таблица97[[#This Row],[Продажа]],"")</f>
        <v/>
      </c>
      <c r="M102" s="108">
        <v>7593</v>
      </c>
      <c r="N102" s="108">
        <f>Таблица97[[#This Row],[Продажа]]-Таблица97[[#This Row],[Закупка]]</f>
        <v>3128</v>
      </c>
      <c r="O102" s="108" t="str">
        <f>IF(Таблица97[[#This Row],[НК]]=1,Таблица97[[#This Row],[Маржа]],"")</f>
        <v/>
      </c>
    </row>
    <row r="103" spans="1:15" ht="20.100000000000001" customHeight="1" x14ac:dyDescent="0.25">
      <c r="A103" s="2">
        <v>199</v>
      </c>
      <c r="B103" s="2" t="str">
        <f>TEXT(Таблица97[[#This Row],[Дата]],"ГГ")&amp;RIGHT("000"&amp;Таблица97[[#This Row],[Номер]],4)</f>
        <v>160199</v>
      </c>
      <c r="C103" s="129">
        <v>42506</v>
      </c>
      <c r="D103" s="2" t="s">
        <v>77</v>
      </c>
      <c r="E103" s="108">
        <v>1537.25</v>
      </c>
      <c r="F103" s="129">
        <v>42507</v>
      </c>
      <c r="H103" s="129">
        <v>42510</v>
      </c>
      <c r="I103" s="108">
        <f t="shared" si="5"/>
        <v>1537.25</v>
      </c>
      <c r="J103" s="108" t="str">
        <f>IF(Таблица97[[#This Row],[НК]]=1,Таблица97[[#This Row],[Продажа]],"")</f>
        <v/>
      </c>
      <c r="M103" s="108">
        <v>1163</v>
      </c>
      <c r="N103" s="108">
        <f>Таблица97[[#This Row],[Продажа]]-Таблица97[[#This Row],[Закупка]]</f>
        <v>374.25</v>
      </c>
      <c r="O103" s="108" t="str">
        <f>IF(Таблица97[[#This Row],[НК]]=1,Таблица97[[#This Row],[Маржа]],"")</f>
        <v/>
      </c>
    </row>
    <row r="104" spans="1:15" ht="20.100000000000001" customHeight="1" x14ac:dyDescent="0.25">
      <c r="A104" s="2">
        <v>206</v>
      </c>
      <c r="B104" s="2" t="str">
        <f>TEXT(Таблица97[[#This Row],[Дата]],"ГГ")&amp;RIGHT("000"&amp;Таблица97[[#This Row],[Номер]],4)</f>
        <v>160206</v>
      </c>
      <c r="C104" s="129">
        <v>42506</v>
      </c>
      <c r="D104" s="2" t="s">
        <v>66</v>
      </c>
      <c r="E104" s="108">
        <v>20587.62</v>
      </c>
      <c r="F104" s="129">
        <v>42514</v>
      </c>
      <c r="H104" s="129">
        <v>42508</v>
      </c>
      <c r="I104" s="108">
        <f t="shared" si="5"/>
        <v>20587.62</v>
      </c>
      <c r="J104" s="108" t="str">
        <f>IF(Таблица97[[#This Row],[НК]]=1,Таблица97[[#This Row],[Продажа]],"")</f>
        <v/>
      </c>
      <c r="M104" s="108">
        <v>15222</v>
      </c>
      <c r="N104" s="108">
        <f>Таблица97[[#This Row],[Продажа]]-Таблица97[[#This Row],[Закупка]]</f>
        <v>5365.619999999999</v>
      </c>
      <c r="O104" s="108" t="str">
        <f>IF(Таблица97[[#This Row],[НК]]=1,Таблица97[[#This Row],[Маржа]],"")</f>
        <v/>
      </c>
    </row>
    <row r="105" spans="1:15" ht="20.100000000000001" customHeight="1" x14ac:dyDescent="0.25">
      <c r="A105" s="2">
        <v>140</v>
      </c>
      <c r="B105" s="2" t="str">
        <f>TEXT(Таблица97[[#This Row],[Дата]],"ГГ")&amp;RIGHT("000"&amp;Таблица97[[#This Row],[Номер]],4)</f>
        <v>160140</v>
      </c>
      <c r="C105" s="129">
        <v>42467</v>
      </c>
      <c r="D105" s="2" t="s">
        <v>65</v>
      </c>
      <c r="E105" s="108">
        <v>34980</v>
      </c>
      <c r="F105" s="129">
        <v>42509</v>
      </c>
      <c r="H105" s="129">
        <v>42514</v>
      </c>
      <c r="I105" s="108">
        <f t="shared" si="5"/>
        <v>34980</v>
      </c>
      <c r="J105" s="108" t="str">
        <f>IF(Таблица97[[#This Row],[НК]]=1,Таблица97[[#This Row],[Продажа]],"")</f>
        <v/>
      </c>
      <c r="M105" s="108">
        <v>27312</v>
      </c>
      <c r="N105" s="108">
        <f>Таблица97[[#This Row],[Продажа]]-Таблица97[[#This Row],[Закупка]]</f>
        <v>7668</v>
      </c>
      <c r="O105" s="108" t="str">
        <f>IF(Таблица97[[#This Row],[НК]]=1,Таблица97[[#This Row],[Маржа]],"")</f>
        <v/>
      </c>
    </row>
    <row r="106" spans="1:15" ht="20.100000000000001" customHeight="1" x14ac:dyDescent="0.25">
      <c r="A106" s="2">
        <v>207</v>
      </c>
      <c r="B106" s="2" t="str">
        <f>TEXT(Таблица97[[#This Row],[Дата]],"ГГ")&amp;RIGHT("000"&amp;Таблица97[[#This Row],[Номер]],4)</f>
        <v>160207</v>
      </c>
      <c r="C106" s="129">
        <v>42506</v>
      </c>
      <c r="D106" s="2" t="s">
        <v>66</v>
      </c>
      <c r="E106" s="108">
        <v>12656.39</v>
      </c>
      <c r="F106" s="129">
        <v>42510</v>
      </c>
      <c r="H106" s="129">
        <v>42551</v>
      </c>
      <c r="I106" s="108">
        <f t="shared" si="5"/>
        <v>12656.39</v>
      </c>
      <c r="J106" s="108" t="str">
        <f>IF(Таблица97[[#This Row],[НК]]=1,Таблица97[[#This Row],[Продажа]],"")</f>
        <v/>
      </c>
      <c r="M106" s="108">
        <v>10397</v>
      </c>
      <c r="N106" s="108">
        <f>Таблица97[[#This Row],[Продажа]]-Таблица97[[#This Row],[Закупка]]</f>
        <v>2259.3899999999994</v>
      </c>
      <c r="O106" s="108" t="str">
        <f>IF(Таблица97[[#This Row],[НК]]=1,Таблица97[[#This Row],[Маржа]],"")</f>
        <v/>
      </c>
    </row>
    <row r="107" spans="1:15" ht="20.100000000000001" customHeight="1" x14ac:dyDescent="0.25">
      <c r="A107" s="2">
        <v>214</v>
      </c>
      <c r="B107" s="2" t="str">
        <f>TEXT(Таблица97[[#This Row],[Дата]],"ГГ")&amp;RIGHT("000"&amp;Таблица97[[#This Row],[Номер]],4)</f>
        <v>160214</v>
      </c>
      <c r="C107" s="129">
        <v>42509</v>
      </c>
      <c r="D107" s="2" t="s">
        <v>150</v>
      </c>
      <c r="E107" s="108">
        <v>3069.18</v>
      </c>
      <c r="F107" s="129">
        <v>42510</v>
      </c>
      <c r="G107" s="128">
        <v>1</v>
      </c>
      <c r="H107" s="129">
        <v>42513</v>
      </c>
      <c r="I107" s="108">
        <f t="shared" si="5"/>
        <v>3069.18</v>
      </c>
      <c r="J107" s="108">
        <f>IF(Таблица97[[#This Row],[НК]]=1,Таблица97[[#This Row],[Продажа]],"")</f>
        <v>3069.18</v>
      </c>
      <c r="M107" s="108">
        <v>1758</v>
      </c>
      <c r="N107" s="108">
        <f>Таблица97[[#This Row],[Продажа]]-Таблица97[[#This Row],[Закупка]]</f>
        <v>1311.1799999999998</v>
      </c>
      <c r="O107" s="108">
        <f>IF(Таблица97[[#This Row],[НК]]=1,Таблица97[[#This Row],[Маржа]],"")</f>
        <v>1311.1799999999998</v>
      </c>
    </row>
    <row r="108" spans="1:15" ht="20.100000000000001" customHeight="1" x14ac:dyDescent="0.25">
      <c r="A108" s="2">
        <v>215</v>
      </c>
      <c r="B108" s="2" t="str">
        <f>TEXT(Таблица97[[#This Row],[Дата]],"ГГ")&amp;RIGHT("000"&amp;Таблица97[[#This Row],[Номер]],4)</f>
        <v>160215</v>
      </c>
      <c r="C108" s="129">
        <v>42509</v>
      </c>
      <c r="D108" s="2" t="s">
        <v>77</v>
      </c>
      <c r="E108" s="108">
        <v>3074.5</v>
      </c>
      <c r="F108" s="129">
        <v>42514</v>
      </c>
      <c r="H108" s="129">
        <v>42517</v>
      </c>
      <c r="I108" s="108">
        <f t="shared" si="5"/>
        <v>3074.5</v>
      </c>
      <c r="J108" s="108" t="str">
        <f>IF(Таблица97[[#This Row],[НК]]=1,Таблица97[[#This Row],[Продажа]],"")</f>
        <v/>
      </c>
      <c r="M108" s="108">
        <v>2326</v>
      </c>
      <c r="N108" s="108">
        <f>Таблица97[[#This Row],[Продажа]]-Таблица97[[#This Row],[Закупка]]</f>
        <v>748.5</v>
      </c>
      <c r="O108" s="108" t="str">
        <f>IF(Таблица97[[#This Row],[НК]]=1,Таблица97[[#This Row],[Маржа]],"")</f>
        <v/>
      </c>
    </row>
    <row r="109" spans="1:15" ht="20.100000000000001" customHeight="1" x14ac:dyDescent="0.25">
      <c r="A109" s="2">
        <v>141</v>
      </c>
      <c r="B109" s="2" t="str">
        <f>TEXT(Таблица97[[#This Row],[Дата]],"ГГ")&amp;RIGHT("000"&amp;Таблица97[[#This Row],[Номер]],4)</f>
        <v>160141</v>
      </c>
      <c r="C109" s="129">
        <v>42515</v>
      </c>
      <c r="D109" s="2" t="s">
        <v>65</v>
      </c>
      <c r="E109" s="108">
        <v>74912</v>
      </c>
      <c r="F109" s="129">
        <v>42520</v>
      </c>
      <c r="H109" s="129">
        <v>42520</v>
      </c>
      <c r="I109" s="108">
        <f t="shared" si="5"/>
        <v>74912</v>
      </c>
      <c r="J109" s="108" t="str">
        <f>IF(Таблица97[[#This Row],[НК]]=1,Таблица97[[#This Row],[Продажа]],"")</f>
        <v/>
      </c>
      <c r="M109" s="108">
        <v>55273</v>
      </c>
      <c r="N109" s="108">
        <f>Таблица97[[#This Row],[Продажа]]-Таблица97[[#This Row],[Закупка]]</f>
        <v>19639</v>
      </c>
      <c r="O109" s="108" t="str">
        <f>IF(Таблица97[[#This Row],[НК]]=1,Таблица97[[#This Row],[Маржа]],"")</f>
        <v/>
      </c>
    </row>
    <row r="110" spans="1:15" ht="20.100000000000001" customHeight="1" x14ac:dyDescent="0.25">
      <c r="A110" s="2">
        <v>201</v>
      </c>
      <c r="B110" s="2" t="str">
        <f>TEXT(Таблица97[[#This Row],[Дата]],"ГГ")&amp;RIGHT("000"&amp;Таблица97[[#This Row],[Номер]],4)</f>
        <v>160201</v>
      </c>
      <c r="C110" s="129">
        <v>42506</v>
      </c>
      <c r="D110" s="2" t="s">
        <v>137</v>
      </c>
      <c r="E110" s="108">
        <v>689.42</v>
      </c>
      <c r="F110" s="129">
        <v>42515</v>
      </c>
      <c r="H110" s="129">
        <v>42517</v>
      </c>
      <c r="I110" s="108">
        <f t="shared" si="5"/>
        <v>689.42</v>
      </c>
      <c r="J110" s="108" t="str">
        <f>IF(Таблица97[[#This Row],[НК]]=1,Таблица97[[#This Row],[Продажа]],"")</f>
        <v/>
      </c>
      <c r="M110" s="108">
        <v>542</v>
      </c>
      <c r="N110" s="108">
        <f>Таблица97[[#This Row],[Продажа]]-Таблица97[[#This Row],[Закупка]]</f>
        <v>147.41999999999996</v>
      </c>
      <c r="O110" s="108" t="str">
        <f>IF(Таблица97[[#This Row],[НК]]=1,Таблица97[[#This Row],[Маржа]],"")</f>
        <v/>
      </c>
    </row>
    <row r="111" spans="1:15" ht="20.100000000000001" customHeight="1" x14ac:dyDescent="0.25">
      <c r="A111" s="2">
        <v>221</v>
      </c>
      <c r="B111" s="2" t="str">
        <f>TEXT(Таблица97[[#This Row],[Дата]],"ГГ")&amp;RIGHT("000"&amp;Таблица97[[#This Row],[Номер]],4)</f>
        <v>160221</v>
      </c>
      <c r="C111" s="129">
        <v>42516</v>
      </c>
      <c r="D111" s="2" t="s">
        <v>151</v>
      </c>
      <c r="E111" s="108">
        <v>3807.27</v>
      </c>
      <c r="F111" s="129">
        <v>42520</v>
      </c>
      <c r="G111" s="128">
        <v>1</v>
      </c>
      <c r="H111" s="129">
        <v>42520</v>
      </c>
      <c r="I111" s="108">
        <f t="shared" si="5"/>
        <v>3807.27</v>
      </c>
      <c r="J111" s="108">
        <f>IF(Таблица97[[#This Row],[НК]]=1,Таблица97[[#This Row],[Продажа]],"")</f>
        <v>3807.27</v>
      </c>
      <c r="M111" s="108">
        <v>2879</v>
      </c>
      <c r="N111" s="108">
        <f>Таблица97[[#This Row],[Продажа]]-Таблица97[[#This Row],[Закупка]]</f>
        <v>928.27</v>
      </c>
      <c r="O111" s="108">
        <f>IF(Таблица97[[#This Row],[НК]]=1,Таблица97[[#This Row],[Маржа]],"")</f>
        <v>928.27</v>
      </c>
    </row>
    <row r="112" spans="1:15" ht="20.100000000000001" customHeight="1" x14ac:dyDescent="0.25">
      <c r="A112" s="2">
        <v>223</v>
      </c>
      <c r="B112" s="2" t="str">
        <f>TEXT(Таблица97[[#This Row],[Дата]],"ГГ")&amp;RIGHT("000"&amp;Таблица97[[#This Row],[Номер]],4)</f>
        <v>160223</v>
      </c>
      <c r="C112" s="129">
        <v>42516</v>
      </c>
      <c r="D112" s="2" t="s">
        <v>153</v>
      </c>
      <c r="E112" s="108">
        <v>41690</v>
      </c>
      <c r="F112" s="129">
        <v>42520</v>
      </c>
      <c r="G112" s="128">
        <v>1</v>
      </c>
      <c r="H112" s="129">
        <v>42521</v>
      </c>
      <c r="I112" s="108">
        <f t="shared" si="5"/>
        <v>41690</v>
      </c>
      <c r="J112" s="108">
        <f>IF(Таблица97[[#This Row],[НК]]=1,Таблица97[[#This Row],[Продажа]],"")</f>
        <v>41690</v>
      </c>
      <c r="M112" s="108">
        <v>32727</v>
      </c>
      <c r="N112" s="108">
        <f>Таблица97[[#This Row],[Продажа]]-Таблица97[[#This Row],[Закупка]]</f>
        <v>8963</v>
      </c>
      <c r="O112" s="108">
        <f>IF(Таблица97[[#This Row],[НК]]=1,Таблица97[[#This Row],[Маржа]],"")</f>
        <v>8963</v>
      </c>
    </row>
    <row r="113" spans="1:15" ht="20.100000000000001" customHeight="1" x14ac:dyDescent="0.25">
      <c r="A113" s="2">
        <v>217</v>
      </c>
      <c r="B113" s="2" t="str">
        <f>TEXT(Таблица97[[#This Row],[Дата]],"ГГ")&amp;RIGHT("000"&amp;Таблица97[[#This Row],[Номер]],4)</f>
        <v>160217</v>
      </c>
      <c r="C113" s="129">
        <v>42510</v>
      </c>
      <c r="D113" s="2" t="s">
        <v>147</v>
      </c>
      <c r="E113" s="108">
        <v>7425.15</v>
      </c>
      <c r="F113" s="129">
        <v>42520</v>
      </c>
      <c r="G113" s="128">
        <v>1</v>
      </c>
      <c r="H113" s="129">
        <v>42522</v>
      </c>
      <c r="I113" s="108">
        <f t="shared" si="5"/>
        <v>7425.15</v>
      </c>
      <c r="J113" s="108">
        <f>IF(Таблица97[[#This Row],[НК]]=1,Таблица97[[#This Row],[Продажа]],"")</f>
        <v>7425.15</v>
      </c>
      <c r="M113" s="108">
        <v>4960</v>
      </c>
      <c r="N113" s="108">
        <f>Таблица97[[#This Row],[Продажа]]-Таблица97[[#This Row],[Закупка]]</f>
        <v>2465.1499999999996</v>
      </c>
      <c r="O113" s="108">
        <f>IF(Таблица97[[#This Row],[НК]]=1,Таблица97[[#This Row],[Маржа]],"")</f>
        <v>2465.1499999999996</v>
      </c>
    </row>
    <row r="114" spans="1:15" ht="20.100000000000001" customHeight="1" x14ac:dyDescent="0.25">
      <c r="A114" s="2">
        <v>234</v>
      </c>
      <c r="B114" s="2" t="str">
        <f>TEXT(Таблица97[[#This Row],[Дата]],"ГГ")&amp;RIGHT("000"&amp;Таблица97[[#This Row],[Номер]],4)</f>
        <v>160234</v>
      </c>
      <c r="C114" s="129">
        <v>42521</v>
      </c>
      <c r="D114" s="2" t="s">
        <v>154</v>
      </c>
      <c r="E114" s="108">
        <v>24877</v>
      </c>
      <c r="F114" s="129">
        <v>42521</v>
      </c>
      <c r="G114" s="128">
        <v>1</v>
      </c>
      <c r="H114" s="129">
        <v>42521</v>
      </c>
      <c r="I114" s="108">
        <f t="shared" si="5"/>
        <v>24877</v>
      </c>
      <c r="J114" s="108">
        <f>IF(Таблица97[[#This Row],[НК]]=1,Таблица97[[#This Row],[Продажа]],"")</f>
        <v>24877</v>
      </c>
      <c r="M114" s="108">
        <v>18533</v>
      </c>
      <c r="N114" s="108">
        <f>Таблица97[[#This Row],[Продажа]]-Таблица97[[#This Row],[Закупка]]</f>
        <v>6344</v>
      </c>
      <c r="O114" s="108">
        <f>IF(Таблица97[[#This Row],[НК]]=1,Таблица97[[#This Row],[Маржа]],"")</f>
        <v>6344</v>
      </c>
    </row>
    <row r="115" spans="1:15" ht="20.100000000000001" customHeight="1" x14ac:dyDescent="0.25">
      <c r="A115" s="2">
        <v>232</v>
      </c>
      <c r="B115" s="2" t="str">
        <f>TEXT(Таблица97[[#This Row],[Дата]],"ГГ")&amp;RIGHT("000"&amp;Таблица97[[#This Row],[Номер]],4)</f>
        <v>160232</v>
      </c>
      <c r="C115" s="129">
        <v>42520</v>
      </c>
      <c r="D115" s="2" t="s">
        <v>49</v>
      </c>
      <c r="E115" s="108">
        <v>9021.69</v>
      </c>
      <c r="F115" s="129">
        <v>42521</v>
      </c>
      <c r="H115" s="129">
        <v>42577</v>
      </c>
      <c r="I115" s="108">
        <f t="shared" si="5"/>
        <v>9021.69</v>
      </c>
      <c r="J115" s="108" t="str">
        <f>IF(Таблица97[[#This Row],[НК]]=1,Таблица97[[#This Row],[Продажа]],"")</f>
        <v/>
      </c>
      <c r="M115" s="108">
        <v>3522.47</v>
      </c>
      <c r="N115" s="108">
        <f>Таблица97[[#This Row],[Продажа]]-Таблица97[[#This Row],[Закупка]]</f>
        <v>5499.2200000000012</v>
      </c>
      <c r="O115" s="108" t="str">
        <f>IF(Таблица97[[#This Row],[НК]]=1,Таблица97[[#This Row],[Маржа]],"")</f>
        <v/>
      </c>
    </row>
    <row r="116" spans="1:15" ht="20.100000000000001" customHeight="1" x14ac:dyDescent="0.25">
      <c r="A116" s="2">
        <v>203</v>
      </c>
      <c r="B116" s="2" t="str">
        <f>TEXT(Таблица97[[#This Row],[Дата]],"ГГ")&amp;RIGHT("000"&amp;Таблица97[[#This Row],[Номер]],4)</f>
        <v>160203</v>
      </c>
      <c r="C116" s="129">
        <v>42506</v>
      </c>
      <c r="D116" s="2" t="s">
        <v>140</v>
      </c>
      <c r="E116" s="108">
        <v>1073.51</v>
      </c>
      <c r="F116" s="129">
        <v>42508</v>
      </c>
      <c r="H116" s="129">
        <v>42555</v>
      </c>
      <c r="I116" s="108">
        <f t="shared" si="5"/>
        <v>1073.51</v>
      </c>
      <c r="J116" s="108" t="str">
        <f>IF(Таблица97[[#This Row],[НК]]=1,Таблица97[[#This Row],[Продажа]],"")</f>
        <v/>
      </c>
      <c r="M116" s="108">
        <v>768</v>
      </c>
      <c r="N116" s="108">
        <f>Таблица97[[#This Row],[Продажа]]-Таблица97[[#This Row],[Закупка]]</f>
        <v>305.51</v>
      </c>
      <c r="O116" s="108" t="str">
        <f>IF(Таблица97[[#This Row],[НК]]=1,Таблица97[[#This Row],[Маржа]],"")</f>
        <v/>
      </c>
    </row>
    <row r="117" spans="1:15" ht="20.100000000000001" customHeight="1" x14ac:dyDescent="0.25">
      <c r="A117" s="2">
        <v>224</v>
      </c>
      <c r="B117" s="2" t="str">
        <f>TEXT(Таблица97[[#This Row],[Дата]],"ГГ")&amp;RIGHT("000"&amp;Таблица97[[#This Row],[Номер]],4)</f>
        <v>160224</v>
      </c>
      <c r="C117" s="129">
        <v>42517</v>
      </c>
      <c r="D117" s="2" t="s">
        <v>152</v>
      </c>
      <c r="E117" s="108">
        <v>4755.1099999999997</v>
      </c>
      <c r="F117" s="129">
        <v>42528</v>
      </c>
      <c r="G117" s="128">
        <v>1</v>
      </c>
      <c r="H117" s="129">
        <v>42517</v>
      </c>
      <c r="I117" s="108">
        <f t="shared" ref="I117:I147" si="6">E117</f>
        <v>4755.1099999999997</v>
      </c>
      <c r="J117" s="108">
        <f>IF(Таблица97[[#This Row],[НК]]=1,Таблица97[[#This Row],[Продажа]],"")</f>
        <v>4755.1099999999997</v>
      </c>
      <c r="M117" s="108">
        <v>3739</v>
      </c>
      <c r="N117" s="108">
        <f>Таблица97[[#This Row],[Продажа]]-Таблица97[[#This Row],[Закупка]]</f>
        <v>1016.1099999999997</v>
      </c>
      <c r="O117" s="108">
        <f>IF(Таблица97[[#This Row],[НК]]=1,Таблица97[[#This Row],[Маржа]],"")</f>
        <v>1016.1099999999997</v>
      </c>
    </row>
    <row r="118" spans="1:15" ht="20.100000000000001" customHeight="1" x14ac:dyDescent="0.25">
      <c r="A118" s="2">
        <v>209</v>
      </c>
      <c r="B118" s="2" t="str">
        <f>TEXT(Таблица97[[#This Row],[Дата]],"ГГ")&amp;RIGHT("000"&amp;Таблица97[[#This Row],[Номер]],4)</f>
        <v>160209</v>
      </c>
      <c r="C118" s="129">
        <v>42507</v>
      </c>
      <c r="D118" s="2" t="s">
        <v>13</v>
      </c>
      <c r="E118" s="108">
        <v>2587.2399999999998</v>
      </c>
      <c r="F118" s="129">
        <v>42522</v>
      </c>
      <c r="H118" s="129">
        <v>42513</v>
      </c>
      <c r="I118" s="108">
        <f t="shared" si="6"/>
        <v>2587.2399999999998</v>
      </c>
      <c r="J118" s="108" t="str">
        <f>IF(Таблица97[[#This Row],[НК]]=1,Таблица97[[#This Row],[Продажа]],"")</f>
        <v/>
      </c>
      <c r="M118" s="108">
        <v>1956</v>
      </c>
      <c r="N118" s="108">
        <f>Таблица97[[#This Row],[Продажа]]-Таблица97[[#This Row],[Закупка]]</f>
        <v>631.23999999999978</v>
      </c>
      <c r="O118" s="108" t="str">
        <f>IF(Таблица97[[#This Row],[НК]]=1,Таблица97[[#This Row],[Маржа]],"")</f>
        <v/>
      </c>
    </row>
    <row r="119" spans="1:15" ht="20.100000000000001" customHeight="1" x14ac:dyDescent="0.25">
      <c r="A119" s="2">
        <v>191</v>
      </c>
      <c r="B119" s="2" t="str">
        <f>TEXT(Таблица97[[#This Row],[Дата]],"ГГ")&amp;RIGHT("000"&amp;Таблица97[[#This Row],[Номер]],4)</f>
        <v>160191</v>
      </c>
      <c r="C119" s="129">
        <v>42503</v>
      </c>
      <c r="D119" s="2" t="s">
        <v>56</v>
      </c>
      <c r="E119" s="108">
        <v>34021.25</v>
      </c>
      <c r="F119" s="129">
        <v>42528</v>
      </c>
      <c r="H119" s="129">
        <v>42520</v>
      </c>
      <c r="I119" s="108">
        <f t="shared" si="6"/>
        <v>34021.25</v>
      </c>
      <c r="J119" s="108" t="str">
        <f>IF(Таблица97[[#This Row],[НК]]=1,Таблица97[[#This Row],[Продажа]],"")</f>
        <v/>
      </c>
      <c r="M119" s="108">
        <v>25870.14</v>
      </c>
      <c r="N119" s="108">
        <f>Таблица97[[#This Row],[Продажа]]-Таблица97[[#This Row],[Закупка]]</f>
        <v>8151.1100000000006</v>
      </c>
      <c r="O119" s="108" t="str">
        <f>IF(Таблица97[[#This Row],[НК]]=1,Таблица97[[#This Row],[Маржа]],"")</f>
        <v/>
      </c>
    </row>
    <row r="120" spans="1:15" ht="20.100000000000001" customHeight="1" x14ac:dyDescent="0.25">
      <c r="A120" s="2">
        <v>236</v>
      </c>
      <c r="B120" s="2" t="str">
        <f>TEXT(Таблица97[[#This Row],[Дата]],"ГГ")&amp;RIGHT("000"&amp;Таблица97[[#This Row],[Номер]],4)</f>
        <v>160236</v>
      </c>
      <c r="C120" s="129">
        <v>42522</v>
      </c>
      <c r="D120" s="2" t="s">
        <v>155</v>
      </c>
      <c r="E120" s="108">
        <v>4256.8500000000004</v>
      </c>
      <c r="F120" s="129">
        <v>42522</v>
      </c>
      <c r="G120" s="128">
        <v>1</v>
      </c>
      <c r="H120" s="129">
        <v>42522</v>
      </c>
      <c r="I120" s="108">
        <f t="shared" si="6"/>
        <v>4256.8500000000004</v>
      </c>
      <c r="J120" s="108">
        <f>IF(Таблица97[[#This Row],[НК]]=1,Таблица97[[#This Row],[Продажа]],"")</f>
        <v>4256.8500000000004</v>
      </c>
      <c r="M120" s="108">
        <v>2792</v>
      </c>
      <c r="N120" s="108">
        <f>Таблица97[[#This Row],[Продажа]]-Таблица97[[#This Row],[Закупка]]</f>
        <v>1464.8500000000004</v>
      </c>
      <c r="O120" s="108">
        <f>IF(Таблица97[[#This Row],[НК]]=1,Таблица97[[#This Row],[Маржа]],"")</f>
        <v>1464.8500000000004</v>
      </c>
    </row>
    <row r="121" spans="1:15" ht="20.100000000000001" customHeight="1" x14ac:dyDescent="0.25">
      <c r="A121" s="2">
        <v>239</v>
      </c>
      <c r="B121" s="2" t="str">
        <f>TEXT(Таблица97[[#This Row],[Дата]],"ГГ")&amp;RIGHT("000"&amp;Таблица97[[#This Row],[Номер]],4)</f>
        <v>160239</v>
      </c>
      <c r="C121" s="129">
        <v>42524</v>
      </c>
      <c r="D121" s="2" t="s">
        <v>122</v>
      </c>
      <c r="E121" s="108">
        <v>10014</v>
      </c>
      <c r="F121" s="129">
        <v>42524</v>
      </c>
      <c r="H121" s="129">
        <v>42524</v>
      </c>
      <c r="I121" s="108">
        <f t="shared" si="6"/>
        <v>10014</v>
      </c>
      <c r="J121" s="108" t="str">
        <f>IF(Таблица97[[#This Row],[НК]]=1,Таблица97[[#This Row],[Продажа]],"")</f>
        <v/>
      </c>
      <c r="M121" s="108">
        <v>7445</v>
      </c>
      <c r="N121" s="108">
        <f>Таблица97[[#This Row],[Продажа]]-Таблица97[[#This Row],[Закупка]]</f>
        <v>2569</v>
      </c>
      <c r="O121" s="108" t="str">
        <f>IF(Таблица97[[#This Row],[НК]]=1,Таблица97[[#This Row],[Маржа]],"")</f>
        <v/>
      </c>
    </row>
    <row r="122" spans="1:15" ht="20.100000000000001" customHeight="1" x14ac:dyDescent="0.25">
      <c r="A122" s="2">
        <v>208</v>
      </c>
      <c r="B122" s="2" t="str">
        <f>TEXT(Таблица97[[#This Row],[Дата]],"ГГ")&amp;RIGHT("000"&amp;Таблица97[[#This Row],[Номер]],4)</f>
        <v>160208</v>
      </c>
      <c r="C122" s="129">
        <v>42507</v>
      </c>
      <c r="D122" s="2" t="s">
        <v>156</v>
      </c>
      <c r="E122" s="108">
        <v>4611.75</v>
      </c>
      <c r="F122" s="129">
        <v>42524</v>
      </c>
      <c r="G122" s="128">
        <v>1</v>
      </c>
      <c r="H122" s="129">
        <v>42527</v>
      </c>
      <c r="I122" s="108">
        <f t="shared" si="6"/>
        <v>4611.75</v>
      </c>
      <c r="J122" s="108">
        <f>IF(Таблица97[[#This Row],[НК]]=1,Таблица97[[#This Row],[Продажа]],"")</f>
        <v>4611.75</v>
      </c>
      <c r="M122" s="108">
        <v>3489</v>
      </c>
      <c r="N122" s="108">
        <f>Таблица97[[#This Row],[Продажа]]-Таблица97[[#This Row],[Закупка]]</f>
        <v>1122.75</v>
      </c>
      <c r="O122" s="108">
        <f>IF(Таблица97[[#This Row],[НК]]=1,Таблица97[[#This Row],[Маржа]],"")</f>
        <v>1122.75</v>
      </c>
    </row>
    <row r="123" spans="1:15" ht="20.100000000000001" customHeight="1" x14ac:dyDescent="0.25">
      <c r="A123" s="2">
        <v>235</v>
      </c>
      <c r="B123" s="2" t="str">
        <f>TEXT(Таблица97[[#This Row],[Дата]],"ГГ")&amp;RIGHT("000"&amp;Таблица97[[#This Row],[Номер]],4)</f>
        <v>160235</v>
      </c>
      <c r="C123" s="129">
        <v>42521</v>
      </c>
      <c r="D123" s="2" t="s">
        <v>157</v>
      </c>
      <c r="E123" s="108">
        <v>1084</v>
      </c>
      <c r="F123" s="129">
        <v>42530</v>
      </c>
      <c r="H123" s="129">
        <v>42531</v>
      </c>
      <c r="I123" s="108">
        <f t="shared" si="6"/>
        <v>1084</v>
      </c>
      <c r="J123" s="108" t="str">
        <f>IF(Таблица97[[#This Row],[НК]]=1,Таблица97[[#This Row],[Продажа]],"")</f>
        <v/>
      </c>
      <c r="M123" s="108">
        <v>853</v>
      </c>
      <c r="N123" s="108">
        <f>Таблица97[[#This Row],[Продажа]]-Таблица97[[#This Row],[Закупка]]</f>
        <v>231</v>
      </c>
      <c r="O123" s="108" t="str">
        <f>IF(Таблица97[[#This Row],[НК]]=1,Таблица97[[#This Row],[Маржа]],"")</f>
        <v/>
      </c>
    </row>
    <row r="124" spans="1:15" ht="20.100000000000001" customHeight="1" x14ac:dyDescent="0.25">
      <c r="A124" s="2">
        <v>238</v>
      </c>
      <c r="B124" s="2" t="str">
        <f>TEXT(Таблица97[[#This Row],[Дата]],"ГГ")&amp;RIGHT("000"&amp;Таблица97[[#This Row],[Номер]],4)</f>
        <v>160238</v>
      </c>
      <c r="C124" s="129">
        <v>42523</v>
      </c>
      <c r="D124" s="2" t="s">
        <v>157</v>
      </c>
      <c r="E124" s="108">
        <v>6028</v>
      </c>
      <c r="F124" s="129">
        <v>42528</v>
      </c>
      <c r="H124" s="129">
        <v>42528</v>
      </c>
      <c r="I124" s="108">
        <f t="shared" si="6"/>
        <v>6028</v>
      </c>
      <c r="J124" s="108" t="str">
        <f>IF(Таблица97[[#This Row],[НК]]=1,Таблица97[[#This Row],[Продажа]],"")</f>
        <v/>
      </c>
      <c r="M124" s="108">
        <v>4189</v>
      </c>
      <c r="N124" s="108">
        <f>Таблица97[[#This Row],[Продажа]]-Таблица97[[#This Row],[Закупка]]</f>
        <v>1839</v>
      </c>
      <c r="O124" s="108" t="str">
        <f>IF(Таблица97[[#This Row],[НК]]=1,Таблица97[[#This Row],[Маржа]],"")</f>
        <v/>
      </c>
    </row>
    <row r="125" spans="1:15" ht="20.100000000000001" customHeight="1" x14ac:dyDescent="0.25">
      <c r="A125" s="2">
        <v>213</v>
      </c>
      <c r="B125" s="2" t="str">
        <f>TEXT(Таблица97[[#This Row],[Дата]],"ГГ")&amp;RIGHT("000"&amp;Таблица97[[#This Row],[Номер]],4)</f>
        <v>160213</v>
      </c>
      <c r="C125" s="129">
        <v>42515</v>
      </c>
      <c r="D125" s="2" t="s">
        <v>158</v>
      </c>
      <c r="E125" s="108">
        <v>17490</v>
      </c>
      <c r="F125" s="129">
        <v>42528</v>
      </c>
      <c r="G125" s="128">
        <v>1</v>
      </c>
      <c r="H125" s="129">
        <v>42529</v>
      </c>
      <c r="I125" s="108">
        <f t="shared" si="6"/>
        <v>17490</v>
      </c>
      <c r="J125" s="108">
        <f>IF(Таблица97[[#This Row],[НК]]=1,Таблица97[[#This Row],[Продажа]],"")</f>
        <v>17490</v>
      </c>
      <c r="M125" s="108">
        <v>13656</v>
      </c>
      <c r="N125" s="108">
        <f>Таблица97[[#This Row],[Продажа]]-Таблица97[[#This Row],[Закупка]]</f>
        <v>3834</v>
      </c>
      <c r="O125" s="108">
        <f>IF(Таблица97[[#This Row],[НК]]=1,Таблица97[[#This Row],[Маржа]],"")</f>
        <v>3834</v>
      </c>
    </row>
    <row r="126" spans="1:15" ht="20.100000000000001" customHeight="1" x14ac:dyDescent="0.25">
      <c r="A126" s="2">
        <v>251</v>
      </c>
      <c r="B126" s="2" t="str">
        <f>TEXT(Таблица97[[#This Row],[Дата]],"ГГ")&amp;RIGHT("000"&amp;Таблица97[[#This Row],[Номер]],4)</f>
        <v>160251</v>
      </c>
      <c r="C126" s="129">
        <v>42529</v>
      </c>
      <c r="D126" s="2" t="s">
        <v>160</v>
      </c>
      <c r="E126" s="108">
        <v>16890</v>
      </c>
      <c r="F126" s="129">
        <v>42529</v>
      </c>
      <c r="G126" s="128">
        <v>1</v>
      </c>
      <c r="H126" s="129">
        <v>42529</v>
      </c>
      <c r="I126" s="108">
        <f t="shared" si="6"/>
        <v>16890</v>
      </c>
      <c r="J126" s="108">
        <f>IF(Таблица97[[#This Row],[НК]]=1,Таблица97[[#This Row],[Продажа]],"")</f>
        <v>16890</v>
      </c>
      <c r="M126" s="108">
        <v>13656</v>
      </c>
      <c r="N126" s="108">
        <f>Таблица97[[#This Row],[Продажа]]-Таблица97[[#This Row],[Закупка]]</f>
        <v>3234</v>
      </c>
      <c r="O126" s="108">
        <f>IF(Таблица97[[#This Row],[НК]]=1,Таблица97[[#This Row],[Маржа]],"")</f>
        <v>3234</v>
      </c>
    </row>
    <row r="127" spans="1:15" ht="20.100000000000001" customHeight="1" x14ac:dyDescent="0.25">
      <c r="A127" s="2">
        <v>187</v>
      </c>
      <c r="B127" s="2" t="str">
        <f>TEXT(Таблица97[[#This Row],[Дата]],"ГГ")&amp;RIGHT("000"&amp;Таблица97[[#This Row],[Номер]],4)</f>
        <v>160187</v>
      </c>
      <c r="C127" s="129">
        <v>42496</v>
      </c>
      <c r="D127" s="2" t="s">
        <v>140</v>
      </c>
      <c r="E127" s="108">
        <v>1978.86</v>
      </c>
      <c r="F127" s="129">
        <v>42529</v>
      </c>
      <c r="H127" s="129">
        <v>42555</v>
      </c>
      <c r="I127" s="108">
        <f t="shared" si="6"/>
        <v>1978.86</v>
      </c>
      <c r="J127" s="108" t="str">
        <f>IF(Таблица97[[#This Row],[НК]]=1,Таблица97[[#This Row],[Продажа]],"")</f>
        <v/>
      </c>
      <c r="M127" s="108">
        <v>1187</v>
      </c>
      <c r="N127" s="108">
        <f>Таблица97[[#This Row],[Продажа]]-Таблица97[[#This Row],[Закупка]]</f>
        <v>791.8599999999999</v>
      </c>
      <c r="O127" s="108" t="str">
        <f>IF(Таблица97[[#This Row],[НК]]=1,Таблица97[[#This Row],[Маржа]],"")</f>
        <v/>
      </c>
    </row>
    <row r="128" spans="1:15" ht="20.100000000000001" customHeight="1" x14ac:dyDescent="0.25">
      <c r="A128" s="2">
        <v>198</v>
      </c>
      <c r="B128" s="2" t="str">
        <f>TEXT(Таблица97[[#This Row],[Дата]],"ГГ")&amp;RIGHT("000"&amp;Таблица97[[#This Row],[Номер]],4)</f>
        <v>160198</v>
      </c>
      <c r="C128" s="129">
        <v>42503</v>
      </c>
      <c r="D128" s="2" t="s">
        <v>83</v>
      </c>
      <c r="E128" s="108">
        <v>4138.28</v>
      </c>
      <c r="F128" s="129">
        <v>42531</v>
      </c>
      <c r="H128" s="129">
        <v>42535</v>
      </c>
      <c r="I128" s="108">
        <f t="shared" si="6"/>
        <v>4138.28</v>
      </c>
      <c r="J128" s="108" t="str">
        <f>IF(Таблица97[[#This Row],[НК]]=1,Таблица97[[#This Row],[Продажа]],"")</f>
        <v/>
      </c>
      <c r="M128" s="108">
        <v>3285</v>
      </c>
      <c r="N128" s="108">
        <f>Таблица97[[#This Row],[Продажа]]-Таблица97[[#This Row],[Закупка]]</f>
        <v>853.27999999999975</v>
      </c>
      <c r="O128" s="108" t="str">
        <f>IF(Таблица97[[#This Row],[НК]]=1,Таблица97[[#This Row],[Маржа]],"")</f>
        <v/>
      </c>
    </row>
    <row r="129" spans="1:15" ht="20.100000000000001" customHeight="1" x14ac:dyDescent="0.25">
      <c r="A129" s="2">
        <v>205</v>
      </c>
      <c r="B129" s="2" t="str">
        <f>TEXT(Таблица97[[#This Row],[Дата]],"ГГ")&amp;RIGHT("000"&amp;Таблица97[[#This Row],[Номер]],4)</f>
        <v>160205</v>
      </c>
      <c r="C129" s="129">
        <v>42506</v>
      </c>
      <c r="D129" s="2" t="s">
        <v>161</v>
      </c>
      <c r="E129" s="108">
        <v>21563.51</v>
      </c>
      <c r="F129" s="129">
        <v>42531</v>
      </c>
      <c r="G129" s="128">
        <v>1</v>
      </c>
      <c r="H129" s="129">
        <v>42535</v>
      </c>
      <c r="I129" s="108">
        <f t="shared" si="6"/>
        <v>21563.51</v>
      </c>
      <c r="J129" s="108">
        <f>IF(Таблица97[[#This Row],[НК]]=1,Таблица97[[#This Row],[Продажа]],"")</f>
        <v>21563.51</v>
      </c>
      <c r="M129" s="108">
        <v>16585</v>
      </c>
      <c r="N129" s="108">
        <f>Таблица97[[#This Row],[Продажа]]-Таблица97[[#This Row],[Закупка]]</f>
        <v>4978.5099999999984</v>
      </c>
      <c r="O129" s="108">
        <f>IF(Таблица97[[#This Row],[НК]]=1,Таблица97[[#This Row],[Маржа]],"")</f>
        <v>4978.5099999999984</v>
      </c>
    </row>
    <row r="130" spans="1:15" ht="20.100000000000001" customHeight="1" x14ac:dyDescent="0.25">
      <c r="A130" s="2">
        <v>242</v>
      </c>
      <c r="B130" s="2" t="str">
        <f>TEXT(Таблица97[[#This Row],[Дата]],"ГГ")&amp;RIGHT("000"&amp;Таблица97[[#This Row],[Номер]],4)</f>
        <v>160242</v>
      </c>
      <c r="C130" s="129">
        <v>42527</v>
      </c>
      <c r="D130" s="2" t="s">
        <v>137</v>
      </c>
      <c r="E130" s="108">
        <v>3555</v>
      </c>
      <c r="F130" s="129">
        <v>42530</v>
      </c>
      <c r="H130" s="129">
        <v>42536</v>
      </c>
      <c r="I130" s="108">
        <f t="shared" si="6"/>
        <v>3555</v>
      </c>
      <c r="J130" s="108" t="str">
        <f>IF(Таблица97[[#This Row],[НК]]=1,Таблица97[[#This Row],[Продажа]],"")</f>
        <v/>
      </c>
      <c r="M130" s="108">
        <v>1748.08</v>
      </c>
      <c r="N130" s="108">
        <f>Таблица97[[#This Row],[Продажа]]-Таблица97[[#This Row],[Закупка]]</f>
        <v>1806.92</v>
      </c>
      <c r="O130" s="108" t="str">
        <f>IF(Таблица97[[#This Row],[НК]]=1,Таблица97[[#This Row],[Маржа]],"")</f>
        <v/>
      </c>
    </row>
    <row r="131" spans="1:15" ht="20.100000000000001" customHeight="1" x14ac:dyDescent="0.25">
      <c r="A131" s="2">
        <v>246</v>
      </c>
      <c r="B131" s="2" t="str">
        <f>TEXT(Таблица97[[#This Row],[Дата]],"ГГ")&amp;RIGHT("000"&amp;Таблица97[[#This Row],[Номер]],4)</f>
        <v>160246</v>
      </c>
      <c r="C131" s="129">
        <v>42528</v>
      </c>
      <c r="D131" s="2" t="s">
        <v>56</v>
      </c>
      <c r="E131" s="108">
        <v>10041.94</v>
      </c>
      <c r="F131" s="129">
        <v>42548</v>
      </c>
      <c r="H131" s="129">
        <v>42536</v>
      </c>
      <c r="I131" s="108">
        <f t="shared" si="6"/>
        <v>10041.94</v>
      </c>
      <c r="J131" s="108" t="str">
        <f>IF(Таблица97[[#This Row],[НК]]=1,Таблица97[[#This Row],[Продажа]],"")</f>
        <v/>
      </c>
      <c r="M131" s="108">
        <v>5053.88</v>
      </c>
      <c r="N131" s="108">
        <f>Таблица97[[#This Row],[Продажа]]-Таблица97[[#This Row],[Закупка]]</f>
        <v>4988.0600000000004</v>
      </c>
      <c r="O131" s="108" t="str">
        <f>IF(Таблица97[[#This Row],[НК]]=1,Таблица97[[#This Row],[Маржа]],"")</f>
        <v/>
      </c>
    </row>
    <row r="132" spans="1:15" ht="20.100000000000001" customHeight="1" x14ac:dyDescent="0.25">
      <c r="A132" s="2">
        <v>243</v>
      </c>
      <c r="B132" s="2" t="str">
        <f>TEXT(Таблица97[[#This Row],[Дата]],"ГГ")&amp;RIGHT("000"&amp;Таблица97[[#This Row],[Номер]],4)</f>
        <v>160243</v>
      </c>
      <c r="C132" s="129">
        <v>42527</v>
      </c>
      <c r="D132" s="2" t="s">
        <v>65</v>
      </c>
      <c r="E132" s="108">
        <v>57078.96</v>
      </c>
      <c r="F132" s="129">
        <v>42535</v>
      </c>
      <c r="H132" s="129">
        <v>42535</v>
      </c>
      <c r="I132" s="108">
        <f t="shared" si="6"/>
        <v>57078.96</v>
      </c>
      <c r="J132" s="108" t="str">
        <f>IF(Таблица97[[#This Row],[НК]]=1,Таблица97[[#This Row],[Продажа]],"")</f>
        <v/>
      </c>
      <c r="M132" s="108">
        <v>43152</v>
      </c>
      <c r="N132" s="108">
        <f>Таблица97[[#This Row],[Продажа]]-Таблица97[[#This Row],[Закупка]]</f>
        <v>13926.96</v>
      </c>
      <c r="O132" s="108" t="str">
        <f>IF(Таблица97[[#This Row],[НК]]=1,Таблица97[[#This Row],[Маржа]],"")</f>
        <v/>
      </c>
    </row>
    <row r="133" spans="1:15" ht="20.100000000000001" customHeight="1" x14ac:dyDescent="0.25">
      <c r="A133" s="2">
        <v>247</v>
      </c>
      <c r="B133" s="2" t="str">
        <f>TEXT(Таблица97[[#This Row],[Дата]],"ГГ")&amp;RIGHT("000"&amp;Таблица97[[#This Row],[Номер]],4)</f>
        <v>160247</v>
      </c>
      <c r="C133" s="129">
        <v>42528</v>
      </c>
      <c r="D133" s="2" t="s">
        <v>162</v>
      </c>
      <c r="E133" s="108">
        <v>5200</v>
      </c>
      <c r="F133" s="129">
        <v>42504</v>
      </c>
      <c r="G133" s="128">
        <v>1</v>
      </c>
      <c r="H133" s="129">
        <v>42505</v>
      </c>
      <c r="I133" s="108">
        <f t="shared" si="6"/>
        <v>5200</v>
      </c>
      <c r="J133" s="108">
        <f>IF(Таблица97[[#This Row],[НК]]=1,Таблица97[[#This Row],[Продажа]],"")</f>
        <v>5200</v>
      </c>
      <c r="M133" s="108">
        <v>2147.88</v>
      </c>
      <c r="N133" s="108">
        <f>Таблица97[[#This Row],[Продажа]]-Таблица97[[#This Row],[Закупка]]</f>
        <v>3052.12</v>
      </c>
      <c r="O133" s="108">
        <f>IF(Таблица97[[#This Row],[НК]]=1,Таблица97[[#This Row],[Маржа]],"")</f>
        <v>3052.12</v>
      </c>
    </row>
    <row r="134" spans="1:15" ht="20.100000000000001" customHeight="1" x14ac:dyDescent="0.25">
      <c r="A134" s="2">
        <v>259</v>
      </c>
      <c r="B134" s="2" t="str">
        <f>TEXT(Таблица97[[#This Row],[Дата]],"ГГ")&amp;RIGHT("000"&amp;Таблица97[[#This Row],[Номер]],4)</f>
        <v>160259</v>
      </c>
      <c r="C134" s="129">
        <v>42505</v>
      </c>
      <c r="D134" s="2" t="s">
        <v>162</v>
      </c>
      <c r="E134" s="108">
        <v>2450</v>
      </c>
      <c r="F134" s="129">
        <v>42505</v>
      </c>
      <c r="G134" s="128">
        <v>1</v>
      </c>
      <c r="H134" s="129">
        <v>42505</v>
      </c>
      <c r="I134" s="108">
        <f t="shared" si="6"/>
        <v>2450</v>
      </c>
      <c r="J134" s="108">
        <f>IF(Таблица97[[#This Row],[НК]]=1,Таблица97[[#This Row],[Продажа]],"")</f>
        <v>2450</v>
      </c>
      <c r="M134" s="108">
        <v>2174</v>
      </c>
      <c r="N134" s="108">
        <f>Таблица97[[#This Row],[Продажа]]-Таблица97[[#This Row],[Закупка]]</f>
        <v>276</v>
      </c>
      <c r="O134" s="108">
        <f>IF(Таблица97[[#This Row],[НК]]=1,Таблица97[[#This Row],[Маржа]],"")</f>
        <v>276</v>
      </c>
    </row>
    <row r="135" spans="1:15" ht="20.100000000000001" customHeight="1" x14ac:dyDescent="0.25">
      <c r="A135" s="2">
        <v>185</v>
      </c>
      <c r="B135" s="2" t="str">
        <f>TEXT(Таблица97[[#This Row],[Дата]],"ГГ")&amp;RIGHT("000"&amp;Таблица97[[#This Row],[Номер]],4)</f>
        <v>160185</v>
      </c>
      <c r="C135" s="129">
        <v>42530</v>
      </c>
      <c r="D135" s="2" t="s">
        <v>45</v>
      </c>
      <c r="E135" s="108">
        <v>4848.03</v>
      </c>
      <c r="F135" s="129">
        <v>42505</v>
      </c>
      <c r="H135" s="129">
        <v>42537</v>
      </c>
      <c r="I135" s="108">
        <f t="shared" si="6"/>
        <v>4848.03</v>
      </c>
      <c r="J135" s="108" t="str">
        <f>IF(Таблица97[[#This Row],[НК]]=1,Таблица97[[#This Row],[Продажа]],"")</f>
        <v/>
      </c>
      <c r="M135" s="108">
        <v>3533</v>
      </c>
      <c r="N135" s="108">
        <f>Таблица97[[#This Row],[Продажа]]-Таблица97[[#This Row],[Закупка]]</f>
        <v>1315.0299999999997</v>
      </c>
      <c r="O135" s="108" t="str">
        <f>IF(Таблица97[[#This Row],[НК]]=1,Таблица97[[#This Row],[Маржа]],"")</f>
        <v/>
      </c>
    </row>
    <row r="136" spans="1:15" ht="20.100000000000001" customHeight="1" x14ac:dyDescent="0.25">
      <c r="A136" s="2">
        <v>258</v>
      </c>
      <c r="B136" s="2" t="str">
        <f>TEXT(Таблица97[[#This Row],[Дата]],"ГГ")&amp;RIGHT("000"&amp;Таблица97[[#This Row],[Номер]],4)</f>
        <v>160258</v>
      </c>
      <c r="C136" s="129">
        <v>42535</v>
      </c>
      <c r="D136" s="2" t="s">
        <v>163</v>
      </c>
      <c r="E136" s="108">
        <v>14580</v>
      </c>
      <c r="F136" s="129">
        <v>42537</v>
      </c>
      <c r="G136" s="128">
        <v>1</v>
      </c>
      <c r="H136" s="129">
        <v>42542</v>
      </c>
      <c r="I136" s="108">
        <f t="shared" si="6"/>
        <v>14580</v>
      </c>
      <c r="J136" s="108">
        <f>IF(Таблица97[[#This Row],[НК]]=1,Таблица97[[#This Row],[Продажа]],"")</f>
        <v>14580</v>
      </c>
      <c r="M136" s="108">
        <v>11328</v>
      </c>
      <c r="N136" s="108">
        <f>Таблица97[[#This Row],[Продажа]]-Таблица97[[#This Row],[Закупка]]</f>
        <v>3252</v>
      </c>
      <c r="O136" s="108">
        <f>IF(Таблица97[[#This Row],[НК]]=1,Таблица97[[#This Row],[Маржа]],"")</f>
        <v>3252</v>
      </c>
    </row>
    <row r="137" spans="1:15" ht="20.100000000000001" customHeight="1" x14ac:dyDescent="0.25">
      <c r="A137" s="2">
        <v>204</v>
      </c>
      <c r="B137" s="2" t="str">
        <f>TEXT(Таблица97[[#This Row],[Дата]],"ГГ")&amp;RIGHT("000"&amp;Таблица97[[#This Row],[Номер]],4)</f>
        <v>160204</v>
      </c>
      <c r="C137" s="129">
        <v>42506</v>
      </c>
      <c r="D137" s="2" t="s">
        <v>102</v>
      </c>
      <c r="E137" s="108">
        <v>40639.22</v>
      </c>
      <c r="F137" s="129">
        <v>42538</v>
      </c>
      <c r="H137" s="129">
        <v>42542</v>
      </c>
      <c r="I137" s="108">
        <f t="shared" si="6"/>
        <v>40639.22</v>
      </c>
      <c r="J137" s="108" t="str">
        <f>IF(Таблица97[[#This Row],[НК]]=1,Таблица97[[#This Row],[Продажа]],"")</f>
        <v/>
      </c>
      <c r="M137" s="108">
        <f>5664+21453+5409</f>
        <v>32526</v>
      </c>
      <c r="N137" s="108">
        <f>Таблица97[[#This Row],[Продажа]]-Таблица97[[#This Row],[Закупка]]</f>
        <v>8113.2200000000012</v>
      </c>
      <c r="O137" s="108" t="str">
        <f>IF(Таблица97[[#This Row],[НК]]=1,Таблица97[[#This Row],[Маржа]],"")</f>
        <v/>
      </c>
    </row>
    <row r="138" spans="1:15" ht="20.100000000000001" customHeight="1" x14ac:dyDescent="0.25">
      <c r="A138" s="2">
        <v>200</v>
      </c>
      <c r="B138" s="2" t="str">
        <f>TEXT(Таблица97[[#This Row],[Дата]],"ГГ")&amp;RIGHT("000"&amp;Таблица97[[#This Row],[Номер]],4)</f>
        <v>160200</v>
      </c>
      <c r="C138" s="129">
        <v>42506</v>
      </c>
      <c r="D138" s="2" t="s">
        <v>99</v>
      </c>
      <c r="E138" s="108">
        <v>583257.27</v>
      </c>
      <c r="F138" s="129">
        <v>42542</v>
      </c>
      <c r="H138" s="129">
        <v>42517</v>
      </c>
      <c r="I138" s="108">
        <f t="shared" si="6"/>
        <v>583257.27</v>
      </c>
      <c r="J138" s="108" t="str">
        <f>IF(Таблица97[[#This Row],[НК]]=1,Таблица97[[#This Row],[Продажа]],"")</f>
        <v/>
      </c>
      <c r="K138" s="108">
        <v>108000</v>
      </c>
      <c r="L138" s="108">
        <v>10800</v>
      </c>
      <c r="M138" s="108">
        <v>187299.46</v>
      </c>
      <c r="N138" s="108">
        <f>Таблица97[[#This Row],[Продажа]]-Таблица97[[#This Row],[Закупка]]</f>
        <v>395957.81000000006</v>
      </c>
      <c r="O138" s="108" t="str">
        <f>IF(Таблица97[[#This Row],[НК]]=1,Таблица97[[#This Row],[Маржа]],"")</f>
        <v/>
      </c>
    </row>
    <row r="139" spans="1:15" ht="20.100000000000001" customHeight="1" x14ac:dyDescent="0.25">
      <c r="A139" s="2">
        <v>265</v>
      </c>
      <c r="B139" s="2" t="str">
        <f>TEXT(Таблица97[[#This Row],[Дата]],"ГГ")&amp;RIGHT("000"&amp;Таблица97[[#This Row],[Номер]],4)</f>
        <v>160265</v>
      </c>
      <c r="C139" s="129">
        <v>42541</v>
      </c>
      <c r="D139" s="2" t="s">
        <v>164</v>
      </c>
      <c r="E139" s="108">
        <v>52890</v>
      </c>
      <c r="F139" s="129">
        <v>42543</v>
      </c>
      <c r="G139" s="128">
        <v>1</v>
      </c>
      <c r="H139" s="129">
        <v>42545</v>
      </c>
      <c r="I139" s="108">
        <f t="shared" si="6"/>
        <v>52890</v>
      </c>
      <c r="J139" s="108">
        <f>IF(Таблица97[[#This Row],[НК]]=1,Таблица97[[#This Row],[Продажа]],"")</f>
        <v>52890</v>
      </c>
      <c r="M139" s="108">
        <v>36103.31</v>
      </c>
      <c r="N139" s="108">
        <f>Таблица97[[#This Row],[Продажа]]-Таблица97[[#This Row],[Закупка]]</f>
        <v>16786.690000000002</v>
      </c>
      <c r="O139" s="108">
        <f>IF(Таблица97[[#This Row],[НК]]=1,Таблица97[[#This Row],[Маржа]],"")</f>
        <v>16786.690000000002</v>
      </c>
    </row>
    <row r="140" spans="1:15" ht="20.100000000000001" customHeight="1" x14ac:dyDescent="0.25">
      <c r="A140" s="2">
        <v>249</v>
      </c>
      <c r="B140" s="2" t="str">
        <f>TEXT(Таблица97[[#This Row],[Дата]],"ГГ")&amp;RIGHT("000"&amp;Таблица97[[#This Row],[Номер]],4)</f>
        <v>160249</v>
      </c>
      <c r="C140" s="129">
        <v>42528</v>
      </c>
      <c r="D140" s="2" t="s">
        <v>159</v>
      </c>
      <c r="E140" s="108">
        <v>3807.27</v>
      </c>
      <c r="F140" s="129">
        <v>42544</v>
      </c>
      <c r="G140" s="128">
        <v>1</v>
      </c>
      <c r="H140" s="129">
        <v>42544</v>
      </c>
      <c r="I140" s="108">
        <f t="shared" si="6"/>
        <v>3807.27</v>
      </c>
      <c r="J140" s="108">
        <f>IF(Таблица97[[#This Row],[НК]]=1,Таблица97[[#This Row],[Продажа]],"")</f>
        <v>3807.27</v>
      </c>
      <c r="M140" s="108">
        <v>2380</v>
      </c>
      <c r="N140" s="108">
        <f>Таблица97[[#This Row],[Продажа]]-Таблица97[[#This Row],[Закупка]]</f>
        <v>1427.27</v>
      </c>
      <c r="O140" s="108">
        <f>IF(Таблица97[[#This Row],[НК]]=1,Таблица97[[#This Row],[Маржа]],"")</f>
        <v>1427.27</v>
      </c>
    </row>
    <row r="141" spans="1:15" ht="20.100000000000001" customHeight="1" x14ac:dyDescent="0.25">
      <c r="A141" s="2">
        <v>253</v>
      </c>
      <c r="B141" s="2" t="str">
        <f>TEXT(Таблица97[[#This Row],[Дата]],"ГГ")&amp;RIGHT("000"&amp;Таблица97[[#This Row],[Номер]],4)</f>
        <v>160253</v>
      </c>
      <c r="C141" s="129">
        <v>42530</v>
      </c>
      <c r="D141" s="2" t="s">
        <v>13</v>
      </c>
      <c r="E141" s="108">
        <v>7761.72</v>
      </c>
      <c r="F141" s="129">
        <v>42544</v>
      </c>
      <c r="H141" s="129">
        <v>42531</v>
      </c>
      <c r="I141" s="108">
        <f t="shared" si="6"/>
        <v>7761.72</v>
      </c>
      <c r="J141" s="108" t="str">
        <f>IF(Таблица97[[#This Row],[НК]]=1,Таблица97[[#This Row],[Продажа]],"")</f>
        <v/>
      </c>
      <c r="M141" s="108">
        <v>5868</v>
      </c>
      <c r="N141" s="108">
        <f>Таблица97[[#This Row],[Продажа]]-Таблица97[[#This Row],[Закупка]]</f>
        <v>1893.7200000000003</v>
      </c>
      <c r="O141" s="108" t="str">
        <f>IF(Таблица97[[#This Row],[НК]]=1,Таблица97[[#This Row],[Маржа]],"")</f>
        <v/>
      </c>
    </row>
    <row r="142" spans="1:15" ht="20.100000000000001" customHeight="1" x14ac:dyDescent="0.25">
      <c r="A142" s="2">
        <v>266</v>
      </c>
      <c r="B142" s="2" t="str">
        <f>TEXT(Таблица97[[#This Row],[Дата]],"ГГ")&amp;RIGHT("000"&amp;Таблица97[[#This Row],[Номер]],4)</f>
        <v>160266</v>
      </c>
      <c r="C142" s="129">
        <v>42542</v>
      </c>
      <c r="D142" s="2" t="s">
        <v>42</v>
      </c>
      <c r="E142" s="108">
        <v>12250</v>
      </c>
      <c r="F142" s="129">
        <v>42543</v>
      </c>
      <c r="H142" s="129">
        <v>42563</v>
      </c>
      <c r="I142" s="108">
        <f t="shared" si="6"/>
        <v>12250</v>
      </c>
      <c r="J142" s="108" t="str">
        <f>IF(Таблица97[[#This Row],[НК]]=1,Таблица97[[#This Row],[Продажа]],"")</f>
        <v/>
      </c>
      <c r="M142" s="108">
        <v>10870</v>
      </c>
      <c r="N142" s="108">
        <f>Таблица97[[#This Row],[Продажа]]-Таблица97[[#This Row],[Закупка]]</f>
        <v>1380</v>
      </c>
      <c r="O142" s="108" t="str">
        <f>IF(Таблица97[[#This Row],[НК]]=1,Таблица97[[#This Row],[Маржа]],"")</f>
        <v/>
      </c>
    </row>
    <row r="143" spans="1:15" ht="20.100000000000001" customHeight="1" x14ac:dyDescent="0.25">
      <c r="A143" s="2">
        <v>272</v>
      </c>
      <c r="B143" s="2" t="str">
        <f>TEXT(Таблица97[[#This Row],[Дата]],"ГГ")&amp;RIGHT("000"&amp;Таблица97[[#This Row],[Номер]],4)</f>
        <v>160272</v>
      </c>
      <c r="C143" s="129">
        <v>42545</v>
      </c>
      <c r="D143" s="2" t="s">
        <v>165</v>
      </c>
      <c r="E143" s="108">
        <v>10058.42</v>
      </c>
      <c r="F143" s="129">
        <v>42548</v>
      </c>
      <c r="G143" s="128">
        <v>1</v>
      </c>
      <c r="H143" s="129">
        <v>42563</v>
      </c>
      <c r="I143" s="108">
        <f t="shared" si="6"/>
        <v>10058.42</v>
      </c>
      <c r="J143" s="108">
        <f>IF(Таблица97[[#This Row],[НК]]=1,Таблица97[[#This Row],[Продажа]],"")</f>
        <v>10058.42</v>
      </c>
      <c r="M143" s="108">
        <v>7914</v>
      </c>
      <c r="N143" s="108">
        <f>Таблица97[[#This Row],[Продажа]]-Таблица97[[#This Row],[Закупка]]</f>
        <v>2144.42</v>
      </c>
      <c r="O143" s="108">
        <f>IF(Таблица97[[#This Row],[НК]]=1,Таблица97[[#This Row],[Маржа]],"")</f>
        <v>2144.42</v>
      </c>
    </row>
    <row r="144" spans="1:15" ht="20.100000000000001" customHeight="1" x14ac:dyDescent="0.25">
      <c r="A144" s="2">
        <v>264</v>
      </c>
      <c r="B144" s="2" t="str">
        <f>TEXT(Таблица97[[#This Row],[Дата]],"ГГ")&amp;RIGHT("000"&amp;Таблица97[[#This Row],[Номер]],4)</f>
        <v>160264</v>
      </c>
      <c r="C144" s="129">
        <v>42538</v>
      </c>
      <c r="D144" s="2" t="s">
        <v>97</v>
      </c>
      <c r="E144" s="108">
        <v>34090</v>
      </c>
      <c r="F144" s="129">
        <v>42548</v>
      </c>
      <c r="H144" s="129">
        <v>42556</v>
      </c>
      <c r="I144" s="108">
        <f t="shared" si="6"/>
        <v>34090</v>
      </c>
      <c r="J144" s="108" t="str">
        <f>IF(Таблица97[[#This Row],[НК]]=1,Таблица97[[#This Row],[Продажа]],"")</f>
        <v/>
      </c>
      <c r="M144" s="108">
        <v>26000</v>
      </c>
      <c r="N144" s="108">
        <f>Таблица97[[#This Row],[Продажа]]-Таблица97[[#This Row],[Закупка]]</f>
        <v>8090</v>
      </c>
      <c r="O144" s="108" t="str">
        <f>IF(Таблица97[[#This Row],[НК]]=1,Таблица97[[#This Row],[Маржа]],"")</f>
        <v/>
      </c>
    </row>
    <row r="145" spans="1:15" ht="20.100000000000001" customHeight="1" x14ac:dyDescent="0.25">
      <c r="A145" s="2">
        <v>216</v>
      </c>
      <c r="B145" s="2" t="str">
        <f>TEXT(Таблица97[[#This Row],[Дата]],"ГГ")&amp;RIGHT("000"&amp;Таблица97[[#This Row],[Номер]],4)</f>
        <v>160216</v>
      </c>
      <c r="C145" s="129">
        <v>42509</v>
      </c>
      <c r="D145" s="2" t="s">
        <v>166</v>
      </c>
      <c r="E145" s="108">
        <v>62462.54</v>
      </c>
      <c r="F145" s="129">
        <v>42548</v>
      </c>
      <c r="G145" s="128">
        <v>1</v>
      </c>
      <c r="H145" s="129">
        <v>42562</v>
      </c>
      <c r="I145" s="108">
        <f t="shared" si="6"/>
        <v>62462.54</v>
      </c>
      <c r="J145" s="108">
        <f>IF(Таблица97[[#This Row],[НК]]=1,Таблица97[[#This Row],[Продажа]],"")</f>
        <v>62462.54</v>
      </c>
      <c r="M145" s="108">
        <v>45445</v>
      </c>
      <c r="N145" s="108">
        <f>Таблица97[[#This Row],[Продажа]]-Таблица97[[#This Row],[Закупка]]</f>
        <v>17017.54</v>
      </c>
      <c r="O145" s="108">
        <f>IF(Таблица97[[#This Row],[НК]]=1,Таблица97[[#This Row],[Маржа]],"")</f>
        <v>17017.54</v>
      </c>
    </row>
    <row r="146" spans="1:15" ht="20.100000000000001" customHeight="1" x14ac:dyDescent="0.25">
      <c r="A146" s="2">
        <v>271</v>
      </c>
      <c r="B146" s="2" t="str">
        <f>TEXT(Таблица97[[#This Row],[Дата]],"ГГ")&amp;RIGHT("000"&amp;Таблица97[[#This Row],[Номер]],4)</f>
        <v>160271</v>
      </c>
      <c r="C146" s="129">
        <v>42513</v>
      </c>
      <c r="D146" s="2" t="s">
        <v>167</v>
      </c>
      <c r="E146" s="108">
        <v>4000</v>
      </c>
      <c r="F146" s="129">
        <v>42548</v>
      </c>
      <c r="H146" s="129">
        <v>42556</v>
      </c>
      <c r="I146" s="108">
        <f t="shared" si="6"/>
        <v>4000</v>
      </c>
      <c r="J146" s="108" t="str">
        <f>IF(Таблица97[[#This Row],[НК]]=1,Таблица97[[#This Row],[Продажа]],"")</f>
        <v/>
      </c>
      <c r="L146" s="108">
        <v>300</v>
      </c>
      <c r="M146" s="108">
        <v>1758.8</v>
      </c>
      <c r="N146" s="108">
        <f>Таблица97[[#This Row],[Продажа]]-Таблица97[[#This Row],[Закупка]]</f>
        <v>2241.1999999999998</v>
      </c>
      <c r="O146" s="108" t="str">
        <f>IF(Таблица97[[#This Row],[НК]]=1,Таблица97[[#This Row],[Маржа]],"")</f>
        <v/>
      </c>
    </row>
    <row r="147" spans="1:15" ht="20.100000000000001" customHeight="1" x14ac:dyDescent="0.25">
      <c r="A147" s="2">
        <v>269</v>
      </c>
      <c r="B147" s="2" t="str">
        <f>TEXT(Таблица97[[#This Row],[Дата]],"ГГ")&amp;RIGHT("000"&amp;Таблица97[[#This Row],[Номер]],4)</f>
        <v>160269</v>
      </c>
      <c r="C147" s="129">
        <v>42543</v>
      </c>
      <c r="D147" s="2" t="s">
        <v>33</v>
      </c>
      <c r="E147" s="108">
        <v>3834</v>
      </c>
      <c r="F147" s="129">
        <v>42550</v>
      </c>
      <c r="H147" s="129">
        <v>42565</v>
      </c>
      <c r="I147" s="108">
        <f t="shared" si="6"/>
        <v>3834</v>
      </c>
      <c r="J147" s="108" t="str">
        <f>IF(Таблица97[[#This Row],[НК]]=1,Таблица97[[#This Row],[Продажа]],"")</f>
        <v/>
      </c>
      <c r="M147" s="108">
        <v>2300</v>
      </c>
      <c r="N147" s="108">
        <f>Таблица97[[#This Row],[Продажа]]-Таблица97[[#This Row],[Закупка]]</f>
        <v>1534</v>
      </c>
      <c r="O147" s="108" t="str">
        <f>IF(Таблица97[[#This Row],[НК]]=1,Таблица97[[#This Row],[Маржа]],"")</f>
        <v/>
      </c>
    </row>
    <row r="148" spans="1:15" ht="20.100000000000001" customHeight="1" x14ac:dyDescent="0.25">
      <c r="A148" s="2">
        <v>280</v>
      </c>
      <c r="B148" s="2" t="str">
        <f>TEXT(Таблица97[[#This Row],[Дата]],"ГГ")&amp;RIGHT("000"&amp;Таблица97[[#This Row],[Номер]],4)</f>
        <v>160280</v>
      </c>
      <c r="C148" s="129">
        <v>42551</v>
      </c>
      <c r="D148" s="2" t="s">
        <v>147</v>
      </c>
      <c r="E148" s="108">
        <v>6618</v>
      </c>
      <c r="F148" s="129">
        <v>42559</v>
      </c>
      <c r="H148" s="129">
        <v>42565</v>
      </c>
      <c r="I148" s="108">
        <f t="shared" ref="I148:I163" si="7">E148</f>
        <v>6618</v>
      </c>
      <c r="J148" s="108" t="str">
        <f>IF(Таблица97[[#This Row],[НК]]=1,Таблица97[[#This Row],[Продажа]],"")</f>
        <v/>
      </c>
      <c r="M148" s="108">
        <v>5698</v>
      </c>
      <c r="N148" s="108">
        <f>Таблица97[[#This Row],[Продажа]]-Таблица97[[#This Row],[Закупка]]</f>
        <v>920</v>
      </c>
      <c r="O148" s="108" t="str">
        <f>IF(Таблица97[[#This Row],[НК]]=1,Таблица97[[#This Row],[Маржа]],"")</f>
        <v/>
      </c>
    </row>
    <row r="149" spans="1:15" ht="20.100000000000001" customHeight="1" x14ac:dyDescent="0.25">
      <c r="A149" s="2">
        <v>299</v>
      </c>
      <c r="B149" s="2" t="str">
        <f>TEXT(Таблица97[[#This Row],[Дата]],"ГГ")&amp;RIGHT("000"&amp;Таблица97[[#This Row],[Номер]],4)</f>
        <v>160299</v>
      </c>
      <c r="C149" s="129">
        <v>42562</v>
      </c>
      <c r="D149" s="2" t="s">
        <v>168</v>
      </c>
      <c r="E149" s="108">
        <v>39990</v>
      </c>
      <c r="F149" s="129">
        <v>42562</v>
      </c>
      <c r="G149" s="128">
        <v>1</v>
      </c>
      <c r="H149" s="129">
        <v>42563</v>
      </c>
      <c r="I149" s="108">
        <f t="shared" si="7"/>
        <v>39990</v>
      </c>
      <c r="J149" s="108">
        <f>IF(Таблица97[[#This Row],[НК]]=1,Таблица97[[#This Row],[Продажа]],"")</f>
        <v>39990</v>
      </c>
      <c r="M149" s="108">
        <v>30232</v>
      </c>
      <c r="N149" s="108">
        <f>Таблица97[[#This Row],[Продажа]]-Таблица97[[#This Row],[Закупка]]</f>
        <v>9758</v>
      </c>
      <c r="O149" s="108">
        <f>IF(Таблица97[[#This Row],[НК]]=1,Таблица97[[#This Row],[Маржа]],"")</f>
        <v>9758</v>
      </c>
    </row>
    <row r="150" spans="1:15" ht="20.100000000000001" customHeight="1" x14ac:dyDescent="0.25">
      <c r="A150" s="2">
        <v>302</v>
      </c>
      <c r="B150" s="2" t="str">
        <f>TEXT(Таблица97[[#This Row],[Дата]],"ГГ")&amp;RIGHT("000"&amp;Таблица97[[#This Row],[Номер]],4)</f>
        <v>160302</v>
      </c>
      <c r="C150" s="129">
        <v>42563</v>
      </c>
      <c r="D150" s="2" t="s">
        <v>140</v>
      </c>
      <c r="E150" s="108">
        <v>346</v>
      </c>
      <c r="F150" s="129">
        <v>42563</v>
      </c>
      <c r="H150" s="129">
        <v>42566</v>
      </c>
      <c r="I150" s="108">
        <f t="shared" si="7"/>
        <v>346</v>
      </c>
      <c r="J150" s="108" t="str">
        <f>IF(Таблица97[[#This Row],[НК]]=1,Таблица97[[#This Row],[Продажа]],"")</f>
        <v/>
      </c>
      <c r="M150" s="108">
        <v>260</v>
      </c>
      <c r="N150" s="108">
        <f>Таблица97[[#This Row],[Продажа]]-Таблица97[[#This Row],[Закупка]]</f>
        <v>86</v>
      </c>
      <c r="O150" s="108" t="str">
        <f>IF(Таблица97[[#This Row],[НК]]=1,Таблица97[[#This Row],[Маржа]],"")</f>
        <v/>
      </c>
    </row>
    <row r="151" spans="1:15" ht="20.100000000000001" customHeight="1" x14ac:dyDescent="0.25">
      <c r="A151" s="2">
        <v>311</v>
      </c>
      <c r="B151" s="2" t="str">
        <f>TEXT(Таблица97[[#This Row],[Дата]],"ГГ")&amp;RIGHT("000"&amp;Таблица97[[#This Row],[Номер]],4)</f>
        <v>160311</v>
      </c>
      <c r="C151" s="129">
        <v>42564</v>
      </c>
      <c r="D151" s="2" t="s">
        <v>123</v>
      </c>
      <c r="E151" s="108">
        <v>44290</v>
      </c>
      <c r="F151" s="129">
        <v>42565</v>
      </c>
      <c r="H151" s="129">
        <v>42583</v>
      </c>
      <c r="I151" s="108">
        <f t="shared" si="7"/>
        <v>44290</v>
      </c>
      <c r="J151" s="108" t="str">
        <f>IF(Таблица97[[#This Row],[НК]]=1,Таблица97[[#This Row],[Продажа]],"")</f>
        <v/>
      </c>
      <c r="M151" s="108">
        <v>33483</v>
      </c>
      <c r="N151" s="108">
        <f>Таблица97[[#This Row],[Продажа]]-Таблица97[[#This Row],[Закупка]]</f>
        <v>10807</v>
      </c>
      <c r="O151" s="108" t="str">
        <f>IF(Таблица97[[#This Row],[НК]]=1,Таблица97[[#This Row],[Маржа]],"")</f>
        <v/>
      </c>
    </row>
    <row r="152" spans="1:15" ht="20.100000000000001" customHeight="1" x14ac:dyDescent="0.25">
      <c r="A152" s="2">
        <v>312</v>
      </c>
      <c r="B152" s="2" t="str">
        <f>TEXT(Таблица97[[#This Row],[Дата]],"ГГ")&amp;RIGHT("000"&amp;Таблица97[[#This Row],[Номер]],4)</f>
        <v>160312</v>
      </c>
      <c r="C152" s="129">
        <v>42564</v>
      </c>
      <c r="D152" s="2" t="s">
        <v>43</v>
      </c>
      <c r="E152" s="108">
        <v>14190</v>
      </c>
      <c r="F152" s="129">
        <v>42564</v>
      </c>
      <c r="H152" s="129">
        <v>42583</v>
      </c>
      <c r="I152" s="108">
        <f t="shared" si="7"/>
        <v>14190</v>
      </c>
      <c r="J152" s="108" t="str">
        <f>IF(Таблица97[[#This Row],[НК]]=1,Таблица97[[#This Row],[Продажа]],"")</f>
        <v/>
      </c>
      <c r="M152" s="108">
        <v>11324</v>
      </c>
      <c r="N152" s="108">
        <f>Таблица97[[#This Row],[Продажа]]-Таблица97[[#This Row],[Закупка]]</f>
        <v>2866</v>
      </c>
      <c r="O152" s="108" t="str">
        <f>IF(Таблица97[[#This Row],[НК]]=1,Таблица97[[#This Row],[Маржа]],"")</f>
        <v/>
      </c>
    </row>
    <row r="153" spans="1:15" ht="20.100000000000001" customHeight="1" x14ac:dyDescent="0.25">
      <c r="A153" s="2">
        <v>303</v>
      </c>
      <c r="B153" s="2" t="str">
        <f>TEXT(Таблица97[[#This Row],[Дата]],"ГГ")&amp;RIGHT("000"&amp;Таблица97[[#This Row],[Номер]],4)</f>
        <v>160303</v>
      </c>
      <c r="C153" s="129">
        <v>42563</v>
      </c>
      <c r="D153" s="2" t="s">
        <v>169</v>
      </c>
      <c r="E153" s="108">
        <v>18871.810000000001</v>
      </c>
      <c r="F153" s="129">
        <v>42565</v>
      </c>
      <c r="G153" s="128">
        <v>1</v>
      </c>
      <c r="H153" s="129">
        <v>42566</v>
      </c>
      <c r="I153" s="108">
        <f t="shared" si="7"/>
        <v>18871.810000000001</v>
      </c>
      <c r="J153" s="108">
        <f>IF(Таблица97[[#This Row],[НК]]=1,Таблица97[[#This Row],[Продажа]],"")</f>
        <v>18871.810000000001</v>
      </c>
      <c r="L153" s="108">
        <v>300</v>
      </c>
      <c r="M153" s="108">
        <v>12523.68</v>
      </c>
      <c r="N153" s="108">
        <f>Таблица97[[#This Row],[Продажа]]-Таблица97[[#This Row],[Закупка]]</f>
        <v>6348.130000000001</v>
      </c>
      <c r="O153" s="108">
        <f>IF(Таблица97[[#This Row],[НК]]=1,Таблица97[[#This Row],[Маржа]],"")</f>
        <v>6348.130000000001</v>
      </c>
    </row>
    <row r="154" spans="1:15" ht="20.100000000000001" customHeight="1" x14ac:dyDescent="0.25">
      <c r="A154" s="2">
        <v>218</v>
      </c>
      <c r="B154" s="2" t="str">
        <f>TEXT(Таблица97[[#This Row],[Дата]],"ГГ")&amp;RIGHT("000"&amp;Таблица97[[#This Row],[Номер]],4)</f>
        <v>160218</v>
      </c>
      <c r="C154" s="129">
        <v>42513</v>
      </c>
      <c r="D154" s="2" t="s">
        <v>38</v>
      </c>
      <c r="E154" s="108">
        <v>47648.27</v>
      </c>
      <c r="F154" s="129">
        <v>42565</v>
      </c>
      <c r="H154" s="129">
        <v>42545</v>
      </c>
      <c r="I154" s="108">
        <f t="shared" si="7"/>
        <v>47648.27</v>
      </c>
      <c r="J154" s="108" t="str">
        <f>IF(Таблица97[[#This Row],[НК]]=1,Таблица97[[#This Row],[Продажа]],"")</f>
        <v/>
      </c>
      <c r="K154" s="108">
        <f>E154*0.02</f>
        <v>952.96539999999993</v>
      </c>
      <c r="L154" s="108">
        <v>900</v>
      </c>
      <c r="M154" s="108">
        <v>16804.400000000001</v>
      </c>
      <c r="N154" s="108">
        <f>Таблица97[[#This Row],[Продажа]]-Таблица97[[#This Row],[Закупка]]</f>
        <v>30843.869999999995</v>
      </c>
      <c r="O154" s="108" t="str">
        <f>IF(Таблица97[[#This Row],[НК]]=1,Таблица97[[#This Row],[Маржа]],"")</f>
        <v/>
      </c>
    </row>
    <row r="155" spans="1:15" ht="20.100000000000001" customHeight="1" x14ac:dyDescent="0.25">
      <c r="A155" s="2">
        <v>125</v>
      </c>
      <c r="B155" s="2" t="str">
        <f>TEXT(Таблица97[[#This Row],[Дата]],"ГГ")&amp;RIGHT("000"&amp;Таблица97[[#This Row],[Номер]],4)</f>
        <v>160125</v>
      </c>
      <c r="C155" s="129">
        <v>42458</v>
      </c>
      <c r="D155" s="2" t="s">
        <v>99</v>
      </c>
      <c r="E155" s="108">
        <v>187184.77</v>
      </c>
      <c r="F155" s="129">
        <v>42566</v>
      </c>
      <c r="H155" s="129">
        <v>42496</v>
      </c>
      <c r="I155" s="108">
        <f t="shared" si="7"/>
        <v>187184.77</v>
      </c>
      <c r="J155" s="108" t="str">
        <f>IF(Таблица97[[#This Row],[НК]]=1,Таблица97[[#This Row],[Продажа]],"")</f>
        <v/>
      </c>
      <c r="K155" s="108">
        <v>45000</v>
      </c>
      <c r="L155" s="108">
        <v>4500</v>
      </c>
      <c r="M155" s="108">
        <v>39397.78</v>
      </c>
      <c r="N155" s="108">
        <f>Таблица97[[#This Row],[Продажа]]-Таблица97[[#This Row],[Закупка]]</f>
        <v>147786.99</v>
      </c>
      <c r="O155" s="108" t="str">
        <f>IF(Таблица97[[#This Row],[НК]]=1,Таблица97[[#This Row],[Маржа]],"")</f>
        <v/>
      </c>
    </row>
    <row r="156" spans="1:15" ht="20.100000000000001" customHeight="1" x14ac:dyDescent="0.25">
      <c r="A156" s="2">
        <v>314</v>
      </c>
      <c r="B156" s="2" t="str">
        <f>TEXT(Таблица97[[#This Row],[Дата]],"ГГ")&amp;RIGHT("000"&amp;Таблица97[[#This Row],[Номер]],4)</f>
        <v>160314</v>
      </c>
      <c r="C156" s="129">
        <v>42565</v>
      </c>
      <c r="D156" s="2" t="s">
        <v>34</v>
      </c>
      <c r="E156" s="108">
        <v>1304.99</v>
      </c>
      <c r="F156" s="129">
        <v>42570</v>
      </c>
      <c r="H156" s="129">
        <v>42591</v>
      </c>
      <c r="I156" s="108">
        <f t="shared" si="7"/>
        <v>1304.99</v>
      </c>
      <c r="J156" s="108" t="str">
        <f>IF(Таблица97[[#This Row],[НК]]=1,Таблица97[[#This Row],[Продажа]],"")</f>
        <v/>
      </c>
      <c r="M156" s="108">
        <v>783</v>
      </c>
      <c r="N156" s="108">
        <f>Таблица97[[#This Row],[Продажа]]-Таблица97[[#This Row],[Закупка]]</f>
        <v>521.99</v>
      </c>
      <c r="O156" s="108" t="str">
        <f>IF(Таблица97[[#This Row],[НК]]=1,Таблица97[[#This Row],[Маржа]],"")</f>
        <v/>
      </c>
    </row>
    <row r="157" spans="1:15" ht="20.100000000000001" customHeight="1" x14ac:dyDescent="0.25">
      <c r="A157" s="2">
        <v>316</v>
      </c>
      <c r="B157" s="2" t="str">
        <f>TEXT(Таблица97[[#This Row],[Дата]],"ГГ")&amp;RIGHT("000"&amp;Таблица97[[#This Row],[Номер]],4)</f>
        <v>160316</v>
      </c>
      <c r="C157" s="129">
        <v>42566</v>
      </c>
      <c r="D157" s="2" t="s">
        <v>150</v>
      </c>
      <c r="E157" s="108">
        <v>1650</v>
      </c>
      <c r="F157" s="129">
        <v>42571</v>
      </c>
      <c r="H157" s="129">
        <v>42572</v>
      </c>
      <c r="I157" s="108">
        <f t="shared" si="7"/>
        <v>1650</v>
      </c>
      <c r="J157" s="108" t="str">
        <f>IF(Таблица97[[#This Row],[НК]]=1,Таблица97[[#This Row],[Продажа]],"")</f>
        <v/>
      </c>
      <c r="M157" s="108">
        <v>864</v>
      </c>
      <c r="N157" s="108">
        <f>Таблица97[[#This Row],[Продажа]]-Таблица97[[#This Row],[Закупка]]</f>
        <v>786</v>
      </c>
      <c r="O157" s="108" t="str">
        <f>IF(Таблица97[[#This Row],[НК]]=1,Таблица97[[#This Row],[Маржа]],"")</f>
        <v/>
      </c>
    </row>
    <row r="158" spans="1:15" ht="20.100000000000001" customHeight="1" x14ac:dyDescent="0.25">
      <c r="A158" s="2">
        <v>321</v>
      </c>
      <c r="B158" s="2" t="str">
        <f>TEXT(Таблица97[[#This Row],[Дата]],"ГГ")&amp;RIGHT("000"&amp;Таблица97[[#This Row],[Номер]],4)</f>
        <v>160321</v>
      </c>
      <c r="C158" s="129">
        <v>42571</v>
      </c>
      <c r="D158" s="2" t="s">
        <v>54</v>
      </c>
      <c r="E158" s="108">
        <v>5392</v>
      </c>
      <c r="F158" s="129">
        <v>42571</v>
      </c>
      <c r="H158" s="129">
        <v>42572</v>
      </c>
      <c r="I158" s="108">
        <f t="shared" si="7"/>
        <v>5392</v>
      </c>
      <c r="J158" s="108" t="str">
        <f>IF(Таблица97[[#This Row],[НК]]=1,Таблица97[[#This Row],[Продажа]],"")</f>
        <v/>
      </c>
      <c r="M158" s="108">
        <v>4076</v>
      </c>
      <c r="N158" s="108">
        <f>Таблица97[[#This Row],[Продажа]]-Таблица97[[#This Row],[Закупка]]</f>
        <v>1316</v>
      </c>
      <c r="O158" s="108" t="str">
        <f>IF(Таблица97[[#This Row],[НК]]=1,Таблица97[[#This Row],[Маржа]],"")</f>
        <v/>
      </c>
    </row>
    <row r="159" spans="1:15" ht="20.100000000000001" customHeight="1" x14ac:dyDescent="0.25">
      <c r="A159" s="2">
        <v>323</v>
      </c>
      <c r="B159" s="2" t="str">
        <f>TEXT(Таблица97[[#This Row],[Дата]],"ГГ")&amp;RIGHT("000"&amp;Таблица97[[#This Row],[Номер]],4)</f>
        <v>160323</v>
      </c>
      <c r="C159" s="129">
        <v>42572</v>
      </c>
      <c r="D159" s="2" t="s">
        <v>170</v>
      </c>
      <c r="E159" s="108">
        <v>33004.15</v>
      </c>
      <c r="F159" s="129">
        <v>42573</v>
      </c>
      <c r="G159" s="128">
        <v>1</v>
      </c>
      <c r="H159" s="129">
        <v>42587</v>
      </c>
      <c r="I159" s="108">
        <f t="shared" si="7"/>
        <v>33004.15</v>
      </c>
      <c r="J159" s="108">
        <f>IF(Таблица97[[#This Row],[НК]]=1,Таблица97[[#This Row],[Продажа]],"")</f>
        <v>33004.15</v>
      </c>
      <c r="M159" s="108">
        <v>24705</v>
      </c>
      <c r="N159" s="108">
        <f>Таблица97[[#This Row],[Продажа]]-Таблица97[[#This Row],[Закупка]]</f>
        <v>8299.1500000000015</v>
      </c>
      <c r="O159" s="108">
        <f>IF(Таблица97[[#This Row],[НК]]=1,Таблица97[[#This Row],[Маржа]],"")</f>
        <v>8299.1500000000015</v>
      </c>
    </row>
    <row r="160" spans="1:15" ht="20.100000000000001" customHeight="1" x14ac:dyDescent="0.25">
      <c r="A160" s="2">
        <v>326</v>
      </c>
      <c r="B160" s="2" t="str">
        <f>TEXT(Таблица97[[#This Row],[Дата]],"ГГ")&amp;RIGHT("000"&amp;Таблица97[[#This Row],[Номер]],4)</f>
        <v>160326</v>
      </c>
      <c r="C160" s="129">
        <v>42576</v>
      </c>
      <c r="D160" s="2" t="s">
        <v>171</v>
      </c>
      <c r="E160" s="108">
        <v>30390</v>
      </c>
      <c r="F160" s="129">
        <v>42576</v>
      </c>
      <c r="G160" s="128">
        <v>1</v>
      </c>
      <c r="H160" s="129">
        <v>42577</v>
      </c>
      <c r="I160" s="108">
        <f t="shared" si="7"/>
        <v>30390</v>
      </c>
      <c r="J160" s="108">
        <f>IF(Таблица97[[#This Row],[НК]]=1,Таблица97[[#This Row],[Продажа]],"")</f>
        <v>30390</v>
      </c>
      <c r="M160" s="108">
        <v>23613</v>
      </c>
      <c r="N160" s="108">
        <f>Таблица97[[#This Row],[Продажа]]-Таблица97[[#This Row],[Закупка]]</f>
        <v>6777</v>
      </c>
      <c r="O160" s="108">
        <f>IF(Таблица97[[#This Row],[НК]]=1,Таблица97[[#This Row],[Маржа]],"")</f>
        <v>6777</v>
      </c>
    </row>
    <row r="161" spans="1:15" ht="20.100000000000001" customHeight="1" x14ac:dyDescent="0.25">
      <c r="A161" s="2">
        <v>263</v>
      </c>
      <c r="B161" s="2" t="str">
        <f>TEXT(Таблица97[[#This Row],[Дата]],"ГГ")&amp;RIGHT("000"&amp;Таблица97[[#This Row],[Номер]],4)</f>
        <v>160263</v>
      </c>
      <c r="C161" s="129">
        <v>42538</v>
      </c>
      <c r="D161" s="2" t="s">
        <v>102</v>
      </c>
      <c r="E161" s="108">
        <v>16890</v>
      </c>
      <c r="F161" s="129">
        <v>42577</v>
      </c>
      <c r="H161" s="129">
        <v>42618</v>
      </c>
      <c r="I161" s="108">
        <f t="shared" si="7"/>
        <v>16890</v>
      </c>
      <c r="J161" s="108" t="str">
        <f>IF(Таблица97[[#This Row],[НК]]=1,Таблица97[[#This Row],[Продажа]],"")</f>
        <v/>
      </c>
      <c r="M161" s="108">
        <v>12928</v>
      </c>
      <c r="N161" s="108">
        <f>Таблица97[[#This Row],[Продажа]]-Таблица97[[#This Row],[Закупка]]</f>
        <v>3962</v>
      </c>
      <c r="O161" s="108" t="str">
        <f>IF(Таблица97[[#This Row],[НК]]=1,Таблица97[[#This Row],[Маржа]],"")</f>
        <v/>
      </c>
    </row>
    <row r="162" spans="1:15" ht="20.100000000000001" customHeight="1" x14ac:dyDescent="0.25">
      <c r="A162" s="2">
        <v>333</v>
      </c>
      <c r="B162" s="2" t="str">
        <f>TEXT(Таблица97[[#This Row],[Дата]],"ГГ")&amp;RIGHT("000"&amp;Таблица97[[#This Row],[Номер]],4)</f>
        <v>160333</v>
      </c>
      <c r="C162" s="129">
        <v>42577</v>
      </c>
      <c r="D162" s="2" t="s">
        <v>172</v>
      </c>
      <c r="E162" s="108">
        <v>51272</v>
      </c>
      <c r="F162" s="129">
        <v>42579</v>
      </c>
      <c r="G162" s="128">
        <v>1</v>
      </c>
      <c r="H162" s="129">
        <v>42590</v>
      </c>
      <c r="I162" s="108">
        <f t="shared" si="7"/>
        <v>51272</v>
      </c>
      <c r="J162" s="108">
        <f>IF(Таблица97[[#This Row],[НК]]=1,Таблица97[[#This Row],[Продажа]],"")</f>
        <v>51272</v>
      </c>
      <c r="M162" s="108">
        <v>39369</v>
      </c>
      <c r="N162" s="108">
        <f>Таблица97[[#This Row],[Продажа]]-Таблица97[[#This Row],[Закупка]]</f>
        <v>11903</v>
      </c>
      <c r="O162" s="108">
        <f>IF(Таблица97[[#This Row],[НК]]=1,Таблица97[[#This Row],[Маржа]],"")</f>
        <v>11903</v>
      </c>
    </row>
    <row r="163" spans="1:15" ht="20.100000000000001" customHeight="1" x14ac:dyDescent="0.25">
      <c r="A163" s="2">
        <v>349</v>
      </c>
      <c r="B163" s="2" t="str">
        <f>TEXT(Таблица97[[#This Row],[Дата]],"ГГ")&amp;RIGHT("000"&amp;Таблица97[[#This Row],[Номер]],4)</f>
        <v>160349</v>
      </c>
      <c r="C163" s="129">
        <v>42580</v>
      </c>
      <c r="D163" s="2" t="s">
        <v>145</v>
      </c>
      <c r="E163" s="108">
        <v>5234.9399999999996</v>
      </c>
      <c r="F163" s="129">
        <v>42580</v>
      </c>
      <c r="H163" s="129">
        <v>42583</v>
      </c>
      <c r="I163" s="108">
        <f t="shared" si="7"/>
        <v>5234.9399999999996</v>
      </c>
      <c r="J163" s="108" t="str">
        <f>IF(Таблица97[[#This Row],[НК]]=1,Таблица97[[#This Row],[Продажа]],"")</f>
        <v/>
      </c>
      <c r="M163" s="108">
        <v>3991</v>
      </c>
      <c r="N163" s="108">
        <f>Таблица97[[#This Row],[Продажа]]-Таблица97[[#This Row],[Закупка]]</f>
        <v>1243.9399999999996</v>
      </c>
      <c r="O163" s="108" t="str">
        <f>IF(Таблица97[[#This Row],[НК]]=1,Таблица97[[#This Row],[Маржа]],"")</f>
        <v/>
      </c>
    </row>
    <row r="164" spans="1:15" ht="20.100000000000001" customHeight="1" x14ac:dyDescent="0.25">
      <c r="A164" s="2">
        <v>355</v>
      </c>
      <c r="B164" s="2" t="str">
        <f>TEXT(Таблица97[[#This Row],[Дата]],"ГГ")&amp;RIGHT("000"&amp;Таблица97[[#This Row],[Номер]],4)</f>
        <v>160355</v>
      </c>
      <c r="C164" s="129">
        <v>42583</v>
      </c>
      <c r="D164" s="2" t="s">
        <v>173</v>
      </c>
      <c r="E164" s="108">
        <v>4865.66</v>
      </c>
      <c r="F164" s="129">
        <v>42584</v>
      </c>
      <c r="G164" s="128">
        <v>1</v>
      </c>
      <c r="H164" s="129">
        <v>42604</v>
      </c>
      <c r="I164" s="108">
        <f t="shared" ref="I164:I206" si="8">E164</f>
        <v>4865.66</v>
      </c>
      <c r="J164" s="108">
        <f>IF(Таблица97[[#This Row],[НК]]=1,Таблица97[[#This Row],[Продажа]],"")</f>
        <v>4865.66</v>
      </c>
      <c r="M164" s="108">
        <v>4189</v>
      </c>
      <c r="N164" s="108">
        <f>Таблица97[[#This Row],[Продажа]]-Таблица97[[#This Row],[Закупка]]</f>
        <v>676.65999999999985</v>
      </c>
      <c r="O164" s="108">
        <f>IF(Таблица97[[#This Row],[НК]]=1,Таблица97[[#This Row],[Маржа]],"")</f>
        <v>676.65999999999985</v>
      </c>
    </row>
    <row r="165" spans="1:15" ht="20.100000000000001" customHeight="1" x14ac:dyDescent="0.25">
      <c r="A165" s="2">
        <v>353</v>
      </c>
      <c r="B165" s="2" t="str">
        <f>TEXT(Таблица97[[#This Row],[Дата]],"ГГ")&amp;RIGHT("000"&amp;Таблица97[[#This Row],[Номер]],4)</f>
        <v>160353</v>
      </c>
      <c r="C165" s="129">
        <v>42583</v>
      </c>
      <c r="D165" s="2" t="s">
        <v>174</v>
      </c>
      <c r="E165" s="108">
        <v>8177.48</v>
      </c>
      <c r="F165" s="129">
        <v>42584</v>
      </c>
      <c r="G165" s="128">
        <v>1</v>
      </c>
      <c r="H165" s="129">
        <v>42586</v>
      </c>
      <c r="I165" s="108">
        <f t="shared" si="8"/>
        <v>8177.48</v>
      </c>
      <c r="J165" s="108">
        <f>IF(Таблица97[[#This Row],[НК]]=1,Таблица97[[#This Row],[Продажа]],"")</f>
        <v>8177.48</v>
      </c>
      <c r="L165" s="108">
        <v>600</v>
      </c>
      <c r="M165" s="108">
        <v>5249.8</v>
      </c>
      <c r="N165" s="108">
        <f>Таблица97[[#This Row],[Продажа]]-Таблица97[[#This Row],[Закупка]]</f>
        <v>2927.6799999999994</v>
      </c>
      <c r="O165" s="108">
        <f>IF(Таблица97[[#This Row],[НК]]=1,Таблица97[[#This Row],[Маржа]],"")</f>
        <v>2927.6799999999994</v>
      </c>
    </row>
    <row r="166" spans="1:15" ht="20.100000000000001" customHeight="1" x14ac:dyDescent="0.25">
      <c r="A166" s="2">
        <v>351</v>
      </c>
      <c r="B166" s="2" t="str">
        <f>TEXT(Таблица97[[#This Row],[Дата]],"ГГ")&amp;RIGHT("000"&amp;Таблица97[[#This Row],[Номер]],4)</f>
        <v>160351</v>
      </c>
      <c r="C166" s="129">
        <v>42580</v>
      </c>
      <c r="D166" s="2" t="s">
        <v>175</v>
      </c>
      <c r="E166" s="108">
        <v>29524</v>
      </c>
      <c r="F166" s="129">
        <v>42584</v>
      </c>
      <c r="G166" s="128">
        <v>1</v>
      </c>
      <c r="H166" s="129">
        <v>42598</v>
      </c>
      <c r="I166" s="108">
        <f t="shared" si="8"/>
        <v>29524</v>
      </c>
      <c r="J166" s="108">
        <f>IF(Таблица97[[#This Row],[НК]]=1,Таблица97[[#This Row],[Продажа]],"")</f>
        <v>29524</v>
      </c>
      <c r="M166" s="108">
        <v>21996</v>
      </c>
      <c r="N166" s="108">
        <f>Таблица97[[#This Row],[Продажа]]-Таблица97[[#This Row],[Закупка]]</f>
        <v>7528</v>
      </c>
      <c r="O166" s="108">
        <f>IF(Таблица97[[#This Row],[НК]]=1,Таблица97[[#This Row],[Маржа]],"")</f>
        <v>7528</v>
      </c>
    </row>
    <row r="167" spans="1:15" ht="20.100000000000001" customHeight="1" x14ac:dyDescent="0.25">
      <c r="A167" s="2">
        <v>350</v>
      </c>
      <c r="B167" s="2" t="str">
        <f>TEXT(Таблица97[[#This Row],[Дата]],"ГГ")&amp;RIGHT("000"&amp;Таблица97[[#This Row],[Номер]],4)</f>
        <v>160350</v>
      </c>
      <c r="C167" s="129">
        <v>42583</v>
      </c>
      <c r="D167" s="2" t="s">
        <v>15</v>
      </c>
      <c r="E167" s="108">
        <v>5194.45</v>
      </c>
      <c r="F167" s="129">
        <v>42584</v>
      </c>
      <c r="H167" s="129">
        <v>42587</v>
      </c>
      <c r="I167" s="108">
        <f t="shared" si="8"/>
        <v>5194.45</v>
      </c>
      <c r="J167" s="108" t="str">
        <f>IF(Таблица97[[#This Row],[НК]]=1,Таблица97[[#This Row],[Продажа]],"")</f>
        <v/>
      </c>
      <c r="M167" s="108">
        <v>3247</v>
      </c>
      <c r="N167" s="108">
        <f>Таблица97[[#This Row],[Продажа]]-Таблица97[[#This Row],[Закупка]]</f>
        <v>1947.4499999999998</v>
      </c>
      <c r="O167" s="108" t="str">
        <f>IF(Таблица97[[#This Row],[НК]]=1,Таблица97[[#This Row],[Маржа]],"")</f>
        <v/>
      </c>
    </row>
    <row r="168" spans="1:15" ht="20.100000000000001" customHeight="1" x14ac:dyDescent="0.25">
      <c r="A168" s="2">
        <v>340</v>
      </c>
      <c r="B168" s="2" t="str">
        <f>TEXT(Таблица97[[#This Row],[Дата]],"ГГ")&amp;RIGHT("000"&amp;Таблица97[[#This Row],[Номер]],4)</f>
        <v>160340</v>
      </c>
      <c r="C168" s="129">
        <v>42578</v>
      </c>
      <c r="D168" s="2" t="s">
        <v>60</v>
      </c>
      <c r="E168" s="108">
        <v>22631.64</v>
      </c>
      <c r="F168" s="129">
        <v>42586</v>
      </c>
      <c r="H168" s="129">
        <v>42580</v>
      </c>
      <c r="I168" s="108">
        <f t="shared" si="8"/>
        <v>22631.64</v>
      </c>
      <c r="J168" s="108" t="str">
        <f>IF(Таблица97[[#This Row],[НК]]=1,Таблица97[[#This Row],[Продажа]],"")</f>
        <v/>
      </c>
      <c r="M168" s="108">
        <v>17604</v>
      </c>
      <c r="N168" s="108">
        <f>Таблица97[[#This Row],[Продажа]]-Таблица97[[#This Row],[Закупка]]</f>
        <v>5027.6399999999994</v>
      </c>
      <c r="O168" s="108" t="str">
        <f>IF(Таблица97[[#This Row],[НК]]=1,Таблица97[[#This Row],[Маржа]],"")</f>
        <v/>
      </c>
    </row>
    <row r="169" spans="1:15" ht="20.100000000000001" customHeight="1" x14ac:dyDescent="0.25">
      <c r="A169" s="2">
        <v>341</v>
      </c>
      <c r="B169" s="2" t="str">
        <f>TEXT(Таблица97[[#This Row],[Дата]],"ГГ")&amp;RIGHT("000"&amp;Таблица97[[#This Row],[Номер]],4)</f>
        <v>160341</v>
      </c>
      <c r="C169" s="129">
        <v>42578</v>
      </c>
      <c r="D169" s="2" t="s">
        <v>50</v>
      </c>
      <c r="E169" s="108">
        <v>4723.78</v>
      </c>
      <c r="F169" s="129">
        <v>42586</v>
      </c>
      <c r="H169" s="129">
        <v>42592</v>
      </c>
      <c r="I169" s="108">
        <f t="shared" si="8"/>
        <v>4723.78</v>
      </c>
      <c r="J169" s="108" t="str">
        <f>IF(Таблица97[[#This Row],[НК]]=1,Таблица97[[#This Row],[Продажа]],"")</f>
        <v/>
      </c>
      <c r="M169" s="108">
        <v>3637</v>
      </c>
      <c r="N169" s="108">
        <f>Таблица97[[#This Row],[Продажа]]-Таблица97[[#This Row],[Закупка]]</f>
        <v>1086.7799999999997</v>
      </c>
      <c r="O169" s="108" t="str">
        <f>IF(Таблица97[[#This Row],[НК]]=1,Таблица97[[#This Row],[Маржа]],"")</f>
        <v/>
      </c>
    </row>
    <row r="170" spans="1:15" ht="20.100000000000001" customHeight="1" x14ac:dyDescent="0.25">
      <c r="A170" s="2">
        <v>344</v>
      </c>
      <c r="B170" s="2" t="str">
        <f>TEXT(Таблица97[[#This Row],[Дата]],"ГГ")&amp;RIGHT("000"&amp;Таблица97[[#This Row],[Номер]],4)</f>
        <v>160344</v>
      </c>
      <c r="C170" s="129">
        <v>42579</v>
      </c>
      <c r="D170" s="2" t="s">
        <v>72</v>
      </c>
      <c r="E170" s="108">
        <v>1935</v>
      </c>
      <c r="F170" s="129">
        <v>42586</v>
      </c>
      <c r="H170" s="129">
        <v>42580</v>
      </c>
      <c r="I170" s="108">
        <f t="shared" si="8"/>
        <v>1935</v>
      </c>
      <c r="J170" s="108" t="str">
        <f>IF(Таблица97[[#This Row],[НК]]=1,Таблица97[[#This Row],[Продажа]],"")</f>
        <v/>
      </c>
      <c r="M170" s="108">
        <v>1583</v>
      </c>
      <c r="N170" s="108">
        <f>Таблица97[[#This Row],[Продажа]]-Таблица97[[#This Row],[Закупка]]</f>
        <v>352</v>
      </c>
      <c r="O170" s="108" t="str">
        <f>IF(Таблица97[[#This Row],[НК]]=1,Таблица97[[#This Row],[Маржа]],"")</f>
        <v/>
      </c>
    </row>
    <row r="171" spans="1:15" ht="20.100000000000001" customHeight="1" x14ac:dyDescent="0.25">
      <c r="A171" s="2">
        <v>291</v>
      </c>
      <c r="B171" s="2" t="str">
        <f>TEXT(Таблица97[[#This Row],[Дата]],"ГГ")&amp;RIGHT("000"&amp;Таблица97[[#This Row],[Номер]],4)</f>
        <v>160291</v>
      </c>
      <c r="C171" s="129">
        <v>42557</v>
      </c>
      <c r="D171" s="2" t="s">
        <v>56</v>
      </c>
      <c r="E171" s="108">
        <v>84104</v>
      </c>
      <c r="F171" s="129">
        <v>42590</v>
      </c>
      <c r="H171" s="129">
        <v>42576</v>
      </c>
      <c r="I171" s="108">
        <f t="shared" si="8"/>
        <v>84104</v>
      </c>
      <c r="J171" s="108" t="str">
        <f>IF(Таблица97[[#This Row],[НК]]=1,Таблица97[[#This Row],[Продажа]],"")</f>
        <v/>
      </c>
      <c r="M171" s="108">
        <v>59790.879999999997</v>
      </c>
      <c r="N171" s="108">
        <f>Таблица97[[#This Row],[Продажа]]-Таблица97[[#This Row],[Закупка]]</f>
        <v>24313.120000000003</v>
      </c>
      <c r="O171" s="108" t="str">
        <f>IF(Таблица97[[#This Row],[НК]]=1,Таблица97[[#This Row],[Маржа]],"")</f>
        <v/>
      </c>
    </row>
    <row r="172" spans="1:15" ht="20.100000000000001" customHeight="1" x14ac:dyDescent="0.25">
      <c r="A172" s="2">
        <v>334</v>
      </c>
      <c r="B172" s="2" t="str">
        <f>TEXT(Таблица97[[#This Row],[Дата]],"ГГ")&amp;RIGHT("000"&amp;Таблица97[[#This Row],[Номер]],4)</f>
        <v>160334</v>
      </c>
      <c r="C172" s="129">
        <v>42577</v>
      </c>
      <c r="D172" s="2" t="s">
        <v>56</v>
      </c>
      <c r="E172" s="108">
        <v>4900</v>
      </c>
      <c r="F172" s="129">
        <v>42590</v>
      </c>
      <c r="H172" s="129">
        <v>42578</v>
      </c>
      <c r="I172" s="108">
        <f t="shared" si="8"/>
        <v>4900</v>
      </c>
      <c r="J172" s="108" t="str">
        <f>IF(Таблица97[[#This Row],[НК]]=1,Таблица97[[#This Row],[Продажа]],"")</f>
        <v/>
      </c>
      <c r="M172" s="108">
        <v>4348</v>
      </c>
      <c r="N172" s="108">
        <f>Таблица97[[#This Row],[Продажа]]-Таблица97[[#This Row],[Закупка]]</f>
        <v>552</v>
      </c>
      <c r="O172" s="108" t="str">
        <f>IF(Таблица97[[#This Row],[НК]]=1,Таблица97[[#This Row],[Маржа]],"")</f>
        <v/>
      </c>
    </row>
    <row r="173" spans="1:15" ht="20.100000000000001" customHeight="1" x14ac:dyDescent="0.25">
      <c r="A173" s="2">
        <v>293</v>
      </c>
      <c r="B173" s="2" t="str">
        <f>TEXT(Таблица97[[#This Row],[Дата]],"ГГ")&amp;RIGHT("000"&amp;Таблица97[[#This Row],[Номер]],4)</f>
        <v>160293</v>
      </c>
      <c r="C173" s="129">
        <v>42562</v>
      </c>
      <c r="D173" s="2" t="s">
        <v>38</v>
      </c>
      <c r="E173" s="108">
        <v>23868.76</v>
      </c>
      <c r="F173" s="129">
        <v>42590</v>
      </c>
      <c r="H173" s="129">
        <v>42579</v>
      </c>
      <c r="I173" s="108">
        <f t="shared" si="8"/>
        <v>23868.76</v>
      </c>
      <c r="J173" s="108" t="str">
        <f>IF(Таблица97[[#This Row],[НК]]=1,Таблица97[[#This Row],[Продажа]],"")</f>
        <v/>
      </c>
      <c r="K173" s="108">
        <f>0.02*I173</f>
        <v>477.37519999999995</v>
      </c>
      <c r="M173" s="108">
        <v>16339</v>
      </c>
      <c r="N173" s="108">
        <f>Таблица97[[#This Row],[Продажа]]-Таблица97[[#This Row],[Закупка]]</f>
        <v>7529.7599999999984</v>
      </c>
      <c r="O173" s="108" t="str">
        <f>IF(Таблица97[[#This Row],[НК]]=1,Таблица97[[#This Row],[Маржа]],"")</f>
        <v/>
      </c>
    </row>
    <row r="174" spans="1:15" ht="20.100000000000001" customHeight="1" x14ac:dyDescent="0.25">
      <c r="A174" s="2">
        <v>288</v>
      </c>
      <c r="B174" s="2" t="str">
        <f>TEXT(Таблица97[[#This Row],[Дата]],"ГГ")&amp;RIGHT("000"&amp;Таблица97[[#This Row],[Номер]],4)</f>
        <v>160288</v>
      </c>
      <c r="C174" s="129">
        <v>42562</v>
      </c>
      <c r="D174" s="2" t="s">
        <v>38</v>
      </c>
      <c r="E174" s="108">
        <v>68104.240000000005</v>
      </c>
      <c r="F174" s="129">
        <v>42590</v>
      </c>
      <c r="H174" s="129">
        <v>42579</v>
      </c>
      <c r="I174" s="108">
        <f t="shared" si="8"/>
        <v>68104.240000000005</v>
      </c>
      <c r="J174" s="108" t="str">
        <f>IF(Таблица97[[#This Row],[НК]]=1,Таблица97[[#This Row],[Продажа]],"")</f>
        <v/>
      </c>
      <c r="K174" s="108">
        <f>0.02*I174</f>
        <v>1362.0848000000001</v>
      </c>
      <c r="L174" s="108">
        <v>1200</v>
      </c>
      <c r="M174" s="108">
        <v>36079.599999999999</v>
      </c>
      <c r="N174" s="108">
        <f>Таблица97[[#This Row],[Продажа]]-Таблица97[[#This Row],[Закупка]]</f>
        <v>32024.640000000007</v>
      </c>
      <c r="O174" s="108" t="str">
        <f>IF(Таблица97[[#This Row],[НК]]=1,Таблица97[[#This Row],[Маржа]],"")</f>
        <v/>
      </c>
    </row>
    <row r="175" spans="1:15" ht="20.100000000000001" customHeight="1" x14ac:dyDescent="0.25">
      <c r="A175" s="2">
        <v>287</v>
      </c>
      <c r="B175" s="2" t="str">
        <f>TEXT(Таблица97[[#This Row],[Дата]],"ГГ")&amp;RIGHT("000"&amp;Таблица97[[#This Row],[Номер]],4)</f>
        <v>160287</v>
      </c>
      <c r="C175" s="129">
        <v>42562</v>
      </c>
      <c r="D175" s="2" t="s">
        <v>38</v>
      </c>
      <c r="E175" s="108">
        <v>62500</v>
      </c>
      <c r="F175" s="129">
        <v>42590</v>
      </c>
      <c r="H175" s="129">
        <v>42579</v>
      </c>
      <c r="I175" s="108">
        <f t="shared" si="8"/>
        <v>62500</v>
      </c>
      <c r="J175" s="108" t="str">
        <f>IF(Таблица97[[#This Row],[НК]]=1,Таблица97[[#This Row],[Продажа]],"")</f>
        <v/>
      </c>
      <c r="K175" s="108">
        <f>0.02*I175</f>
        <v>1250</v>
      </c>
      <c r="L175" s="108">
        <v>3000</v>
      </c>
      <c r="M175" s="108">
        <v>18455.14</v>
      </c>
      <c r="N175" s="108">
        <f>Таблица97[[#This Row],[Продажа]]-Таблица97[[#This Row],[Закупка]]</f>
        <v>44044.86</v>
      </c>
      <c r="O175" s="108" t="str">
        <f>IF(Таблица97[[#This Row],[НК]]=1,Таблица97[[#This Row],[Маржа]],"")</f>
        <v/>
      </c>
    </row>
    <row r="176" spans="1:15" ht="20.100000000000001" customHeight="1" x14ac:dyDescent="0.25">
      <c r="A176" s="2">
        <v>286</v>
      </c>
      <c r="B176" s="2" t="str">
        <f>TEXT(Таблица97[[#This Row],[Дата]],"ГГ")&amp;RIGHT("000"&amp;Таблица97[[#This Row],[Номер]],4)</f>
        <v>160286</v>
      </c>
      <c r="C176" s="129">
        <v>42562</v>
      </c>
      <c r="D176" s="2" t="s">
        <v>38</v>
      </c>
      <c r="E176" s="108">
        <v>125230.53</v>
      </c>
      <c r="F176" s="129">
        <v>42590</v>
      </c>
      <c r="H176" s="129">
        <v>42579</v>
      </c>
      <c r="I176" s="108">
        <f t="shared" si="8"/>
        <v>125230.53</v>
      </c>
      <c r="J176" s="108" t="str">
        <f>IF(Таблица97[[#This Row],[НК]]=1,Таблица97[[#This Row],[Продажа]],"")</f>
        <v/>
      </c>
      <c r="K176" s="108">
        <f>0.02*I176</f>
        <v>2504.6106</v>
      </c>
      <c r="L176" s="108">
        <v>3000</v>
      </c>
      <c r="M176" s="108">
        <v>60514</v>
      </c>
      <c r="N176" s="108">
        <f>Таблица97[[#This Row],[Продажа]]-Таблица97[[#This Row],[Закупка]]</f>
        <v>64716.53</v>
      </c>
      <c r="O176" s="108" t="str">
        <f>IF(Таблица97[[#This Row],[НК]]=1,Таблица97[[#This Row],[Маржа]],"")</f>
        <v/>
      </c>
    </row>
    <row r="177" spans="1:15" ht="20.100000000000001" customHeight="1" x14ac:dyDescent="0.25">
      <c r="A177" s="2">
        <v>352</v>
      </c>
      <c r="B177" s="2" t="str">
        <f>TEXT(Таблица97[[#This Row],[Дата]],"ГГ")&amp;RIGHT("000"&amp;Таблица97[[#This Row],[Номер]],4)</f>
        <v>160352</v>
      </c>
      <c r="C177" s="129">
        <v>42583</v>
      </c>
      <c r="D177" s="2" t="s">
        <v>175</v>
      </c>
      <c r="E177" s="108">
        <v>44990</v>
      </c>
      <c r="F177" s="129">
        <v>42591</v>
      </c>
      <c r="G177" s="128">
        <v>1</v>
      </c>
      <c r="H177" s="129">
        <v>42591</v>
      </c>
      <c r="I177" s="108">
        <f t="shared" si="8"/>
        <v>44990</v>
      </c>
      <c r="J177" s="108">
        <f>IF(Таблица97[[#This Row],[НК]]=1,Таблица97[[#This Row],[Продажа]],"")</f>
        <v>44990</v>
      </c>
      <c r="M177" s="108">
        <v>36703</v>
      </c>
      <c r="N177" s="108">
        <f>Таблица97[[#This Row],[Продажа]]-Таблица97[[#This Row],[Закупка]]</f>
        <v>8287</v>
      </c>
      <c r="O177" s="108">
        <f>IF(Таблица97[[#This Row],[НК]]=1,Таблица97[[#This Row],[Маржа]],"")</f>
        <v>8287</v>
      </c>
    </row>
    <row r="178" spans="1:15" ht="20.100000000000001" customHeight="1" x14ac:dyDescent="0.25">
      <c r="A178" s="2">
        <v>372</v>
      </c>
      <c r="B178" s="2" t="str">
        <f>TEXT(Таблица97[[#This Row],[Дата]],"ГГ")&amp;RIGHT("000"&amp;Таблица97[[#This Row],[Номер]],4)</f>
        <v>160372</v>
      </c>
      <c r="C178" s="129">
        <v>42590</v>
      </c>
      <c r="D178" s="2" t="s">
        <v>15</v>
      </c>
      <c r="E178" s="108">
        <v>2742</v>
      </c>
      <c r="F178" s="129">
        <v>42592</v>
      </c>
      <c r="H178" s="129">
        <v>42594</v>
      </c>
      <c r="I178" s="108">
        <f t="shared" si="8"/>
        <v>2742</v>
      </c>
      <c r="J178" s="108" t="str">
        <f>IF(Таблица97[[#This Row],[НК]]=1,Таблица97[[#This Row],[Продажа]],"")</f>
        <v/>
      </c>
      <c r="M178" s="108">
        <v>2244</v>
      </c>
      <c r="N178" s="108">
        <f>Таблица97[[#This Row],[Продажа]]-Таблица97[[#This Row],[Закупка]]</f>
        <v>498</v>
      </c>
      <c r="O178" s="108" t="str">
        <f>IF(Таблица97[[#This Row],[НК]]=1,Таблица97[[#This Row],[Маржа]],"")</f>
        <v/>
      </c>
    </row>
    <row r="179" spans="1:15" ht="20.100000000000001" customHeight="1" x14ac:dyDescent="0.25">
      <c r="A179" s="2">
        <v>378</v>
      </c>
      <c r="B179" s="2" t="str">
        <f>TEXT(Таблица97[[#This Row],[Дата]],"ГГ")&amp;RIGHT("000"&amp;Таблица97[[#This Row],[Номер]],4)</f>
        <v>160378</v>
      </c>
      <c r="C179" s="129">
        <v>42591</v>
      </c>
      <c r="D179" s="2" t="s">
        <v>177</v>
      </c>
      <c r="E179" s="108">
        <v>29590</v>
      </c>
      <c r="F179" s="129">
        <v>42592</v>
      </c>
      <c r="G179" s="128">
        <v>1</v>
      </c>
      <c r="H179" s="129">
        <v>42592</v>
      </c>
      <c r="I179" s="108">
        <f t="shared" si="8"/>
        <v>29590</v>
      </c>
      <c r="J179" s="108">
        <f>IF(Таблица97[[#This Row],[НК]]=1,Таблица97[[#This Row],[Продажа]],"")</f>
        <v>29590</v>
      </c>
      <c r="M179" s="108">
        <v>28387</v>
      </c>
      <c r="N179" s="108">
        <f>Таблица97[[#This Row],[Продажа]]-Таблица97[[#This Row],[Закупка]]</f>
        <v>1203</v>
      </c>
      <c r="O179" s="108">
        <f>IF(Таблица97[[#This Row],[НК]]=1,Таблица97[[#This Row],[Маржа]],"")</f>
        <v>1203</v>
      </c>
    </row>
    <row r="180" spans="1:15" ht="20.100000000000001" customHeight="1" x14ac:dyDescent="0.25">
      <c r="A180" s="2">
        <v>381</v>
      </c>
      <c r="B180" s="2" t="str">
        <f>TEXT(Таблица97[[#This Row],[Дата]],"ГГ")&amp;RIGHT("000"&amp;Таблица97[[#This Row],[Номер]],4)</f>
        <v>160381</v>
      </c>
      <c r="C180" s="129">
        <v>42592</v>
      </c>
      <c r="D180" s="2" t="s">
        <v>178</v>
      </c>
      <c r="E180" s="108">
        <v>30390</v>
      </c>
      <c r="F180" s="129">
        <v>42592</v>
      </c>
      <c r="G180" s="128">
        <v>1</v>
      </c>
      <c r="H180" s="129">
        <v>42593</v>
      </c>
      <c r="I180" s="108">
        <f t="shared" si="8"/>
        <v>30390</v>
      </c>
      <c r="J180" s="108">
        <f>IF(Таблица97[[#This Row],[НК]]=1,Таблица97[[#This Row],[Продажа]],"")</f>
        <v>30390</v>
      </c>
      <c r="M180" s="108">
        <v>23613</v>
      </c>
      <c r="N180" s="108">
        <f>Таблица97[[#This Row],[Продажа]]-Таблица97[[#This Row],[Закупка]]</f>
        <v>6777</v>
      </c>
      <c r="O180" s="108">
        <f>IF(Таблица97[[#This Row],[НК]]=1,Таблица97[[#This Row],[Маржа]],"")</f>
        <v>6777</v>
      </c>
    </row>
    <row r="181" spans="1:15" ht="20.100000000000001" customHeight="1" x14ac:dyDescent="0.25">
      <c r="A181" s="2">
        <v>386</v>
      </c>
      <c r="B181" s="2" t="str">
        <f>TEXT(Таблица97[[#This Row],[Дата]],"ГГ")&amp;RIGHT("000"&amp;Таблица97[[#This Row],[Номер]],4)</f>
        <v>160386</v>
      </c>
      <c r="C181" s="129">
        <v>42593</v>
      </c>
      <c r="D181" s="2" t="s">
        <v>178</v>
      </c>
      <c r="E181" s="108">
        <v>1252.9000000000001</v>
      </c>
      <c r="F181" s="129">
        <v>42593</v>
      </c>
      <c r="G181" s="128">
        <v>1</v>
      </c>
      <c r="H181" s="129">
        <v>42593</v>
      </c>
      <c r="I181" s="108">
        <f t="shared" si="8"/>
        <v>1252.9000000000001</v>
      </c>
      <c r="J181" s="108">
        <f>IF(Таблица97[[#This Row],[НК]]=1,Таблица97[[#This Row],[Продажа]],"")</f>
        <v>1252.9000000000001</v>
      </c>
      <c r="M181" s="108">
        <v>917</v>
      </c>
      <c r="N181" s="108">
        <f>Таблица97[[#This Row],[Продажа]]-Таблица97[[#This Row],[Закупка]]</f>
        <v>335.90000000000009</v>
      </c>
      <c r="O181" s="108">
        <f>IF(Таблица97[[#This Row],[НК]]=1,Таблица97[[#This Row],[Маржа]],"")</f>
        <v>335.90000000000009</v>
      </c>
    </row>
    <row r="182" spans="1:15" ht="20.100000000000001" customHeight="1" x14ac:dyDescent="0.25">
      <c r="A182" s="2">
        <v>382</v>
      </c>
      <c r="B182" s="2" t="str">
        <f>TEXT(Таблица97[[#This Row],[Дата]],"ГГ")&amp;RIGHT("000"&amp;Таблица97[[#This Row],[Номер]],4)</f>
        <v>160382</v>
      </c>
      <c r="C182" s="129">
        <v>42592</v>
      </c>
      <c r="D182" s="2" t="s">
        <v>179</v>
      </c>
      <c r="E182" s="108">
        <v>43590</v>
      </c>
      <c r="F182" s="129">
        <v>42593</v>
      </c>
      <c r="G182" s="128">
        <v>1</v>
      </c>
      <c r="H182" s="129">
        <v>42594</v>
      </c>
      <c r="I182" s="108">
        <f t="shared" si="8"/>
        <v>43590</v>
      </c>
      <c r="J182" s="108">
        <f>IF(Таблица97[[#This Row],[НК]]=1,Таблица97[[#This Row],[Продажа]],"")</f>
        <v>43590</v>
      </c>
      <c r="M182" s="108">
        <v>32954</v>
      </c>
      <c r="N182" s="108">
        <f>Таблица97[[#This Row],[Продажа]]-Таблица97[[#This Row],[Закупка]]</f>
        <v>10636</v>
      </c>
      <c r="O182" s="108">
        <f>IF(Таблица97[[#This Row],[НК]]=1,Таблица97[[#This Row],[Маржа]],"")</f>
        <v>10636</v>
      </c>
    </row>
    <row r="183" spans="1:15" ht="20.100000000000001" customHeight="1" x14ac:dyDescent="0.25">
      <c r="A183" s="2">
        <v>339</v>
      </c>
      <c r="B183" s="2" t="str">
        <f>TEXT(Таблица97[[#This Row],[Дата]],"ГГ")&amp;RIGHT("000"&amp;Таблица97[[#This Row],[Номер]],4)</f>
        <v>160339</v>
      </c>
      <c r="C183" s="129">
        <v>42578</v>
      </c>
      <c r="D183" s="2" t="s">
        <v>97</v>
      </c>
      <c r="E183" s="108">
        <v>8714</v>
      </c>
      <c r="F183" s="129">
        <v>42593</v>
      </c>
      <c r="H183" s="129">
        <v>42594</v>
      </c>
      <c r="I183" s="108">
        <f t="shared" si="8"/>
        <v>8714</v>
      </c>
      <c r="J183" s="108" t="str">
        <f>IF(Таблица97[[#This Row],[НК]]=1,Таблица97[[#This Row],[Продажа]],"")</f>
        <v/>
      </c>
      <c r="M183" s="108">
        <v>6586</v>
      </c>
      <c r="N183" s="108">
        <f>Таблица97[[#This Row],[Продажа]]-Таблица97[[#This Row],[Закупка]]</f>
        <v>2128</v>
      </c>
      <c r="O183" s="108" t="str">
        <f>IF(Таблица97[[#This Row],[НК]]=1,Таблица97[[#This Row],[Маржа]],"")</f>
        <v/>
      </c>
    </row>
    <row r="184" spans="1:15" ht="20.100000000000001" customHeight="1" x14ac:dyDescent="0.25">
      <c r="A184" s="2">
        <v>324</v>
      </c>
      <c r="B184" s="2" t="str">
        <f>TEXT(Таблица97[[#This Row],[Дата]],"ГГ")&amp;RIGHT("000"&amp;Таблица97[[#This Row],[Номер]],4)</f>
        <v>160324</v>
      </c>
      <c r="C184" s="129">
        <v>42572</v>
      </c>
      <c r="D184" s="2" t="s">
        <v>180</v>
      </c>
      <c r="E184" s="108">
        <v>451098</v>
      </c>
      <c r="F184" s="129">
        <v>42593</v>
      </c>
      <c r="G184" s="128">
        <v>1</v>
      </c>
      <c r="H184" s="129">
        <v>42606</v>
      </c>
      <c r="I184" s="108">
        <f t="shared" si="8"/>
        <v>451098</v>
      </c>
      <c r="J184" s="108">
        <f>IF(Таблица97[[#This Row],[НК]]=1,Таблица97[[#This Row],[Продажа]],"")</f>
        <v>451098</v>
      </c>
      <c r="L184" s="108">
        <v>6600</v>
      </c>
      <c r="M184" s="108">
        <v>331100</v>
      </c>
      <c r="N184" s="108">
        <f>Таблица97[[#This Row],[Продажа]]-Таблица97[[#This Row],[Закупка]]</f>
        <v>119998</v>
      </c>
      <c r="O184" s="108">
        <f>IF(Таблица97[[#This Row],[НК]]=1,Таблица97[[#This Row],[Маржа]],"")</f>
        <v>119998</v>
      </c>
    </row>
    <row r="185" spans="1:15" ht="20.100000000000001" customHeight="1" x14ac:dyDescent="0.25">
      <c r="A185" s="2">
        <v>389</v>
      </c>
      <c r="B185" s="2" t="str">
        <f>TEXT(Таблица97[[#This Row],[Дата]],"ГГ")&amp;RIGHT("000"&amp;Таблица97[[#This Row],[Номер]],4)</f>
        <v>160389</v>
      </c>
      <c r="C185" s="129">
        <v>42594</v>
      </c>
      <c r="D185" s="2" t="s">
        <v>162</v>
      </c>
      <c r="E185" s="108">
        <v>5300</v>
      </c>
      <c r="F185" s="129">
        <v>42594</v>
      </c>
      <c r="H185" s="129">
        <v>42597</v>
      </c>
      <c r="I185" s="108">
        <f t="shared" si="8"/>
        <v>5300</v>
      </c>
      <c r="J185" s="108" t="str">
        <f>IF(Таблица97[[#This Row],[НК]]=1,Таблица97[[#This Row],[Продажа]],"")</f>
        <v/>
      </c>
      <c r="M185" s="108">
        <v>2126</v>
      </c>
      <c r="N185" s="108">
        <f>Таблица97[[#This Row],[Продажа]]-Таблица97[[#This Row],[Закупка]]</f>
        <v>3174</v>
      </c>
      <c r="O185" s="108" t="str">
        <f>IF(Таблица97[[#This Row],[НК]]=1,Таблица97[[#This Row],[Маржа]],"")</f>
        <v/>
      </c>
    </row>
    <row r="186" spans="1:15" ht="20.100000000000001" customHeight="1" x14ac:dyDescent="0.25">
      <c r="A186" s="2">
        <v>369</v>
      </c>
      <c r="B186" s="2" t="str">
        <f>TEXT(Таблица97[[#This Row],[Дата]],"ГГ")&amp;RIGHT("000"&amp;Таблица97[[#This Row],[Номер]],4)</f>
        <v>160369</v>
      </c>
      <c r="C186" s="129">
        <v>42586</v>
      </c>
      <c r="D186" s="2" t="s">
        <v>75</v>
      </c>
      <c r="E186" s="108">
        <v>14688.08</v>
      </c>
      <c r="F186" s="129">
        <v>42597</v>
      </c>
      <c r="H186" s="129">
        <v>42605</v>
      </c>
      <c r="I186" s="108">
        <f t="shared" si="8"/>
        <v>14688.08</v>
      </c>
      <c r="J186" s="108" t="str">
        <f>IF(Таблица97[[#This Row],[НК]]=1,Таблица97[[#This Row],[Продажа]],"")</f>
        <v/>
      </c>
      <c r="M186" s="108">
        <v>12444.5</v>
      </c>
      <c r="N186" s="108">
        <f>Таблица97[[#This Row],[Продажа]]-Таблица97[[#This Row],[Закупка]]</f>
        <v>2243.58</v>
      </c>
      <c r="O186" s="108" t="str">
        <f>IF(Таблица97[[#This Row],[НК]]=1,Таблица97[[#This Row],[Маржа]],"")</f>
        <v/>
      </c>
    </row>
    <row r="187" spans="1:15" ht="20.100000000000001" customHeight="1" x14ac:dyDescent="0.25">
      <c r="A187" s="2">
        <v>318</v>
      </c>
      <c r="B187" s="2" t="str">
        <f>TEXT(Таблица97[[#This Row],[Дата]],"ГГ")&amp;RIGHT("000"&amp;Таблица97[[#This Row],[Номер]],4)</f>
        <v>160318</v>
      </c>
      <c r="C187" s="129">
        <v>42570</v>
      </c>
      <c r="D187" s="2" t="s">
        <v>82</v>
      </c>
      <c r="E187" s="108">
        <v>5764.9</v>
      </c>
      <c r="F187" s="129">
        <v>42597</v>
      </c>
      <c r="H187" s="129">
        <v>42570</v>
      </c>
      <c r="I187" s="108">
        <f t="shared" si="8"/>
        <v>5764.9</v>
      </c>
      <c r="J187" s="108" t="str">
        <f>IF(Таблица97[[#This Row],[НК]]=1,Таблица97[[#This Row],[Продажа]],"")</f>
        <v/>
      </c>
      <c r="M187" s="108">
        <v>4101</v>
      </c>
      <c r="N187" s="108">
        <f>Таблица97[[#This Row],[Продажа]]-Таблица97[[#This Row],[Закупка]]</f>
        <v>1663.8999999999996</v>
      </c>
      <c r="O187" s="108" t="str">
        <f>IF(Таблица97[[#This Row],[НК]]=1,Таблица97[[#This Row],[Маржа]],"")</f>
        <v/>
      </c>
    </row>
    <row r="188" spans="1:15" ht="20.100000000000001" customHeight="1" x14ac:dyDescent="0.25">
      <c r="A188" s="2">
        <v>370</v>
      </c>
      <c r="B188" s="2" t="str">
        <f>TEXT(Таблица97[[#This Row],[Дата]],"ГГ")&amp;RIGHT("000"&amp;Таблица97[[#This Row],[Номер]],4)</f>
        <v>160370</v>
      </c>
      <c r="C188" s="129">
        <v>42586</v>
      </c>
      <c r="D188" s="2" t="s">
        <v>56</v>
      </c>
      <c r="E188" s="108">
        <v>22810</v>
      </c>
      <c r="F188" s="129">
        <v>42598</v>
      </c>
      <c r="H188" s="129">
        <v>42593</v>
      </c>
      <c r="I188" s="108">
        <f t="shared" si="8"/>
        <v>22810</v>
      </c>
      <c r="J188" s="108" t="str">
        <f>IF(Таблица97[[#This Row],[НК]]=1,Таблица97[[#This Row],[Продажа]],"")</f>
        <v/>
      </c>
      <c r="M188" s="108">
        <v>18452</v>
      </c>
      <c r="N188" s="108">
        <f>Таблица97[[#This Row],[Продажа]]-Таблица97[[#This Row],[Закупка]]</f>
        <v>4358</v>
      </c>
      <c r="O188" s="108" t="str">
        <f>IF(Таблица97[[#This Row],[НК]]=1,Таблица97[[#This Row],[Маржа]],"")</f>
        <v/>
      </c>
    </row>
    <row r="189" spans="1:15" ht="20.100000000000001" customHeight="1" x14ac:dyDescent="0.25">
      <c r="A189" s="2">
        <v>392</v>
      </c>
      <c r="B189" s="2" t="str">
        <f>TEXT(Таблица97[[#This Row],[Дата]],"ГГ")&amp;RIGHT("000"&amp;Таблица97[[#This Row],[Номер]],4)</f>
        <v>160392</v>
      </c>
      <c r="C189" s="129">
        <v>42597</v>
      </c>
      <c r="D189" s="2" t="s">
        <v>181</v>
      </c>
      <c r="E189" s="108">
        <v>658.44</v>
      </c>
      <c r="F189" s="129">
        <v>42598</v>
      </c>
      <c r="G189" s="128">
        <v>1</v>
      </c>
      <c r="H189" s="129">
        <v>42612</v>
      </c>
      <c r="I189" s="108">
        <f t="shared" si="8"/>
        <v>658.44</v>
      </c>
      <c r="J189" s="108">
        <f>IF(Таблица97[[#This Row],[НК]]=1,Таблица97[[#This Row],[Продажа]],"")</f>
        <v>658.44</v>
      </c>
      <c r="M189" s="108">
        <v>498</v>
      </c>
      <c r="N189" s="108">
        <f>Таблица97[[#This Row],[Продажа]]-Таблица97[[#This Row],[Закупка]]</f>
        <v>160.44000000000005</v>
      </c>
      <c r="O189" s="108">
        <f>IF(Таблица97[[#This Row],[НК]]=1,Таблица97[[#This Row],[Маржа]],"")</f>
        <v>160.44000000000005</v>
      </c>
    </row>
    <row r="190" spans="1:15" ht="20.100000000000001" customHeight="1" x14ac:dyDescent="0.25">
      <c r="A190" s="2">
        <v>359</v>
      </c>
      <c r="B190" s="2" t="str">
        <f>TEXT(Таблица97[[#This Row],[Дата]],"ГГ")&amp;RIGHT("000"&amp;Таблица97[[#This Row],[Номер]],4)</f>
        <v>160359</v>
      </c>
      <c r="C190" s="129">
        <v>42584</v>
      </c>
      <c r="D190" s="2" t="s">
        <v>182</v>
      </c>
      <c r="E190" s="108">
        <v>8672.7199999999993</v>
      </c>
      <c r="F190" s="129">
        <v>42598</v>
      </c>
      <c r="G190" s="128">
        <v>1</v>
      </c>
      <c r="H190" s="129">
        <v>42601</v>
      </c>
      <c r="I190" s="108">
        <f t="shared" si="8"/>
        <v>8672.7199999999993</v>
      </c>
      <c r="J190" s="108">
        <f>IF(Таблица97[[#This Row],[НК]]=1,Таблица97[[#This Row],[Продажа]],"")</f>
        <v>8672.7199999999993</v>
      </c>
      <c r="M190" s="108">
        <v>5364</v>
      </c>
      <c r="N190" s="108">
        <f>Таблица97[[#This Row],[Продажа]]-Таблица97[[#This Row],[Закупка]]</f>
        <v>3308.7199999999993</v>
      </c>
      <c r="O190" s="108">
        <f>IF(Таблица97[[#This Row],[НК]]=1,Таблица97[[#This Row],[Маржа]],"")</f>
        <v>3308.7199999999993</v>
      </c>
    </row>
    <row r="191" spans="1:15" ht="20.100000000000001" customHeight="1" x14ac:dyDescent="0.25">
      <c r="A191" s="2">
        <v>380</v>
      </c>
      <c r="B191" s="2" t="str">
        <f>TEXT(Таблица97[[#This Row],[Дата]],"ГГ")&amp;RIGHT("000"&amp;Таблица97[[#This Row],[Номер]],4)</f>
        <v>160380</v>
      </c>
      <c r="C191" s="129">
        <v>42592</v>
      </c>
      <c r="D191" s="2" t="s">
        <v>175</v>
      </c>
      <c r="E191" s="108">
        <v>19105.84</v>
      </c>
      <c r="F191" s="129">
        <v>42599</v>
      </c>
      <c r="G191" s="128">
        <v>1</v>
      </c>
      <c r="H191" s="129">
        <v>42600</v>
      </c>
      <c r="I191" s="108">
        <f t="shared" si="8"/>
        <v>19105.84</v>
      </c>
      <c r="J191" s="108">
        <f>IF(Таблица97[[#This Row],[НК]]=1,Таблица97[[#This Row],[Продажа]],"")</f>
        <v>19105.84</v>
      </c>
      <c r="M191" s="108">
        <v>15648</v>
      </c>
      <c r="N191" s="108">
        <f>Таблица97[[#This Row],[Продажа]]-Таблица97[[#This Row],[Закупка]]</f>
        <v>3457.84</v>
      </c>
      <c r="O191" s="108">
        <f>IF(Таблица97[[#This Row],[НК]]=1,Таблица97[[#This Row],[Маржа]],"")</f>
        <v>3457.84</v>
      </c>
    </row>
    <row r="192" spans="1:15" ht="20.100000000000001" customHeight="1" x14ac:dyDescent="0.25">
      <c r="A192" s="2">
        <v>397</v>
      </c>
      <c r="B192" s="2" t="str">
        <f>TEXT(Таблица97[[#This Row],[Дата]],"ГГ")&amp;RIGHT("000"&amp;Таблица97[[#This Row],[Номер]],4)</f>
        <v>160397</v>
      </c>
      <c r="C192" s="129">
        <v>42597</v>
      </c>
      <c r="D192" s="2" t="s">
        <v>183</v>
      </c>
      <c r="E192" s="108">
        <v>4296.43</v>
      </c>
      <c r="F192" s="129">
        <v>42599</v>
      </c>
      <c r="H192" s="129">
        <v>42604</v>
      </c>
      <c r="I192" s="108">
        <f t="shared" si="8"/>
        <v>4296.43</v>
      </c>
      <c r="J192" s="108" t="str">
        <f>IF(Таблица97[[#This Row],[НК]]=1,Таблица97[[#This Row],[Продажа]],"")</f>
        <v/>
      </c>
      <c r="M192" s="108">
        <v>3248</v>
      </c>
      <c r="N192" s="108">
        <f>Таблица97[[#This Row],[Продажа]]-Таблица97[[#This Row],[Закупка]]</f>
        <v>1048.4300000000003</v>
      </c>
      <c r="O192" s="108" t="str">
        <f>IF(Таблица97[[#This Row],[НК]]=1,Таблица97[[#This Row],[Маржа]],"")</f>
        <v/>
      </c>
    </row>
    <row r="193" spans="1:15" ht="20.100000000000001" customHeight="1" x14ac:dyDescent="0.25">
      <c r="A193" s="2">
        <v>401</v>
      </c>
      <c r="B193" s="2" t="str">
        <f>TEXT(Таблица97[[#This Row],[Дата]],"ГГ")&amp;RIGHT("000"&amp;Таблица97[[#This Row],[Номер]],4)</f>
        <v>160401</v>
      </c>
      <c r="C193" s="129">
        <v>42600</v>
      </c>
      <c r="D193" s="2" t="s">
        <v>86</v>
      </c>
      <c r="E193" s="108">
        <v>90590</v>
      </c>
      <c r="F193" s="129">
        <v>42601</v>
      </c>
      <c r="H193" s="129">
        <v>42604</v>
      </c>
      <c r="I193" s="108">
        <f t="shared" si="8"/>
        <v>90590</v>
      </c>
      <c r="J193" s="108" t="str">
        <f>IF(Таблица97[[#This Row],[НК]]=1,Таблица97[[#This Row],[Продажа]],"")</f>
        <v/>
      </c>
      <c r="M193" s="108">
        <v>79453</v>
      </c>
      <c r="N193" s="108">
        <f>Таблица97[[#This Row],[Продажа]]-Таблица97[[#This Row],[Закупка]]</f>
        <v>11137</v>
      </c>
      <c r="O193" s="108" t="str">
        <f>IF(Таблица97[[#This Row],[НК]]=1,Таблица97[[#This Row],[Маржа]],"")</f>
        <v/>
      </c>
    </row>
    <row r="194" spans="1:15" ht="20.100000000000001" customHeight="1" x14ac:dyDescent="0.25">
      <c r="A194" s="2">
        <v>402</v>
      </c>
      <c r="B194" s="2" t="str">
        <f>TEXT(Таблица97[[#This Row],[Дата]],"ГГ")&amp;RIGHT("000"&amp;Таблица97[[#This Row],[Номер]],4)</f>
        <v>160402</v>
      </c>
      <c r="C194" s="129">
        <v>42601</v>
      </c>
      <c r="D194" s="2" t="s">
        <v>91</v>
      </c>
      <c r="E194" s="108">
        <v>4776.46</v>
      </c>
      <c r="F194" s="129">
        <v>42604</v>
      </c>
      <c r="H194" s="129">
        <v>42604</v>
      </c>
      <c r="I194" s="108">
        <f t="shared" si="8"/>
        <v>4776.46</v>
      </c>
      <c r="J194" s="108" t="str">
        <f>IF(Таблица97[[#This Row],[НК]]=1,Таблица97[[#This Row],[Продажа]],"")</f>
        <v/>
      </c>
      <c r="M194" s="108">
        <v>3912</v>
      </c>
      <c r="N194" s="108">
        <f>Таблица97[[#This Row],[Продажа]]-Таблица97[[#This Row],[Закупка]]</f>
        <v>864.46</v>
      </c>
      <c r="O194" s="108" t="str">
        <f>IF(Таблица97[[#This Row],[НК]]=1,Таблица97[[#This Row],[Маржа]],"")</f>
        <v/>
      </c>
    </row>
    <row r="195" spans="1:15" ht="20.100000000000001" customHeight="1" x14ac:dyDescent="0.25">
      <c r="A195" s="2">
        <v>391</v>
      </c>
      <c r="B195" s="2" t="str">
        <f>TEXT(Таблица97[[#This Row],[Дата]],"ГГ")&amp;RIGHT("000"&amp;Таблица97[[#This Row],[Номер]],4)</f>
        <v>160391</v>
      </c>
      <c r="C195" s="129">
        <v>42594</v>
      </c>
      <c r="D195" s="2" t="s">
        <v>34</v>
      </c>
      <c r="E195" s="108">
        <v>4472.28</v>
      </c>
      <c r="F195" s="129">
        <v>42604</v>
      </c>
      <c r="H195" s="129">
        <v>42613</v>
      </c>
      <c r="I195" s="108">
        <f t="shared" si="8"/>
        <v>4472.28</v>
      </c>
      <c r="J195" s="108" t="str">
        <f>IF(Таблица97[[#This Row],[НК]]=1,Таблица97[[#This Row],[Продажа]],"")</f>
        <v/>
      </c>
      <c r="M195" s="108">
        <v>2926</v>
      </c>
      <c r="N195" s="108">
        <f>Таблица97[[#This Row],[Продажа]]-Таблица97[[#This Row],[Закупка]]</f>
        <v>1546.2799999999997</v>
      </c>
      <c r="O195" s="108" t="str">
        <f>IF(Таблица97[[#This Row],[НК]]=1,Таблица97[[#This Row],[Маржа]],"")</f>
        <v/>
      </c>
    </row>
    <row r="196" spans="1:15" ht="20.100000000000001" customHeight="1" x14ac:dyDescent="0.25">
      <c r="A196" s="2">
        <v>390</v>
      </c>
      <c r="B196" s="2" t="str">
        <f>TEXT(Таблица97[[#This Row],[Дата]],"ГГ")&amp;RIGHT("000"&amp;Таблица97[[#This Row],[Номер]],4)</f>
        <v>160390</v>
      </c>
      <c r="C196" s="129">
        <v>42594</v>
      </c>
      <c r="D196" s="2" t="s">
        <v>147</v>
      </c>
      <c r="E196" s="108">
        <v>9552.92</v>
      </c>
      <c r="F196" s="129">
        <v>42604</v>
      </c>
      <c r="H196" s="129">
        <v>42583</v>
      </c>
      <c r="I196" s="108">
        <f t="shared" si="8"/>
        <v>9552.92</v>
      </c>
      <c r="J196" s="108" t="str">
        <f>IF(Таблица97[[#This Row],[НК]]=1,Таблица97[[#This Row],[Продажа]],"")</f>
        <v/>
      </c>
      <c r="M196" s="108">
        <v>7824</v>
      </c>
      <c r="N196" s="108">
        <f>Таблица97[[#This Row],[Продажа]]-Таблица97[[#This Row],[Закупка]]</f>
        <v>1728.92</v>
      </c>
      <c r="O196" s="108" t="str">
        <f>IF(Таблица97[[#This Row],[НК]]=1,Таблица97[[#This Row],[Маржа]],"")</f>
        <v/>
      </c>
    </row>
    <row r="197" spans="1:15" ht="20.100000000000001" customHeight="1" x14ac:dyDescent="0.25">
      <c r="A197" s="2">
        <v>398</v>
      </c>
      <c r="B197" s="2" t="str">
        <f>TEXT(Таблица97[[#This Row],[Дата]],"ГГ")&amp;RIGHT("000"&amp;Таблица97[[#This Row],[Номер]],4)</f>
        <v>160398</v>
      </c>
      <c r="C197" s="129">
        <v>42598</v>
      </c>
      <c r="D197" s="2" t="s">
        <v>66</v>
      </c>
      <c r="E197" s="108">
        <v>15106.39</v>
      </c>
      <c r="F197" s="129">
        <v>42605</v>
      </c>
      <c r="H197" s="129">
        <v>42639</v>
      </c>
      <c r="I197" s="108">
        <f t="shared" si="8"/>
        <v>15106.39</v>
      </c>
      <c r="J197" s="108" t="str">
        <f>IF(Таблица97[[#This Row],[НК]]=1,Таблица97[[#This Row],[Продажа]],"")</f>
        <v/>
      </c>
      <c r="M197" s="108">
        <v>11683</v>
      </c>
      <c r="N197" s="108">
        <f>Таблица97[[#This Row],[Продажа]]-Таблица97[[#This Row],[Закупка]]</f>
        <v>3423.3899999999994</v>
      </c>
      <c r="O197" s="108" t="str">
        <f>IF(Таблица97[[#This Row],[НК]]=1,Таблица97[[#This Row],[Маржа]],"")</f>
        <v/>
      </c>
    </row>
    <row r="198" spans="1:15" ht="20.100000000000001" customHeight="1" x14ac:dyDescent="0.25">
      <c r="A198" s="2">
        <v>327</v>
      </c>
      <c r="B198" s="2" t="str">
        <f>TEXT(Таблица97[[#This Row],[Дата]],"ГГ")&amp;RIGHT("000"&amp;Таблица97[[#This Row],[Номер]],4)</f>
        <v>160327</v>
      </c>
      <c r="C198" s="129">
        <v>42576</v>
      </c>
      <c r="D198" s="2" t="s">
        <v>176</v>
      </c>
      <c r="E198" s="108">
        <v>53080</v>
      </c>
      <c r="F198" s="129">
        <v>42607</v>
      </c>
      <c r="H198" s="129">
        <v>42590</v>
      </c>
      <c r="I198" s="108">
        <f t="shared" si="8"/>
        <v>53080</v>
      </c>
      <c r="J198" s="108" t="str">
        <f>IF(Таблица97[[#This Row],[НК]]=1,Таблица97[[#This Row],[Продажа]],"")</f>
        <v/>
      </c>
      <c r="M198" s="108">
        <v>40767</v>
      </c>
      <c r="N198" s="108">
        <f>Таблица97[[#This Row],[Продажа]]-Таблица97[[#This Row],[Закупка]]</f>
        <v>12313</v>
      </c>
      <c r="O198" s="108" t="str">
        <f>IF(Таблица97[[#This Row],[НК]]=1,Таблица97[[#This Row],[Маржа]],"")</f>
        <v/>
      </c>
    </row>
    <row r="199" spans="1:15" ht="20.100000000000001" customHeight="1" x14ac:dyDescent="0.25">
      <c r="A199" s="2">
        <v>405</v>
      </c>
      <c r="B199" s="2" t="str">
        <f>TEXT(Таблица97[[#This Row],[Дата]],"ГГ")&amp;RIGHT("000"&amp;Таблица97[[#This Row],[Номер]],4)</f>
        <v>160405</v>
      </c>
      <c r="C199" s="129">
        <v>42606</v>
      </c>
      <c r="D199" s="2" t="s">
        <v>42</v>
      </c>
      <c r="E199" s="108">
        <v>46173</v>
      </c>
      <c r="F199" s="129">
        <v>42607</v>
      </c>
      <c r="G199" s="128">
        <v>1</v>
      </c>
      <c r="H199" s="129">
        <v>42628</v>
      </c>
      <c r="I199" s="108">
        <f t="shared" si="8"/>
        <v>46173</v>
      </c>
      <c r="J199" s="108">
        <f>IF(Таблица97[[#This Row],[НК]]=1,Таблица97[[#This Row],[Продажа]],"")</f>
        <v>46173</v>
      </c>
      <c r="M199" s="108">
        <v>34934</v>
      </c>
      <c r="N199" s="108">
        <f>Таблица97[[#This Row],[Продажа]]-Таблица97[[#This Row],[Закупка]]</f>
        <v>11239</v>
      </c>
      <c r="O199" s="108">
        <f>IF(Таблица97[[#This Row],[НК]]=1,Таблица97[[#This Row],[Маржа]],"")</f>
        <v>11239</v>
      </c>
    </row>
    <row r="200" spans="1:15" ht="20.100000000000001" customHeight="1" x14ac:dyDescent="0.25">
      <c r="A200" s="2">
        <v>332</v>
      </c>
      <c r="B200" s="2" t="str">
        <f>TEXT(Таблица97[[#This Row],[Дата]],"ГГ")&amp;RIGHT("000"&amp;Таблица97[[#This Row],[Номер]],4)</f>
        <v>160332</v>
      </c>
      <c r="C200" s="129">
        <v>42577</v>
      </c>
      <c r="D200" s="2" t="s">
        <v>38</v>
      </c>
      <c r="E200" s="108">
        <v>26134.53</v>
      </c>
      <c r="F200" s="129">
        <v>42612</v>
      </c>
      <c r="H200" s="129">
        <v>42597</v>
      </c>
      <c r="I200" s="108">
        <f t="shared" si="8"/>
        <v>26134.53</v>
      </c>
      <c r="J200" s="108" t="str">
        <f>IF(Таблица97[[#This Row],[НК]]=1,Таблица97[[#This Row],[Продажа]],"")</f>
        <v/>
      </c>
      <c r="K200" s="108">
        <f>0.02*I200</f>
        <v>522.69060000000002</v>
      </c>
      <c r="M200" s="108">
        <v>16798</v>
      </c>
      <c r="N200" s="108">
        <f>Таблица97[[#This Row],[Продажа]]-Таблица97[[#This Row],[Закупка]]</f>
        <v>9336.5299999999988</v>
      </c>
      <c r="O200" s="108" t="str">
        <f>IF(Таблица97[[#This Row],[НК]]=1,Таблица97[[#This Row],[Маржа]],"")</f>
        <v/>
      </c>
    </row>
    <row r="201" spans="1:15" ht="20.100000000000001" customHeight="1" x14ac:dyDescent="0.25">
      <c r="A201" s="2">
        <v>335</v>
      </c>
      <c r="B201" s="2" t="str">
        <f>TEXT(Таблица97[[#This Row],[Дата]],"ГГ")&amp;RIGHT("000"&amp;Таблица97[[#This Row],[Номер]],4)</f>
        <v>160335</v>
      </c>
      <c r="C201" s="129">
        <v>42577</v>
      </c>
      <c r="D201" s="2" t="s">
        <v>38</v>
      </c>
      <c r="E201" s="108">
        <v>135590</v>
      </c>
      <c r="F201" s="129">
        <v>42612</v>
      </c>
      <c r="H201" s="129">
        <v>42597</v>
      </c>
      <c r="I201" s="108">
        <f t="shared" si="8"/>
        <v>135590</v>
      </c>
      <c r="J201" s="108" t="str">
        <f>IF(Таблица97[[#This Row],[НК]]=1,Таблица97[[#This Row],[Продажа]],"")</f>
        <v/>
      </c>
      <c r="K201" s="108">
        <f>0.02*I201</f>
        <v>2711.8</v>
      </c>
      <c r="M201" s="108">
        <v>102506</v>
      </c>
      <c r="N201" s="108">
        <f>Таблица97[[#This Row],[Продажа]]-Таблица97[[#This Row],[Закупка]]</f>
        <v>33084</v>
      </c>
      <c r="O201" s="108" t="str">
        <f>IF(Таблица97[[#This Row],[НК]]=1,Таблица97[[#This Row],[Маржа]],"")</f>
        <v/>
      </c>
    </row>
    <row r="202" spans="1:15" ht="20.100000000000001" customHeight="1" x14ac:dyDescent="0.25">
      <c r="A202" s="2">
        <v>336</v>
      </c>
      <c r="B202" s="2" t="str">
        <f>TEXT(Таблица97[[#This Row],[Дата]],"ГГ")&amp;RIGHT("000"&amp;Таблица97[[#This Row],[Номер]],4)</f>
        <v>160336</v>
      </c>
      <c r="C202" s="129">
        <v>42577</v>
      </c>
      <c r="D202" s="2" t="s">
        <v>38</v>
      </c>
      <c r="E202" s="108">
        <v>51250</v>
      </c>
      <c r="F202" s="129">
        <v>42612</v>
      </c>
      <c r="H202" s="129">
        <v>42597</v>
      </c>
      <c r="I202" s="108">
        <f t="shared" si="8"/>
        <v>51250</v>
      </c>
      <c r="J202" s="108" t="str">
        <f>IF(Таблица97[[#This Row],[НК]]=1,Таблица97[[#This Row],[Продажа]],"")</f>
        <v/>
      </c>
      <c r="K202" s="108">
        <f>0.02*I202</f>
        <v>1025</v>
      </c>
      <c r="L202" s="108">
        <v>3000</v>
      </c>
      <c r="M202" s="108">
        <v>16645.3</v>
      </c>
      <c r="N202" s="108">
        <f>Таблица97[[#This Row],[Продажа]]-Таблица97[[#This Row],[Закупка]]</f>
        <v>34604.699999999997</v>
      </c>
      <c r="O202" s="108" t="str">
        <f>IF(Таблица97[[#This Row],[НК]]=1,Таблица97[[#This Row],[Маржа]],"")</f>
        <v/>
      </c>
    </row>
    <row r="203" spans="1:15" ht="20.100000000000001" customHeight="1" x14ac:dyDescent="0.25">
      <c r="A203" s="2">
        <v>325</v>
      </c>
      <c r="B203" s="2" t="str">
        <f>TEXT(Таблица97[[#This Row],[Дата]],"ГГ")&amp;RIGHT("000"&amp;Таблица97[[#This Row],[Номер]],4)</f>
        <v>160325</v>
      </c>
      <c r="C203" s="129">
        <v>42573</v>
      </c>
      <c r="D203" s="2" t="s">
        <v>13</v>
      </c>
      <c r="E203" s="108">
        <v>20504.27</v>
      </c>
      <c r="F203" s="129">
        <v>42611</v>
      </c>
      <c r="H203" s="129">
        <v>42604</v>
      </c>
      <c r="I203" s="108">
        <f t="shared" si="8"/>
        <v>20504.27</v>
      </c>
      <c r="J203" s="108" t="str">
        <f>IF(Таблица97[[#This Row],[НК]]=1,Таблица97[[#This Row],[Продажа]],"")</f>
        <v/>
      </c>
      <c r="M203" s="108">
        <v>15823</v>
      </c>
      <c r="N203" s="108">
        <f>Таблица97[[#This Row],[Продажа]]-Таблица97[[#This Row],[Закупка]]</f>
        <v>4681.2700000000004</v>
      </c>
      <c r="O203" s="108" t="str">
        <f>IF(Таблица97[[#This Row],[НК]]=1,Таблица97[[#This Row],[Маржа]],"")</f>
        <v/>
      </c>
    </row>
    <row r="204" spans="1:15" ht="20.100000000000001" customHeight="1" x14ac:dyDescent="0.25">
      <c r="A204" s="2">
        <v>404</v>
      </c>
      <c r="B204" s="2" t="str">
        <f>TEXT(Таблица97[[#This Row],[Дата]],"ГГ")&amp;RIGHT("000"&amp;Таблица97[[#This Row],[Номер]],4)</f>
        <v>160404</v>
      </c>
      <c r="C204" s="129">
        <v>42605</v>
      </c>
      <c r="D204" s="2" t="s">
        <v>184</v>
      </c>
      <c r="E204" s="108">
        <v>22690</v>
      </c>
      <c r="F204" s="129">
        <v>42611</v>
      </c>
      <c r="G204" s="128">
        <v>1</v>
      </c>
      <c r="H204" s="129">
        <v>42612</v>
      </c>
      <c r="I204" s="108">
        <f t="shared" si="8"/>
        <v>22690</v>
      </c>
      <c r="J204" s="108">
        <f>IF(Таблица97[[#This Row],[НК]]=1,Таблица97[[#This Row],[Продажа]],"")</f>
        <v>22690</v>
      </c>
      <c r="M204" s="108">
        <v>17154</v>
      </c>
      <c r="N204" s="108">
        <f>Таблица97[[#This Row],[Продажа]]-Таблица97[[#This Row],[Закупка]]</f>
        <v>5536</v>
      </c>
      <c r="O204" s="108">
        <f>IF(Таблица97[[#This Row],[НК]]=1,Таблица97[[#This Row],[Маржа]],"")</f>
        <v>5536</v>
      </c>
    </row>
    <row r="205" spans="1:15" ht="20.100000000000001" customHeight="1" x14ac:dyDescent="0.25">
      <c r="A205" s="2">
        <v>417</v>
      </c>
      <c r="B205" s="2" t="str">
        <f>TEXT(Таблица97[[#This Row],[Дата]],"ГГ")&amp;RIGHT("000"&amp;Таблица97[[#This Row],[Номер]],4)</f>
        <v>160417</v>
      </c>
      <c r="C205" s="129">
        <v>42613</v>
      </c>
      <c r="D205" s="2" t="s">
        <v>176</v>
      </c>
      <c r="E205" s="108">
        <v>328</v>
      </c>
      <c r="F205" s="129">
        <v>42613</v>
      </c>
      <c r="H205" s="129">
        <v>42613</v>
      </c>
      <c r="I205" s="108">
        <f t="shared" si="8"/>
        <v>328</v>
      </c>
      <c r="J205" s="108" t="str">
        <f>IF(Таблица97[[#This Row],[НК]]=1,Таблица97[[#This Row],[Продажа]],"")</f>
        <v/>
      </c>
      <c r="M205" s="108">
        <v>241</v>
      </c>
      <c r="N205" s="108">
        <f>Таблица97[[#This Row],[Продажа]]-Таблица97[[#This Row],[Закупка]]</f>
        <v>87</v>
      </c>
      <c r="O205" s="108" t="str">
        <f>IF(Таблица97[[#This Row],[НК]]=1,Таблица97[[#This Row],[Маржа]],"")</f>
        <v/>
      </c>
    </row>
    <row r="206" spans="1:15" ht="20.100000000000001" customHeight="1" x14ac:dyDescent="0.25">
      <c r="A206" s="2">
        <v>395</v>
      </c>
      <c r="B206" s="2" t="str">
        <f>TEXT(Таблица97[[#This Row],[Дата]],"ГГ")&amp;RIGHT("000"&amp;Таблица97[[#This Row],[Номер]],4)</f>
        <v>160395</v>
      </c>
      <c r="C206" s="129">
        <v>42597</v>
      </c>
      <c r="D206" s="2" t="s">
        <v>56</v>
      </c>
      <c r="E206" s="108">
        <v>7150</v>
      </c>
      <c r="F206" s="129">
        <v>42612</v>
      </c>
      <c r="H206" s="129">
        <v>42605</v>
      </c>
      <c r="I206" s="108">
        <f t="shared" si="8"/>
        <v>7150</v>
      </c>
      <c r="J206" s="108" t="str">
        <f>IF(Таблица97[[#This Row],[НК]]=1,Таблица97[[#This Row],[Продажа]],"")</f>
        <v/>
      </c>
      <c r="M206" s="108">
        <v>4524</v>
      </c>
      <c r="N206" s="108">
        <f>Таблица97[[#This Row],[Продажа]]-Таблица97[[#This Row],[Закупка]]</f>
        <v>2626</v>
      </c>
      <c r="O206" s="108" t="str">
        <f>IF(Таблица97[[#This Row],[НК]]=1,Таблица97[[#This Row],[Маржа]],"")</f>
        <v/>
      </c>
    </row>
    <row r="207" spans="1:15" ht="20.100000000000001" customHeight="1" x14ac:dyDescent="0.25">
      <c r="A207" s="2">
        <v>322</v>
      </c>
      <c r="B207" s="2" t="str">
        <f>TEXT(Таблица97[[#This Row],[Дата]],"ГГ")&amp;RIGHT("000"&amp;Таблица97[[#This Row],[Номер]],4)</f>
        <v>160322</v>
      </c>
      <c r="C207" s="129">
        <v>42611</v>
      </c>
      <c r="D207" s="2" t="s">
        <v>186</v>
      </c>
      <c r="E207" s="108">
        <v>29590</v>
      </c>
      <c r="F207" s="129">
        <v>42614</v>
      </c>
      <c r="H207" s="129">
        <v>42620</v>
      </c>
      <c r="I207" s="108">
        <f t="shared" ref="I207:I232" si="9">E207</f>
        <v>29590</v>
      </c>
      <c r="J207" s="108" t="str">
        <f>IF(Таблица97[[#This Row],[НК]]=1,Таблица97[[#This Row],[Продажа]],"")</f>
        <v/>
      </c>
      <c r="M207" s="108">
        <v>23329</v>
      </c>
      <c r="N207" s="108">
        <f>Таблица97[[#This Row],[Продажа]]-Таблица97[[#This Row],[Закупка]]</f>
        <v>6261</v>
      </c>
      <c r="O207" s="108" t="str">
        <f>IF(Таблица97[[#This Row],[НК]]=1,Таблица97[[#This Row],[Маржа]],"")</f>
        <v/>
      </c>
    </row>
    <row r="208" spans="1:15" ht="20.100000000000001" customHeight="1" x14ac:dyDescent="0.25">
      <c r="A208" s="2">
        <v>399</v>
      </c>
      <c r="B208" s="2" t="str">
        <f>TEXT(Таблица97[[#This Row],[Дата]],"ГГ")&amp;RIGHT("000"&amp;Таблица97[[#This Row],[Номер]],4)</f>
        <v>160399</v>
      </c>
      <c r="C208" s="129">
        <v>42598</v>
      </c>
      <c r="D208" s="2" t="s">
        <v>11</v>
      </c>
      <c r="E208" s="108">
        <v>7254.62</v>
      </c>
      <c r="F208" s="129">
        <v>42614</v>
      </c>
      <c r="H208" s="129">
        <v>42619</v>
      </c>
      <c r="I208" s="108">
        <f t="shared" si="9"/>
        <v>7254.62</v>
      </c>
      <c r="J208" s="108" t="str">
        <f>IF(Таблица97[[#This Row],[НК]]=1,Таблица97[[#This Row],[Продажа]],"")</f>
        <v/>
      </c>
      <c r="M208" s="108">
        <v>4920</v>
      </c>
      <c r="N208" s="108">
        <f>Таблица97[[#This Row],[Продажа]]-Таблица97[[#This Row],[Закупка]]</f>
        <v>2334.62</v>
      </c>
      <c r="O208" s="108" t="str">
        <f>IF(Таблица97[[#This Row],[НК]]=1,Таблица97[[#This Row],[Маржа]],"")</f>
        <v/>
      </c>
    </row>
    <row r="209" spans="1:15" ht="20.100000000000001" customHeight="1" x14ac:dyDescent="0.25">
      <c r="A209" s="2">
        <v>418</v>
      </c>
      <c r="B209" s="2" t="str">
        <f>TEXT(Таблица97[[#This Row],[Дата]],"ГГ")&amp;RIGHT("000"&amp;Таблица97[[#This Row],[Номер]],4)</f>
        <v>160418</v>
      </c>
      <c r="C209" s="129">
        <v>42614</v>
      </c>
      <c r="D209" s="2" t="s">
        <v>185</v>
      </c>
      <c r="E209" s="108">
        <v>2285</v>
      </c>
      <c r="F209" s="129">
        <v>42615</v>
      </c>
      <c r="G209" s="128">
        <v>1</v>
      </c>
      <c r="H209" s="129">
        <v>42618</v>
      </c>
      <c r="I209" s="108">
        <f t="shared" si="9"/>
        <v>2285</v>
      </c>
      <c r="J209" s="108">
        <f>IF(Таблица97[[#This Row],[НК]]=1,Таблица97[[#This Row],[Продажа]],"")</f>
        <v>2285</v>
      </c>
      <c r="M209" s="108">
        <v>1727</v>
      </c>
      <c r="N209" s="108">
        <f>Таблица97[[#This Row],[Продажа]]-Таблица97[[#This Row],[Закупка]]</f>
        <v>558</v>
      </c>
      <c r="O209" s="108">
        <f>IF(Таблица97[[#This Row],[НК]]=1,Таблица97[[#This Row],[Маржа]],"")</f>
        <v>558</v>
      </c>
    </row>
    <row r="210" spans="1:15" ht="20.100000000000001" customHeight="1" x14ac:dyDescent="0.25">
      <c r="A210" s="2">
        <v>408</v>
      </c>
      <c r="B210" s="2" t="str">
        <f>TEXT(Таблица97[[#This Row],[Дата]],"ГГ")&amp;RIGHT("000"&amp;Таблица97[[#This Row],[Номер]],4)</f>
        <v>160408</v>
      </c>
      <c r="C210" s="129">
        <v>42611</v>
      </c>
      <c r="D210" s="2" t="s">
        <v>45</v>
      </c>
      <c r="E210" s="108">
        <v>3890</v>
      </c>
      <c r="F210" s="129">
        <v>42615</v>
      </c>
      <c r="H210" s="129">
        <v>42626</v>
      </c>
      <c r="I210" s="108">
        <f t="shared" si="9"/>
        <v>3890</v>
      </c>
      <c r="J210" s="108" t="str">
        <f>IF(Таблица97[[#This Row],[НК]]=1,Таблица97[[#This Row],[Продажа]],"")</f>
        <v/>
      </c>
      <c r="M210" s="108">
        <v>3472</v>
      </c>
      <c r="N210" s="108">
        <f>Таблица97[[#This Row],[Продажа]]-Таблица97[[#This Row],[Закупка]]</f>
        <v>418</v>
      </c>
      <c r="O210" s="108" t="str">
        <f>IF(Таблица97[[#This Row],[НК]]=1,Таблица97[[#This Row],[Маржа]],"")</f>
        <v/>
      </c>
    </row>
    <row r="211" spans="1:15" ht="20.100000000000001" customHeight="1" x14ac:dyDescent="0.25">
      <c r="A211" s="2">
        <v>409</v>
      </c>
      <c r="B211" s="2" t="str">
        <f>TEXT(Таблица97[[#This Row],[Дата]],"ГГ")&amp;RIGHT("000"&amp;Таблица97[[#This Row],[Номер]],4)</f>
        <v>160409</v>
      </c>
      <c r="C211" s="129">
        <v>42611</v>
      </c>
      <c r="D211" s="2" t="s">
        <v>45</v>
      </c>
      <c r="E211" s="108">
        <v>16380</v>
      </c>
      <c r="F211" s="129">
        <v>42615</v>
      </c>
      <c r="H211" s="129">
        <v>42626</v>
      </c>
      <c r="I211" s="108">
        <f t="shared" si="9"/>
        <v>16380</v>
      </c>
      <c r="J211" s="108" t="str">
        <f>IF(Таблица97[[#This Row],[НК]]=1,Таблица97[[#This Row],[Продажа]],"")</f>
        <v/>
      </c>
      <c r="M211" s="108">
        <v>12728</v>
      </c>
      <c r="N211" s="108">
        <f>Таблица97[[#This Row],[Продажа]]-Таблица97[[#This Row],[Закупка]]</f>
        <v>3652</v>
      </c>
      <c r="O211" s="108" t="str">
        <f>IF(Таблица97[[#This Row],[НК]]=1,Таблица97[[#This Row],[Маржа]],"")</f>
        <v/>
      </c>
    </row>
    <row r="212" spans="1:15" ht="20.100000000000001" customHeight="1" x14ac:dyDescent="0.25">
      <c r="A212" s="2">
        <v>420</v>
      </c>
      <c r="B212" s="2" t="str">
        <f>TEXT(Таблица97[[#This Row],[Дата]],"ГГ")&amp;RIGHT("000"&amp;Таблица97[[#This Row],[Номер]],4)</f>
        <v>160420</v>
      </c>
      <c r="C212" s="129">
        <v>42618</v>
      </c>
      <c r="D212" s="2" t="s">
        <v>34</v>
      </c>
      <c r="E212" s="108">
        <v>758.15</v>
      </c>
      <c r="F212" s="129">
        <v>42619</v>
      </c>
      <c r="H212" s="129">
        <v>42657</v>
      </c>
      <c r="I212" s="108">
        <f t="shared" si="9"/>
        <v>758.15</v>
      </c>
      <c r="J212" s="108" t="str">
        <f>IF(Таблица97[[#This Row],[НК]]=1,Таблица97[[#This Row],[Продажа]],"")</f>
        <v/>
      </c>
      <c r="M212" s="108">
        <v>557</v>
      </c>
      <c r="N212" s="108">
        <f>Таблица97[[#This Row],[Продажа]]-Таблица97[[#This Row],[Закупка]]</f>
        <v>201.14999999999998</v>
      </c>
      <c r="O212" s="108" t="str">
        <f>IF(Таблица97[[#This Row],[НК]]=1,Таблица97[[#This Row],[Маржа]],"")</f>
        <v/>
      </c>
    </row>
    <row r="213" spans="1:15" ht="20.100000000000001" customHeight="1" x14ac:dyDescent="0.25">
      <c r="A213" s="2">
        <v>419</v>
      </c>
      <c r="B213" s="2" t="str">
        <f>TEXT(Таблица97[[#This Row],[Дата]],"ГГ")&amp;RIGHT("000"&amp;Таблица97[[#This Row],[Номер]],4)</f>
        <v>160419</v>
      </c>
      <c r="C213" s="129">
        <v>42615</v>
      </c>
      <c r="D213" s="2" t="s">
        <v>185</v>
      </c>
      <c r="E213" s="108">
        <v>1584</v>
      </c>
      <c r="F213" s="129">
        <v>42619</v>
      </c>
      <c r="G213" s="128">
        <v>1</v>
      </c>
      <c r="H213" s="129">
        <v>42622</v>
      </c>
      <c r="I213" s="108">
        <f t="shared" si="9"/>
        <v>1584</v>
      </c>
      <c r="J213" s="108">
        <f>IF(Таблица97[[#This Row],[НК]]=1,Таблица97[[#This Row],[Продажа]],"")</f>
        <v>1584</v>
      </c>
      <c r="M213" s="108">
        <v>1552</v>
      </c>
      <c r="N213" s="108">
        <f>Таблица97[[#This Row],[Продажа]]-Таблица97[[#This Row],[Закупка]]</f>
        <v>32</v>
      </c>
      <c r="O213" s="108">
        <f>IF(Таблица97[[#This Row],[НК]]=1,Таблица97[[#This Row],[Маржа]],"")</f>
        <v>32</v>
      </c>
    </row>
    <row r="214" spans="1:15" ht="20.100000000000001" customHeight="1" x14ac:dyDescent="0.25">
      <c r="A214" s="2">
        <v>346</v>
      </c>
      <c r="B214" s="2" t="str">
        <f>TEXT(Таблица97[[#This Row],[Дата]],"ГГ")&amp;RIGHT("000"&amp;Таблица97[[#This Row],[Номер]],4)</f>
        <v>160346</v>
      </c>
      <c r="C214" s="129">
        <v>42583</v>
      </c>
      <c r="D214" s="2" t="s">
        <v>60</v>
      </c>
      <c r="E214" s="108">
        <v>7806.96</v>
      </c>
      <c r="F214" s="129">
        <v>42620</v>
      </c>
      <c r="H214" s="129">
        <v>42615</v>
      </c>
      <c r="I214" s="108">
        <f t="shared" si="9"/>
        <v>7806.96</v>
      </c>
      <c r="J214" s="108" t="str">
        <f>IF(Таблица97[[#This Row],[НК]]=1,Таблица97[[#This Row],[Продажа]],"")</f>
        <v/>
      </c>
      <c r="M214" s="108">
        <v>6078</v>
      </c>
      <c r="N214" s="108">
        <f>Таблица97[[#This Row],[Продажа]]-Таблица97[[#This Row],[Закупка]]</f>
        <v>1728.96</v>
      </c>
      <c r="O214" s="108" t="str">
        <f>IF(Таблица97[[#This Row],[НК]]=1,Таблица97[[#This Row],[Маржа]],"")</f>
        <v/>
      </c>
    </row>
    <row r="215" spans="1:15" ht="20.100000000000001" customHeight="1" x14ac:dyDescent="0.25">
      <c r="A215" s="2">
        <v>430</v>
      </c>
      <c r="B215" s="2" t="str">
        <f>TEXT(Таблица97[[#This Row],[Дата]],"ГГ")&amp;RIGHT("000"&amp;Таблица97[[#This Row],[Номер]],4)</f>
        <v>160430</v>
      </c>
      <c r="C215" s="129">
        <v>42621</v>
      </c>
      <c r="D215" s="2" t="s">
        <v>177</v>
      </c>
      <c r="E215" s="108">
        <v>20164.97</v>
      </c>
      <c r="F215" s="129">
        <v>42621</v>
      </c>
      <c r="H215" s="129">
        <v>42622</v>
      </c>
      <c r="I215" s="108">
        <f t="shared" si="9"/>
        <v>20164.97</v>
      </c>
      <c r="J215" s="108" t="str">
        <f>IF(Таблица97[[#This Row],[НК]]=1,Таблица97[[#This Row],[Продажа]],"")</f>
        <v/>
      </c>
      <c r="M215" s="108">
        <v>17775</v>
      </c>
      <c r="N215" s="108">
        <f>Таблица97[[#This Row],[Продажа]]-Таблица97[[#This Row],[Закупка]]</f>
        <v>2389.9700000000012</v>
      </c>
      <c r="O215" s="108" t="str">
        <f>IF(Таблица97[[#This Row],[НК]]=1,Таблица97[[#This Row],[Маржа]],"")</f>
        <v/>
      </c>
    </row>
    <row r="216" spans="1:15" ht="20.100000000000001" customHeight="1" x14ac:dyDescent="0.25">
      <c r="A216" s="2">
        <v>427</v>
      </c>
      <c r="B216" s="2" t="str">
        <f>TEXT(Таблица97[[#This Row],[Дата]],"ГГ")&amp;RIGHT("000"&amp;Таблица97[[#This Row],[Номер]],4)</f>
        <v>160427</v>
      </c>
      <c r="C216" s="129">
        <v>42620</v>
      </c>
      <c r="D216" s="2" t="s">
        <v>189</v>
      </c>
      <c r="E216" s="108">
        <v>2951.52</v>
      </c>
      <c r="F216" s="129">
        <v>42621</v>
      </c>
      <c r="H216" s="129">
        <v>42647</v>
      </c>
      <c r="I216" s="108">
        <f t="shared" si="9"/>
        <v>2951.52</v>
      </c>
      <c r="J216" s="108" t="str">
        <f>IF(Таблица97[[#This Row],[НК]]=1,Таблица97[[#This Row],[Продажа]],"")</f>
        <v/>
      </c>
      <c r="M216" s="108">
        <v>2326</v>
      </c>
      <c r="N216" s="108">
        <f>Таблица97[[#This Row],[Продажа]]-Таблица97[[#This Row],[Закупка]]</f>
        <v>625.52</v>
      </c>
      <c r="O216" s="108" t="str">
        <f>IF(Таблица97[[#This Row],[НК]]=1,Таблица97[[#This Row],[Маржа]],"")</f>
        <v/>
      </c>
    </row>
    <row r="217" spans="1:15" ht="20.100000000000001" customHeight="1" x14ac:dyDescent="0.25">
      <c r="A217" s="2">
        <v>428</v>
      </c>
      <c r="B217" s="2" t="str">
        <f>TEXT(Таблица97[[#This Row],[Дата]],"ГГ")&amp;RIGHT("000"&amp;Таблица97[[#This Row],[Номер]],4)</f>
        <v>160428</v>
      </c>
      <c r="C217" s="129">
        <v>42620</v>
      </c>
      <c r="D217" s="2" t="s">
        <v>97</v>
      </c>
      <c r="E217" s="108">
        <v>9362.6</v>
      </c>
      <c r="F217" s="129">
        <v>42625</v>
      </c>
      <c r="H217" s="129">
        <v>42628</v>
      </c>
      <c r="I217" s="108">
        <f t="shared" si="9"/>
        <v>9362.6</v>
      </c>
      <c r="J217" s="108" t="str">
        <f>IF(Таблица97[[#This Row],[НК]]=1,Таблица97[[#This Row],[Продажа]],"")</f>
        <v/>
      </c>
      <c r="M217" s="108">
        <v>7186</v>
      </c>
      <c r="N217" s="108">
        <f>Таблица97[[#This Row],[Продажа]]-Таблица97[[#This Row],[Закупка]]</f>
        <v>2176.6000000000004</v>
      </c>
      <c r="O217" s="108" t="str">
        <f>IF(Таблица97[[#This Row],[НК]]=1,Таблица97[[#This Row],[Маржа]],"")</f>
        <v/>
      </c>
    </row>
    <row r="218" spans="1:15" ht="20.100000000000001" customHeight="1" x14ac:dyDescent="0.25">
      <c r="A218" s="2">
        <v>429</v>
      </c>
      <c r="B218" s="2" t="str">
        <f>TEXT(Таблица97[[#This Row],[Дата]],"ГГ")&amp;RIGHT("000"&amp;Таблица97[[#This Row],[Номер]],4)</f>
        <v>160429</v>
      </c>
      <c r="C218" s="129">
        <v>42620</v>
      </c>
      <c r="D218" s="2" t="s">
        <v>97</v>
      </c>
      <c r="E218" s="108">
        <v>9362.6</v>
      </c>
      <c r="F218" s="129">
        <v>42625</v>
      </c>
      <c r="H218" s="129">
        <v>42667</v>
      </c>
      <c r="I218" s="108">
        <f t="shared" si="9"/>
        <v>9362.6</v>
      </c>
      <c r="J218" s="108" t="str">
        <f>IF(Таблица97[[#This Row],[НК]]=1,Таблица97[[#This Row],[Продажа]],"")</f>
        <v/>
      </c>
      <c r="M218" s="108">
        <v>7186</v>
      </c>
      <c r="N218" s="108">
        <f>Таблица97[[#This Row],[Продажа]]-Таблица97[[#This Row],[Закупка]]</f>
        <v>2176.6000000000004</v>
      </c>
      <c r="O218" s="108" t="str">
        <f>IF(Таблица97[[#This Row],[НК]]=1,Таблица97[[#This Row],[Маржа]],"")</f>
        <v/>
      </c>
    </row>
    <row r="219" spans="1:15" ht="20.100000000000001" customHeight="1" x14ac:dyDescent="0.25">
      <c r="A219" s="2">
        <v>435</v>
      </c>
      <c r="B219" s="2" t="str">
        <f>TEXT(Таблица97[[#This Row],[Дата]],"ГГ")&amp;RIGHT("000"&amp;Таблица97[[#This Row],[Номер]],4)</f>
        <v>160435</v>
      </c>
      <c r="C219" s="129">
        <v>42626</v>
      </c>
      <c r="D219" s="2" t="s">
        <v>190</v>
      </c>
      <c r="E219" s="108">
        <v>34119.74</v>
      </c>
      <c r="F219" s="129">
        <v>42626</v>
      </c>
      <c r="G219" s="128">
        <v>1</v>
      </c>
      <c r="H219" s="129">
        <v>42657</v>
      </c>
      <c r="I219" s="108">
        <f t="shared" si="9"/>
        <v>34119.74</v>
      </c>
      <c r="J219" s="108">
        <f>IF(Таблица97[[#This Row],[НК]]=1,Таблица97[[#This Row],[Продажа]],"")</f>
        <v>34119.74</v>
      </c>
      <c r="M219" s="108">
        <v>26550</v>
      </c>
      <c r="N219" s="108">
        <f>Таблица97[[#This Row],[Продажа]]-Таблица97[[#This Row],[Закупка]]</f>
        <v>7569.739999999998</v>
      </c>
      <c r="O219" s="108">
        <f>IF(Таблица97[[#This Row],[НК]]=1,Таблица97[[#This Row],[Маржа]],"")</f>
        <v>7569.739999999998</v>
      </c>
    </row>
    <row r="220" spans="1:15" ht="20.100000000000001" customHeight="1" x14ac:dyDescent="0.25">
      <c r="A220" s="2">
        <v>441</v>
      </c>
      <c r="B220" s="2" t="str">
        <f>TEXT(Таблица97[[#This Row],[Дата]],"ГГ")&amp;RIGHT("000"&amp;Таблица97[[#This Row],[Номер]],4)</f>
        <v>160441</v>
      </c>
      <c r="C220" s="129">
        <v>42627</v>
      </c>
      <c r="D220" s="2" t="s">
        <v>191</v>
      </c>
      <c r="E220" s="108">
        <v>31775</v>
      </c>
      <c r="F220" s="129">
        <v>42627</v>
      </c>
      <c r="G220" s="128">
        <v>1</v>
      </c>
      <c r="H220" s="129">
        <v>42628</v>
      </c>
      <c r="I220" s="108">
        <f t="shared" si="9"/>
        <v>31775</v>
      </c>
      <c r="J220" s="108">
        <f>IF(Таблица97[[#This Row],[НК]]=1,Таблица97[[#This Row],[Продажа]],"")</f>
        <v>31775</v>
      </c>
      <c r="M220" s="108">
        <v>21744</v>
      </c>
      <c r="N220" s="108">
        <f>Таблица97[[#This Row],[Продажа]]-Таблица97[[#This Row],[Закупка]]</f>
        <v>10031</v>
      </c>
      <c r="O220" s="108">
        <f>IF(Таблица97[[#This Row],[НК]]=1,Таблица97[[#This Row],[Маржа]],"")</f>
        <v>10031</v>
      </c>
    </row>
    <row r="221" spans="1:15" ht="20.100000000000001" customHeight="1" x14ac:dyDescent="0.25">
      <c r="A221" s="2">
        <v>431</v>
      </c>
      <c r="B221" s="2" t="str">
        <f>TEXT(Таблица97[[#This Row],[Дата]],"ГГ")&amp;RIGHT("000"&amp;Таблица97[[#This Row],[Номер]],4)</f>
        <v>160431</v>
      </c>
      <c r="C221" s="129">
        <v>42621</v>
      </c>
      <c r="D221" s="2" t="s">
        <v>13</v>
      </c>
      <c r="E221" s="108">
        <v>17742.22</v>
      </c>
      <c r="F221" s="129">
        <v>42633</v>
      </c>
      <c r="H221" s="129">
        <v>42626</v>
      </c>
      <c r="I221" s="108">
        <f t="shared" si="9"/>
        <v>17742.22</v>
      </c>
      <c r="J221" s="108" t="str">
        <f>IF(Таблица97[[#This Row],[НК]]=1,Таблица97[[#This Row],[Продажа]],"")</f>
        <v/>
      </c>
      <c r="M221" s="108">
        <v>13779</v>
      </c>
      <c r="N221" s="108">
        <f>Таблица97[[#This Row],[Продажа]]-Таблица97[[#This Row],[Закупка]]</f>
        <v>3963.2200000000012</v>
      </c>
      <c r="O221" s="108" t="str">
        <f>IF(Таблица97[[#This Row],[НК]]=1,Таблица97[[#This Row],[Маржа]],"")</f>
        <v/>
      </c>
    </row>
    <row r="222" spans="1:15" ht="20.100000000000001" customHeight="1" x14ac:dyDescent="0.25">
      <c r="A222" s="2">
        <v>434</v>
      </c>
      <c r="B222" s="2" t="str">
        <f>TEXT(Таблица97[[#This Row],[Дата]],"ГГ")&amp;RIGHT("000"&amp;Таблица97[[#This Row],[Номер]],4)</f>
        <v>160434</v>
      </c>
      <c r="C222" s="129">
        <v>42633</v>
      </c>
      <c r="D222" s="2" t="s">
        <v>16</v>
      </c>
      <c r="E222" s="108">
        <v>3065.36</v>
      </c>
      <c r="F222" s="129">
        <v>42633</v>
      </c>
      <c r="H222" s="129">
        <v>42635</v>
      </c>
      <c r="I222" s="108">
        <f t="shared" si="9"/>
        <v>3065.36</v>
      </c>
      <c r="J222" s="108" t="str">
        <f>IF(Таблица97[[#This Row],[НК]]=1,Таблица97[[#This Row],[Продажа]],"")</f>
        <v/>
      </c>
      <c r="M222" s="108">
        <v>1422</v>
      </c>
      <c r="N222" s="108">
        <f>Таблица97[[#This Row],[Продажа]]-Таблица97[[#This Row],[Закупка]]</f>
        <v>1643.3600000000001</v>
      </c>
      <c r="O222" s="108" t="str">
        <f>IF(Таблица97[[#This Row],[НК]]=1,Таблица97[[#This Row],[Маржа]],"")</f>
        <v/>
      </c>
    </row>
    <row r="223" spans="1:15" ht="20.100000000000001" customHeight="1" x14ac:dyDescent="0.25">
      <c r="A223" s="2">
        <v>439</v>
      </c>
      <c r="B223" s="2" t="str">
        <f>TEXT(Таблица97[[#This Row],[Дата]],"ГГ")&amp;RIGHT("000"&amp;Таблица97[[#This Row],[Номер]],4)</f>
        <v>160439</v>
      </c>
      <c r="C223" s="129">
        <v>42627</v>
      </c>
      <c r="D223" s="2" t="s">
        <v>192</v>
      </c>
      <c r="E223" s="108">
        <v>2284.5700000000002</v>
      </c>
      <c r="F223" s="129">
        <v>42632</v>
      </c>
      <c r="G223" s="128">
        <v>1</v>
      </c>
      <c r="H223" s="129">
        <v>42636</v>
      </c>
      <c r="I223" s="108">
        <f t="shared" si="9"/>
        <v>2284.5700000000002</v>
      </c>
      <c r="J223" s="108">
        <f>IF(Таблица97[[#This Row],[НК]]=1,Таблица97[[#This Row],[Продажа]],"")</f>
        <v>2284.5700000000002</v>
      </c>
      <c r="M223" s="108">
        <v>1727</v>
      </c>
      <c r="N223" s="108">
        <f>Таблица97[[#This Row],[Продажа]]-Таблица97[[#This Row],[Закупка]]</f>
        <v>557.57000000000016</v>
      </c>
      <c r="O223" s="108">
        <f>IF(Таблица97[[#This Row],[НК]]=1,Таблица97[[#This Row],[Маржа]],"")</f>
        <v>557.57000000000016</v>
      </c>
    </row>
    <row r="224" spans="1:15" ht="20.100000000000001" customHeight="1" x14ac:dyDescent="0.25">
      <c r="A224" s="2">
        <v>2534</v>
      </c>
      <c r="B224" s="2" t="str">
        <f>TEXT(Таблица97[[#This Row],[Дата]],"ГГ")&amp;RIGHT("000"&amp;Таблица97[[#This Row],[Номер]],4)</f>
        <v>162534</v>
      </c>
      <c r="C224" s="129">
        <v>42626</v>
      </c>
      <c r="D224" s="2" t="s">
        <v>192</v>
      </c>
      <c r="E224" s="108">
        <v>38790</v>
      </c>
      <c r="F224" s="129">
        <v>42635</v>
      </c>
      <c r="G224" s="128">
        <v>1</v>
      </c>
      <c r="H224" s="129">
        <v>42636</v>
      </c>
      <c r="I224" s="108">
        <f t="shared" si="9"/>
        <v>38790</v>
      </c>
      <c r="J224" s="108">
        <f>IF(Таблица97[[#This Row],[НК]]=1,Таблица97[[#This Row],[Продажа]],"")</f>
        <v>38790</v>
      </c>
      <c r="M224" s="108">
        <v>28511</v>
      </c>
      <c r="N224" s="108">
        <f>Таблица97[[#This Row],[Продажа]]-Таблица97[[#This Row],[Закупка]]</f>
        <v>10279</v>
      </c>
      <c r="O224" s="108">
        <f>IF(Таблица97[[#This Row],[НК]]=1,Таблица97[[#This Row],[Маржа]],"")</f>
        <v>10279</v>
      </c>
    </row>
    <row r="225" spans="1:15" ht="20.100000000000001" customHeight="1" x14ac:dyDescent="0.25">
      <c r="A225" s="2">
        <v>456</v>
      </c>
      <c r="B225" s="2" t="str">
        <f>TEXT(Таблица97[[#This Row],[Дата]],"ГГ")&amp;RIGHT("000"&amp;Таблица97[[#This Row],[Номер]],4)</f>
        <v>160456</v>
      </c>
      <c r="C225" s="129">
        <v>42635</v>
      </c>
      <c r="D225" s="2" t="s">
        <v>16</v>
      </c>
      <c r="E225" s="108">
        <v>13063.12</v>
      </c>
      <c r="F225" s="129">
        <v>42636</v>
      </c>
      <c r="H225" s="129">
        <v>42655</v>
      </c>
      <c r="I225" s="108">
        <f t="shared" si="9"/>
        <v>13063.12</v>
      </c>
      <c r="J225" s="108" t="str">
        <f>IF(Таблица97[[#This Row],[НК]]=1,Таблица97[[#This Row],[Продажа]],"")</f>
        <v/>
      </c>
      <c r="M225" s="108">
        <v>9876</v>
      </c>
      <c r="N225" s="108">
        <f>Таблица97[[#This Row],[Продажа]]-Таблица97[[#This Row],[Закупка]]</f>
        <v>3187.1200000000008</v>
      </c>
      <c r="O225" s="108" t="str">
        <f>IF(Таблица97[[#This Row],[НК]]=1,Таблица97[[#This Row],[Маржа]],"")</f>
        <v/>
      </c>
    </row>
    <row r="226" spans="1:15" ht="20.100000000000001" customHeight="1" x14ac:dyDescent="0.25">
      <c r="A226" s="2">
        <v>403</v>
      </c>
      <c r="B226" s="2" t="str">
        <f>TEXT(Таблица97[[#This Row],[Дата]],"ГГ")&amp;RIGHT("000"&amp;Таблица97[[#This Row],[Номер]],4)</f>
        <v>160403</v>
      </c>
      <c r="C226" s="129">
        <v>42613</v>
      </c>
      <c r="D226" s="2" t="s">
        <v>38</v>
      </c>
      <c r="E226" s="108">
        <v>70397</v>
      </c>
      <c r="F226" s="129">
        <v>42640</v>
      </c>
      <c r="H226" s="129">
        <v>42628</v>
      </c>
      <c r="I226" s="108">
        <f t="shared" si="9"/>
        <v>70397</v>
      </c>
      <c r="J226" s="108" t="str">
        <f>IF(Таблица97[[#This Row],[НК]]=1,Таблица97[[#This Row],[Продажа]],"")</f>
        <v/>
      </c>
      <c r="K226" s="108">
        <f>E226*0.02</f>
        <v>1407.94</v>
      </c>
      <c r="L226" s="108">
        <v>2400</v>
      </c>
      <c r="M226" s="108">
        <v>28639.599999999999</v>
      </c>
      <c r="N226" s="108">
        <f>Таблица97[[#This Row],[Продажа]]-Таблица97[[#This Row],[Закупка]]</f>
        <v>41757.4</v>
      </c>
      <c r="O226" s="108" t="str">
        <f>IF(Таблица97[[#This Row],[НК]]=1,Таблица97[[#This Row],[Маржа]],"")</f>
        <v/>
      </c>
    </row>
    <row r="227" spans="1:15" ht="20.100000000000001" customHeight="1" x14ac:dyDescent="0.25">
      <c r="A227" s="2">
        <v>416</v>
      </c>
      <c r="B227" s="2" t="str">
        <f>TEXT(Таблица97[[#This Row],[Дата]],"ГГ")&amp;RIGHT("000"&amp;Таблица97[[#This Row],[Номер]],4)</f>
        <v>160416</v>
      </c>
      <c r="C227" s="129">
        <v>42613</v>
      </c>
      <c r="D227" s="2" t="s">
        <v>38</v>
      </c>
      <c r="E227" s="108">
        <v>61465.19</v>
      </c>
      <c r="F227" s="129">
        <v>42640</v>
      </c>
      <c r="H227" s="129">
        <v>42628</v>
      </c>
      <c r="I227" s="108">
        <f t="shared" si="9"/>
        <v>61465.19</v>
      </c>
      <c r="J227" s="108" t="str">
        <f>IF(Таблица97[[#This Row],[НК]]=1,Таблица97[[#This Row],[Продажа]],"")</f>
        <v/>
      </c>
      <c r="K227" s="108">
        <f>E227*0.02</f>
        <v>1229.3038000000001</v>
      </c>
      <c r="M227" s="108">
        <v>34065</v>
      </c>
      <c r="N227" s="108">
        <f>Таблица97[[#This Row],[Продажа]]-Таблица97[[#This Row],[Закупка]]</f>
        <v>27400.190000000002</v>
      </c>
      <c r="O227" s="108" t="str">
        <f>IF(Таблица97[[#This Row],[НК]]=1,Таблица97[[#This Row],[Маржа]],"")</f>
        <v/>
      </c>
    </row>
    <row r="228" spans="1:15" ht="20.100000000000001" customHeight="1" x14ac:dyDescent="0.25">
      <c r="A228" s="2">
        <v>200</v>
      </c>
      <c r="B228" s="2" t="str">
        <f>TEXT(Таблица97[[#This Row],[Дата]],"ГГ")&amp;RIGHT("000"&amp;Таблица97[[#This Row],[Номер]],4)</f>
        <v>160200</v>
      </c>
      <c r="C228" s="129">
        <v>42506</v>
      </c>
      <c r="D228" s="2" t="s">
        <v>99</v>
      </c>
      <c r="E228" s="108">
        <v>99507.12</v>
      </c>
      <c r="F228" s="129">
        <v>42642</v>
      </c>
      <c r="H228" s="129">
        <v>42562</v>
      </c>
      <c r="I228" s="108">
        <f t="shared" si="9"/>
        <v>99507.12</v>
      </c>
      <c r="J228" s="108" t="str">
        <f>IF(Таблица97[[#This Row],[НК]]=1,Таблица97[[#This Row],[Продажа]],"")</f>
        <v/>
      </c>
      <c r="M228" s="108">
        <v>72290</v>
      </c>
      <c r="N228" s="108">
        <f>Таблица97[[#This Row],[Продажа]]-Таблица97[[#This Row],[Закупка]]</f>
        <v>27217.119999999995</v>
      </c>
      <c r="O228" s="108" t="str">
        <f>IF(Таблица97[[#This Row],[НК]]=1,Таблица97[[#This Row],[Маржа]],"")</f>
        <v/>
      </c>
    </row>
    <row r="229" spans="1:15" ht="20.100000000000001" customHeight="1" x14ac:dyDescent="0.25">
      <c r="A229" s="2">
        <v>357</v>
      </c>
      <c r="B229" s="2" t="str">
        <f>TEXT(Таблица97[[#This Row],[Дата]],"ГГ")&amp;RIGHT("000"&amp;Таблица97[[#This Row],[Номер]],4)</f>
        <v>160357</v>
      </c>
      <c r="C229" s="129">
        <v>42584</v>
      </c>
      <c r="D229" s="2" t="s">
        <v>99</v>
      </c>
      <c r="E229" s="108">
        <v>1080</v>
      </c>
      <c r="F229" s="129">
        <v>42643</v>
      </c>
      <c r="H229" s="129">
        <v>42584</v>
      </c>
      <c r="I229" s="108">
        <f t="shared" si="9"/>
        <v>1080</v>
      </c>
      <c r="J229" s="108" t="str">
        <f>IF(Таблица97[[#This Row],[НК]]=1,Таблица97[[#This Row],[Продажа]],"")</f>
        <v/>
      </c>
      <c r="M229" s="108">
        <v>810</v>
      </c>
      <c r="N229" s="108">
        <f>Таблица97[[#This Row],[Продажа]]-Таблица97[[#This Row],[Закупка]]</f>
        <v>270</v>
      </c>
      <c r="O229" s="108" t="str">
        <f>IF(Таблица97[[#This Row],[НК]]=1,Таблица97[[#This Row],[Маржа]],"")</f>
        <v/>
      </c>
    </row>
    <row r="230" spans="1:15" ht="20.100000000000001" customHeight="1" x14ac:dyDescent="0.25">
      <c r="A230" s="2">
        <v>347</v>
      </c>
      <c r="B230" s="2" t="str">
        <f>TEXT(Таблица97[[#This Row],[Дата]],"ГГ")&amp;RIGHT("000"&amp;Таблица97[[#This Row],[Номер]],4)</f>
        <v>160347</v>
      </c>
      <c r="C230" s="129">
        <v>42579</v>
      </c>
      <c r="D230" s="2" t="s">
        <v>99</v>
      </c>
      <c r="E230" s="108">
        <v>253571.45</v>
      </c>
      <c r="F230" s="129">
        <v>42643</v>
      </c>
      <c r="H230" s="129">
        <v>42608</v>
      </c>
      <c r="I230" s="108">
        <f t="shared" si="9"/>
        <v>253571.45</v>
      </c>
      <c r="J230" s="108" t="str">
        <f>IF(Таблица97[[#This Row],[НК]]=1,Таблица97[[#This Row],[Продажа]],"")</f>
        <v/>
      </c>
      <c r="K230" s="108">
        <v>12000</v>
      </c>
      <c r="L230" s="108">
        <v>2400</v>
      </c>
      <c r="M230" s="108">
        <v>146720</v>
      </c>
      <c r="N230" s="108">
        <f>Таблица97[[#This Row],[Продажа]]-Таблица97[[#This Row],[Закупка]]</f>
        <v>106851.45000000001</v>
      </c>
      <c r="O230" s="108" t="str">
        <f>IF(Таблица97[[#This Row],[НК]]=1,Таблица97[[#This Row],[Маржа]],"")</f>
        <v/>
      </c>
    </row>
    <row r="231" spans="1:15" ht="20.100000000000001" customHeight="1" x14ac:dyDescent="0.25">
      <c r="A231" s="2">
        <v>469</v>
      </c>
      <c r="B231" s="2" t="str">
        <f>TEXT(Таблица97[[#This Row],[Дата]],"ГГ")&amp;RIGHT("000"&amp;Таблица97[[#This Row],[Номер]],4)</f>
        <v>160469</v>
      </c>
      <c r="C231" s="129">
        <v>42641</v>
      </c>
      <c r="D231" s="2" t="s">
        <v>185</v>
      </c>
      <c r="E231" s="108">
        <v>867</v>
      </c>
      <c r="F231" s="129">
        <v>42642</v>
      </c>
      <c r="H231" s="129">
        <v>42642</v>
      </c>
      <c r="I231" s="108">
        <f t="shared" si="9"/>
        <v>867</v>
      </c>
      <c r="J231" s="108" t="str">
        <f>IF(Таблица97[[#This Row],[НК]]=1,Таблица97[[#This Row],[Продажа]],"")</f>
        <v/>
      </c>
      <c r="M231" s="108">
        <v>656</v>
      </c>
      <c r="N231" s="108">
        <f>Таблица97[[#This Row],[Продажа]]-Таблица97[[#This Row],[Закупка]]</f>
        <v>211</v>
      </c>
      <c r="O231" s="108" t="str">
        <f>IF(Таблица97[[#This Row],[НК]]=1,Таблица97[[#This Row],[Маржа]],"")</f>
        <v/>
      </c>
    </row>
    <row r="232" spans="1:15" ht="20.100000000000001" customHeight="1" x14ac:dyDescent="0.25">
      <c r="A232" s="2">
        <v>459</v>
      </c>
      <c r="B232" s="2" t="str">
        <f>TEXT(Таблица97[[#This Row],[Дата]],"ГГ")&amp;RIGHT("000"&amp;Таблица97[[#This Row],[Номер]],4)</f>
        <v>160459</v>
      </c>
      <c r="C232" s="129">
        <v>42636</v>
      </c>
      <c r="D232" s="2" t="s">
        <v>97</v>
      </c>
      <c r="E232" s="108">
        <v>18725.2</v>
      </c>
      <c r="F232" s="129">
        <v>42643</v>
      </c>
      <c r="H232" s="129">
        <v>42667</v>
      </c>
      <c r="I232" s="108">
        <f t="shared" si="9"/>
        <v>18725.2</v>
      </c>
      <c r="J232" s="108" t="str">
        <f>IF(Таблица97[[#This Row],[НК]]=1,Таблица97[[#This Row],[Продажа]],"")</f>
        <v/>
      </c>
      <c r="M232" s="108">
        <v>14372</v>
      </c>
      <c r="N232" s="108">
        <f>Таблица97[[#This Row],[Продажа]]-Таблица97[[#This Row],[Закупка]]</f>
        <v>4353.2000000000007</v>
      </c>
      <c r="O232" s="108" t="str">
        <f>IF(Таблица97[[#This Row],[НК]]=1,Таблица97[[#This Row],[Маржа]],"")</f>
        <v/>
      </c>
    </row>
    <row r="233" spans="1:15" ht="20.100000000000001" customHeight="1" x14ac:dyDescent="0.25">
      <c r="A233" s="2">
        <v>475</v>
      </c>
      <c r="B233" s="2" t="str">
        <f>TEXT(Таблица97[[#This Row],[Дата]],"ГГ")&amp;RIGHT("000"&amp;Таблица97[[#This Row],[Номер]],4)</f>
        <v>160475</v>
      </c>
      <c r="C233" s="129">
        <v>42646</v>
      </c>
      <c r="D233" s="2" t="s">
        <v>193</v>
      </c>
      <c r="E233" s="108">
        <v>37646.5</v>
      </c>
      <c r="F233" s="129">
        <v>42646</v>
      </c>
      <c r="G233" s="128">
        <v>1</v>
      </c>
      <c r="H233" s="129">
        <v>42646</v>
      </c>
      <c r="I233" s="108">
        <f t="shared" ref="I233:I260" si="10">E233</f>
        <v>37646.5</v>
      </c>
      <c r="J233" s="108">
        <f>IF(Таблица97[[#This Row],[НК]]=1,Таблица97[[#This Row],[Продажа]],"")</f>
        <v>37646.5</v>
      </c>
      <c r="M233" s="108">
        <v>33483</v>
      </c>
      <c r="N233" s="108">
        <f>Таблица97[[#This Row],[Продажа]]-Таблица97[[#This Row],[Закупка]]</f>
        <v>4163.5</v>
      </c>
      <c r="O233" s="108">
        <f>IF(Таблица97[[#This Row],[НК]]=1,Таблица97[[#This Row],[Маржа]],"")</f>
        <v>4163.5</v>
      </c>
    </row>
    <row r="234" spans="1:15" ht="20.100000000000001" customHeight="1" x14ac:dyDescent="0.25">
      <c r="A234" s="2">
        <v>476</v>
      </c>
      <c r="B234" s="2" t="str">
        <f>TEXT(Таблица97[[#This Row],[Дата]],"ГГ")&amp;RIGHT("000"&amp;Таблица97[[#This Row],[Номер]],4)</f>
        <v>160476</v>
      </c>
      <c r="C234" s="129">
        <v>42646</v>
      </c>
      <c r="D234" s="2" t="s">
        <v>193</v>
      </c>
      <c r="E234" s="108">
        <v>770.95</v>
      </c>
      <c r="F234" s="129">
        <v>42646</v>
      </c>
      <c r="G234" s="128">
        <v>1</v>
      </c>
      <c r="H234" s="129">
        <v>42646</v>
      </c>
      <c r="I234" s="108">
        <f t="shared" si="10"/>
        <v>770.95</v>
      </c>
      <c r="J234" s="108">
        <f>IF(Таблица97[[#This Row],[НК]]=1,Таблица97[[#This Row],[Продажа]],"")</f>
        <v>770.95</v>
      </c>
      <c r="M234" s="108">
        <v>727</v>
      </c>
      <c r="N234" s="108">
        <f>Таблица97[[#This Row],[Продажа]]-Таблица97[[#This Row],[Закупка]]</f>
        <v>43.950000000000045</v>
      </c>
      <c r="O234" s="108">
        <f>IF(Таблица97[[#This Row],[НК]]=1,Таблица97[[#This Row],[Маржа]],"")</f>
        <v>43.950000000000045</v>
      </c>
    </row>
    <row r="235" spans="1:15" ht="20.100000000000001" customHeight="1" x14ac:dyDescent="0.25">
      <c r="A235" s="2">
        <v>473</v>
      </c>
      <c r="B235" s="2" t="str">
        <f>TEXT(Таблица97[[#This Row],[Дата]],"ГГ")&amp;RIGHT("000"&amp;Таблица97[[#This Row],[Номер]],4)</f>
        <v>160473</v>
      </c>
      <c r="C235" s="129">
        <v>42647</v>
      </c>
      <c r="D235" s="2" t="s">
        <v>180</v>
      </c>
      <c r="E235" s="108">
        <v>54483.14</v>
      </c>
      <c r="F235" s="129">
        <v>42649</v>
      </c>
      <c r="H235" s="129">
        <v>42670</v>
      </c>
      <c r="I235" s="108">
        <f t="shared" si="10"/>
        <v>54483.14</v>
      </c>
      <c r="J235" s="108" t="str">
        <f>IF(Таблица97[[#This Row],[НК]]=1,Таблица97[[#This Row],[Продажа]],"")</f>
        <v/>
      </c>
      <c r="M235" s="108">
        <v>39613</v>
      </c>
      <c r="N235" s="108">
        <f>Таблица97[[#This Row],[Продажа]]-Таблица97[[#This Row],[Закупка]]</f>
        <v>14870.14</v>
      </c>
      <c r="O235" s="108" t="str">
        <f>IF(Таблица97[[#This Row],[НК]]=1,Таблица97[[#This Row],[Маржа]],"")</f>
        <v/>
      </c>
    </row>
    <row r="236" spans="1:15" ht="20.100000000000001" customHeight="1" x14ac:dyDescent="0.25">
      <c r="A236" s="2">
        <v>484</v>
      </c>
      <c r="B236" s="2" t="str">
        <f>TEXT(Таблица97[[#This Row],[Дата]],"ГГ")&amp;RIGHT("000"&amp;Таблица97[[#This Row],[Номер]],4)</f>
        <v>160484</v>
      </c>
      <c r="C236" s="129">
        <v>42649</v>
      </c>
      <c r="D236" s="2" t="s">
        <v>144</v>
      </c>
      <c r="E236" s="108">
        <v>4990</v>
      </c>
      <c r="F236" s="129">
        <v>42650</v>
      </c>
      <c r="H236" s="129">
        <v>42654</v>
      </c>
      <c r="I236" s="108">
        <f t="shared" si="10"/>
        <v>4990</v>
      </c>
      <c r="J236" s="108" t="str">
        <f>IF(Таблица97[[#This Row],[НК]]=1,Таблица97[[#This Row],[Продажа]],"")</f>
        <v/>
      </c>
      <c r="M236" s="108">
        <v>3850</v>
      </c>
      <c r="N236" s="108">
        <f>Таблица97[[#This Row],[Продажа]]-Таблица97[[#This Row],[Закупка]]</f>
        <v>1140</v>
      </c>
      <c r="O236" s="108" t="str">
        <f>IF(Таблица97[[#This Row],[НК]]=1,Таблица97[[#This Row],[Маржа]],"")</f>
        <v/>
      </c>
    </row>
    <row r="237" spans="1:15" ht="20.100000000000001" customHeight="1" x14ac:dyDescent="0.25">
      <c r="A237" s="2">
        <v>470</v>
      </c>
      <c r="B237" s="2" t="str">
        <f>TEXT(Таблица97[[#This Row],[Дата]],"ГГ")&amp;RIGHT("000"&amp;Таблица97[[#This Row],[Номер]],4)</f>
        <v>160470</v>
      </c>
      <c r="C237" s="129">
        <v>42642</v>
      </c>
      <c r="D237" s="2" t="s">
        <v>97</v>
      </c>
      <c r="E237" s="108">
        <v>98070</v>
      </c>
      <c r="F237" s="129">
        <v>42649</v>
      </c>
      <c r="H237" s="129">
        <v>42667</v>
      </c>
      <c r="I237" s="108">
        <f t="shared" si="10"/>
        <v>98070</v>
      </c>
      <c r="J237" s="108" t="str">
        <f>IF(Таблица97[[#This Row],[НК]]=1,Таблица97[[#This Row],[Продажа]],"")</f>
        <v/>
      </c>
      <c r="M237" s="108">
        <v>77229</v>
      </c>
      <c r="N237" s="108">
        <f>Таблица97[[#This Row],[Продажа]]-Таблица97[[#This Row],[Закупка]]</f>
        <v>20841</v>
      </c>
      <c r="O237" s="108" t="str">
        <f>IF(Таблица97[[#This Row],[НК]]=1,Таблица97[[#This Row],[Маржа]],"")</f>
        <v/>
      </c>
    </row>
    <row r="238" spans="1:15" ht="20.100000000000001" customHeight="1" x14ac:dyDescent="0.25">
      <c r="A238" s="2">
        <v>467</v>
      </c>
      <c r="B238" s="2" t="str">
        <f>TEXT(Таблица97[[#This Row],[Дата]],"ГГ")&amp;RIGHT("000"&amp;Таблица97[[#This Row],[Номер]],4)</f>
        <v>160467</v>
      </c>
      <c r="C238" s="129">
        <v>42641</v>
      </c>
      <c r="D238" s="2" t="s">
        <v>97</v>
      </c>
      <c r="E238" s="108">
        <v>3855</v>
      </c>
      <c r="F238" s="129">
        <v>42649</v>
      </c>
      <c r="H238" s="129">
        <v>42667</v>
      </c>
      <c r="I238" s="108">
        <f t="shared" si="10"/>
        <v>3855</v>
      </c>
      <c r="J238" s="108" t="str">
        <f>IF(Таблица97[[#This Row],[НК]]=1,Таблица97[[#This Row],[Продажа]],"")</f>
        <v/>
      </c>
      <c r="M238" s="108">
        <v>2349</v>
      </c>
      <c r="N238" s="108">
        <f>Таблица97[[#This Row],[Продажа]]-Таблица97[[#This Row],[Закупка]]</f>
        <v>1506</v>
      </c>
      <c r="O238" s="108" t="str">
        <f>IF(Таблица97[[#This Row],[НК]]=1,Таблица97[[#This Row],[Маржа]],"")</f>
        <v/>
      </c>
    </row>
    <row r="239" spans="1:15" ht="20.100000000000001" customHeight="1" x14ac:dyDescent="0.25">
      <c r="A239" s="2">
        <v>383</v>
      </c>
      <c r="B239" s="2" t="str">
        <f>TEXT(Таблица97[[#This Row],[Дата]],"ГГ")&amp;RIGHT("000"&amp;Таблица97[[#This Row],[Номер]],4)</f>
        <v>160383</v>
      </c>
      <c r="C239" s="129">
        <v>42643</v>
      </c>
      <c r="D239" s="2" t="s">
        <v>45</v>
      </c>
      <c r="E239" s="108">
        <v>232221.58</v>
      </c>
      <c r="F239" s="129">
        <v>42655</v>
      </c>
      <c r="H239" s="129">
        <v>42682</v>
      </c>
      <c r="I239" s="108">
        <f t="shared" si="10"/>
        <v>232221.58</v>
      </c>
      <c r="J239" s="108" t="str">
        <f>IF(Таблица97[[#This Row],[НК]]=1,Таблица97[[#This Row],[Продажа]],"")</f>
        <v/>
      </c>
      <c r="M239" s="108">
        <v>155315</v>
      </c>
      <c r="N239" s="108">
        <f>Таблица97[[#This Row],[Продажа]]-Таблица97[[#This Row],[Закупка]]</f>
        <v>76906.579999999987</v>
      </c>
      <c r="O239" s="108" t="str">
        <f>IF(Таблица97[[#This Row],[НК]]=1,Таблица97[[#This Row],[Маржа]],"")</f>
        <v/>
      </c>
    </row>
    <row r="240" spans="1:15" ht="20.100000000000001" customHeight="1" x14ac:dyDescent="0.25">
      <c r="A240" s="2">
        <v>485</v>
      </c>
      <c r="B240" s="2" t="str">
        <f>TEXT(Таблица97[[#This Row],[Дата]],"ГГ")&amp;RIGHT("000"&amp;Таблица97[[#This Row],[Номер]],4)</f>
        <v>160485</v>
      </c>
      <c r="C240" s="129">
        <v>42653</v>
      </c>
      <c r="D240" s="2" t="s">
        <v>194</v>
      </c>
      <c r="E240" s="108">
        <v>15990</v>
      </c>
      <c r="F240" s="129">
        <v>42655</v>
      </c>
      <c r="G240" s="128">
        <v>1</v>
      </c>
      <c r="H240" s="129">
        <v>42656</v>
      </c>
      <c r="I240" s="108">
        <f t="shared" si="10"/>
        <v>15990</v>
      </c>
      <c r="J240" s="108">
        <f>IF(Таблица97[[#This Row],[НК]]=1,Таблица97[[#This Row],[Продажа]],"")</f>
        <v>15990</v>
      </c>
      <c r="M240" s="108">
        <v>12928</v>
      </c>
      <c r="N240" s="108">
        <f>Таблица97[[#This Row],[Продажа]]-Таблица97[[#This Row],[Закупка]]</f>
        <v>3062</v>
      </c>
      <c r="O240" s="108">
        <f>IF(Таблица97[[#This Row],[НК]]=1,Таблица97[[#This Row],[Маржа]],"")</f>
        <v>3062</v>
      </c>
    </row>
    <row r="241" spans="1:15" ht="20.100000000000001" customHeight="1" x14ac:dyDescent="0.25">
      <c r="A241" s="2">
        <v>474</v>
      </c>
      <c r="B241" s="2" t="str">
        <f>TEXT(Таблица97[[#This Row],[Дата]],"ГГ")&amp;RIGHT("000"&amp;Таблица97[[#This Row],[Номер]],4)</f>
        <v>160474</v>
      </c>
      <c r="C241" s="129">
        <v>42646</v>
      </c>
      <c r="D241" s="2" t="s">
        <v>139</v>
      </c>
      <c r="E241" s="108">
        <v>5200</v>
      </c>
      <c r="F241" s="129">
        <v>42654</v>
      </c>
      <c r="H241" s="129">
        <v>42660</v>
      </c>
      <c r="I241" s="108">
        <f t="shared" si="10"/>
        <v>5200</v>
      </c>
      <c r="J241" s="108" t="str">
        <f>IF(Таблица97[[#This Row],[НК]]=1,Таблица97[[#This Row],[Продажа]],"")</f>
        <v/>
      </c>
      <c r="M241" s="108">
        <v>2350</v>
      </c>
      <c r="N241" s="108">
        <f>Таблица97[[#This Row],[Продажа]]-Таблица97[[#This Row],[Закупка]]</f>
        <v>2850</v>
      </c>
      <c r="O241" s="108" t="str">
        <f>IF(Таблица97[[#This Row],[НК]]=1,Таблица97[[#This Row],[Маржа]],"")</f>
        <v/>
      </c>
    </row>
    <row r="242" spans="1:15" ht="20.100000000000001" customHeight="1" x14ac:dyDescent="0.25">
      <c r="A242" s="2">
        <v>450</v>
      </c>
      <c r="B242" s="2" t="str">
        <f>TEXT(Таблица97[[#This Row],[Дата]],"ГГ")&amp;RIGHT("000"&amp;Таблица97[[#This Row],[Номер]],4)</f>
        <v>160450</v>
      </c>
      <c r="C242" s="129">
        <v>42633</v>
      </c>
      <c r="D242" s="2" t="s">
        <v>122</v>
      </c>
      <c r="E242" s="108">
        <v>5955</v>
      </c>
      <c r="F242" s="129">
        <v>42656</v>
      </c>
      <c r="H242" s="129">
        <v>42656</v>
      </c>
      <c r="I242" s="108">
        <f t="shared" si="10"/>
        <v>5955</v>
      </c>
      <c r="J242" s="108" t="str">
        <f>IF(Таблица97[[#This Row],[НК]]=1,Таблица97[[#This Row],[Продажа]],"")</f>
        <v/>
      </c>
      <c r="M242" s="108">
        <v>4918</v>
      </c>
      <c r="N242" s="108">
        <f>Таблица97[[#This Row],[Продажа]]-Таблица97[[#This Row],[Закупка]]</f>
        <v>1037</v>
      </c>
      <c r="O242" s="108" t="str">
        <f>IF(Таблица97[[#This Row],[НК]]=1,Таблица97[[#This Row],[Маржа]],"")</f>
        <v/>
      </c>
    </row>
    <row r="243" spans="1:15" ht="20.100000000000001" customHeight="1" x14ac:dyDescent="0.25">
      <c r="A243" s="2">
        <v>466</v>
      </c>
      <c r="B243" s="2" t="str">
        <f>TEXT(Таблица97[[#This Row],[Дата]],"ГГ")&amp;RIGHT("000"&amp;Таблица97[[#This Row],[Номер]],4)</f>
        <v>160466</v>
      </c>
      <c r="C243" s="129">
        <v>42640</v>
      </c>
      <c r="D243" s="2" t="s">
        <v>180</v>
      </c>
      <c r="E243" s="108">
        <v>200529.71</v>
      </c>
      <c r="F243" s="129">
        <v>42656</v>
      </c>
      <c r="H243" s="129">
        <v>42682</v>
      </c>
      <c r="I243" s="108">
        <f t="shared" si="10"/>
        <v>200529.71</v>
      </c>
      <c r="J243" s="108" t="str">
        <f>IF(Таблица97[[#This Row],[НК]]=1,Таблица97[[#This Row],[Продажа]],"")</f>
        <v/>
      </c>
      <c r="L243" s="108">
        <f>3*1200</f>
        <v>3600</v>
      </c>
      <c r="M243" s="108">
        <v>144180</v>
      </c>
      <c r="N243" s="108">
        <f>Таблица97[[#This Row],[Продажа]]-Таблица97[[#This Row],[Закупка]]</f>
        <v>56349.709999999992</v>
      </c>
      <c r="O243" s="108" t="str">
        <f>IF(Таблица97[[#This Row],[НК]]=1,Таблица97[[#This Row],[Маржа]],"")</f>
        <v/>
      </c>
    </row>
    <row r="244" spans="1:15" ht="20.100000000000001" customHeight="1" x14ac:dyDescent="0.25">
      <c r="A244" s="2">
        <v>290</v>
      </c>
      <c r="B244" s="2" t="str">
        <f>TEXT(Таблица97[[#This Row],[Дата]],"ГГ")&amp;RIGHT("000"&amp;Таблица97[[#This Row],[Номер]],4)</f>
        <v>160290</v>
      </c>
      <c r="C244" s="129">
        <v>42551</v>
      </c>
      <c r="D244" s="2" t="s">
        <v>102</v>
      </c>
      <c r="E244" s="108">
        <v>57918</v>
      </c>
      <c r="F244" s="129">
        <v>42657</v>
      </c>
      <c r="H244" s="129">
        <v>42660</v>
      </c>
      <c r="I244" s="108">
        <f t="shared" si="10"/>
        <v>57918</v>
      </c>
      <c r="J244" s="108" t="str">
        <f>IF(Таблица97[[#This Row],[НК]]=1,Таблица97[[#This Row],[Продажа]],"")</f>
        <v/>
      </c>
      <c r="M244" s="108">
        <v>44355</v>
      </c>
      <c r="N244" s="108">
        <f>Таблица97[[#This Row],[Продажа]]-Таблица97[[#This Row],[Закупка]]</f>
        <v>13563</v>
      </c>
      <c r="O244" s="108" t="str">
        <f>IF(Таблица97[[#This Row],[НК]]=1,Таблица97[[#This Row],[Маржа]],"")</f>
        <v/>
      </c>
    </row>
    <row r="245" spans="1:15" ht="20.100000000000001" customHeight="1" x14ac:dyDescent="0.25">
      <c r="A245" s="2">
        <v>496</v>
      </c>
      <c r="B245" s="2" t="str">
        <f>TEXT(Таблица97[[#This Row],[Дата]],"ГГ")&amp;RIGHT("000"&amp;Таблица97[[#This Row],[Номер]],4)</f>
        <v>160496</v>
      </c>
      <c r="C245" s="129">
        <v>42656</v>
      </c>
      <c r="D245" s="2" t="s">
        <v>195</v>
      </c>
      <c r="E245" s="108">
        <v>10031</v>
      </c>
      <c r="F245" s="129">
        <v>42657</v>
      </c>
      <c r="G245" s="128">
        <v>1</v>
      </c>
      <c r="H245" s="129">
        <v>42661</v>
      </c>
      <c r="I245" s="108">
        <f t="shared" si="10"/>
        <v>10031</v>
      </c>
      <c r="J245" s="108">
        <f>IF(Таблица97[[#This Row],[НК]]=1,Таблица97[[#This Row],[Продажа]],"")</f>
        <v>10031</v>
      </c>
      <c r="M245" s="108">
        <v>7164</v>
      </c>
      <c r="N245" s="108">
        <f>Таблица97[[#This Row],[Продажа]]-Таблица97[[#This Row],[Закупка]]</f>
        <v>2867</v>
      </c>
      <c r="O245" s="108">
        <f>IF(Таблица97[[#This Row],[НК]]=1,Таблица97[[#This Row],[Маржа]],"")</f>
        <v>2867</v>
      </c>
    </row>
    <row r="246" spans="1:15" ht="20.100000000000001" customHeight="1" x14ac:dyDescent="0.25">
      <c r="A246" s="2">
        <v>343</v>
      </c>
      <c r="B246" s="2" t="str">
        <f>TEXT(Таблица97[[#This Row],[Дата]],"ГГ")&amp;RIGHT("000"&amp;Таблица97[[#This Row],[Номер]],4)</f>
        <v>160343</v>
      </c>
      <c r="C246" s="129">
        <v>42579</v>
      </c>
      <c r="D246" s="2" t="s">
        <v>150</v>
      </c>
      <c r="E246" s="108">
        <v>5621</v>
      </c>
      <c r="F246" s="129">
        <v>42661</v>
      </c>
      <c r="H246" s="129">
        <v>42661</v>
      </c>
      <c r="I246" s="108">
        <f t="shared" si="10"/>
        <v>5621</v>
      </c>
      <c r="J246" s="108" t="str">
        <f>IF(Таблица97[[#This Row],[НК]]=1,Таблица97[[#This Row],[Продажа]],"")</f>
        <v/>
      </c>
      <c r="M246" s="108">
        <v>4840</v>
      </c>
      <c r="N246" s="108">
        <f>Таблица97[[#This Row],[Продажа]]-Таблица97[[#This Row],[Закупка]]</f>
        <v>781</v>
      </c>
      <c r="O246" s="108" t="str">
        <f>IF(Таблица97[[#This Row],[НК]]=1,Таблица97[[#This Row],[Маржа]],"")</f>
        <v/>
      </c>
    </row>
    <row r="247" spans="1:15" ht="20.100000000000001" customHeight="1" x14ac:dyDescent="0.25">
      <c r="A247" s="2">
        <v>422</v>
      </c>
      <c r="B247" s="2" t="str">
        <f>TEXT(Таблица97[[#This Row],[Дата]],"ГГ")&amp;RIGHT("000"&amp;Таблица97[[#This Row],[Номер]],4)</f>
        <v>160422</v>
      </c>
      <c r="C247" s="129">
        <v>42619</v>
      </c>
      <c r="D247" s="2" t="s">
        <v>56</v>
      </c>
      <c r="E247" s="108">
        <v>78380.960000000006</v>
      </c>
      <c r="F247" s="129">
        <v>42661</v>
      </c>
      <c r="H247" s="129">
        <v>42646</v>
      </c>
      <c r="I247" s="108">
        <f t="shared" si="10"/>
        <v>78380.960000000006</v>
      </c>
      <c r="J247" s="108" t="str">
        <f>IF(Таблица97[[#This Row],[НК]]=1,Таблица97[[#This Row],[Продажа]],"")</f>
        <v/>
      </c>
      <c r="M247" s="108">
        <v>55179</v>
      </c>
      <c r="N247" s="108">
        <f>Таблица97[[#This Row],[Продажа]]-Таблица97[[#This Row],[Закупка]]</f>
        <v>23201.960000000006</v>
      </c>
      <c r="O247" s="108" t="str">
        <f>IF(Таблица97[[#This Row],[НК]]=1,Таблица97[[#This Row],[Маржа]],"")</f>
        <v/>
      </c>
    </row>
    <row r="248" spans="1:15" ht="20.100000000000001" customHeight="1" x14ac:dyDescent="0.25">
      <c r="A248" s="2">
        <v>500</v>
      </c>
      <c r="B248" s="2" t="str">
        <f>TEXT(Таблица97[[#This Row],[Дата]],"ГГ")&amp;RIGHT("000"&amp;Таблица97[[#This Row],[Номер]],4)</f>
        <v>160500</v>
      </c>
      <c r="C248" s="129">
        <v>42660</v>
      </c>
      <c r="D248" s="2" t="s">
        <v>196</v>
      </c>
      <c r="E248" s="108">
        <v>4865.66</v>
      </c>
      <c r="F248" s="129">
        <v>42661</v>
      </c>
      <c r="G248" s="128">
        <v>1</v>
      </c>
      <c r="H248" s="129">
        <v>42726</v>
      </c>
      <c r="I248" s="108">
        <f t="shared" si="10"/>
        <v>4865.66</v>
      </c>
      <c r="J248" s="108">
        <f>IF(Таблица97[[#This Row],[НК]]=1,Таблица97[[#This Row],[Продажа]],"")</f>
        <v>4865.66</v>
      </c>
      <c r="M248" s="108">
        <v>3678</v>
      </c>
      <c r="N248" s="108">
        <f>Таблица97[[#This Row],[Продажа]]-Таблица97[[#This Row],[Закупка]]</f>
        <v>1187.6599999999999</v>
      </c>
      <c r="O248" s="108">
        <f>IF(Таблица97[[#This Row],[НК]]=1,Таблица97[[#This Row],[Маржа]],"")</f>
        <v>1187.6599999999999</v>
      </c>
    </row>
    <row r="249" spans="1:15" ht="20.100000000000001" customHeight="1" x14ac:dyDescent="0.25">
      <c r="A249" s="2">
        <v>498</v>
      </c>
      <c r="B249" s="2" t="str">
        <f>TEXT(Таблица97[[#This Row],[Дата]],"ГГ")&amp;RIGHT("000"&amp;Таблица97[[#This Row],[Номер]],4)</f>
        <v>160498</v>
      </c>
      <c r="C249" s="129">
        <v>42660</v>
      </c>
      <c r="D249" s="2" t="s">
        <v>16</v>
      </c>
      <c r="E249" s="108">
        <v>6130.72</v>
      </c>
      <c r="F249" s="129">
        <v>42661</v>
      </c>
      <c r="H249" s="129">
        <v>42674</v>
      </c>
      <c r="I249" s="108">
        <f t="shared" si="10"/>
        <v>6130.72</v>
      </c>
      <c r="J249" s="108" t="str">
        <f>IF(Таблица97[[#This Row],[НК]]=1,Таблица97[[#This Row],[Продажа]],"")</f>
        <v/>
      </c>
      <c r="M249" s="108">
        <v>3004</v>
      </c>
      <c r="N249" s="108">
        <f>Таблица97[[#This Row],[Продажа]]-Таблица97[[#This Row],[Закупка]]</f>
        <v>3126.7200000000003</v>
      </c>
      <c r="O249" s="108" t="str">
        <f>IF(Таблица97[[#This Row],[НК]]=1,Таблица97[[#This Row],[Маржа]],"")</f>
        <v/>
      </c>
    </row>
    <row r="250" spans="1:15" ht="20.100000000000001" customHeight="1" x14ac:dyDescent="0.25">
      <c r="A250" s="2">
        <v>495</v>
      </c>
      <c r="B250" s="2" t="str">
        <f>TEXT(Таблица97[[#This Row],[Дата]],"ГГ")&amp;RIGHT("000"&amp;Таблица97[[#This Row],[Номер]],4)</f>
        <v>160495</v>
      </c>
      <c r="C250" s="129">
        <v>42656</v>
      </c>
      <c r="D250" s="2" t="s">
        <v>122</v>
      </c>
      <c r="E250" s="108">
        <v>12090</v>
      </c>
      <c r="F250" s="129">
        <v>42661</v>
      </c>
      <c r="H250" s="129">
        <v>42667</v>
      </c>
      <c r="I250" s="108">
        <f t="shared" si="10"/>
        <v>12090</v>
      </c>
      <c r="J250" s="108" t="str">
        <f>IF(Таблица97[[#This Row],[НК]]=1,Таблица97[[#This Row],[Продажа]],"")</f>
        <v/>
      </c>
      <c r="M250" s="108">
        <v>9662</v>
      </c>
      <c r="N250" s="108">
        <f>Таблица97[[#This Row],[Продажа]]-Таблица97[[#This Row],[Закупка]]</f>
        <v>2428</v>
      </c>
      <c r="O250" s="108" t="str">
        <f>IF(Таблица97[[#This Row],[НК]]=1,Таблица97[[#This Row],[Маржа]],"")</f>
        <v/>
      </c>
    </row>
    <row r="251" spans="1:15" ht="20.100000000000001" customHeight="1" x14ac:dyDescent="0.25">
      <c r="A251" s="2">
        <v>494</v>
      </c>
      <c r="B251" s="2" t="str">
        <f>TEXT(Таблица97[[#This Row],[Дата]],"ГГ")&amp;RIGHT("000"&amp;Таблица97[[#This Row],[Номер]],4)</f>
        <v>160494</v>
      </c>
      <c r="C251" s="129">
        <v>42656</v>
      </c>
      <c r="D251" s="2" t="s">
        <v>50</v>
      </c>
      <c r="E251" s="108">
        <v>4723.78</v>
      </c>
      <c r="F251" s="129">
        <v>42661</v>
      </c>
      <c r="H251" s="129">
        <v>42668</v>
      </c>
      <c r="I251" s="108">
        <f t="shared" si="10"/>
        <v>4723.78</v>
      </c>
      <c r="J251" s="108" t="str">
        <f>IF(Таблица97[[#This Row],[НК]]=1,Таблица97[[#This Row],[Продажа]],"")</f>
        <v/>
      </c>
      <c r="M251" s="108">
        <v>3637</v>
      </c>
      <c r="N251" s="108">
        <f>Таблица97[[#This Row],[Продажа]]-Таблица97[[#This Row],[Закупка]]</f>
        <v>1086.7799999999997</v>
      </c>
      <c r="O251" s="108" t="str">
        <f>IF(Таблица97[[#This Row],[НК]]=1,Таблица97[[#This Row],[Маржа]],"")</f>
        <v/>
      </c>
    </row>
    <row r="252" spans="1:15" ht="20.100000000000001" customHeight="1" x14ac:dyDescent="0.25">
      <c r="A252" s="2">
        <v>497</v>
      </c>
      <c r="B252" s="2" t="str">
        <f>TEXT(Таблица97[[#This Row],[Дата]],"ГГ")&amp;RIGHT("000"&amp;Таблица97[[#This Row],[Номер]],4)</f>
        <v>160497</v>
      </c>
      <c r="C252" s="129">
        <v>42657</v>
      </c>
      <c r="D252" s="2" t="s">
        <v>115</v>
      </c>
      <c r="E252" s="108">
        <v>4335</v>
      </c>
      <c r="F252" s="129">
        <v>42662</v>
      </c>
      <c r="H252" s="129">
        <v>42683</v>
      </c>
      <c r="I252" s="108">
        <f t="shared" si="10"/>
        <v>4335</v>
      </c>
      <c r="J252" s="108" t="str">
        <f>IF(Таблица97[[#This Row],[НК]]=1,Таблица97[[#This Row],[Продажа]],"")</f>
        <v/>
      </c>
      <c r="M252" s="108">
        <v>3280</v>
      </c>
      <c r="N252" s="108">
        <f>Таблица97[[#This Row],[Продажа]]-Таблица97[[#This Row],[Закупка]]</f>
        <v>1055</v>
      </c>
      <c r="O252" s="108" t="str">
        <f>IF(Таблица97[[#This Row],[НК]]=1,Таблица97[[#This Row],[Маржа]],"")</f>
        <v/>
      </c>
    </row>
    <row r="253" spans="1:15" ht="20.100000000000001" customHeight="1" x14ac:dyDescent="0.25">
      <c r="A253" s="2">
        <v>503</v>
      </c>
      <c r="B253" s="2" t="str">
        <f>TEXT(Таблица97[[#This Row],[Дата]],"ГГ")&amp;RIGHT("000"&amp;Таблица97[[#This Row],[Номер]],4)</f>
        <v>160503</v>
      </c>
      <c r="C253" s="129">
        <v>42661</v>
      </c>
      <c r="D253" s="2" t="s">
        <v>64</v>
      </c>
      <c r="E253" s="108">
        <v>8177.48</v>
      </c>
      <c r="F253" s="129">
        <v>42663</v>
      </c>
      <c r="H253" s="129">
        <v>42668</v>
      </c>
      <c r="I253" s="108">
        <f t="shared" si="10"/>
        <v>8177.48</v>
      </c>
      <c r="J253" s="108" t="str">
        <f>IF(Таблица97[[#This Row],[НК]]=1,Таблица97[[#This Row],[Продажа]],"")</f>
        <v/>
      </c>
      <c r="L253" s="108">
        <v>600</v>
      </c>
      <c r="M253" s="108">
        <v>4944</v>
      </c>
      <c r="N253" s="108">
        <f>Таблица97[[#This Row],[Продажа]]-Таблица97[[#This Row],[Закупка]]</f>
        <v>3233.4799999999996</v>
      </c>
      <c r="O253" s="108" t="str">
        <f>IF(Таблица97[[#This Row],[НК]]=1,Таблица97[[#This Row],[Маржа]],"")</f>
        <v/>
      </c>
    </row>
    <row r="254" spans="1:15" ht="20.100000000000001" customHeight="1" x14ac:dyDescent="0.25">
      <c r="A254" s="2">
        <v>505</v>
      </c>
      <c r="B254" s="2" t="str">
        <f>TEXT(Таблица97[[#This Row],[Дата]],"ГГ")&amp;RIGHT("000"&amp;Таблица97[[#This Row],[Номер]],4)</f>
        <v>160505</v>
      </c>
      <c r="C254" s="129">
        <v>42662</v>
      </c>
      <c r="D254" s="2" t="s">
        <v>197</v>
      </c>
      <c r="E254" s="108">
        <v>3476</v>
      </c>
      <c r="F254" s="129">
        <v>42542</v>
      </c>
      <c r="G254" s="128">
        <v>1</v>
      </c>
      <c r="H254" s="129">
        <v>42542</v>
      </c>
      <c r="I254" s="108">
        <f t="shared" si="10"/>
        <v>3476</v>
      </c>
      <c r="J254" s="108">
        <f>IF(Таблица97[[#This Row],[НК]]=1,Таблица97[[#This Row],[Продажа]],"")</f>
        <v>3476</v>
      </c>
      <c r="M254" s="108">
        <v>2585</v>
      </c>
      <c r="N254" s="108">
        <f>Таблица97[[#This Row],[Продажа]]-Таблица97[[#This Row],[Закупка]]</f>
        <v>891</v>
      </c>
      <c r="O254" s="108">
        <f>IF(Таблица97[[#This Row],[НК]]=1,Таблица97[[#This Row],[Маржа]],"")</f>
        <v>891</v>
      </c>
    </row>
    <row r="255" spans="1:15" ht="20.100000000000001" customHeight="1" x14ac:dyDescent="0.25">
      <c r="A255" s="2">
        <v>453</v>
      </c>
      <c r="B255" s="2" t="str">
        <f>TEXT(Таблица97[[#This Row],[Дата]],"ГГ")&amp;RIGHT("000"&amp;Таблица97[[#This Row],[Номер]],4)</f>
        <v>160453</v>
      </c>
      <c r="C255" s="129">
        <v>42635</v>
      </c>
      <c r="D255" s="2" t="s">
        <v>13</v>
      </c>
      <c r="E255" s="108">
        <v>10601.29</v>
      </c>
      <c r="F255" s="129">
        <v>42668</v>
      </c>
      <c r="H255" s="129">
        <v>42661</v>
      </c>
      <c r="I255" s="108">
        <f t="shared" si="10"/>
        <v>10601.29</v>
      </c>
      <c r="J255" s="108" t="str">
        <f>IF(Таблица97[[#This Row],[НК]]=1,Таблица97[[#This Row],[Продажа]],"")</f>
        <v/>
      </c>
      <c r="M255" s="108">
        <v>8014</v>
      </c>
      <c r="N255" s="108">
        <f>Таблица97[[#This Row],[Продажа]]-Таблица97[[#This Row],[Закупка]]</f>
        <v>2587.2900000000009</v>
      </c>
      <c r="O255" s="108" t="str">
        <f>IF(Таблица97[[#This Row],[НК]]=1,Таблица97[[#This Row],[Маржа]],"")</f>
        <v/>
      </c>
    </row>
    <row r="256" spans="1:15" ht="20.100000000000001" customHeight="1" x14ac:dyDescent="0.25">
      <c r="A256" s="2">
        <v>492</v>
      </c>
      <c r="B256" s="2" t="str">
        <f>TEXT(Таблица97[[#This Row],[Дата]],"ГГ")&amp;RIGHT("000"&amp;Таблица97[[#This Row],[Номер]],4)</f>
        <v>160492</v>
      </c>
      <c r="C256" s="129">
        <v>42656</v>
      </c>
      <c r="D256" s="2" t="s">
        <v>65</v>
      </c>
      <c r="E256" s="108">
        <v>63528.14</v>
      </c>
      <c r="F256" s="129">
        <v>42670</v>
      </c>
      <c r="H256" s="129">
        <v>42670</v>
      </c>
      <c r="I256" s="108">
        <f t="shared" si="10"/>
        <v>63528.14</v>
      </c>
      <c r="J256" s="108" t="str">
        <f>IF(Таблица97[[#This Row],[НК]]=1,Таблица97[[#This Row],[Продажа]],"")</f>
        <v/>
      </c>
      <c r="L256" s="108">
        <f>2*600</f>
        <v>1200</v>
      </c>
      <c r="M256" s="108">
        <v>46080</v>
      </c>
      <c r="N256" s="108">
        <f>Таблица97[[#This Row],[Продажа]]-Таблица97[[#This Row],[Закупка]]</f>
        <v>17448.14</v>
      </c>
      <c r="O256" s="108" t="str">
        <f>IF(Таблица97[[#This Row],[НК]]=1,Таблица97[[#This Row],[Маржа]],"")</f>
        <v/>
      </c>
    </row>
    <row r="257" spans="1:15" ht="20.100000000000001" customHeight="1" x14ac:dyDescent="0.25">
      <c r="A257" s="2">
        <v>454</v>
      </c>
      <c r="B257" s="2" t="str">
        <f>TEXT(Таблица97[[#This Row],[Дата]],"ГГ")&amp;RIGHT("000"&amp;Таблица97[[#This Row],[Номер]],4)</f>
        <v>160454</v>
      </c>
      <c r="C257" s="129">
        <v>42635</v>
      </c>
      <c r="D257" s="2" t="s">
        <v>38</v>
      </c>
      <c r="E257" s="108">
        <v>64300</v>
      </c>
      <c r="F257" s="129">
        <v>42670</v>
      </c>
      <c r="H257" s="129">
        <v>42661</v>
      </c>
      <c r="I257" s="108">
        <f t="shared" si="10"/>
        <v>64300</v>
      </c>
      <c r="J257" s="108" t="str">
        <f>IF(Таблица97[[#This Row],[НК]]=1,Таблица97[[#This Row],[Продажа]],"")</f>
        <v/>
      </c>
      <c r="K257" s="108">
        <f>E257*0.02</f>
        <v>1286</v>
      </c>
      <c r="L257" s="108">
        <f>2*1200</f>
        <v>2400</v>
      </c>
      <c r="M257" s="108">
        <v>21968</v>
      </c>
      <c r="N257" s="108">
        <f>Таблица97[[#This Row],[Продажа]]-Таблица97[[#This Row],[Закупка]]</f>
        <v>42332</v>
      </c>
      <c r="O257" s="108" t="str">
        <f>IF(Таблица97[[#This Row],[НК]]=1,Таблица97[[#This Row],[Маржа]],"")</f>
        <v/>
      </c>
    </row>
    <row r="258" spans="1:15" ht="20.100000000000001" customHeight="1" x14ac:dyDescent="0.25">
      <c r="A258" s="2">
        <v>455</v>
      </c>
      <c r="B258" s="2" t="str">
        <f>TEXT(Таблица97[[#This Row],[Дата]],"ГГ")&amp;RIGHT("000"&amp;Таблица97[[#This Row],[Номер]],4)</f>
        <v>160455</v>
      </c>
      <c r="C258" s="129">
        <v>42635</v>
      </c>
      <c r="D258" s="2" t="s">
        <v>38</v>
      </c>
      <c r="E258" s="108">
        <v>97553.72</v>
      </c>
      <c r="F258" s="129">
        <v>42670</v>
      </c>
      <c r="H258" s="129">
        <v>42661</v>
      </c>
      <c r="I258" s="108">
        <f t="shared" si="10"/>
        <v>97553.72</v>
      </c>
      <c r="J258" s="108" t="str">
        <f>IF(Таблица97[[#This Row],[НК]]=1,Таблица97[[#This Row],[Продажа]],"")</f>
        <v/>
      </c>
      <c r="K258" s="108">
        <f>E258*0.02</f>
        <v>1951.0744</v>
      </c>
      <c r="L258" s="108">
        <f>2*1200</f>
        <v>2400</v>
      </c>
      <c r="M258" s="108">
        <v>59612</v>
      </c>
      <c r="N258" s="108">
        <f>Таблица97[[#This Row],[Продажа]]-Таблица97[[#This Row],[Закупка]]</f>
        <v>37941.72</v>
      </c>
      <c r="O258" s="108" t="str">
        <f>IF(Таблица97[[#This Row],[НК]]=1,Таблица97[[#This Row],[Маржа]],"")</f>
        <v/>
      </c>
    </row>
    <row r="259" spans="1:15" ht="20.100000000000001" customHeight="1" x14ac:dyDescent="0.25">
      <c r="A259" s="2">
        <v>516</v>
      </c>
      <c r="B259" s="2" t="str">
        <f>TEXT(Таблица97[[#This Row],[Дата]],"ГГ")&amp;RIGHT("000"&amp;Таблица97[[#This Row],[Номер]],4)</f>
        <v>160516</v>
      </c>
      <c r="C259" s="129">
        <v>42669</v>
      </c>
      <c r="D259" s="2" t="s">
        <v>122</v>
      </c>
      <c r="E259" s="108">
        <v>12090</v>
      </c>
      <c r="F259" s="129">
        <v>42671</v>
      </c>
      <c r="H259" s="129">
        <v>42671</v>
      </c>
      <c r="I259" s="108">
        <f t="shared" si="10"/>
        <v>12090</v>
      </c>
      <c r="J259" s="108" t="str">
        <f>IF(Таблица97[[#This Row],[НК]]=1,Таблица97[[#This Row],[Продажа]],"")</f>
        <v/>
      </c>
      <c r="M259" s="108">
        <v>9662</v>
      </c>
      <c r="N259" s="108">
        <f>Таблица97[[#This Row],[Продажа]]-Таблица97[[#This Row],[Закупка]]</f>
        <v>2428</v>
      </c>
      <c r="O259" s="108" t="str">
        <f>IF(Таблица97[[#This Row],[НК]]=1,Таблица97[[#This Row],[Маржа]],"")</f>
        <v/>
      </c>
    </row>
    <row r="260" spans="1:15" ht="20.100000000000001" customHeight="1" x14ac:dyDescent="0.25">
      <c r="A260" s="2">
        <v>514</v>
      </c>
      <c r="B260" s="2" t="str">
        <f>TEXT(Таблица97[[#This Row],[Дата]],"ГГ")&amp;RIGHT("000"&amp;Таблица97[[#This Row],[Номер]],4)</f>
        <v>160514</v>
      </c>
      <c r="C260" s="129">
        <v>42668</v>
      </c>
      <c r="D260" s="2" t="s">
        <v>198</v>
      </c>
      <c r="E260" s="108">
        <v>6050</v>
      </c>
      <c r="F260" s="129">
        <v>42674</v>
      </c>
      <c r="G260" s="128">
        <v>1</v>
      </c>
      <c r="H260" s="129">
        <v>42690</v>
      </c>
      <c r="I260" s="108">
        <f t="shared" si="10"/>
        <v>6050</v>
      </c>
      <c r="J260" s="108">
        <f>IF(Таблица97[[#This Row],[НК]]=1,Таблица97[[#This Row],[Продажа]],"")</f>
        <v>6050</v>
      </c>
      <c r="M260" s="108">
        <v>4574</v>
      </c>
      <c r="N260" s="108">
        <f>Таблица97[[#This Row],[Продажа]]-Таблица97[[#This Row],[Закупка]]</f>
        <v>1476</v>
      </c>
      <c r="O260" s="108">
        <f>IF(Таблица97[[#This Row],[НК]]=1,Таблица97[[#This Row],[Маржа]],"")</f>
        <v>1476</v>
      </c>
    </row>
    <row r="261" spans="1:15" ht="20.100000000000001" customHeight="1" x14ac:dyDescent="0.25">
      <c r="A261" s="2">
        <v>520</v>
      </c>
      <c r="B261" s="2" t="str">
        <f>TEXT(Таблица97[[#This Row],[Дата]],"ГГ")&amp;RIGHT("000"&amp;Таблица97[[#This Row],[Номер]],4)</f>
        <v>160520</v>
      </c>
      <c r="C261" s="129">
        <v>42675</v>
      </c>
      <c r="D261" s="2" t="s">
        <v>650</v>
      </c>
      <c r="E261" s="108">
        <v>22291</v>
      </c>
      <c r="F261" s="129">
        <v>42675</v>
      </c>
      <c r="G261" s="128">
        <v>1</v>
      </c>
      <c r="H261" s="129">
        <v>42682</v>
      </c>
      <c r="I261" s="108">
        <f>E261</f>
        <v>22291</v>
      </c>
      <c r="J261" s="108">
        <f>IF(Таблица97[[#This Row],[НК]]=1,Таблица97[[#This Row],[Продажа]],"")</f>
        <v>22291</v>
      </c>
      <c r="M261" s="108">
        <v>17692</v>
      </c>
      <c r="N261" s="108">
        <f>Таблица97[[#This Row],[Продажа]]-Таблица97[[#This Row],[Закупка]]</f>
        <v>4599</v>
      </c>
      <c r="O261" s="108">
        <f>IF(Таблица97[[#This Row],[НК]]=1,Таблица97[[#This Row],[Маржа]],"")</f>
        <v>4599</v>
      </c>
    </row>
    <row r="262" spans="1:15" ht="20.100000000000001" customHeight="1" x14ac:dyDescent="0.25">
      <c r="A262" s="2">
        <v>523</v>
      </c>
      <c r="B262" s="2" t="str">
        <f>TEXT(Таблица97[[#This Row],[Дата]],"ГГ")&amp;RIGHT("000"&amp;Таблица97[[#This Row],[Номер]],4)</f>
        <v>160523</v>
      </c>
      <c r="C262" s="129">
        <v>42675</v>
      </c>
      <c r="D262" s="2" t="s">
        <v>144</v>
      </c>
      <c r="E262" s="108">
        <v>2450</v>
      </c>
      <c r="F262" s="129">
        <v>42676</v>
      </c>
      <c r="H262" s="129">
        <v>42682</v>
      </c>
      <c r="I262" s="108">
        <f>E262</f>
        <v>2450</v>
      </c>
      <c r="J262" s="108" t="str">
        <f>IF(Таблица97[[#This Row],[НК]]=1,Таблица97[[#This Row],[Продажа]],"")</f>
        <v/>
      </c>
      <c r="M262" s="108">
        <v>2174</v>
      </c>
      <c r="N262" s="108">
        <f>Таблица97[[#This Row],[Продажа]]-Таблица97[[#This Row],[Закупка]]</f>
        <v>276</v>
      </c>
      <c r="O262" s="108" t="str">
        <f>IF(Таблица97[[#This Row],[НК]]=1,Таблица97[[#This Row],[Маржа]],"")</f>
        <v/>
      </c>
    </row>
    <row r="263" spans="1:15" ht="20.100000000000001" customHeight="1" x14ac:dyDescent="0.25">
      <c r="A263" s="2">
        <v>527</v>
      </c>
      <c r="B263" s="2" t="str">
        <f>TEXT(Таблица97[[#This Row],[Дата]],"ГГ")&amp;RIGHT("000"&amp;Таблица97[[#This Row],[Номер]],4)</f>
        <v>160527</v>
      </c>
      <c r="C263" s="129">
        <v>42676</v>
      </c>
      <c r="D263" s="2" t="s">
        <v>200</v>
      </c>
      <c r="E263" s="108">
        <v>12067.86</v>
      </c>
      <c r="F263" s="129">
        <v>42677</v>
      </c>
      <c r="G263" s="128">
        <v>1</v>
      </c>
      <c r="H263" s="129">
        <v>42703</v>
      </c>
      <c r="I263" s="108">
        <f>E263</f>
        <v>12067.86</v>
      </c>
      <c r="J263" s="108">
        <f>IF(Таблица97[[#This Row],[НК]]=1,Таблица97[[#This Row],[Продажа]],"")</f>
        <v>12067.86</v>
      </c>
      <c r="M263" s="108">
        <v>9124</v>
      </c>
      <c r="N263" s="108">
        <f>Таблица97[[#This Row],[Продажа]]-Таблица97[[#This Row],[Закупка]]</f>
        <v>2943.8600000000006</v>
      </c>
      <c r="O263" s="108">
        <f>IF(Таблица97[[#This Row],[НК]]=1,Таблица97[[#This Row],[Маржа]],"")</f>
        <v>2943.8600000000006</v>
      </c>
    </row>
    <row r="264" spans="1:15" ht="20.100000000000001" customHeight="1" x14ac:dyDescent="0.25">
      <c r="A264" s="2">
        <v>515</v>
      </c>
      <c r="B264" s="2" t="str">
        <f>TEXT(Таблица97[[#This Row],[Дата]],"ГГ")&amp;RIGHT("000"&amp;Таблица97[[#This Row],[Номер]],4)</f>
        <v>160515</v>
      </c>
      <c r="C264" s="129">
        <v>42668</v>
      </c>
      <c r="D264" s="2" t="s">
        <v>60</v>
      </c>
      <c r="E264" s="108">
        <v>22631.64</v>
      </c>
      <c r="F264" s="129">
        <v>42682</v>
      </c>
      <c r="H264" s="129">
        <v>42671</v>
      </c>
      <c r="I264" s="108">
        <f>E264</f>
        <v>22631.64</v>
      </c>
      <c r="J264" s="108" t="str">
        <f>IF(Таблица97[[#This Row],[НК]]=1,Таблица97[[#This Row],[Продажа]],"")</f>
        <v/>
      </c>
      <c r="M264" s="108">
        <v>17604</v>
      </c>
      <c r="N264" s="108">
        <f>Таблица97[[#This Row],[Продажа]]-Таблица97[[#This Row],[Закупка]]</f>
        <v>5027.6399999999994</v>
      </c>
      <c r="O264" s="108" t="str">
        <f>IF(Таблица97[[#This Row],[НК]]=1,Таблица97[[#This Row],[Маржа]],"")</f>
        <v/>
      </c>
    </row>
    <row r="265" spans="1:15" ht="20.100000000000001" customHeight="1" x14ac:dyDescent="0.25">
      <c r="A265" s="2">
        <v>487</v>
      </c>
      <c r="B265" s="2" t="str">
        <f>TEXT(Таблица97[[#This Row],[Дата]],"ГГ")&amp;RIGHT("000"&amp;Таблица97[[#This Row],[Номер]],4)</f>
        <v>160487</v>
      </c>
      <c r="C265" s="129">
        <v>42655</v>
      </c>
      <c r="D265" s="2" t="s">
        <v>180</v>
      </c>
      <c r="E265" s="108">
        <v>620582.84</v>
      </c>
      <c r="F265" s="129">
        <v>42685</v>
      </c>
      <c r="H265" s="129">
        <v>42704</v>
      </c>
      <c r="I265" s="108">
        <v>310291.42</v>
      </c>
      <c r="J265" s="108" t="str">
        <f>IF(Таблица97[[#This Row],[НК]]=1,Таблица97[[#This Row],[Продажа]],"")</f>
        <v/>
      </c>
      <c r="L265" s="108">
        <f>5*1200</f>
        <v>6000</v>
      </c>
      <c r="M265" s="108">
        <v>228398</v>
      </c>
      <c r="N265" s="108">
        <f>Таблица97[[#This Row],[Продажа]]-Таблица97[[#This Row],[Закупка]]</f>
        <v>81893.419999999984</v>
      </c>
      <c r="O265" s="108" t="str">
        <f>IF(Таблица97[[#This Row],[НК]]=1,Таблица97[[#This Row],[Маржа]],"")</f>
        <v/>
      </c>
    </row>
    <row r="266" spans="1:15" ht="20.100000000000001" customHeight="1" x14ac:dyDescent="0.25">
      <c r="A266" s="2">
        <v>524</v>
      </c>
      <c r="B266" s="2" t="str">
        <f>TEXT(Таблица97[[#This Row],[Дата]],"ГГ")&amp;RIGHT("000"&amp;Таблица97[[#This Row],[Номер]],4)</f>
        <v>160524</v>
      </c>
      <c r="C266" s="129">
        <v>42675</v>
      </c>
      <c r="D266" s="2" t="s">
        <v>202</v>
      </c>
      <c r="E266" s="108">
        <v>19260</v>
      </c>
      <c r="F266" s="129">
        <v>42688</v>
      </c>
      <c r="G266" s="128">
        <v>1</v>
      </c>
      <c r="H266" s="129">
        <v>42690</v>
      </c>
      <c r="I266" s="108">
        <f t="shared" ref="I266:I272" si="11">E266</f>
        <v>19260</v>
      </c>
      <c r="J266" s="108">
        <f>IF(Таблица97[[#This Row],[НК]]=1,Таблица97[[#This Row],[Продажа]],"")</f>
        <v>19260</v>
      </c>
      <c r="M266" s="108">
        <v>17788</v>
      </c>
      <c r="N266" s="108">
        <f>Таблица97[[#This Row],[Продажа]]-Таблица97[[#This Row],[Закупка]]</f>
        <v>1472</v>
      </c>
      <c r="O266" s="108">
        <f>IF(Таблица97[[#This Row],[НК]]=1,Таблица97[[#This Row],[Маржа]],"")</f>
        <v>1472</v>
      </c>
    </row>
    <row r="267" spans="1:15" ht="20.100000000000001" customHeight="1" x14ac:dyDescent="0.25">
      <c r="A267" s="2">
        <v>522</v>
      </c>
      <c r="B267" s="2" t="str">
        <f>TEXT(Таблица97[[#This Row],[Дата]],"ГГ")&amp;RIGHT("000"&amp;Таблица97[[#This Row],[Номер]],4)</f>
        <v>160522</v>
      </c>
      <c r="C267" s="129">
        <v>42681</v>
      </c>
      <c r="D267" s="2" t="s">
        <v>65</v>
      </c>
      <c r="E267" s="108">
        <v>42699.22</v>
      </c>
      <c r="F267" s="129">
        <v>42689</v>
      </c>
      <c r="H267" s="129">
        <v>42689</v>
      </c>
      <c r="I267" s="108">
        <f t="shared" si="11"/>
        <v>42699.22</v>
      </c>
      <c r="J267" s="108" t="str">
        <f>IF(Таблица97[[#This Row],[НК]]=1,Таблица97[[#This Row],[Продажа]],"")</f>
        <v/>
      </c>
      <c r="M267" s="108">
        <v>30066</v>
      </c>
      <c r="N267" s="108">
        <f>Таблица97[[#This Row],[Продажа]]-Таблица97[[#This Row],[Закупка]]</f>
        <v>12633.220000000001</v>
      </c>
      <c r="O267" s="108" t="str">
        <f>IF(Таблица97[[#This Row],[НК]]=1,Таблица97[[#This Row],[Маржа]],"")</f>
        <v/>
      </c>
    </row>
    <row r="268" spans="1:15" ht="20.100000000000001" customHeight="1" x14ac:dyDescent="0.25">
      <c r="A268" s="2">
        <v>546</v>
      </c>
      <c r="B268" s="2" t="str">
        <f>TEXT(Таблица97[[#This Row],[Дата]],"ГГ")&amp;RIGHT("000"&amp;Таблица97[[#This Row],[Номер]],4)</f>
        <v>160546</v>
      </c>
      <c r="C268" s="129">
        <v>42688</v>
      </c>
      <c r="D268" s="2" t="s">
        <v>201</v>
      </c>
      <c r="E268" s="108">
        <v>1319</v>
      </c>
      <c r="F268" s="129">
        <v>42689</v>
      </c>
      <c r="G268" s="128">
        <v>1</v>
      </c>
      <c r="H268" s="129">
        <v>42696</v>
      </c>
      <c r="I268" s="108">
        <f t="shared" si="11"/>
        <v>1319</v>
      </c>
      <c r="J268" s="108">
        <f>IF(Таблица97[[#This Row],[НК]]=1,Таблица97[[#This Row],[Продажа]],"")</f>
        <v>1319</v>
      </c>
      <c r="M268" s="108">
        <v>986</v>
      </c>
      <c r="N268" s="108">
        <f>Таблица97[[#This Row],[Продажа]]-Таблица97[[#This Row],[Закупка]]</f>
        <v>333</v>
      </c>
      <c r="O268" s="108">
        <f>IF(Таблица97[[#This Row],[НК]]=1,Таблица97[[#This Row],[Маржа]],"")</f>
        <v>333</v>
      </c>
    </row>
    <row r="269" spans="1:15" ht="20.100000000000001" customHeight="1" x14ac:dyDescent="0.25">
      <c r="A269" s="2">
        <v>547</v>
      </c>
      <c r="B269" s="2" t="str">
        <f>TEXT(Таблица97[[#This Row],[Дата]],"ГГ")&amp;RIGHT("000"&amp;Таблица97[[#This Row],[Номер]],4)</f>
        <v>160547</v>
      </c>
      <c r="C269" s="129">
        <v>42689</v>
      </c>
      <c r="D269" s="2" t="s">
        <v>203</v>
      </c>
      <c r="E269" s="108">
        <v>21029</v>
      </c>
      <c r="F269" s="129">
        <v>42689</v>
      </c>
      <c r="G269" s="128">
        <v>1</v>
      </c>
      <c r="H269" s="129">
        <v>42690</v>
      </c>
      <c r="I269" s="108">
        <f t="shared" si="11"/>
        <v>21029</v>
      </c>
      <c r="J269" s="108">
        <f>IF(Таблица97[[#This Row],[НК]]=1,Таблица97[[#This Row],[Продажа]],"")</f>
        <v>21029</v>
      </c>
      <c r="M269" s="108">
        <v>15898</v>
      </c>
      <c r="N269" s="108">
        <f>Таблица97[[#This Row],[Продажа]]-Таблица97[[#This Row],[Закупка]]</f>
        <v>5131</v>
      </c>
      <c r="O269" s="108">
        <f>IF(Таблица97[[#This Row],[НК]]=1,Таблица97[[#This Row],[Маржа]],"")</f>
        <v>5131</v>
      </c>
    </row>
    <row r="270" spans="1:15" ht="20.100000000000001" customHeight="1" x14ac:dyDescent="0.25">
      <c r="A270" s="2">
        <v>508</v>
      </c>
      <c r="B270" s="2" t="str">
        <f>TEXT(Таблица97[[#This Row],[Дата]],"ГГ")&amp;RIGHT("000"&amp;Таблица97[[#This Row],[Номер]],4)</f>
        <v>160508</v>
      </c>
      <c r="C270" s="129">
        <v>42667</v>
      </c>
      <c r="D270" s="2" t="s">
        <v>38</v>
      </c>
      <c r="E270" s="108">
        <v>20146.669999999998</v>
      </c>
      <c r="F270" s="129">
        <v>42690</v>
      </c>
      <c r="H270" s="129">
        <v>42683</v>
      </c>
      <c r="I270" s="108">
        <f t="shared" si="11"/>
        <v>20146.669999999998</v>
      </c>
      <c r="J270" s="108" t="str">
        <f>IF(Таблица97[[#This Row],[НК]]=1,Таблица97[[#This Row],[Продажа]],"")</f>
        <v/>
      </c>
      <c r="K270" s="108">
        <f>E270*0.02</f>
        <v>402.93339999999995</v>
      </c>
      <c r="M270" s="108">
        <v>14466</v>
      </c>
      <c r="N270" s="108">
        <f>Таблица97[[#This Row],[Продажа]]-Таблица97[[#This Row],[Закупка]]</f>
        <v>5680.6699999999983</v>
      </c>
      <c r="O270" s="108" t="str">
        <f>IF(Таблица97[[#This Row],[НК]]=1,Таблица97[[#This Row],[Маржа]],"")</f>
        <v/>
      </c>
    </row>
    <row r="271" spans="1:15" ht="20.100000000000001" customHeight="1" x14ac:dyDescent="0.25">
      <c r="A271" s="2">
        <v>510</v>
      </c>
      <c r="B271" s="2" t="str">
        <f>TEXT(Таблица97[[#This Row],[Дата]],"ГГ")&amp;RIGHT("000"&amp;Таблица97[[#This Row],[Номер]],4)</f>
        <v>160510</v>
      </c>
      <c r="C271" s="129">
        <v>42667</v>
      </c>
      <c r="D271" s="2" t="s">
        <v>38</v>
      </c>
      <c r="E271" s="108">
        <v>78600</v>
      </c>
      <c r="F271" s="129">
        <v>42690</v>
      </c>
      <c r="H271" s="129">
        <v>42683</v>
      </c>
      <c r="I271" s="108">
        <f t="shared" si="11"/>
        <v>78600</v>
      </c>
      <c r="J271" s="108" t="str">
        <f>IF(Таблица97[[#This Row],[НК]]=1,Таблица97[[#This Row],[Продажа]],"")</f>
        <v/>
      </c>
      <c r="K271" s="108">
        <f>E271*0.02</f>
        <v>1572</v>
      </c>
      <c r="L271" s="108">
        <f>5*1200</f>
        <v>6000</v>
      </c>
      <c r="M271" s="108">
        <v>29194</v>
      </c>
      <c r="N271" s="108">
        <f>Таблица97[[#This Row],[Продажа]]-Таблица97[[#This Row],[Закупка]]</f>
        <v>49406</v>
      </c>
      <c r="O271" s="108" t="str">
        <f>IF(Таблица97[[#This Row],[НК]]=1,Таблица97[[#This Row],[Маржа]],"")</f>
        <v/>
      </c>
    </row>
    <row r="272" spans="1:15" ht="20.100000000000001" customHeight="1" x14ac:dyDescent="0.25">
      <c r="A272" s="2">
        <v>511</v>
      </c>
      <c r="B272" s="2" t="str">
        <f>TEXT(Таблица97[[#This Row],[Дата]],"ГГ")&amp;RIGHT("000"&amp;Таблица97[[#This Row],[Номер]],4)</f>
        <v>160511</v>
      </c>
      <c r="C272" s="129">
        <v>42667</v>
      </c>
      <c r="D272" s="2" t="s">
        <v>38</v>
      </c>
      <c r="E272" s="108">
        <v>32841.24</v>
      </c>
      <c r="F272" s="129">
        <v>42690</v>
      </c>
      <c r="H272" s="129">
        <v>42683</v>
      </c>
      <c r="I272" s="108">
        <f t="shared" si="11"/>
        <v>32841.24</v>
      </c>
      <c r="J272" s="108" t="str">
        <f>IF(Таблица97[[#This Row],[НК]]=1,Таблица97[[#This Row],[Продажа]],"")</f>
        <v/>
      </c>
      <c r="K272" s="108">
        <f>E272*0.02</f>
        <v>656.82479999999998</v>
      </c>
      <c r="M272" s="108">
        <v>21348</v>
      </c>
      <c r="N272" s="108">
        <f>Таблица97[[#This Row],[Продажа]]-Таблица97[[#This Row],[Закупка]]</f>
        <v>11493.239999999998</v>
      </c>
      <c r="O272" s="108" t="str">
        <f>IF(Таблица97[[#This Row],[НК]]=1,Таблица97[[#This Row],[Маржа]],"")</f>
        <v/>
      </c>
    </row>
    <row r="273" spans="1:15" ht="20.100000000000001" customHeight="1" x14ac:dyDescent="0.25">
      <c r="A273" s="2">
        <v>536</v>
      </c>
      <c r="B273" s="2" t="str">
        <f>TEXT(Таблица97[[#This Row],[Дата]],"ГГ")&amp;RIGHT("000"&amp;Таблица97[[#This Row],[Номер]],4)</f>
        <v>160536</v>
      </c>
      <c r="C273" s="129">
        <v>42683</v>
      </c>
      <c r="D273" s="2" t="s">
        <v>180</v>
      </c>
      <c r="E273" s="108">
        <v>56388</v>
      </c>
      <c r="F273" s="129">
        <v>42691</v>
      </c>
      <c r="H273" s="129">
        <v>42720</v>
      </c>
      <c r="I273" s="108">
        <f>E273/2</f>
        <v>28194</v>
      </c>
      <c r="J273" s="108" t="str">
        <f>IF(Таблица97[[#This Row],[НК]]=1,Таблица97[[#This Row],[Продажа]],"")</f>
        <v/>
      </c>
      <c r="M273" s="108">
        <v>19698</v>
      </c>
      <c r="N273" s="108">
        <f>Таблица97[[#This Row],[Продажа]]-Таблица97[[#This Row],[Закупка]]</f>
        <v>8496</v>
      </c>
      <c r="O273" s="108" t="str">
        <f>IF(Таблица97[[#This Row],[НК]]=1,Таблица97[[#This Row],[Маржа]],"")</f>
        <v/>
      </c>
    </row>
    <row r="274" spans="1:15" ht="20.100000000000001" customHeight="1" x14ac:dyDescent="0.25">
      <c r="A274" s="2">
        <v>504</v>
      </c>
      <c r="B274" s="2" t="str">
        <f>TEXT(Таблица97[[#This Row],[Дата]],"ГГ")&amp;RIGHT("000"&amp;Таблица97[[#This Row],[Номер]],4)</f>
        <v>160504</v>
      </c>
      <c r="C274" s="129">
        <v>42661</v>
      </c>
      <c r="D274" s="2" t="s">
        <v>180</v>
      </c>
      <c r="E274" s="108">
        <v>336760</v>
      </c>
      <c r="F274" s="129">
        <v>42691</v>
      </c>
      <c r="H274" s="129">
        <v>42712</v>
      </c>
      <c r="I274" s="108">
        <f>E274/2</f>
        <v>168380</v>
      </c>
      <c r="J274" s="108" t="str">
        <f>IF(Таблица97[[#This Row],[НК]]=1,Таблица97[[#This Row],[Продажа]],"")</f>
        <v/>
      </c>
      <c r="M274" s="108">
        <v>128064</v>
      </c>
      <c r="N274" s="108">
        <f>Таблица97[[#This Row],[Продажа]]-Таблица97[[#This Row],[Закупка]]</f>
        <v>40316</v>
      </c>
      <c r="O274" s="108" t="str">
        <f>IF(Таблица97[[#This Row],[НК]]=1,Таблица97[[#This Row],[Маржа]],"")</f>
        <v/>
      </c>
    </row>
    <row r="275" spans="1:15" ht="20.100000000000001" customHeight="1" x14ac:dyDescent="0.25">
      <c r="A275" s="2">
        <v>544</v>
      </c>
      <c r="B275" s="2" t="str">
        <f>TEXT(Таблица97[[#This Row],[Дата]],"ГГ")&amp;RIGHT("000"&amp;Таблица97[[#This Row],[Номер]],4)</f>
        <v>160544</v>
      </c>
      <c r="C275" s="129">
        <v>42688</v>
      </c>
      <c r="D275" s="2" t="s">
        <v>64</v>
      </c>
      <c r="E275" s="108">
        <v>1517</v>
      </c>
      <c r="F275" s="129">
        <v>42691</v>
      </c>
      <c r="H275" s="129">
        <v>42695</v>
      </c>
      <c r="I275" s="108">
        <f t="shared" ref="I275:I281" si="12">E275</f>
        <v>1517</v>
      </c>
      <c r="J275" s="108" t="str">
        <f>IF(Таблица97[[#This Row],[НК]]=1,Таблица97[[#This Row],[Продажа]],"")</f>
        <v/>
      </c>
      <c r="M275" s="108">
        <v>908</v>
      </c>
      <c r="N275" s="108">
        <f>Таблица97[[#This Row],[Продажа]]-Таблица97[[#This Row],[Закупка]]</f>
        <v>609</v>
      </c>
      <c r="O275" s="108" t="str">
        <f>IF(Таблица97[[#This Row],[НК]]=1,Таблица97[[#This Row],[Маржа]],"")</f>
        <v/>
      </c>
    </row>
    <row r="276" spans="1:15" ht="20.100000000000001" customHeight="1" x14ac:dyDescent="0.25">
      <c r="A276" s="2">
        <v>501</v>
      </c>
      <c r="B276" s="2" t="str">
        <f>TEXT(Таблица97[[#This Row],[Дата]],"ГГ")&amp;RIGHT("000"&amp;Таблица97[[#This Row],[Номер]],4)</f>
        <v>160501</v>
      </c>
      <c r="C276" s="129">
        <v>42660</v>
      </c>
      <c r="D276" s="2" t="s">
        <v>56</v>
      </c>
      <c r="E276" s="108">
        <v>15834.94</v>
      </c>
      <c r="F276" s="129">
        <v>42692</v>
      </c>
      <c r="H276" s="129">
        <v>42684</v>
      </c>
      <c r="I276" s="108">
        <f t="shared" si="12"/>
        <v>15834.94</v>
      </c>
      <c r="J276" s="108" t="str">
        <f>IF(Таблица97[[#This Row],[НК]]=1,Таблица97[[#This Row],[Продажа]],"")</f>
        <v/>
      </c>
      <c r="M276" s="108">
        <v>11972</v>
      </c>
      <c r="N276" s="108">
        <f>Таблица97[[#This Row],[Продажа]]-Таблица97[[#This Row],[Закупка]]</f>
        <v>3862.9400000000005</v>
      </c>
      <c r="O276" s="108" t="str">
        <f>IF(Таблица97[[#This Row],[НК]]=1,Таблица97[[#This Row],[Маржа]],"")</f>
        <v/>
      </c>
    </row>
    <row r="277" spans="1:15" ht="20.100000000000001" customHeight="1" x14ac:dyDescent="0.25">
      <c r="A277" s="2">
        <v>480</v>
      </c>
      <c r="B277" s="2" t="str">
        <f>TEXT(Таблица97[[#This Row],[Дата]],"ГГ")&amp;RIGHT("000"&amp;Таблица97[[#This Row],[Номер]],4)</f>
        <v>160480</v>
      </c>
      <c r="C277" s="129">
        <v>42647</v>
      </c>
      <c r="D277" s="2" t="s">
        <v>56</v>
      </c>
      <c r="E277" s="108">
        <v>24714.9</v>
      </c>
      <c r="F277" s="129">
        <v>42692</v>
      </c>
      <c r="H277" s="129">
        <v>42684</v>
      </c>
      <c r="I277" s="108">
        <f t="shared" si="12"/>
        <v>24714.9</v>
      </c>
      <c r="J277" s="108" t="str">
        <f>IF(Таблица97[[#This Row],[НК]]=1,Таблица97[[#This Row],[Продажа]],"")</f>
        <v/>
      </c>
      <c r="M277" s="108">
        <v>17450</v>
      </c>
      <c r="N277" s="108">
        <f>Таблица97[[#This Row],[Продажа]]-Таблица97[[#This Row],[Закупка]]</f>
        <v>7264.9000000000015</v>
      </c>
      <c r="O277" s="108" t="str">
        <f>IF(Таблица97[[#This Row],[НК]]=1,Таблица97[[#This Row],[Маржа]],"")</f>
        <v/>
      </c>
    </row>
    <row r="278" spans="1:15" ht="20.100000000000001" customHeight="1" x14ac:dyDescent="0.25">
      <c r="A278" s="2">
        <v>540</v>
      </c>
      <c r="B278" s="2" t="str">
        <f>TEXT(Таблица97[[#This Row],[Дата]],"ГГ")&amp;RIGHT("000"&amp;Таблица97[[#This Row],[Номер]],4)</f>
        <v>160540</v>
      </c>
      <c r="C278" s="129">
        <v>42684</v>
      </c>
      <c r="D278" s="2" t="s">
        <v>56</v>
      </c>
      <c r="E278" s="108">
        <v>4700</v>
      </c>
      <c r="F278" s="129">
        <v>42692</v>
      </c>
      <c r="H278" s="129">
        <v>42684</v>
      </c>
      <c r="I278" s="108">
        <f t="shared" si="12"/>
        <v>4700</v>
      </c>
      <c r="J278" s="108" t="str">
        <f>IF(Таблица97[[#This Row],[НК]]=1,Таблица97[[#This Row],[Продажа]],"")</f>
        <v/>
      </c>
      <c r="M278" s="108">
        <v>2350</v>
      </c>
      <c r="N278" s="108">
        <f>Таблица97[[#This Row],[Продажа]]-Таблица97[[#This Row],[Закупка]]</f>
        <v>2350</v>
      </c>
      <c r="O278" s="108" t="str">
        <f>IF(Таблица97[[#This Row],[НК]]=1,Таблица97[[#This Row],[Маржа]],"")</f>
        <v/>
      </c>
    </row>
    <row r="279" spans="1:15" ht="20.100000000000001" customHeight="1" x14ac:dyDescent="0.25">
      <c r="A279" s="2">
        <v>533</v>
      </c>
      <c r="B279" s="2" t="str">
        <f>TEXT(Таблица97[[#This Row],[Дата]],"ГГ")&amp;RIGHT("000"&amp;Таблица97[[#This Row],[Номер]],4)</f>
        <v>160533</v>
      </c>
      <c r="C279" s="129">
        <v>42681</v>
      </c>
      <c r="D279" s="2" t="s">
        <v>114</v>
      </c>
      <c r="E279" s="108">
        <v>16795</v>
      </c>
      <c r="F279" s="129">
        <v>42692</v>
      </c>
      <c r="H279" s="129">
        <v>42685</v>
      </c>
      <c r="I279" s="108">
        <f t="shared" si="12"/>
        <v>16795</v>
      </c>
      <c r="J279" s="108" t="str">
        <f>IF(Таблица97[[#This Row],[НК]]=1,Таблица97[[#This Row],[Продажа]],"")</f>
        <v/>
      </c>
      <c r="M279" s="108">
        <v>13469</v>
      </c>
      <c r="N279" s="108">
        <f>Таблица97[[#This Row],[Продажа]]-Таблица97[[#This Row],[Закупка]]</f>
        <v>3326</v>
      </c>
      <c r="O279" s="108" t="str">
        <f>IF(Таблица97[[#This Row],[НК]]=1,Таблица97[[#This Row],[Маржа]],"")</f>
        <v/>
      </c>
    </row>
    <row r="280" spans="1:15" ht="20.100000000000001" customHeight="1" x14ac:dyDescent="0.25">
      <c r="A280" s="2">
        <v>551</v>
      </c>
      <c r="B280" s="2" t="str">
        <f>TEXT(Таблица97[[#This Row],[Дата]],"ГГ")&amp;RIGHT("000"&amp;Таблица97[[#This Row],[Номер]],4)</f>
        <v>160551</v>
      </c>
      <c r="C280" s="129">
        <v>42691</v>
      </c>
      <c r="D280" s="2" t="s">
        <v>204</v>
      </c>
      <c r="E280" s="108">
        <v>57490</v>
      </c>
      <c r="F280" s="129">
        <v>42696</v>
      </c>
      <c r="G280" s="128">
        <v>1</v>
      </c>
      <c r="H280" s="129">
        <v>42705</v>
      </c>
      <c r="I280" s="108">
        <f t="shared" si="12"/>
        <v>57490</v>
      </c>
      <c r="J280" s="108">
        <f>IF(Таблица97[[#This Row],[НК]]=1,Таблица97[[#This Row],[Продажа]],"")</f>
        <v>57490</v>
      </c>
      <c r="M280" s="108">
        <v>47098</v>
      </c>
      <c r="N280" s="108">
        <f>Таблица97[[#This Row],[Продажа]]-Таблица97[[#This Row],[Закупка]]</f>
        <v>10392</v>
      </c>
      <c r="O280" s="108">
        <f>IF(Таблица97[[#This Row],[НК]]=1,Таблица97[[#This Row],[Маржа]],"")</f>
        <v>10392</v>
      </c>
    </row>
    <row r="281" spans="1:15" ht="20.100000000000001" customHeight="1" x14ac:dyDescent="0.25">
      <c r="A281" s="2">
        <v>539</v>
      </c>
      <c r="B281" s="2" t="str">
        <f>TEXT(Таблица97[[#This Row],[Дата]],"ГГ")&amp;RIGHT("000"&amp;Таблица97[[#This Row],[Номер]],4)</f>
        <v>160539</v>
      </c>
      <c r="C281" s="129">
        <v>42684</v>
      </c>
      <c r="D281" s="2" t="s">
        <v>66</v>
      </c>
      <c r="E281" s="108">
        <v>12657</v>
      </c>
      <c r="F281" s="129">
        <v>42697</v>
      </c>
      <c r="H281" s="129">
        <v>42718</v>
      </c>
      <c r="I281" s="108">
        <f t="shared" si="12"/>
        <v>12657</v>
      </c>
      <c r="J281" s="108" t="str">
        <f>IF(Таблица97[[#This Row],[НК]]=1,Таблица97[[#This Row],[Продажа]],"")</f>
        <v/>
      </c>
      <c r="M281" s="108">
        <v>9129</v>
      </c>
      <c r="N281" s="108">
        <f>Таблица97[[#This Row],[Продажа]]-Таблица97[[#This Row],[Закупка]]</f>
        <v>3528</v>
      </c>
      <c r="O281" s="108" t="str">
        <f>IF(Таблица97[[#This Row],[НК]]=1,Таблица97[[#This Row],[Маржа]],"")</f>
        <v/>
      </c>
    </row>
    <row r="282" spans="1:15" ht="20.100000000000001" customHeight="1" x14ac:dyDescent="0.25">
      <c r="A282" s="2">
        <v>536</v>
      </c>
      <c r="B282" s="2" t="str">
        <f>TEXT(Таблица97[[#This Row],[Дата]],"ГГ")&amp;RIGHT("000"&amp;Таблица97[[#This Row],[Номер]],4)</f>
        <v>160536</v>
      </c>
      <c r="C282" s="129">
        <v>42683</v>
      </c>
      <c r="D282" s="2" t="s">
        <v>180</v>
      </c>
      <c r="E282" s="108">
        <v>56388</v>
      </c>
      <c r="F282" s="129">
        <v>42698</v>
      </c>
      <c r="H282" s="129">
        <v>42720</v>
      </c>
      <c r="I282" s="108">
        <f>E282/2</f>
        <v>28194</v>
      </c>
      <c r="J282" s="108" t="str">
        <f>IF(Таблица97[[#This Row],[НК]]=1,Таблица97[[#This Row],[Продажа]],"")</f>
        <v/>
      </c>
      <c r="M282" s="108">
        <v>19698</v>
      </c>
      <c r="N282" s="108">
        <f>Таблица97[[#This Row],[Продажа]]-Таблица97[[#This Row],[Закупка]]</f>
        <v>8496</v>
      </c>
      <c r="O282" s="108" t="str">
        <f>IF(Таблица97[[#This Row],[НК]]=1,Таблица97[[#This Row],[Маржа]],"")</f>
        <v/>
      </c>
    </row>
    <row r="283" spans="1:15" ht="20.100000000000001" customHeight="1" x14ac:dyDescent="0.25">
      <c r="A283" s="2">
        <v>553</v>
      </c>
      <c r="B283" s="2" t="str">
        <f>TEXT(Таблица97[[#This Row],[Дата]],"ГГ")&amp;RIGHT("000"&amp;Таблица97[[#This Row],[Номер]],4)</f>
        <v>160553</v>
      </c>
      <c r="C283" s="129">
        <v>42692</v>
      </c>
      <c r="D283" s="2" t="s">
        <v>180</v>
      </c>
      <c r="E283" s="108">
        <v>10026</v>
      </c>
      <c r="F283" s="129">
        <v>42698</v>
      </c>
      <c r="H283" s="129">
        <v>42726</v>
      </c>
      <c r="I283" s="108">
        <f>E283</f>
        <v>10026</v>
      </c>
      <c r="J283" s="108" t="str">
        <f>IF(Таблица97[[#This Row],[НК]]=1,Таблица97[[#This Row],[Продажа]],"")</f>
        <v/>
      </c>
      <c r="M283" s="108">
        <v>8550</v>
      </c>
      <c r="N283" s="108">
        <f>Таблица97[[#This Row],[Продажа]]-Таблица97[[#This Row],[Закупка]]</f>
        <v>1476</v>
      </c>
      <c r="O283" s="108" t="str">
        <f>IF(Таблица97[[#This Row],[НК]]=1,Таблица97[[#This Row],[Маржа]],"")</f>
        <v/>
      </c>
    </row>
    <row r="284" spans="1:15" ht="20.100000000000001" customHeight="1" x14ac:dyDescent="0.25">
      <c r="A284" s="2">
        <v>458</v>
      </c>
      <c r="B284" s="2" t="str">
        <f>TEXT(Таблица97[[#This Row],[Дата]],"ГГ")&amp;RIGHT("000"&amp;Таблица97[[#This Row],[Номер]],4)</f>
        <v>160458</v>
      </c>
      <c r="C284" s="129">
        <v>42636</v>
      </c>
      <c r="D284" s="2" t="s">
        <v>99</v>
      </c>
      <c r="E284" s="108">
        <v>316630.71000000002</v>
      </c>
      <c r="F284" s="129">
        <v>42702</v>
      </c>
      <c r="H284" s="129">
        <v>42667</v>
      </c>
      <c r="I284" s="108">
        <f>E284</f>
        <v>316630.71000000002</v>
      </c>
      <c r="J284" s="108" t="str">
        <f>IF(Таблица97[[#This Row],[НК]]=1,Таблица97[[#This Row],[Продажа]],"")</f>
        <v/>
      </c>
      <c r="K284" s="108">
        <f>18*3000</f>
        <v>54000</v>
      </c>
      <c r="L284" s="108">
        <f>18*600</f>
        <v>10800</v>
      </c>
      <c r="M284" s="108">
        <v>101273</v>
      </c>
      <c r="N284" s="108">
        <f>Таблица97[[#This Row],[Продажа]]-Таблица97[[#This Row],[Закупка]]</f>
        <v>215357.71000000002</v>
      </c>
      <c r="O284" s="108" t="str">
        <f>IF(Таблица97[[#This Row],[НК]]=1,Таблица97[[#This Row],[Маржа]],"")</f>
        <v/>
      </c>
    </row>
    <row r="285" spans="1:15" ht="20.100000000000001" customHeight="1" x14ac:dyDescent="0.25">
      <c r="A285" s="2">
        <v>487</v>
      </c>
      <c r="B285" s="2" t="str">
        <f>TEXT(Таблица97[[#This Row],[Дата]],"ГГ")&amp;RIGHT("000"&amp;Таблица97[[#This Row],[Номер]],4)</f>
        <v>160487</v>
      </c>
      <c r="C285" s="129">
        <v>42655</v>
      </c>
      <c r="D285" s="2" t="s">
        <v>180</v>
      </c>
      <c r="E285" s="108">
        <v>620582.84</v>
      </c>
      <c r="F285" s="129">
        <v>42702</v>
      </c>
      <c r="H285" s="129">
        <v>42704</v>
      </c>
      <c r="I285" s="108">
        <f>E285/2</f>
        <v>310291.42</v>
      </c>
      <c r="J285" s="108" t="str">
        <f>IF(Таблица97[[#This Row],[НК]]=1,Таблица97[[#This Row],[Продажа]],"")</f>
        <v/>
      </c>
      <c r="L285" s="108">
        <f>5*1200</f>
        <v>6000</v>
      </c>
      <c r="M285" s="108">
        <v>228398</v>
      </c>
      <c r="N285" s="108">
        <f>Таблица97[[#This Row],[Продажа]]-Таблица97[[#This Row],[Закупка]]</f>
        <v>81893.419999999984</v>
      </c>
      <c r="O285" s="108" t="str">
        <f>IF(Таблица97[[#This Row],[НК]]=1,Таблица97[[#This Row],[Маржа]],"")</f>
        <v/>
      </c>
    </row>
    <row r="286" spans="1:15" ht="20.100000000000001" customHeight="1" x14ac:dyDescent="0.25">
      <c r="A286" s="2">
        <v>548</v>
      </c>
      <c r="B286" s="2" t="str">
        <f>TEXT(Таблица97[[#This Row],[Дата]],"ГГ")&amp;RIGHT("000"&amp;Таблица97[[#This Row],[Номер]],4)</f>
        <v>160548</v>
      </c>
      <c r="C286" s="129">
        <v>42697</v>
      </c>
      <c r="D286" s="2" t="s">
        <v>108</v>
      </c>
      <c r="E286" s="108">
        <v>4000</v>
      </c>
      <c r="F286" s="129">
        <v>42702</v>
      </c>
      <c r="H286" s="129">
        <v>42703</v>
      </c>
      <c r="I286" s="108">
        <f>E286</f>
        <v>4000</v>
      </c>
      <c r="J286" s="108" t="str">
        <f>IF(Таблица97[[#This Row],[НК]]=1,Таблица97[[#This Row],[Продажа]],"")</f>
        <v/>
      </c>
      <c r="L286" s="108">
        <v>600</v>
      </c>
      <c r="M286" s="108">
        <v>1808.8</v>
      </c>
      <c r="N286" s="108">
        <f>Таблица97[[#This Row],[Продажа]]-Таблица97[[#This Row],[Закупка]]</f>
        <v>2191.1999999999998</v>
      </c>
      <c r="O286" s="108" t="str">
        <f>IF(Таблица97[[#This Row],[НК]]=1,Таблица97[[#This Row],[Маржа]],"")</f>
        <v/>
      </c>
    </row>
    <row r="287" spans="1:15" ht="20.100000000000001" customHeight="1" x14ac:dyDescent="0.25">
      <c r="A287" s="2">
        <v>578</v>
      </c>
      <c r="B287" s="2" t="str">
        <f>TEXT(Таблица97[[#This Row],[Дата]],"ГГ")&amp;RIGHT("000"&amp;Таблица97[[#This Row],[Номер]],4)</f>
        <v>160578</v>
      </c>
      <c r="C287" s="129">
        <v>42704</v>
      </c>
      <c r="D287" s="2" t="s">
        <v>205</v>
      </c>
      <c r="E287" s="108">
        <v>14598</v>
      </c>
      <c r="F287" s="129">
        <v>42704</v>
      </c>
      <c r="G287" s="128">
        <v>1</v>
      </c>
      <c r="H287" s="129">
        <v>42705</v>
      </c>
      <c r="I287" s="108">
        <f>E287</f>
        <v>14598</v>
      </c>
      <c r="J287" s="108">
        <f>IF(Таблица97[[#This Row],[НК]]=1,Таблица97[[#This Row],[Продажа]],"")</f>
        <v>14598</v>
      </c>
      <c r="M287" s="108">
        <v>10762</v>
      </c>
      <c r="N287" s="108">
        <f>Таблица97[[#This Row],[Продажа]]-Таблица97[[#This Row],[Закупка]]</f>
        <v>3836</v>
      </c>
      <c r="O287" s="108">
        <f>IF(Таблица97[[#This Row],[НК]]=1,Таблица97[[#This Row],[Маржа]],"")</f>
        <v>3836</v>
      </c>
    </row>
    <row r="288" spans="1:15" ht="20.100000000000001" customHeight="1" x14ac:dyDescent="0.25">
      <c r="A288" s="2">
        <v>575</v>
      </c>
      <c r="B288" s="2" t="str">
        <f>TEXT(Таблица97[[#This Row],[Дата]],"ГГ")&amp;RIGHT("000"&amp;Таблица97[[#This Row],[Номер]],4)</f>
        <v>160575</v>
      </c>
      <c r="C288" s="129">
        <v>42702</v>
      </c>
      <c r="D288" s="2" t="s">
        <v>180</v>
      </c>
      <c r="E288" s="108">
        <v>113190</v>
      </c>
      <c r="F288" s="129">
        <v>42705</v>
      </c>
      <c r="H288" s="129">
        <v>42720</v>
      </c>
      <c r="I288" s="108">
        <f>E288/2</f>
        <v>56595</v>
      </c>
      <c r="J288" s="108" t="str">
        <f>IF(Таблица97[[#This Row],[НК]]=1,Таблица97[[#This Row],[Продажа]],"")</f>
        <v/>
      </c>
      <c r="M288" s="108">
        <f>89207/2</f>
        <v>44603.5</v>
      </c>
      <c r="N288" s="108">
        <f>Таблица97[[#This Row],[Продажа]]-Таблица97[[#This Row],[Закупка]]</f>
        <v>11991.5</v>
      </c>
      <c r="O288" s="108" t="str">
        <f>IF(Таблица97[[#This Row],[НК]]=1,Таблица97[[#This Row],[Маржа]],"")</f>
        <v/>
      </c>
    </row>
    <row r="289" spans="1:15" ht="20.100000000000001" customHeight="1" x14ac:dyDescent="0.25">
      <c r="A289" s="2">
        <v>545</v>
      </c>
      <c r="B289" s="2" t="str">
        <f>TEXT(Таблица97[[#This Row],[Дата]],"ГГ")&amp;RIGHT("000"&amp;Таблица97[[#This Row],[Номер]],4)</f>
        <v>160545</v>
      </c>
      <c r="C289" s="129">
        <v>42688</v>
      </c>
      <c r="D289" s="2" t="s">
        <v>11</v>
      </c>
      <c r="E289" s="108">
        <v>9958</v>
      </c>
      <c r="F289" s="129">
        <v>42705</v>
      </c>
      <c r="H289" s="129">
        <v>42713</v>
      </c>
      <c r="I289" s="108">
        <f>E289</f>
        <v>9958</v>
      </c>
      <c r="J289" s="108" t="str">
        <f>IF(Таблица97[[#This Row],[НК]]=1,Таблица97[[#This Row],[Продажа]],"")</f>
        <v/>
      </c>
      <c r="M289" s="108">
        <v>7719</v>
      </c>
      <c r="N289" s="108">
        <f>Таблица97[[#This Row],[Продажа]]-Таблица97[[#This Row],[Закупка]]</f>
        <v>2239</v>
      </c>
      <c r="O289" s="108" t="str">
        <f>IF(Таблица97[[#This Row],[НК]]=1,Таблица97[[#This Row],[Маржа]],"")</f>
        <v/>
      </c>
    </row>
    <row r="290" spans="1:15" ht="20.100000000000001" customHeight="1" x14ac:dyDescent="0.25">
      <c r="A290" s="2">
        <v>587</v>
      </c>
      <c r="B290" s="2" t="str">
        <f>TEXT(Таблица97[[#This Row],[Дата]],"ГГ")&amp;RIGHT("000"&amp;Таблица97[[#This Row],[Номер]],4)</f>
        <v>160587</v>
      </c>
      <c r="C290" s="129">
        <v>42705</v>
      </c>
      <c r="D290" s="2" t="s">
        <v>16</v>
      </c>
      <c r="E290" s="108">
        <v>6130.72</v>
      </c>
      <c r="F290" s="129">
        <v>42706</v>
      </c>
      <c r="H290" s="129">
        <v>42733</v>
      </c>
      <c r="I290" s="108">
        <f>E290</f>
        <v>6130.72</v>
      </c>
      <c r="J290" s="108" t="str">
        <f>IF(Таблица97[[#This Row],[НК]]=1,Таблица97[[#This Row],[Продажа]],"")</f>
        <v/>
      </c>
      <c r="M290" s="108">
        <v>3004</v>
      </c>
      <c r="N290" s="108">
        <f>Таблица97[[#This Row],[Продажа]]-Таблица97[[#This Row],[Закупка]]</f>
        <v>3126.7200000000003</v>
      </c>
      <c r="O290" s="108" t="str">
        <f>IF(Таблица97[[#This Row],[НК]]=1,Таблица97[[#This Row],[Маржа]],"")</f>
        <v/>
      </c>
    </row>
    <row r="291" spans="1:15" ht="20.100000000000001" customHeight="1" x14ac:dyDescent="0.25">
      <c r="A291" s="2">
        <v>509</v>
      </c>
      <c r="B291" s="2" t="str">
        <f>TEXT(Таблица97[[#This Row],[Дата]],"ГГ")&amp;RIGHT("000"&amp;Таблица97[[#This Row],[Номер]],4)</f>
        <v>160509</v>
      </c>
      <c r="C291" s="129">
        <v>42667</v>
      </c>
      <c r="D291" s="2" t="s">
        <v>38</v>
      </c>
      <c r="E291" s="108">
        <v>51250</v>
      </c>
      <c r="F291" s="129">
        <v>42709</v>
      </c>
      <c r="H291" s="129">
        <v>42683</v>
      </c>
      <c r="I291" s="108">
        <f>E291</f>
        <v>51250</v>
      </c>
      <c r="J291" s="108" t="str">
        <f>IF(Таблица97[[#This Row],[НК]]=1,Таблица97[[#This Row],[Продажа]],"")</f>
        <v/>
      </c>
      <c r="K291" s="108">
        <f>E291*0.02</f>
        <v>1025</v>
      </c>
      <c r="L291" s="108">
        <f>4*1200</f>
        <v>4800</v>
      </c>
      <c r="M291" s="108">
        <v>16080</v>
      </c>
      <c r="N291" s="108">
        <f>Таблица97[[#This Row],[Продажа]]-Таблица97[[#This Row],[Закупка]]</f>
        <v>35170</v>
      </c>
      <c r="O291" s="108" t="str">
        <f>IF(Таблица97[[#This Row],[НК]]=1,Таблица97[[#This Row],[Маржа]],"")</f>
        <v/>
      </c>
    </row>
    <row r="292" spans="1:15" ht="20.100000000000001" customHeight="1" x14ac:dyDescent="0.25">
      <c r="A292" s="2">
        <v>583</v>
      </c>
      <c r="B292" s="2" t="str">
        <f>TEXT(Таблица97[[#This Row],[Дата]],"ГГ")&amp;RIGHT("000"&amp;Таблица97[[#This Row],[Номер]],4)</f>
        <v>160583</v>
      </c>
      <c r="C292" s="129">
        <v>42705</v>
      </c>
      <c r="D292" s="2" t="s">
        <v>122</v>
      </c>
      <c r="E292" s="108">
        <v>9588.58</v>
      </c>
      <c r="F292" s="129">
        <v>42709</v>
      </c>
      <c r="H292" s="129">
        <v>42717</v>
      </c>
      <c r="I292" s="108">
        <f>E292</f>
        <v>9588.58</v>
      </c>
      <c r="J292" s="108" t="str">
        <f>IF(Таблица97[[#This Row],[НК]]=1,Таблица97[[#This Row],[Продажа]],"")</f>
        <v/>
      </c>
      <c r="M292" s="108">
        <v>7250</v>
      </c>
      <c r="N292" s="108">
        <f>Таблица97[[#This Row],[Продажа]]-Таблица97[[#This Row],[Закупка]]</f>
        <v>2338.58</v>
      </c>
      <c r="O292" s="108" t="str">
        <f>IF(Таблица97[[#This Row],[НК]]=1,Таблица97[[#This Row],[Маржа]],"")</f>
        <v/>
      </c>
    </row>
    <row r="293" spans="1:15" ht="20.100000000000001" customHeight="1" x14ac:dyDescent="0.25">
      <c r="A293" s="2">
        <v>504</v>
      </c>
      <c r="B293" s="2" t="str">
        <f>TEXT(Таблица97[[#This Row],[Дата]],"ГГ")&amp;RIGHT("000"&amp;Таблица97[[#This Row],[Номер]],4)</f>
        <v>160504</v>
      </c>
      <c r="C293" s="129">
        <v>42661</v>
      </c>
      <c r="D293" s="2" t="s">
        <v>180</v>
      </c>
      <c r="E293" s="108">
        <v>336760</v>
      </c>
      <c r="F293" s="129">
        <v>42711</v>
      </c>
      <c r="H293" s="129">
        <v>42712</v>
      </c>
      <c r="I293" s="108">
        <f>E293/2</f>
        <v>168380</v>
      </c>
      <c r="J293" s="108" t="str">
        <f>IF(Таблица97[[#This Row],[НК]]=1,Таблица97[[#This Row],[Продажа]],"")</f>
        <v/>
      </c>
      <c r="L293" s="108">
        <f>23*600</f>
        <v>13800</v>
      </c>
      <c r="M293" s="108">
        <v>128064</v>
      </c>
      <c r="N293" s="108">
        <f>Таблица97[[#This Row],[Продажа]]-Таблица97[[#This Row],[Закупка]]</f>
        <v>40316</v>
      </c>
      <c r="O293" s="108" t="str">
        <f>IF(Таблица97[[#This Row],[НК]]=1,Таблица97[[#This Row],[Маржа]],"")</f>
        <v/>
      </c>
    </row>
    <row r="294" spans="1:15" ht="20.100000000000001" customHeight="1" x14ac:dyDescent="0.25">
      <c r="A294" s="2">
        <v>586</v>
      </c>
      <c r="B294" s="2" t="str">
        <f>TEXT(Таблица97[[#This Row],[Дата]],"ГГ")&amp;RIGHT("000"&amp;Таблица97[[#This Row],[Номер]],4)</f>
        <v>160586</v>
      </c>
      <c r="C294" s="129">
        <v>42705</v>
      </c>
      <c r="D294" s="2" t="s">
        <v>206</v>
      </c>
      <c r="E294" s="108">
        <v>6249.67</v>
      </c>
      <c r="F294" s="129">
        <v>42712</v>
      </c>
      <c r="G294" s="128">
        <v>1</v>
      </c>
      <c r="H294" s="129">
        <v>42705</v>
      </c>
      <c r="I294" s="108">
        <f t="shared" ref="I294:I303" si="13">E294</f>
        <v>6249.67</v>
      </c>
      <c r="J294" s="108">
        <f>IF(Таблица97[[#This Row],[НК]]=1,Таблица97[[#This Row],[Продажа]],"")</f>
        <v>6249.67</v>
      </c>
      <c r="M294" s="108">
        <v>5041</v>
      </c>
      <c r="N294" s="108">
        <f>Таблица97[[#This Row],[Продажа]]-Таблица97[[#This Row],[Закупка]]</f>
        <v>1208.67</v>
      </c>
      <c r="O294" s="108">
        <f>IF(Таблица97[[#This Row],[НК]]=1,Таблица97[[#This Row],[Маржа]],"")</f>
        <v>1208.67</v>
      </c>
    </row>
    <row r="295" spans="1:15" ht="20.100000000000001" customHeight="1" x14ac:dyDescent="0.25">
      <c r="A295" s="2">
        <v>602</v>
      </c>
      <c r="B295" s="2" t="str">
        <f>TEXT(Таблица97[[#This Row],[Дата]],"ГГ")&amp;RIGHT("000"&amp;Таблица97[[#This Row],[Номер]],4)</f>
        <v>160602</v>
      </c>
      <c r="C295" s="129">
        <v>42712</v>
      </c>
      <c r="D295" s="2" t="s">
        <v>207</v>
      </c>
      <c r="E295" s="108">
        <v>663</v>
      </c>
      <c r="F295" s="129">
        <v>42713</v>
      </c>
      <c r="H295" s="129">
        <v>42725</v>
      </c>
      <c r="I295" s="108">
        <f t="shared" si="13"/>
        <v>663</v>
      </c>
      <c r="J295" s="108" t="str">
        <f>IF(Таблица97[[#This Row],[НК]]=1,Таблица97[[#This Row],[Продажа]],"")</f>
        <v/>
      </c>
      <c r="M295" s="108">
        <v>500</v>
      </c>
      <c r="N295" s="108">
        <f>Таблица97[[#This Row],[Продажа]]-Таблица97[[#This Row],[Закупка]]</f>
        <v>163</v>
      </c>
      <c r="O295" s="108" t="str">
        <f>IF(Таблица97[[#This Row],[НК]]=1,Таблица97[[#This Row],[Маржа]],"")</f>
        <v/>
      </c>
    </row>
    <row r="296" spans="1:15" ht="20.100000000000001" customHeight="1" x14ac:dyDescent="0.25">
      <c r="A296" s="2">
        <v>603</v>
      </c>
      <c r="B296" s="2" t="str">
        <f>TEXT(Таблица97[[#This Row],[Дата]],"ГГ")&amp;RIGHT("000"&amp;Таблица97[[#This Row],[Номер]],4)</f>
        <v>160603</v>
      </c>
      <c r="C296" s="129">
        <v>42713</v>
      </c>
      <c r="D296" s="2" t="s">
        <v>118</v>
      </c>
      <c r="E296" s="108">
        <v>10276.5</v>
      </c>
      <c r="F296" s="129">
        <v>42713</v>
      </c>
      <c r="H296" s="129">
        <v>42716</v>
      </c>
      <c r="I296" s="108">
        <f t="shared" si="13"/>
        <v>10276.5</v>
      </c>
      <c r="J296" s="108" t="str">
        <f>IF(Таблица97[[#This Row],[НК]]=1,Таблица97[[#This Row],[Продажа]],"")</f>
        <v/>
      </c>
      <c r="M296" s="108">
        <v>9662</v>
      </c>
      <c r="N296" s="108">
        <f>Таблица97[[#This Row],[Продажа]]-Таблица97[[#This Row],[Закупка]]</f>
        <v>614.5</v>
      </c>
      <c r="O296" s="108" t="str">
        <f>IF(Таблица97[[#This Row],[НК]]=1,Таблица97[[#This Row],[Маржа]],"")</f>
        <v/>
      </c>
    </row>
    <row r="297" spans="1:15" ht="20.100000000000001" customHeight="1" x14ac:dyDescent="0.25">
      <c r="A297" s="2">
        <v>556</v>
      </c>
      <c r="B297" s="2" t="str">
        <f>TEXT(Таблица97[[#This Row],[Дата]],"ГГ")&amp;RIGHT("000"&amp;Таблица97[[#This Row],[Номер]],4)</f>
        <v>160556</v>
      </c>
      <c r="C297" s="129">
        <v>42695</v>
      </c>
      <c r="D297" s="2" t="s">
        <v>202</v>
      </c>
      <c r="E297" s="108">
        <v>6200</v>
      </c>
      <c r="F297" s="129">
        <v>42713</v>
      </c>
      <c r="H297" s="129">
        <v>42724</v>
      </c>
      <c r="I297" s="108">
        <f t="shared" si="13"/>
        <v>6200</v>
      </c>
      <c r="J297" s="108" t="str">
        <f>IF(Таблица97[[#This Row],[НК]]=1,Таблица97[[#This Row],[Продажа]],"")</f>
        <v/>
      </c>
      <c r="M297" s="108">
        <v>5180</v>
      </c>
      <c r="N297" s="108">
        <f>Таблица97[[#This Row],[Продажа]]-Таблица97[[#This Row],[Закупка]]</f>
        <v>1020</v>
      </c>
      <c r="O297" s="108" t="str">
        <f>IF(Таблица97[[#This Row],[НК]]=1,Таблица97[[#This Row],[Маржа]],"")</f>
        <v/>
      </c>
    </row>
    <row r="298" spans="1:15" ht="20.100000000000001" customHeight="1" x14ac:dyDescent="0.25">
      <c r="A298" s="2">
        <v>559</v>
      </c>
      <c r="B298" s="2" t="str">
        <f>TEXT(Таблица97[[#This Row],[Дата]],"ГГ")&amp;RIGHT("000"&amp;Таблица97[[#This Row],[Номер]],4)</f>
        <v>160559</v>
      </c>
      <c r="C298" s="129">
        <v>42697</v>
      </c>
      <c r="D298" s="2" t="s">
        <v>167</v>
      </c>
      <c r="E298" s="108">
        <v>4000</v>
      </c>
      <c r="F298" s="129">
        <v>42713</v>
      </c>
      <c r="H298" s="129">
        <v>42718</v>
      </c>
      <c r="I298" s="108">
        <f t="shared" si="13"/>
        <v>4000</v>
      </c>
      <c r="J298" s="108" t="str">
        <f>IF(Таблица97[[#This Row],[НК]]=1,Таблица97[[#This Row],[Продажа]],"")</f>
        <v/>
      </c>
      <c r="L298" s="108">
        <v>600</v>
      </c>
      <c r="M298" s="108">
        <v>1808.8</v>
      </c>
      <c r="N298" s="108">
        <f>Таблица97[[#This Row],[Продажа]]-Таблица97[[#This Row],[Закупка]]</f>
        <v>2191.1999999999998</v>
      </c>
      <c r="O298" s="108" t="str">
        <f>IF(Таблица97[[#This Row],[НК]]=1,Таблица97[[#This Row],[Маржа]],"")</f>
        <v/>
      </c>
    </row>
    <row r="299" spans="1:15" ht="20.100000000000001" customHeight="1" x14ac:dyDescent="0.25">
      <c r="A299" s="2">
        <v>601</v>
      </c>
      <c r="B299" s="2" t="str">
        <f>TEXT(Таблица97[[#This Row],[Дата]],"ГГ")&amp;RIGHT("000"&amp;Таблица97[[#This Row],[Номер]],4)</f>
        <v>160601</v>
      </c>
      <c r="C299" s="129">
        <v>42712</v>
      </c>
      <c r="D299" s="2" t="s">
        <v>208</v>
      </c>
      <c r="E299" s="108">
        <v>30390</v>
      </c>
      <c r="F299" s="129">
        <v>42713</v>
      </c>
      <c r="G299" s="128">
        <v>1</v>
      </c>
      <c r="H299" s="129">
        <v>42717</v>
      </c>
      <c r="I299" s="108">
        <f t="shared" si="13"/>
        <v>30390</v>
      </c>
      <c r="J299" s="108">
        <f>IF(Таблица97[[#This Row],[НК]]=1,Таблица97[[#This Row],[Продажа]],"")</f>
        <v>30390</v>
      </c>
      <c r="M299" s="108">
        <v>23613</v>
      </c>
      <c r="N299" s="108">
        <f>Таблица97[[#This Row],[Продажа]]-Таблица97[[#This Row],[Закупка]]</f>
        <v>6777</v>
      </c>
      <c r="O299" s="108">
        <f>IF(Таблица97[[#This Row],[НК]]=1,Таблица97[[#This Row],[Маржа]],"")</f>
        <v>6777</v>
      </c>
    </row>
    <row r="300" spans="1:15" ht="20.100000000000001" customHeight="1" x14ac:dyDescent="0.25">
      <c r="A300" s="2">
        <v>463</v>
      </c>
      <c r="B300" s="2" t="str">
        <f>TEXT(Таблица97[[#This Row],[Дата]],"ГГ")&amp;RIGHT("000"&amp;Таблица97[[#This Row],[Номер]],4)</f>
        <v>160463</v>
      </c>
      <c r="C300" s="129">
        <v>42640</v>
      </c>
      <c r="D300" s="2" t="s">
        <v>175</v>
      </c>
      <c r="E300" s="108">
        <v>19112</v>
      </c>
      <c r="F300" s="129">
        <v>42716</v>
      </c>
      <c r="H300" s="129">
        <v>42717</v>
      </c>
      <c r="I300" s="108">
        <f t="shared" si="13"/>
        <v>19112</v>
      </c>
      <c r="J300" s="108" t="str">
        <f>IF(Таблица97[[#This Row],[НК]]=1,Таблица97[[#This Row],[Продажа]],"")</f>
        <v/>
      </c>
      <c r="M300" s="108">
        <v>14448</v>
      </c>
      <c r="N300" s="108">
        <f>Таблица97[[#This Row],[Продажа]]-Таблица97[[#This Row],[Закупка]]</f>
        <v>4664</v>
      </c>
      <c r="O300" s="108" t="str">
        <f>IF(Таблица97[[#This Row],[НК]]=1,Таблица97[[#This Row],[Маржа]],"")</f>
        <v/>
      </c>
    </row>
    <row r="301" spans="1:15" ht="20.100000000000001" customHeight="1" x14ac:dyDescent="0.25">
      <c r="A301" s="2">
        <v>579</v>
      </c>
      <c r="B301" s="2" t="str">
        <f>TEXT(Таблица97[[#This Row],[Дата]],"ГГ")&amp;RIGHT("000"&amp;Таблица97[[#This Row],[Номер]],4)</f>
        <v>160579</v>
      </c>
      <c r="C301" s="129">
        <v>42704</v>
      </c>
      <c r="D301" s="2" t="s">
        <v>192</v>
      </c>
      <c r="E301" s="108">
        <v>1324</v>
      </c>
      <c r="F301" s="129">
        <v>42716</v>
      </c>
      <c r="H301" s="129">
        <v>42717</v>
      </c>
      <c r="I301" s="108">
        <f t="shared" si="13"/>
        <v>1324</v>
      </c>
      <c r="J301" s="108" t="str">
        <f>IF(Таблица97[[#This Row],[НК]]=1,Таблица97[[#This Row],[Продажа]],"")</f>
        <v/>
      </c>
      <c r="M301" s="108">
        <v>1000</v>
      </c>
      <c r="N301" s="108">
        <f>Таблица97[[#This Row],[Продажа]]-Таблица97[[#This Row],[Закупка]]</f>
        <v>324</v>
      </c>
      <c r="O301" s="108" t="str">
        <f>IF(Таблица97[[#This Row],[НК]]=1,Таблица97[[#This Row],[Маржа]],"")</f>
        <v/>
      </c>
    </row>
    <row r="302" spans="1:15" ht="20.100000000000001" customHeight="1" x14ac:dyDescent="0.25">
      <c r="A302" s="2">
        <v>538</v>
      </c>
      <c r="B302" s="2" t="str">
        <f>TEXT(Таблица97[[#This Row],[Дата]],"ГГ")&amp;RIGHT("000"&amp;Таблица97[[#This Row],[Номер]],4)</f>
        <v>160538</v>
      </c>
      <c r="C302" s="129">
        <v>42683</v>
      </c>
      <c r="D302" s="2" t="s">
        <v>108</v>
      </c>
      <c r="E302" s="108">
        <v>8451</v>
      </c>
      <c r="F302" s="129">
        <v>42717</v>
      </c>
      <c r="H302" s="129">
        <v>42733</v>
      </c>
      <c r="I302" s="108">
        <f t="shared" si="13"/>
        <v>8451</v>
      </c>
      <c r="J302" s="108" t="str">
        <f>IF(Таблица97[[#This Row],[НК]]=1,Таблица97[[#This Row],[Продажа]],"")</f>
        <v/>
      </c>
      <c r="M302" s="108">
        <v>5997</v>
      </c>
      <c r="N302" s="108">
        <f>Таблица97[[#This Row],[Продажа]]-Таблица97[[#This Row],[Закупка]]</f>
        <v>2454</v>
      </c>
      <c r="O302" s="108" t="str">
        <f>IF(Таблица97[[#This Row],[НК]]=1,Таблица97[[#This Row],[Маржа]],"")</f>
        <v/>
      </c>
    </row>
    <row r="303" spans="1:15" ht="20.100000000000001" customHeight="1" x14ac:dyDescent="0.25">
      <c r="A303" s="2">
        <v>588</v>
      </c>
      <c r="B303" s="2" t="str">
        <f>TEXT(Таблица97[[#This Row],[Дата]],"ГГ")&amp;RIGHT("000"&amp;Таблица97[[#This Row],[Номер]],4)</f>
        <v>160588</v>
      </c>
      <c r="C303" s="129">
        <v>42709</v>
      </c>
      <c r="D303" s="2" t="s">
        <v>16</v>
      </c>
      <c r="E303" s="108">
        <v>47237.8</v>
      </c>
      <c r="F303" s="129">
        <v>42717</v>
      </c>
      <c r="H303" s="129">
        <v>42733</v>
      </c>
      <c r="I303" s="108">
        <f t="shared" si="13"/>
        <v>47237.8</v>
      </c>
      <c r="J303" s="108" t="str">
        <f>IF(Таблица97[[#This Row],[НК]]=1,Таблица97[[#This Row],[Продажа]],"")</f>
        <v/>
      </c>
      <c r="M303" s="108">
        <v>36370</v>
      </c>
      <c r="N303" s="108">
        <f>Таблица97[[#This Row],[Продажа]]-Таблица97[[#This Row],[Закупка]]</f>
        <v>10867.800000000003</v>
      </c>
      <c r="O303" s="108" t="str">
        <f>IF(Таблица97[[#This Row],[НК]]=1,Таблица97[[#This Row],[Маржа]],"")</f>
        <v/>
      </c>
    </row>
    <row r="304" spans="1:15" ht="20.100000000000001" customHeight="1" x14ac:dyDescent="0.25">
      <c r="A304" s="2">
        <v>575</v>
      </c>
      <c r="B304" s="2" t="str">
        <f>TEXT(Таблица97[[#This Row],[Дата]],"ГГ")&amp;RIGHT("000"&amp;Таблица97[[#This Row],[Номер]],4)</f>
        <v>160575</v>
      </c>
      <c r="C304" s="129">
        <v>42702</v>
      </c>
      <c r="D304" s="2" t="s">
        <v>180</v>
      </c>
      <c r="E304" s="108">
        <v>113190</v>
      </c>
      <c r="F304" s="129">
        <v>42719</v>
      </c>
      <c r="H304" s="129">
        <v>42720</v>
      </c>
      <c r="I304" s="108">
        <f>E304/2</f>
        <v>56595</v>
      </c>
      <c r="J304" s="108" t="str">
        <f>IF(Таблица97[[#This Row],[НК]]=1,Таблица97[[#This Row],[Продажа]],"")</f>
        <v/>
      </c>
      <c r="M304" s="108">
        <f>89207/2</f>
        <v>44603.5</v>
      </c>
      <c r="N304" s="108">
        <f>Таблица97[[#This Row],[Продажа]]-Таблица97[[#This Row],[Закупка]]</f>
        <v>11991.5</v>
      </c>
      <c r="O304" s="108" t="str">
        <f>IF(Таблица97[[#This Row],[НК]]=1,Таблица97[[#This Row],[Маржа]],"")</f>
        <v/>
      </c>
    </row>
    <row r="305" spans="1:15" ht="20.100000000000001" customHeight="1" x14ac:dyDescent="0.25">
      <c r="A305" s="2">
        <v>612</v>
      </c>
      <c r="B305" s="2" t="str">
        <f>TEXT(Таблица97[[#This Row],[Дата]],"ГГ")&amp;RIGHT("000"&amp;Таблица97[[#This Row],[Номер]],4)</f>
        <v>160612</v>
      </c>
      <c r="C305" s="129">
        <v>42717</v>
      </c>
      <c r="D305" s="2" t="s">
        <v>209</v>
      </c>
      <c r="E305" s="108">
        <v>2312.85</v>
      </c>
      <c r="F305" s="129">
        <v>42719</v>
      </c>
      <c r="G305" s="128">
        <v>1</v>
      </c>
      <c r="H305" s="129">
        <v>42720</v>
      </c>
      <c r="I305" s="108">
        <f>E305</f>
        <v>2312.85</v>
      </c>
      <c r="J305" s="108">
        <f>IF(Таблица97[[#This Row],[НК]]=1,Таблица97[[#This Row],[Продажа]],"")</f>
        <v>2312.85</v>
      </c>
      <c r="M305" s="108">
        <v>2094</v>
      </c>
      <c r="N305" s="108">
        <f>Таблица97[[#This Row],[Продажа]]-Таблица97[[#This Row],[Закупка]]</f>
        <v>218.84999999999991</v>
      </c>
      <c r="O305" s="108">
        <f>IF(Таблица97[[#This Row],[НК]]=1,Таблица97[[#This Row],[Маржа]],"")</f>
        <v>218.84999999999991</v>
      </c>
    </row>
    <row r="306" spans="1:15" ht="20.100000000000001" customHeight="1" x14ac:dyDescent="0.25">
      <c r="A306" s="2">
        <v>619</v>
      </c>
      <c r="B306" s="2" t="str">
        <f>TEXT(Таблица97[[#This Row],[Дата]],"ГГ")&amp;RIGHT("000"&amp;Таблица97[[#This Row],[Номер]],4)</f>
        <v>160619</v>
      </c>
      <c r="C306" s="129">
        <v>42719</v>
      </c>
      <c r="D306" s="2" t="s">
        <v>147</v>
      </c>
      <c r="E306" s="108">
        <v>9552.92</v>
      </c>
      <c r="F306" s="129">
        <v>42720</v>
      </c>
      <c r="H306" s="129">
        <v>42724</v>
      </c>
      <c r="I306" s="108">
        <f>E306</f>
        <v>9552.92</v>
      </c>
      <c r="J306" s="108" t="str">
        <f>IF(Таблица97[[#This Row],[НК]]=1,Таблица97[[#This Row],[Продажа]],"")</f>
        <v/>
      </c>
      <c r="M306" s="108">
        <v>7224</v>
      </c>
      <c r="N306" s="108">
        <f>Таблица97[[#This Row],[Продажа]]-Таблица97[[#This Row],[Закупка]]</f>
        <v>2328.92</v>
      </c>
      <c r="O306" s="108" t="str">
        <f>IF(Таблица97[[#This Row],[НК]]=1,Таблица97[[#This Row],[Маржа]],"")</f>
        <v/>
      </c>
    </row>
    <row r="307" spans="1:15" ht="20.100000000000001" customHeight="1" x14ac:dyDescent="0.25">
      <c r="A307" s="2">
        <v>558</v>
      </c>
      <c r="B307" s="2" t="str">
        <f>TEXT(Таблица97[[#This Row],[Дата]],"ГГ")&amp;RIGHT("000"&amp;Таблица97[[#This Row],[Номер]],4)</f>
        <v>160558</v>
      </c>
      <c r="C307" s="129">
        <v>42697</v>
      </c>
      <c r="D307" s="2" t="s">
        <v>180</v>
      </c>
      <c r="E307" s="108">
        <v>323253.98</v>
      </c>
      <c r="F307" s="129">
        <v>42720</v>
      </c>
      <c r="H307" s="129">
        <v>42766</v>
      </c>
      <c r="I307" s="108">
        <f>E307/2</f>
        <v>161626.99</v>
      </c>
      <c r="J307" s="108" t="str">
        <f>IF(Таблица97[[#This Row],[НК]]=1,Таблица97[[#This Row],[Продажа]],"")</f>
        <v/>
      </c>
      <c r="L307" s="108">
        <f>10*1200</f>
        <v>12000</v>
      </c>
      <c r="M307" s="108">
        <v>116872</v>
      </c>
      <c r="N307" s="108">
        <f>Таблица97[[#This Row],[Продажа]]-Таблица97[[#This Row],[Закупка]]</f>
        <v>44754.989999999991</v>
      </c>
      <c r="O307" s="108" t="str">
        <f>IF(Таблица97[[#This Row],[НК]]=1,Таблица97[[#This Row],[Маржа]],"")</f>
        <v/>
      </c>
    </row>
    <row r="308" spans="1:15" ht="20.100000000000001" customHeight="1" x14ac:dyDescent="0.25">
      <c r="A308" s="2">
        <v>600</v>
      </c>
      <c r="B308" s="2" t="str">
        <f>TEXT(Таблица97[[#This Row],[Дата]],"ГГ")&amp;RIGHT("000"&amp;Таблица97[[#This Row],[Номер]],4)</f>
        <v>160600</v>
      </c>
      <c r="C308" s="129">
        <v>42712</v>
      </c>
      <c r="D308" s="2" t="s">
        <v>13</v>
      </c>
      <c r="E308" s="108">
        <v>11941.15</v>
      </c>
      <c r="F308" s="129">
        <v>42723</v>
      </c>
      <c r="H308" s="129">
        <v>42713</v>
      </c>
      <c r="I308" s="108">
        <f t="shared" ref="I308:I318" si="14">E308</f>
        <v>11941.15</v>
      </c>
      <c r="J308" s="108" t="str">
        <f>IF(Таблица97[[#This Row],[НК]]=1,Таблица97[[#This Row],[Продажа]],"")</f>
        <v/>
      </c>
      <c r="M308" s="108">
        <v>9030</v>
      </c>
      <c r="N308" s="108">
        <f>Таблица97[[#This Row],[Продажа]]-Таблица97[[#This Row],[Закупка]]</f>
        <v>2911.1499999999996</v>
      </c>
      <c r="O308" s="108" t="str">
        <f>IF(Таблица97[[#This Row],[НК]]=1,Таблица97[[#This Row],[Маржа]],"")</f>
        <v/>
      </c>
    </row>
    <row r="309" spans="1:15" ht="20.100000000000001" customHeight="1" x14ac:dyDescent="0.25">
      <c r="A309" s="2">
        <v>567</v>
      </c>
      <c r="B309" s="2" t="str">
        <f>TEXT(Таблица97[[#This Row],[Дата]],"ГГ")&amp;RIGHT("000"&amp;Таблица97[[#This Row],[Номер]],4)</f>
        <v>160567</v>
      </c>
      <c r="C309" s="129">
        <v>42699</v>
      </c>
      <c r="D309" s="2" t="s">
        <v>150</v>
      </c>
      <c r="E309" s="108">
        <v>3873.32</v>
      </c>
      <c r="F309" s="129">
        <v>42724</v>
      </c>
      <c r="H309" s="129">
        <v>42769</v>
      </c>
      <c r="I309" s="108">
        <f t="shared" si="14"/>
        <v>3873.32</v>
      </c>
      <c r="J309" s="108" t="str">
        <f>IF(Таблица97[[#This Row],[НК]]=1,Таблица97[[#This Row],[Продажа]],"")</f>
        <v/>
      </c>
      <c r="M309" s="108">
        <v>2929</v>
      </c>
      <c r="N309" s="108">
        <f>Таблица97[[#This Row],[Продажа]]-Таблица97[[#This Row],[Закупка]]</f>
        <v>944.32000000000016</v>
      </c>
      <c r="O309" s="108" t="str">
        <f>IF(Таблица97[[#This Row],[НК]]=1,Таблица97[[#This Row],[Маржа]],"")</f>
        <v/>
      </c>
    </row>
    <row r="310" spans="1:15" ht="20.100000000000001" customHeight="1" x14ac:dyDescent="0.25">
      <c r="A310" s="2">
        <v>541</v>
      </c>
      <c r="B310" s="2" t="str">
        <f>TEXT(Таблица97[[#This Row],[Дата]],"ГГ")&amp;RIGHT("000"&amp;Таблица97[[#This Row],[Номер]],4)</f>
        <v>160541</v>
      </c>
      <c r="C310" s="129">
        <v>42684</v>
      </c>
      <c r="D310" s="2" t="s">
        <v>108</v>
      </c>
      <c r="E310" s="108">
        <v>19890</v>
      </c>
      <c r="F310" s="129">
        <v>42725</v>
      </c>
      <c r="H310" s="129">
        <v>42726</v>
      </c>
      <c r="I310" s="108">
        <f t="shared" si="14"/>
        <v>19890</v>
      </c>
      <c r="J310" s="108" t="str">
        <f>IF(Таблица97[[#This Row],[НК]]=1,Таблица97[[#This Row],[Продажа]],"")</f>
        <v/>
      </c>
      <c r="M310" s="108">
        <v>15037</v>
      </c>
      <c r="N310" s="108">
        <f>Таблица97[[#This Row],[Продажа]]-Таблица97[[#This Row],[Закупка]]</f>
        <v>4853</v>
      </c>
      <c r="O310" s="108" t="str">
        <f>IF(Таблица97[[#This Row],[НК]]=1,Таблица97[[#This Row],[Маржа]],"")</f>
        <v/>
      </c>
    </row>
    <row r="311" spans="1:15" ht="20.100000000000001" customHeight="1" x14ac:dyDescent="0.25">
      <c r="A311" s="2">
        <v>629</v>
      </c>
      <c r="B311" s="2" t="str">
        <f>TEXT(Таблица97[[#This Row],[Дата]],"ГГ")&amp;RIGHT("000"&amp;Таблица97[[#This Row],[Номер]],4)</f>
        <v>160629</v>
      </c>
      <c r="C311" s="129">
        <v>42725</v>
      </c>
      <c r="D311" s="2" t="s">
        <v>91</v>
      </c>
      <c r="E311" s="108">
        <v>106722</v>
      </c>
      <c r="F311" s="129">
        <v>42726</v>
      </c>
      <c r="H311" s="129">
        <v>42727</v>
      </c>
      <c r="I311" s="108">
        <f t="shared" si="14"/>
        <v>106722</v>
      </c>
      <c r="J311" s="108" t="str">
        <f>IF(Таблица97[[#This Row],[НК]]=1,Таблица97[[#This Row],[Продажа]],"")</f>
        <v/>
      </c>
      <c r="L311" s="108">
        <v>600</v>
      </c>
      <c r="M311" s="108">
        <v>81376</v>
      </c>
      <c r="N311" s="108">
        <f>Таблица97[[#This Row],[Продажа]]-Таблица97[[#This Row],[Закупка]]</f>
        <v>25346</v>
      </c>
      <c r="O311" s="108" t="str">
        <f>IF(Таблица97[[#This Row],[НК]]=1,Таблица97[[#This Row],[Маржа]],"")</f>
        <v/>
      </c>
    </row>
    <row r="312" spans="1:15" ht="20.100000000000001" customHeight="1" x14ac:dyDescent="0.25">
      <c r="A312" s="2">
        <v>629</v>
      </c>
      <c r="B312" s="2" t="str">
        <f>TEXT(Таблица97[[#This Row],[Дата]],"ГГ")&amp;RIGHT("000"&amp;Таблица97[[#This Row],[Номер]],4)</f>
        <v>160629</v>
      </c>
      <c r="C312" s="129">
        <v>42726</v>
      </c>
      <c r="D312" s="2" t="s">
        <v>209</v>
      </c>
      <c r="E312" s="108">
        <v>48190</v>
      </c>
      <c r="F312" s="129">
        <v>42726</v>
      </c>
      <c r="G312" s="128">
        <v>1</v>
      </c>
      <c r="H312" s="129">
        <v>42727</v>
      </c>
      <c r="I312" s="108">
        <f t="shared" si="14"/>
        <v>48190</v>
      </c>
      <c r="J312" s="108">
        <f>IF(Таблица97[[#This Row],[НК]]=1,Таблица97[[#This Row],[Продажа]],"")</f>
        <v>48190</v>
      </c>
      <c r="M312" s="108">
        <v>36279</v>
      </c>
      <c r="N312" s="108">
        <f>Таблица97[[#This Row],[Продажа]]-Таблица97[[#This Row],[Закупка]]</f>
        <v>11911</v>
      </c>
      <c r="O312" s="108">
        <f>IF(Таблица97[[#This Row],[НК]]=1,Таблица97[[#This Row],[Маржа]],"")</f>
        <v>11911</v>
      </c>
    </row>
    <row r="313" spans="1:15" ht="20.100000000000001" customHeight="1" x14ac:dyDescent="0.25">
      <c r="A313" s="2">
        <v>604</v>
      </c>
      <c r="B313" s="2" t="str">
        <f>TEXT(Таблица97[[#This Row],[Дата]],"ГГ")&amp;RIGHT("000"&amp;Таблица97[[#This Row],[Номер]],4)</f>
        <v>160604</v>
      </c>
      <c r="C313" s="129">
        <v>42716</v>
      </c>
      <c r="D313" s="2" t="s">
        <v>50</v>
      </c>
      <c r="E313" s="108">
        <v>49578.400000000001</v>
      </c>
      <c r="F313" s="129">
        <v>42731</v>
      </c>
      <c r="H313" s="129">
        <v>42761</v>
      </c>
      <c r="I313" s="108">
        <f t="shared" si="14"/>
        <v>49578.400000000001</v>
      </c>
      <c r="J313" s="108" t="str">
        <f>IF(Таблица97[[#This Row],[НК]]=1,Таблица97[[#This Row],[Продажа]],"")</f>
        <v/>
      </c>
      <c r="M313" s="108">
        <v>38780</v>
      </c>
      <c r="N313" s="108">
        <f>Таблица97[[#This Row],[Продажа]]-Таблица97[[#This Row],[Закупка]]</f>
        <v>10798.400000000001</v>
      </c>
      <c r="O313" s="108" t="str">
        <f>IF(Таблица97[[#This Row],[НК]]=1,Таблица97[[#This Row],[Маржа]],"")</f>
        <v/>
      </c>
    </row>
    <row r="314" spans="1:15" ht="20.100000000000001" customHeight="1" x14ac:dyDescent="0.25">
      <c r="A314" s="2">
        <v>632</v>
      </c>
      <c r="B314" s="2" t="str">
        <f>TEXT(Таблица97[[#This Row],[Дата]],"ГГ")&amp;RIGHT("000"&amp;Таблица97[[#This Row],[Номер]],4)</f>
        <v>160632</v>
      </c>
      <c r="C314" s="129">
        <v>42726</v>
      </c>
      <c r="D314" s="2" t="s">
        <v>210</v>
      </c>
      <c r="E314" s="108">
        <v>12090</v>
      </c>
      <c r="F314" s="129">
        <v>42732</v>
      </c>
      <c r="G314" s="128">
        <v>1</v>
      </c>
      <c r="H314" s="129">
        <v>42726</v>
      </c>
      <c r="I314" s="108">
        <f t="shared" si="14"/>
        <v>12090</v>
      </c>
      <c r="J314" s="108">
        <f>IF(Таблица97[[#This Row],[НК]]=1,Таблица97[[#This Row],[Продажа]],"")</f>
        <v>12090</v>
      </c>
      <c r="M314" s="108">
        <v>9662</v>
      </c>
      <c r="N314" s="108">
        <f>Таблица97[[#This Row],[Продажа]]-Таблица97[[#This Row],[Закупка]]</f>
        <v>2428</v>
      </c>
      <c r="O314" s="108">
        <f>IF(Таблица97[[#This Row],[НК]]=1,Таблица97[[#This Row],[Маржа]],"")</f>
        <v>2428</v>
      </c>
    </row>
    <row r="315" spans="1:15" ht="20.100000000000001" customHeight="1" x14ac:dyDescent="0.25">
      <c r="A315" s="2">
        <v>423</v>
      </c>
      <c r="B315" s="2" t="str">
        <f>TEXT(Таблица97[[#This Row],[Дата]],"ГГ")&amp;RIGHT("000"&amp;Таблица97[[#This Row],[Номер]],4)</f>
        <v>160423</v>
      </c>
      <c r="C315" s="129">
        <v>42620</v>
      </c>
      <c r="D315" s="2" t="s">
        <v>175</v>
      </c>
      <c r="E315" s="108">
        <v>20777.8</v>
      </c>
      <c r="F315" s="129">
        <v>42732</v>
      </c>
      <c r="H315" s="129">
        <v>42732</v>
      </c>
      <c r="I315" s="108">
        <f t="shared" si="14"/>
        <v>20777.8</v>
      </c>
      <c r="J315" s="108" t="str">
        <f>IF(Таблица97[[#This Row],[НК]]=1,Таблица97[[#This Row],[Продажа]],"")</f>
        <v/>
      </c>
      <c r="M315" s="108">
        <v>12468</v>
      </c>
      <c r="N315" s="108">
        <f>Таблица97[[#This Row],[Продажа]]-Таблица97[[#This Row],[Закупка]]</f>
        <v>8309.7999999999993</v>
      </c>
      <c r="O315" s="108" t="str">
        <f>IF(Таблица97[[#This Row],[НК]]=1,Таблица97[[#This Row],[Маржа]],"")</f>
        <v/>
      </c>
    </row>
    <row r="316" spans="1:15" ht="20.100000000000001" customHeight="1" x14ac:dyDescent="0.25">
      <c r="A316" s="2">
        <v>594</v>
      </c>
      <c r="B316" s="2" t="str">
        <f>TEXT(Таблица97[[#This Row],[Дата]],"ГГ")&amp;RIGHT("000"&amp;Таблица97[[#This Row],[Номер]],4)</f>
        <v>160594</v>
      </c>
      <c r="C316" s="129">
        <v>42711</v>
      </c>
      <c r="D316" s="2" t="s">
        <v>56</v>
      </c>
      <c r="E316" s="108">
        <v>45283.57</v>
      </c>
      <c r="F316" s="129">
        <v>42732</v>
      </c>
      <c r="H316" s="129">
        <v>42725</v>
      </c>
      <c r="I316" s="108">
        <f t="shared" si="14"/>
        <v>45283.57</v>
      </c>
      <c r="J316" s="108" t="str">
        <f>IF(Таблица97[[#This Row],[НК]]=1,Таблица97[[#This Row],[Продажа]],"")</f>
        <v/>
      </c>
      <c r="L316" s="108">
        <f>3*1200</f>
        <v>3600</v>
      </c>
      <c r="M316" s="108">
        <v>22259</v>
      </c>
      <c r="N316" s="108">
        <f>Таблица97[[#This Row],[Продажа]]-Таблица97[[#This Row],[Закупка]]</f>
        <v>23024.57</v>
      </c>
      <c r="O316" s="108" t="str">
        <f>IF(Таблица97[[#This Row],[НК]]=1,Таблица97[[#This Row],[Маржа]],"")</f>
        <v/>
      </c>
    </row>
    <row r="317" spans="1:15" ht="20.100000000000001" customHeight="1" x14ac:dyDescent="0.25">
      <c r="A317" s="2">
        <v>623</v>
      </c>
      <c r="B317" s="2" t="str">
        <f>TEXT(Таблица97[[#This Row],[Дата]],"ГГ")&amp;RIGHT("000"&amp;Таблица97[[#This Row],[Номер]],4)</f>
        <v>160623</v>
      </c>
      <c r="C317" s="129">
        <v>42724</v>
      </c>
      <c r="D317" s="2" t="s">
        <v>56</v>
      </c>
      <c r="E317" s="108">
        <v>4900</v>
      </c>
      <c r="F317" s="129">
        <v>42732</v>
      </c>
      <c r="H317" s="129">
        <v>42725</v>
      </c>
      <c r="I317" s="108">
        <f t="shared" si="14"/>
        <v>4900</v>
      </c>
      <c r="J317" s="108" t="str">
        <f>IF(Таблица97[[#This Row],[НК]]=1,Таблица97[[#This Row],[Продажа]],"")</f>
        <v/>
      </c>
      <c r="M317" s="108">
        <v>4366</v>
      </c>
      <c r="N317" s="108">
        <f>Таблица97[[#This Row],[Продажа]]-Таблица97[[#This Row],[Закупка]]</f>
        <v>534</v>
      </c>
      <c r="O317" s="108" t="str">
        <f>IF(Таблица97[[#This Row],[НК]]=1,Таблица97[[#This Row],[Маржа]],"")</f>
        <v/>
      </c>
    </row>
    <row r="318" spans="1:15" ht="20.100000000000001" customHeight="1" x14ac:dyDescent="0.25">
      <c r="A318" s="2">
        <v>642</v>
      </c>
      <c r="B318" s="2" t="str">
        <f>TEXT(Таблица97[[#This Row],[Дата]],"ГГ")&amp;RIGHT("000"&amp;Таблица97[[#This Row],[Номер]],4)</f>
        <v>160642</v>
      </c>
      <c r="C318" s="129">
        <v>42732</v>
      </c>
      <c r="D318" s="2" t="s">
        <v>56</v>
      </c>
      <c r="E318" s="108">
        <v>11352.22</v>
      </c>
      <c r="F318" s="129">
        <v>43099</v>
      </c>
      <c r="H318" s="129">
        <v>42732</v>
      </c>
      <c r="I318" s="108">
        <f t="shared" si="14"/>
        <v>11352.22</v>
      </c>
      <c r="J318" s="108" t="str">
        <f>IF(Таблица97[[#This Row],[НК]]=1,Таблица97[[#This Row],[Продажа]],"")</f>
        <v/>
      </c>
      <c r="M318" s="108">
        <v>7922</v>
      </c>
      <c r="N318" s="108">
        <f>Таблица97[[#This Row],[Продажа]]-Таблица97[[#This Row],[Закупка]]</f>
        <v>3430.2199999999993</v>
      </c>
      <c r="O318" s="108" t="str">
        <f>IF(Таблица97[[#This Row],[НК]]=1,Таблица97[[#This Row],[Маржа]],"")</f>
        <v/>
      </c>
    </row>
    <row r="319" spans="1:15" ht="20.100000000000001" customHeight="1" x14ac:dyDescent="0.25">
      <c r="A319" s="2">
        <v>620</v>
      </c>
      <c r="B319" s="2" t="str">
        <f>TEXT(Таблица97[[#This Row],[Дата]],"ГГ")&amp;RIGHT("000"&amp;Таблица97[[#This Row],[Номер]],4)</f>
        <v>160620</v>
      </c>
      <c r="C319" s="129">
        <v>42719</v>
      </c>
      <c r="D319" s="2" t="s">
        <v>60</v>
      </c>
      <c r="E319" s="108">
        <v>22631.64</v>
      </c>
      <c r="F319" s="129">
        <v>42744</v>
      </c>
      <c r="H319" s="129">
        <v>42725</v>
      </c>
      <c r="I319" s="108">
        <f t="shared" ref="I319:I324" si="15">E319</f>
        <v>22631.64</v>
      </c>
      <c r="J319" s="108" t="str">
        <f>IF(Таблица97[[#This Row],[НК]]=1,Таблица97[[#This Row],[Продажа]],"")</f>
        <v/>
      </c>
      <c r="M319" s="108">
        <v>17604</v>
      </c>
      <c r="N319" s="108">
        <f>Таблица97[[#This Row],[Продажа]]-Таблица97[[#This Row],[Закупка]]</f>
        <v>5027.6399999999994</v>
      </c>
      <c r="O319" s="108" t="str">
        <f>IF(Таблица97[[#This Row],[НК]]=1,Таблица97[[#This Row],[Маржа]],"")</f>
        <v/>
      </c>
    </row>
    <row r="320" spans="1:15" ht="20.100000000000001" customHeight="1" x14ac:dyDescent="0.25">
      <c r="A320" s="2">
        <v>634</v>
      </c>
      <c r="B320" s="2" t="str">
        <f>TEXT(Таблица97[[#This Row],[Дата]],"ГГ")&amp;RIGHT("000"&amp;Таблица97[[#This Row],[Номер]],4)</f>
        <v>160634</v>
      </c>
      <c r="C320" s="129">
        <v>42730</v>
      </c>
      <c r="D320" s="2" t="s">
        <v>211</v>
      </c>
      <c r="E320" s="108">
        <v>51271.16</v>
      </c>
      <c r="F320" s="129">
        <v>42744</v>
      </c>
      <c r="H320" s="129">
        <v>42748</v>
      </c>
      <c r="I320" s="108">
        <f t="shared" si="15"/>
        <v>51271.16</v>
      </c>
      <c r="J320" s="108" t="str">
        <f>IF(Таблица97[[#This Row],[НК]]=1,Таблица97[[#This Row],[Продажа]],"")</f>
        <v/>
      </c>
      <c r="M320" s="108">
        <v>38651</v>
      </c>
      <c r="N320" s="108">
        <f>Таблица97[[#This Row],[Продажа]]-Таблица97[[#This Row],[Закупка]]</f>
        <v>12620.160000000003</v>
      </c>
      <c r="O320" s="108" t="str">
        <f>IF(Таблица97[[#This Row],[НК]]=1,Таблица97[[#This Row],[Маржа]],"")</f>
        <v/>
      </c>
    </row>
    <row r="321" spans="1:15" ht="20.100000000000001" customHeight="1" x14ac:dyDescent="0.25">
      <c r="A321" s="2">
        <v>3</v>
      </c>
      <c r="B321" s="2" t="str">
        <f>TEXT(Таблица97[[#This Row],[Дата]],"ГГ")&amp;RIGHT("000"&amp;Таблица97[[#This Row],[Номер]],4)</f>
        <v>170003</v>
      </c>
      <c r="C321" s="129">
        <v>42745</v>
      </c>
      <c r="D321" s="2" t="s">
        <v>212</v>
      </c>
      <c r="E321" s="108">
        <v>51565.24</v>
      </c>
      <c r="F321" s="129">
        <v>42745</v>
      </c>
      <c r="G321" s="128">
        <v>1</v>
      </c>
      <c r="H321" s="129">
        <v>42760</v>
      </c>
      <c r="I321" s="108">
        <f t="shared" si="15"/>
        <v>51565.24</v>
      </c>
      <c r="J321" s="108">
        <f>IF(Таблица97[[#This Row],[НК]]=1,Таблица97[[#This Row],[Продажа]],"")</f>
        <v>51565.24</v>
      </c>
      <c r="M321" s="108">
        <v>38436</v>
      </c>
      <c r="N321" s="108">
        <f>Таблица97[[#This Row],[Продажа]]-Таблица97[[#This Row],[Закупка]]</f>
        <v>13129.239999999998</v>
      </c>
      <c r="O321" s="108">
        <f>IF(Таблица97[[#This Row],[НК]]=1,Таблица97[[#This Row],[Маржа]],"")</f>
        <v>13129.239999999998</v>
      </c>
    </row>
    <row r="322" spans="1:15" ht="20.100000000000001" customHeight="1" x14ac:dyDescent="0.25">
      <c r="A322" s="2">
        <v>621</v>
      </c>
      <c r="B322" s="2" t="str">
        <f>TEXT(Таблица97[[#This Row],[Дата]],"ГГ")&amp;RIGHT("000"&amp;Таблица97[[#This Row],[Номер]],4)</f>
        <v>160621</v>
      </c>
      <c r="C322" s="129">
        <v>42720</v>
      </c>
      <c r="D322" s="2" t="s">
        <v>21</v>
      </c>
      <c r="E322" s="108">
        <v>3962.53</v>
      </c>
      <c r="F322" s="129">
        <v>42746</v>
      </c>
      <c r="H322" s="129">
        <v>42751</v>
      </c>
      <c r="I322" s="108">
        <f t="shared" si="15"/>
        <v>3962.53</v>
      </c>
      <c r="J322" s="108" t="str">
        <f>IF(Таблица97[[#This Row],[НК]]=1,Таблица97[[#This Row],[Продажа]],"")</f>
        <v/>
      </c>
      <c r="M322" s="108">
        <v>558.13</v>
      </c>
      <c r="N322" s="108">
        <f>Таблица97[[#This Row],[Продажа]]-Таблица97[[#This Row],[Закупка]]</f>
        <v>3404.4</v>
      </c>
      <c r="O322" s="108" t="str">
        <f>IF(Таблица97[[#This Row],[НК]]=1,Таблица97[[#This Row],[Маржа]],"")</f>
        <v/>
      </c>
    </row>
    <row r="323" spans="1:15" ht="20.100000000000001" customHeight="1" x14ac:dyDescent="0.25">
      <c r="A323" s="2">
        <v>641</v>
      </c>
      <c r="B323" s="2" t="str">
        <f>TEXT(Таблица97[[#This Row],[Дата]],"ГГ")&amp;RIGHT("000"&amp;Таблица97[[#This Row],[Номер]],4)</f>
        <v>160641</v>
      </c>
      <c r="C323" s="129">
        <v>42732</v>
      </c>
      <c r="D323" s="2" t="s">
        <v>97</v>
      </c>
      <c r="E323" s="108">
        <v>26432.799999999999</v>
      </c>
      <c r="F323" s="129">
        <v>42747</v>
      </c>
      <c r="H323" s="129">
        <v>42774</v>
      </c>
      <c r="I323" s="108">
        <f t="shared" si="15"/>
        <v>26432.799999999999</v>
      </c>
      <c r="J323" s="108" t="str">
        <f>IF(Таблица97[[#This Row],[НК]]=1,Таблица97[[#This Row],[Продажа]],"")</f>
        <v/>
      </c>
      <c r="M323" s="108">
        <v>18096</v>
      </c>
      <c r="N323" s="108">
        <f>Таблица97[[#This Row],[Продажа]]-Таблица97[[#This Row],[Закупка]]</f>
        <v>8336.7999999999993</v>
      </c>
      <c r="O323" s="108" t="str">
        <f>IF(Таблица97[[#This Row],[НК]]=1,Таблица97[[#This Row],[Маржа]],"")</f>
        <v/>
      </c>
    </row>
    <row r="324" spans="1:15" ht="20.100000000000001" customHeight="1" x14ac:dyDescent="0.25">
      <c r="A324" s="2">
        <v>557</v>
      </c>
      <c r="B324" s="2" t="str">
        <f>TEXT(Таблица97[[#This Row],[Дата]],"ГГ")&amp;RIGHT("000"&amp;Таблица97[[#This Row],[Номер]],4)</f>
        <v>170557</v>
      </c>
      <c r="C324" s="129">
        <v>43088</v>
      </c>
      <c r="D324" s="2" t="s">
        <v>11</v>
      </c>
      <c r="E324" s="108">
        <v>24180</v>
      </c>
      <c r="F324" s="129">
        <v>42748</v>
      </c>
      <c r="H324" s="129">
        <v>42775</v>
      </c>
      <c r="I324" s="108">
        <f t="shared" si="15"/>
        <v>24180</v>
      </c>
      <c r="J324" s="108" t="str">
        <f>IF(Таблица97[[#This Row],[НК]]=1,Таблица97[[#This Row],[Продажа]],"")</f>
        <v/>
      </c>
      <c r="M324" s="108">
        <f>8920*2</f>
        <v>17840</v>
      </c>
      <c r="N324" s="108">
        <f>Таблица97[[#This Row],[Продажа]]-Таблица97[[#This Row],[Закупка]]</f>
        <v>6340</v>
      </c>
      <c r="O324" s="108" t="str">
        <f>IF(Таблица97[[#This Row],[НК]]=1,Таблица97[[#This Row],[Маржа]],"")</f>
        <v/>
      </c>
    </row>
    <row r="325" spans="1:15" ht="20.100000000000001" customHeight="1" x14ac:dyDescent="0.25">
      <c r="A325" s="2">
        <v>4</v>
      </c>
      <c r="B325" s="2" t="str">
        <f>TEXT(Таблица97[[#This Row],[Дата]],"ГГ")&amp;RIGHT("000"&amp;Таблица97[[#This Row],[Номер]],4)</f>
        <v>170004</v>
      </c>
      <c r="C325" s="129">
        <v>42745</v>
      </c>
      <c r="D325" s="2" t="s">
        <v>180</v>
      </c>
      <c r="E325" s="108">
        <v>113190</v>
      </c>
      <c r="F325" s="129">
        <v>42751</v>
      </c>
      <c r="H325" s="129">
        <v>42768</v>
      </c>
      <c r="I325" s="108">
        <f>E325/2</f>
        <v>56595</v>
      </c>
      <c r="J325" s="108" t="str">
        <f>IF(Таблица97[[#This Row],[НК]]=1,Таблица97[[#This Row],[Продажа]],"")</f>
        <v/>
      </c>
      <c r="M325" s="108">
        <v>39535</v>
      </c>
      <c r="N325" s="108">
        <f>Таблица97[[#This Row],[Продажа]]-Таблица97[[#This Row],[Закупка]]</f>
        <v>17060</v>
      </c>
      <c r="O325" s="108" t="str">
        <f>IF(Таблица97[[#This Row],[НК]]=1,Таблица97[[#This Row],[Маржа]],"")</f>
        <v/>
      </c>
    </row>
    <row r="326" spans="1:15" ht="20.100000000000001" customHeight="1" x14ac:dyDescent="0.25">
      <c r="A326" s="2">
        <v>16</v>
      </c>
      <c r="B326" s="2" t="str">
        <f>TEXT(Таблица97[[#This Row],[Дата]],"ГГ")&amp;RIGHT("000"&amp;Таблица97[[#This Row],[Номер]],4)</f>
        <v>170016</v>
      </c>
      <c r="C326" s="129">
        <v>42747</v>
      </c>
      <c r="D326" s="2" t="s">
        <v>213</v>
      </c>
      <c r="E326" s="108">
        <v>28590</v>
      </c>
      <c r="F326" s="129">
        <v>42751</v>
      </c>
      <c r="G326" s="128">
        <v>1</v>
      </c>
      <c r="H326" s="129">
        <v>42762</v>
      </c>
      <c r="I326" s="108">
        <f>E326</f>
        <v>28590</v>
      </c>
      <c r="J326" s="108">
        <f>IF(Таблица97[[#This Row],[НК]]=1,Таблица97[[#This Row],[Продажа]],"")</f>
        <v>28590</v>
      </c>
      <c r="M326" s="108">
        <v>21614</v>
      </c>
      <c r="N326" s="108">
        <f>Таблица97[[#This Row],[Продажа]]-Таблица97[[#This Row],[Закупка]]</f>
        <v>6976</v>
      </c>
      <c r="O326" s="108">
        <f>IF(Таблица97[[#This Row],[НК]]=1,Таблица97[[#This Row],[Маржа]],"")</f>
        <v>6976</v>
      </c>
    </row>
    <row r="327" spans="1:15" ht="20.100000000000001" customHeight="1" x14ac:dyDescent="0.25">
      <c r="A327" s="2">
        <v>27</v>
      </c>
      <c r="B327" s="2" t="str">
        <f>TEXT(Таблица97[[#This Row],[Дата]],"ГГ")&amp;RIGHT("000"&amp;Таблица97[[#This Row],[Номер]],4)</f>
        <v>170027</v>
      </c>
      <c r="C327" s="129">
        <v>42753</v>
      </c>
      <c r="D327" s="2" t="s">
        <v>214</v>
      </c>
      <c r="E327" s="108">
        <v>30700</v>
      </c>
      <c r="F327" s="129">
        <v>42754</v>
      </c>
      <c r="G327" s="128">
        <v>1</v>
      </c>
      <c r="H327" s="129">
        <v>42794</v>
      </c>
      <c r="I327" s="108">
        <f>E327</f>
        <v>30700</v>
      </c>
      <c r="J327" s="108">
        <f>IF(Таблица97[[#This Row],[НК]]=1,Таблица97[[#This Row],[Продажа]],"")</f>
        <v>30700</v>
      </c>
      <c r="M327" s="108">
        <v>23122</v>
      </c>
      <c r="N327" s="108">
        <f>Таблица97[[#This Row],[Продажа]]-Таблица97[[#This Row],[Закупка]]</f>
        <v>7578</v>
      </c>
      <c r="O327" s="108">
        <f>IF(Таблица97[[#This Row],[НК]]=1,Таблица97[[#This Row],[Маржа]],"")</f>
        <v>7578</v>
      </c>
    </row>
    <row r="328" spans="1:15" ht="20.100000000000001" customHeight="1" x14ac:dyDescent="0.25">
      <c r="A328" s="2">
        <v>21</v>
      </c>
      <c r="B328" s="2" t="str">
        <f>TEXT(Таблица97[[#This Row],[Дата]],"ГГ")&amp;RIGHT("000"&amp;Таблица97[[#This Row],[Номер]],4)</f>
        <v>170021</v>
      </c>
      <c r="C328" s="129">
        <v>42751</v>
      </c>
      <c r="D328" s="2" t="s">
        <v>180</v>
      </c>
      <c r="E328" s="108">
        <v>126654.02</v>
      </c>
      <c r="F328" s="129">
        <v>42754</v>
      </c>
      <c r="H328" s="129">
        <v>42804</v>
      </c>
      <c r="I328" s="108">
        <f>E328/2</f>
        <v>63327.01</v>
      </c>
      <c r="J328" s="108" t="str">
        <f>IF(Таблица97[[#This Row],[НК]]=1,Таблица97[[#This Row],[Продажа]],"")</f>
        <v/>
      </c>
      <c r="M328" s="108">
        <v>45579</v>
      </c>
      <c r="N328" s="108">
        <f>Таблица97[[#This Row],[Продажа]]-Таблица97[[#This Row],[Закупка]]</f>
        <v>17748.010000000002</v>
      </c>
      <c r="O328" s="108" t="str">
        <f>IF(Таблица97[[#This Row],[НК]]=1,Таблица97[[#This Row],[Маржа]],"")</f>
        <v/>
      </c>
    </row>
    <row r="329" spans="1:15" ht="20.100000000000001" customHeight="1" x14ac:dyDescent="0.25">
      <c r="A329" s="2">
        <v>28</v>
      </c>
      <c r="B329" s="2" t="str">
        <f>TEXT(Таблица97[[#This Row],[Дата]],"ГГ")&amp;RIGHT("000"&amp;Таблица97[[#This Row],[Номер]],4)</f>
        <v>170028</v>
      </c>
      <c r="C329" s="129">
        <v>42753</v>
      </c>
      <c r="D329" s="2" t="s">
        <v>215</v>
      </c>
      <c r="E329" s="108">
        <v>61580</v>
      </c>
      <c r="F329" s="129">
        <v>42755</v>
      </c>
      <c r="G329" s="128">
        <v>1</v>
      </c>
      <c r="H329" s="129">
        <v>42761</v>
      </c>
      <c r="I329" s="108">
        <f t="shared" ref="I329:I335" si="16">E329</f>
        <v>61580</v>
      </c>
      <c r="J329" s="108">
        <f>IF(Таблица97[[#This Row],[НК]]=1,Таблица97[[#This Row],[Продажа]],"")</f>
        <v>61580</v>
      </c>
      <c r="M329" s="108">
        <v>44108</v>
      </c>
      <c r="N329" s="108">
        <f>Таблица97[[#This Row],[Продажа]]-Таблица97[[#This Row],[Закупка]]</f>
        <v>17472</v>
      </c>
      <c r="O329" s="108">
        <f>IF(Таблица97[[#This Row],[НК]]=1,Таблица97[[#This Row],[Маржа]],"")</f>
        <v>17472</v>
      </c>
    </row>
    <row r="330" spans="1:15" ht="20.100000000000001" customHeight="1" x14ac:dyDescent="0.25">
      <c r="A330" s="2">
        <v>32</v>
      </c>
      <c r="B330" s="2" t="str">
        <f>TEXT(Таблица97[[#This Row],[Дата]],"ГГ")&amp;RIGHT("000"&amp;Таблица97[[#This Row],[Номер]],4)</f>
        <v>170032</v>
      </c>
      <c r="C330" s="129">
        <v>42754</v>
      </c>
      <c r="D330" s="2" t="s">
        <v>216</v>
      </c>
      <c r="E330" s="108">
        <v>3990</v>
      </c>
      <c r="F330" s="129">
        <v>42755</v>
      </c>
      <c r="H330" s="129">
        <v>42779</v>
      </c>
      <c r="I330" s="108">
        <f t="shared" si="16"/>
        <v>3990</v>
      </c>
      <c r="J330" s="108" t="str">
        <f>IF(Таблица97[[#This Row],[НК]]=1,Таблица97[[#This Row],[Продажа]],"")</f>
        <v/>
      </c>
      <c r="M330" s="108">
        <v>2933</v>
      </c>
      <c r="N330" s="108">
        <f>Таблица97[[#This Row],[Продажа]]-Таблица97[[#This Row],[Закупка]]</f>
        <v>1057</v>
      </c>
      <c r="O330" s="108" t="str">
        <f>IF(Таблица97[[#This Row],[НК]]=1,Таблица97[[#This Row],[Маржа]],"")</f>
        <v/>
      </c>
    </row>
    <row r="331" spans="1:15" ht="20.100000000000001" customHeight="1" x14ac:dyDescent="0.25">
      <c r="A331" s="2">
        <v>13</v>
      </c>
      <c r="B331" s="2" t="str">
        <f>TEXT(Таблица97[[#This Row],[Дата]],"ГГ")&amp;RIGHT("000"&amp;Таблица97[[#This Row],[Номер]],4)</f>
        <v>170013</v>
      </c>
      <c r="C331" s="129">
        <v>42746</v>
      </c>
      <c r="D331" s="2" t="s">
        <v>13</v>
      </c>
      <c r="E331" s="108">
        <v>11941.15</v>
      </c>
      <c r="F331" s="129">
        <v>42758</v>
      </c>
      <c r="H331" s="129">
        <v>42748</v>
      </c>
      <c r="I331" s="108">
        <f t="shared" si="16"/>
        <v>11941.15</v>
      </c>
      <c r="J331" s="108" t="str">
        <f>IF(Таблица97[[#This Row],[НК]]=1,Таблица97[[#This Row],[Продажа]],"")</f>
        <v/>
      </c>
      <c r="M331" s="108">
        <v>9030</v>
      </c>
      <c r="N331" s="108">
        <f>Таблица97[[#This Row],[Продажа]]-Таблица97[[#This Row],[Закупка]]</f>
        <v>2911.1499999999996</v>
      </c>
      <c r="O331" s="108" t="str">
        <f>IF(Таблица97[[#This Row],[НК]]=1,Таблица97[[#This Row],[Маржа]],"")</f>
        <v/>
      </c>
    </row>
    <row r="332" spans="1:15" ht="20.100000000000001" customHeight="1" x14ac:dyDescent="0.25">
      <c r="A332" s="2">
        <v>12</v>
      </c>
      <c r="B332" s="2" t="str">
        <f>TEXT(Таблица97[[#This Row],[Дата]],"ГГ")&amp;RIGHT("000"&amp;Таблица97[[#This Row],[Номер]],4)</f>
        <v>170012</v>
      </c>
      <c r="C332" s="129">
        <v>42746</v>
      </c>
      <c r="D332" s="2" t="s">
        <v>175</v>
      </c>
      <c r="E332" s="108">
        <v>9556</v>
      </c>
      <c r="F332" s="129">
        <v>42759</v>
      </c>
      <c r="H332" s="129">
        <v>42760</v>
      </c>
      <c r="I332" s="108">
        <f t="shared" si="16"/>
        <v>9556</v>
      </c>
      <c r="J332" s="108" t="str">
        <f>IF(Таблица97[[#This Row],[НК]]=1,Таблица97[[#This Row],[Продажа]],"")</f>
        <v/>
      </c>
      <c r="M332" s="108">
        <v>7224</v>
      </c>
      <c r="N332" s="108">
        <f>Таблица97[[#This Row],[Продажа]]-Таблица97[[#This Row],[Закупка]]</f>
        <v>2332</v>
      </c>
      <c r="O332" s="108" t="str">
        <f>IF(Таблица97[[#This Row],[НК]]=1,Таблица97[[#This Row],[Маржа]],"")</f>
        <v/>
      </c>
    </row>
    <row r="333" spans="1:15" ht="20.100000000000001" customHeight="1" x14ac:dyDescent="0.25">
      <c r="A333" s="2">
        <v>479</v>
      </c>
      <c r="B333" s="2" t="str">
        <f>TEXT(Таблица97[[#This Row],[Дата]],"ГГ")&amp;RIGHT("000"&amp;Таблица97[[#This Row],[Номер]],4)</f>
        <v>160479</v>
      </c>
      <c r="C333" s="129">
        <v>42647</v>
      </c>
      <c r="D333" s="2" t="s">
        <v>99</v>
      </c>
      <c r="E333" s="108">
        <v>238082.1</v>
      </c>
      <c r="F333" s="129">
        <v>42759</v>
      </c>
      <c r="H333" s="129">
        <v>42725</v>
      </c>
      <c r="I333" s="108">
        <f t="shared" si="16"/>
        <v>238082.1</v>
      </c>
      <c r="J333" s="108" t="str">
        <f>IF(Таблица97[[#This Row],[НК]]=1,Таблица97[[#This Row],[Продажа]],"")</f>
        <v/>
      </c>
      <c r="K333" s="108">
        <f>8*3000</f>
        <v>24000</v>
      </c>
      <c r="M333" s="108">
        <v>61584</v>
      </c>
      <c r="N333" s="108">
        <f>Таблица97[[#This Row],[Продажа]]-Таблица97[[#This Row],[Закупка]]</f>
        <v>176498.1</v>
      </c>
      <c r="O333" s="108" t="str">
        <f>IF(Таблица97[[#This Row],[НК]]=1,Таблица97[[#This Row],[Маржа]],"")</f>
        <v/>
      </c>
    </row>
    <row r="334" spans="1:15" ht="20.100000000000001" customHeight="1" x14ac:dyDescent="0.25">
      <c r="A334" s="2">
        <v>596</v>
      </c>
      <c r="B334" s="2" t="str">
        <f>TEXT(Таблица97[[#This Row],[Дата]],"ГГ")&amp;RIGHT("000"&amp;Таблица97[[#This Row],[Номер]],4)</f>
        <v>160596</v>
      </c>
      <c r="C334" s="129">
        <v>42711</v>
      </c>
      <c r="D334" s="2" t="s">
        <v>99</v>
      </c>
      <c r="E334" s="108">
        <v>150176.26</v>
      </c>
      <c r="F334" s="129">
        <v>42759</v>
      </c>
      <c r="H334" s="129">
        <v>42725</v>
      </c>
      <c r="I334" s="108">
        <f t="shared" si="16"/>
        <v>150176.26</v>
      </c>
      <c r="J334" s="108" t="str">
        <f>IF(Таблица97[[#This Row],[НК]]=1,Таблица97[[#This Row],[Продажа]],"")</f>
        <v/>
      </c>
      <c r="K334" s="108">
        <f>15*3000</f>
        <v>45000</v>
      </c>
      <c r="M334" s="108">
        <v>50490</v>
      </c>
      <c r="N334" s="108">
        <f>Таблица97[[#This Row],[Продажа]]-Таблица97[[#This Row],[Закупка]]</f>
        <v>99686.260000000009</v>
      </c>
      <c r="O334" s="108" t="str">
        <f>IF(Таблица97[[#This Row],[НК]]=1,Таблица97[[#This Row],[Маржа]],"")</f>
        <v/>
      </c>
    </row>
    <row r="335" spans="1:15" ht="20.100000000000001" customHeight="1" x14ac:dyDescent="0.25">
      <c r="A335" s="2">
        <v>40</v>
      </c>
      <c r="B335" s="2" t="str">
        <f>TEXT(Таблица97[[#This Row],[Дата]],"ГГ")&amp;RIGHT("000"&amp;Таблица97[[#This Row],[Номер]],4)</f>
        <v>170040</v>
      </c>
      <c r="C335" s="129">
        <v>42759</v>
      </c>
      <c r="D335" s="2" t="s">
        <v>217</v>
      </c>
      <c r="E335" s="108">
        <v>23617.48</v>
      </c>
      <c r="F335" s="129">
        <v>42761</v>
      </c>
      <c r="G335" s="128">
        <v>1</v>
      </c>
      <c r="H335" s="129">
        <v>42781</v>
      </c>
      <c r="I335" s="108">
        <f t="shared" si="16"/>
        <v>23617.48</v>
      </c>
      <c r="J335" s="108">
        <f>IF(Таблица97[[#This Row],[НК]]=1,Таблица97[[#This Row],[Продажа]],"")</f>
        <v>23617.48</v>
      </c>
      <c r="M335" s="108">
        <v>18420</v>
      </c>
      <c r="N335" s="108">
        <f>Таблица97[[#This Row],[Продажа]]-Таблица97[[#This Row],[Закупка]]</f>
        <v>5197.4799999999996</v>
      </c>
      <c r="O335" s="108">
        <f>IF(Таблица97[[#This Row],[НК]]=1,Таблица97[[#This Row],[Маржа]],"")</f>
        <v>5197.4799999999996</v>
      </c>
    </row>
    <row r="336" spans="1:15" ht="20.100000000000001" customHeight="1" x14ac:dyDescent="0.25">
      <c r="A336" s="2">
        <v>558</v>
      </c>
      <c r="B336" s="2" t="str">
        <f>TEXT(Таблица97[[#This Row],[Дата]],"ГГ")&amp;RIGHT("000"&amp;Таблица97[[#This Row],[Номер]],4)</f>
        <v>160558</v>
      </c>
      <c r="C336" s="129">
        <v>42697</v>
      </c>
      <c r="D336" s="2" t="s">
        <v>180</v>
      </c>
      <c r="E336" s="108">
        <v>323253.98</v>
      </c>
      <c r="F336" s="129">
        <v>42761</v>
      </c>
      <c r="H336" s="129">
        <v>42766</v>
      </c>
      <c r="I336" s="108">
        <f>E336/2</f>
        <v>161626.99</v>
      </c>
      <c r="J336" s="108" t="str">
        <f>IF(Таблица97[[#This Row],[НК]]=1,Таблица97[[#This Row],[Продажа]],"")</f>
        <v/>
      </c>
      <c r="M336" s="108">
        <v>116872</v>
      </c>
      <c r="N336" s="108">
        <f>Таблица97[[#This Row],[Продажа]]-Таблица97[[#This Row],[Закупка]]</f>
        <v>44754.989999999991</v>
      </c>
      <c r="O336" s="108" t="str">
        <f>IF(Таблица97[[#This Row],[НК]]=1,Таблица97[[#This Row],[Маржа]],"")</f>
        <v/>
      </c>
    </row>
    <row r="337" spans="1:15" ht="20.100000000000001" customHeight="1" x14ac:dyDescent="0.25">
      <c r="A337" s="2">
        <v>35</v>
      </c>
      <c r="B337" s="2" t="str">
        <f>TEXT(Таблица97[[#This Row],[Дата]],"ГГ")&amp;RIGHT("000"&amp;Таблица97[[#This Row],[Номер]],4)</f>
        <v>170035</v>
      </c>
      <c r="C337" s="129">
        <v>42758</v>
      </c>
      <c r="D337" s="2" t="s">
        <v>139</v>
      </c>
      <c r="E337" s="108">
        <v>1206.44</v>
      </c>
      <c r="F337" s="129">
        <v>42761</v>
      </c>
      <c r="H337" s="129">
        <v>42787</v>
      </c>
      <c r="I337" s="108">
        <f>E337</f>
        <v>1206.44</v>
      </c>
      <c r="J337" s="108" t="str">
        <f>IF(Таблица97[[#This Row],[НК]]=1,Таблица97[[#This Row],[Продажа]],"")</f>
        <v/>
      </c>
      <c r="M337" s="108">
        <v>822</v>
      </c>
      <c r="N337" s="108">
        <f>Таблица97[[#This Row],[Продажа]]-Таблица97[[#This Row],[Закупка]]</f>
        <v>384.44000000000005</v>
      </c>
      <c r="O337" s="108" t="str">
        <f>IF(Таблица97[[#This Row],[НК]]=1,Таблица97[[#This Row],[Маржа]],"")</f>
        <v/>
      </c>
    </row>
    <row r="338" spans="1:15" ht="20.100000000000001" customHeight="1" x14ac:dyDescent="0.25">
      <c r="A338" s="2">
        <v>4</v>
      </c>
      <c r="B338" s="2" t="str">
        <f>TEXT(Таблица97[[#This Row],[Дата]],"ГГ")&amp;RIGHT("000"&amp;Таблица97[[#This Row],[Номер]],4)</f>
        <v>170004</v>
      </c>
      <c r="C338" s="129">
        <v>42745</v>
      </c>
      <c r="D338" s="2" t="s">
        <v>180</v>
      </c>
      <c r="E338" s="108">
        <v>113190</v>
      </c>
      <c r="F338" s="129">
        <v>42765</v>
      </c>
      <c r="H338" s="129">
        <v>42768</v>
      </c>
      <c r="I338" s="108">
        <f>E338/2</f>
        <v>56595</v>
      </c>
      <c r="J338" s="108" t="str">
        <f>IF(Таблица97[[#This Row],[НК]]=1,Таблица97[[#This Row],[Продажа]],"")</f>
        <v/>
      </c>
      <c r="M338" s="108">
        <v>39535</v>
      </c>
      <c r="N338" s="108">
        <f>Таблица97[[#This Row],[Продажа]]-Таблица97[[#This Row],[Закупка]]</f>
        <v>17060</v>
      </c>
      <c r="O338" s="108" t="str">
        <f>IF(Таблица97[[#This Row],[НК]]=1,Таблица97[[#This Row],[Маржа]],"")</f>
        <v/>
      </c>
    </row>
    <row r="339" spans="1:15" ht="20.100000000000001" customHeight="1" x14ac:dyDescent="0.25">
      <c r="A339" s="2">
        <v>10</v>
      </c>
      <c r="B339" s="2" t="str">
        <f>TEXT(Таблица97[[#This Row],[Дата]],"ГГ")&amp;RIGHT("000"&amp;Таблица97[[#This Row],[Номер]],4)</f>
        <v>170010</v>
      </c>
      <c r="C339" s="129">
        <v>42754</v>
      </c>
      <c r="D339" s="2" t="s">
        <v>56</v>
      </c>
      <c r="E339" s="108">
        <v>120618.58</v>
      </c>
      <c r="F339" s="129">
        <v>42768</v>
      </c>
      <c r="H339" s="129">
        <v>42762</v>
      </c>
      <c r="I339" s="108">
        <f t="shared" ref="I339:I361" si="17">E339</f>
        <v>120618.58</v>
      </c>
      <c r="J339" s="108" t="str">
        <f>IF(Таблица97[[#This Row],[НК]]=1,Таблица97[[#This Row],[Продажа]],"")</f>
        <v/>
      </c>
      <c r="M339" s="108">
        <v>78228</v>
      </c>
      <c r="N339" s="108">
        <f>Таблица97[[#This Row],[Продажа]]-Таблица97[[#This Row],[Закупка]]</f>
        <v>42390.58</v>
      </c>
      <c r="O339" s="108" t="str">
        <f>IF(Таблица97[[#This Row],[НК]]=1,Таблица97[[#This Row],[Маржа]],"")</f>
        <v/>
      </c>
    </row>
    <row r="340" spans="1:15" ht="20.100000000000001" customHeight="1" x14ac:dyDescent="0.25">
      <c r="A340" s="2">
        <v>51</v>
      </c>
      <c r="B340" s="2" t="str">
        <f>TEXT(Таблица97[[#This Row],[Дата]],"ГГ")&amp;RIGHT("000"&amp;Таблица97[[#This Row],[Номер]],4)</f>
        <v>170051</v>
      </c>
      <c r="C340" s="129">
        <v>42767</v>
      </c>
      <c r="D340" s="2" t="s">
        <v>71</v>
      </c>
      <c r="E340" s="108">
        <v>2870.12</v>
      </c>
      <c r="F340" s="129">
        <v>42768</v>
      </c>
      <c r="H340" s="129">
        <v>42773</v>
      </c>
      <c r="I340" s="108">
        <f t="shared" si="17"/>
        <v>2870.12</v>
      </c>
      <c r="J340" s="108" t="str">
        <f>IF(Таблица97[[#This Row],[НК]]=1,Таблица97[[#This Row],[Продажа]],"")</f>
        <v/>
      </c>
      <c r="M340" s="108">
        <v>1976</v>
      </c>
      <c r="N340" s="108">
        <f>Таблица97[[#This Row],[Продажа]]-Таблица97[[#This Row],[Закупка]]</f>
        <v>894.11999999999989</v>
      </c>
      <c r="O340" s="108" t="str">
        <f>IF(Таблица97[[#This Row],[НК]]=1,Таблица97[[#This Row],[Маржа]],"")</f>
        <v/>
      </c>
    </row>
    <row r="341" spans="1:15" ht="20.100000000000001" customHeight="1" x14ac:dyDescent="0.25">
      <c r="A341" s="2">
        <v>43</v>
      </c>
      <c r="B341" s="2" t="str">
        <f>TEXT(Таблица97[[#This Row],[Дата]],"ГГ")&amp;RIGHT("000"&amp;Таблица97[[#This Row],[Номер]],4)</f>
        <v>170043</v>
      </c>
      <c r="C341" s="129">
        <v>42765</v>
      </c>
      <c r="D341" s="2" t="s">
        <v>208</v>
      </c>
      <c r="E341" s="108">
        <v>96378</v>
      </c>
      <c r="F341" s="129">
        <v>42769</v>
      </c>
      <c r="H341" s="129">
        <v>42773</v>
      </c>
      <c r="I341" s="108">
        <f t="shared" si="17"/>
        <v>96378</v>
      </c>
      <c r="J341" s="108" t="str">
        <f>IF(Таблица97[[#This Row],[НК]]=1,Таблица97[[#This Row],[Продажа]],"")</f>
        <v/>
      </c>
      <c r="K341" s="108">
        <v>8500</v>
      </c>
      <c r="L341" s="108">
        <v>1200</v>
      </c>
      <c r="M341" s="108">
        <v>68124</v>
      </c>
      <c r="N341" s="108">
        <f>Таблица97[[#This Row],[Продажа]]-Таблица97[[#This Row],[Закупка]]</f>
        <v>28254</v>
      </c>
      <c r="O341" s="108" t="str">
        <f>IF(Таблица97[[#This Row],[НК]]=1,Таблица97[[#This Row],[Маржа]],"")</f>
        <v/>
      </c>
    </row>
    <row r="342" spans="1:15" ht="20.100000000000001" customHeight="1" x14ac:dyDescent="0.25">
      <c r="A342" s="2">
        <v>45</v>
      </c>
      <c r="B342" s="2" t="str">
        <f>TEXT(Таблица97[[#This Row],[Дата]],"ГГ")&amp;RIGHT("000"&amp;Таблица97[[#This Row],[Номер]],4)</f>
        <v>170045</v>
      </c>
      <c r="C342" s="129">
        <v>42761</v>
      </c>
      <c r="D342" s="2" t="s">
        <v>218</v>
      </c>
      <c r="E342" s="108">
        <v>12945.82</v>
      </c>
      <c r="F342" s="129">
        <v>42769</v>
      </c>
      <c r="G342" s="128">
        <v>1</v>
      </c>
      <c r="H342" s="129">
        <v>42769</v>
      </c>
      <c r="I342" s="108">
        <f t="shared" si="17"/>
        <v>12945.82</v>
      </c>
      <c r="J342" s="108">
        <f>IF(Таблица97[[#This Row],[НК]]=1,Таблица97[[#This Row],[Продажа]],"")</f>
        <v>12945.82</v>
      </c>
      <c r="M342" s="108">
        <v>12902</v>
      </c>
      <c r="N342" s="108">
        <f>Таблица97[[#This Row],[Продажа]]-Таблица97[[#This Row],[Закупка]]</f>
        <v>43.819999999999709</v>
      </c>
      <c r="O342" s="108">
        <f>IF(Таблица97[[#This Row],[НК]]=1,Таблица97[[#This Row],[Маржа]],"")</f>
        <v>43.819999999999709</v>
      </c>
    </row>
    <row r="343" spans="1:15" ht="20.100000000000001" customHeight="1" x14ac:dyDescent="0.25">
      <c r="A343" s="2">
        <v>67</v>
      </c>
      <c r="B343" s="2" t="str">
        <f>TEXT(Таблица97[[#This Row],[Дата]],"ГГ")&amp;RIGHT("000"&amp;Таблица97[[#This Row],[Номер]],4)</f>
        <v>170067</v>
      </c>
      <c r="C343" s="129">
        <v>42772</v>
      </c>
      <c r="D343" s="2" t="s">
        <v>91</v>
      </c>
      <c r="E343" s="108">
        <v>4654</v>
      </c>
      <c r="F343" s="129">
        <v>42773</v>
      </c>
      <c r="H343" s="129">
        <v>42797</v>
      </c>
      <c r="I343" s="108">
        <f t="shared" si="17"/>
        <v>4654</v>
      </c>
      <c r="J343" s="108" t="str">
        <f>IF(Таблица97[[#This Row],[НК]]=1,Таблица97[[#This Row],[Продажа]],"")</f>
        <v/>
      </c>
      <c r="M343" s="108">
        <v>3980</v>
      </c>
      <c r="N343" s="108">
        <f>Таблица97[[#This Row],[Продажа]]-Таблица97[[#This Row],[Закупка]]</f>
        <v>674</v>
      </c>
      <c r="O343" s="108" t="str">
        <f>IF(Таблица97[[#This Row],[НК]]=1,Таблица97[[#This Row],[Маржа]],"")</f>
        <v/>
      </c>
    </row>
    <row r="344" spans="1:15" ht="20.100000000000001" customHeight="1" x14ac:dyDescent="0.25">
      <c r="A344" s="2">
        <v>2</v>
      </c>
      <c r="B344" s="2" t="str">
        <f>TEXT(Таблица97[[#This Row],[Дата]],"ГГ")&amp;RIGHT("000"&amp;Таблица97[[#This Row],[Номер]],4)</f>
        <v>170002</v>
      </c>
      <c r="C344" s="129">
        <v>42754</v>
      </c>
      <c r="D344" s="2" t="s">
        <v>219</v>
      </c>
      <c r="E344" s="108">
        <v>317428</v>
      </c>
      <c r="F344" s="129">
        <v>42774</v>
      </c>
      <c r="G344" s="128">
        <v>1</v>
      </c>
      <c r="H344" s="129">
        <v>42793</v>
      </c>
      <c r="I344" s="108">
        <f t="shared" si="17"/>
        <v>317428</v>
      </c>
      <c r="J344" s="108">
        <f>IF(Таблица97[[#This Row],[НК]]=1,Таблица97[[#This Row],[Продажа]],"")</f>
        <v>317428</v>
      </c>
      <c r="L344" s="108">
        <v>18000</v>
      </c>
      <c r="M344" s="108">
        <v>239053</v>
      </c>
      <c r="N344" s="108">
        <f>Таблица97[[#This Row],[Продажа]]-Таблица97[[#This Row],[Закупка]]</f>
        <v>78375</v>
      </c>
      <c r="O344" s="108">
        <f>IF(Таблица97[[#This Row],[НК]]=1,Таблица97[[#This Row],[Маржа]],"")</f>
        <v>78375</v>
      </c>
    </row>
    <row r="345" spans="1:15" ht="20.100000000000001" customHeight="1" x14ac:dyDescent="0.25">
      <c r="A345" s="2">
        <v>69</v>
      </c>
      <c r="B345" s="2" t="str">
        <f>TEXT(Таблица97[[#This Row],[Дата]],"ГГ")&amp;RIGHT("000"&amp;Таблица97[[#This Row],[Номер]],4)</f>
        <v>170069</v>
      </c>
      <c r="C345" s="129">
        <v>42772</v>
      </c>
      <c r="D345" s="2" t="s">
        <v>15</v>
      </c>
      <c r="E345" s="108">
        <v>4128.68</v>
      </c>
      <c r="F345" s="129">
        <v>42774</v>
      </c>
      <c r="H345" s="129">
        <v>42776</v>
      </c>
      <c r="I345" s="108">
        <f t="shared" si="17"/>
        <v>4128.68</v>
      </c>
      <c r="J345" s="108" t="str">
        <f>IF(Таблица97[[#This Row],[НК]]=1,Таблица97[[#This Row],[Продажа]],"")</f>
        <v/>
      </c>
      <c r="M345" s="108">
        <v>3166</v>
      </c>
      <c r="N345" s="108">
        <f>Таблица97[[#This Row],[Продажа]]-Таблица97[[#This Row],[Закупка]]</f>
        <v>962.68000000000029</v>
      </c>
      <c r="O345" s="108" t="str">
        <f>IF(Таблица97[[#This Row],[НК]]=1,Таблица97[[#This Row],[Маржа]],"")</f>
        <v/>
      </c>
    </row>
    <row r="346" spans="1:15" ht="20.100000000000001" customHeight="1" x14ac:dyDescent="0.25">
      <c r="A346" s="2">
        <v>79</v>
      </c>
      <c r="B346" s="2" t="str">
        <f>TEXT(Таблица97[[#This Row],[Дата]],"ГГ")&amp;RIGHT("000"&amp;Таблица97[[#This Row],[Номер]],4)</f>
        <v>170079</v>
      </c>
      <c r="C346" s="129">
        <v>42774</v>
      </c>
      <c r="D346" s="2" t="s">
        <v>216</v>
      </c>
      <c r="E346" s="108">
        <v>2717.33</v>
      </c>
      <c r="F346" s="129">
        <v>42775</v>
      </c>
      <c r="H346" s="129">
        <v>42794</v>
      </c>
      <c r="I346" s="108">
        <f t="shared" si="17"/>
        <v>2717.33</v>
      </c>
      <c r="J346" s="108" t="str">
        <f>IF(Таблица97[[#This Row],[НК]]=1,Таблица97[[#This Row],[Продажа]],"")</f>
        <v/>
      </c>
      <c r="M346" s="108">
        <v>2556</v>
      </c>
      <c r="N346" s="108">
        <f>Таблица97[[#This Row],[Продажа]]-Таблица97[[#This Row],[Закупка]]</f>
        <v>161.32999999999993</v>
      </c>
      <c r="O346" s="108" t="str">
        <f>IF(Таблица97[[#This Row],[НК]]=1,Таблица97[[#This Row],[Маржа]],"")</f>
        <v/>
      </c>
    </row>
    <row r="347" spans="1:15" ht="20.100000000000001" customHeight="1" x14ac:dyDescent="0.25">
      <c r="A347" s="2">
        <v>61</v>
      </c>
      <c r="B347" s="2" t="str">
        <f>TEXT(Таблица97[[#This Row],[Дата]],"ГГ")&amp;RIGHT("000"&amp;Таблица97[[#This Row],[Номер]],4)</f>
        <v>170061</v>
      </c>
      <c r="C347" s="129">
        <v>42769</v>
      </c>
      <c r="D347" s="2" t="s">
        <v>66</v>
      </c>
      <c r="E347" s="108">
        <v>32931</v>
      </c>
      <c r="F347" s="129">
        <v>42775</v>
      </c>
      <c r="H347" s="129">
        <v>42816</v>
      </c>
      <c r="I347" s="108">
        <f t="shared" si="17"/>
        <v>32931</v>
      </c>
      <c r="J347" s="108" t="str">
        <f>IF(Таблица97[[#This Row],[НК]]=1,Таблица97[[#This Row],[Продажа]],"")</f>
        <v/>
      </c>
      <c r="M347" s="108">
        <v>21740</v>
      </c>
      <c r="N347" s="108">
        <f>Таблица97[[#This Row],[Продажа]]-Таблица97[[#This Row],[Закупка]]</f>
        <v>11191</v>
      </c>
      <c r="O347" s="108" t="str">
        <f>IF(Таблица97[[#This Row],[НК]]=1,Таблица97[[#This Row],[Маржа]],"")</f>
        <v/>
      </c>
    </row>
    <row r="348" spans="1:15" ht="20.100000000000001" customHeight="1" x14ac:dyDescent="0.25">
      <c r="A348" s="2">
        <v>70</v>
      </c>
      <c r="B348" s="2" t="str">
        <f>TEXT(Таблица97[[#This Row],[Дата]],"ГГ")&amp;RIGHT("000"&amp;Таблица97[[#This Row],[Номер]],4)</f>
        <v>170070</v>
      </c>
      <c r="C348" s="129">
        <v>42772</v>
      </c>
      <c r="D348" s="2" t="s">
        <v>180</v>
      </c>
      <c r="E348" s="108">
        <v>31013.27</v>
      </c>
      <c r="F348" s="129">
        <v>42775</v>
      </c>
      <c r="H348" s="129">
        <v>42804</v>
      </c>
      <c r="I348" s="108">
        <f t="shared" si="17"/>
        <v>31013.27</v>
      </c>
      <c r="J348" s="108" t="str">
        <f>IF(Таблица97[[#This Row],[НК]]=1,Таблица97[[#This Row],[Продажа]],"")</f>
        <v/>
      </c>
      <c r="L348" s="108">
        <f>2*1200</f>
        <v>2400</v>
      </c>
      <c r="M348" s="108">
        <v>13082</v>
      </c>
      <c r="N348" s="108">
        <f>Таблица97[[#This Row],[Продажа]]-Таблица97[[#This Row],[Закупка]]</f>
        <v>17931.27</v>
      </c>
      <c r="O348" s="108" t="str">
        <f>IF(Таблица97[[#This Row],[НК]]=1,Таблица97[[#This Row],[Маржа]],"")</f>
        <v/>
      </c>
    </row>
    <row r="349" spans="1:15" ht="20.100000000000001" customHeight="1" x14ac:dyDescent="0.25">
      <c r="A349" s="2">
        <v>76</v>
      </c>
      <c r="B349" s="2" t="str">
        <f>TEXT(Таблица97[[#This Row],[Дата]],"ГГ")&amp;RIGHT("000"&amp;Таблица97[[#This Row],[Номер]],4)</f>
        <v>170076</v>
      </c>
      <c r="C349" s="129">
        <v>42774</v>
      </c>
      <c r="D349" s="2" t="s">
        <v>220</v>
      </c>
      <c r="E349" s="108">
        <v>4953.28</v>
      </c>
      <c r="F349" s="129">
        <v>42775</v>
      </c>
      <c r="H349" s="129">
        <v>42779</v>
      </c>
      <c r="I349" s="108">
        <f t="shared" si="17"/>
        <v>4953.28</v>
      </c>
      <c r="J349" s="108" t="str">
        <f>IF(Таблица97[[#This Row],[НК]]=1,Таблица97[[#This Row],[Продажа]],"")</f>
        <v/>
      </c>
      <c r="M349" s="108">
        <v>3226</v>
      </c>
      <c r="N349" s="108">
        <f>Таблица97[[#This Row],[Продажа]]-Таблица97[[#This Row],[Закупка]]</f>
        <v>1727.2799999999997</v>
      </c>
      <c r="O349" s="108" t="str">
        <f>IF(Таблица97[[#This Row],[НК]]=1,Таблица97[[#This Row],[Маржа]],"")</f>
        <v/>
      </c>
    </row>
    <row r="350" spans="1:15" ht="20.100000000000001" customHeight="1" x14ac:dyDescent="0.25">
      <c r="A350" s="2">
        <v>77</v>
      </c>
      <c r="B350" s="2" t="str">
        <f>TEXT(Таблица97[[#This Row],[Дата]],"ГГ")&amp;RIGHT("000"&amp;Таблица97[[#This Row],[Номер]],4)</f>
        <v>170077</v>
      </c>
      <c r="C350" s="129">
        <v>42774</v>
      </c>
      <c r="D350" s="2" t="s">
        <v>45</v>
      </c>
      <c r="E350" s="108">
        <v>1932.84</v>
      </c>
      <c r="F350" s="129">
        <v>42776</v>
      </c>
      <c r="H350" s="129">
        <v>42800</v>
      </c>
      <c r="I350" s="108">
        <f t="shared" si="17"/>
        <v>1932.84</v>
      </c>
      <c r="J350" s="108" t="str">
        <f>IF(Таблица97[[#This Row],[НК]]=1,Таблица97[[#This Row],[Продажа]],"")</f>
        <v/>
      </c>
      <c r="M350" s="108">
        <v>1508</v>
      </c>
      <c r="N350" s="108">
        <f>Таблица97[[#This Row],[Продажа]]-Таблица97[[#This Row],[Закупка]]</f>
        <v>424.83999999999992</v>
      </c>
      <c r="O350" s="108" t="str">
        <f>IF(Таблица97[[#This Row],[НК]]=1,Таблица97[[#This Row],[Маржа]],"")</f>
        <v/>
      </c>
    </row>
    <row r="351" spans="1:15" ht="20.100000000000001" customHeight="1" x14ac:dyDescent="0.25">
      <c r="A351" s="2">
        <v>73</v>
      </c>
      <c r="B351" s="2" t="str">
        <f>TEXT(Таблица97[[#This Row],[Дата]],"ГГ")&amp;RIGHT("000"&amp;Таблица97[[#This Row],[Номер]],4)</f>
        <v>170073</v>
      </c>
      <c r="C351" s="129">
        <v>42773</v>
      </c>
      <c r="D351" s="2" t="s">
        <v>65</v>
      </c>
      <c r="E351" s="108">
        <v>97176.4</v>
      </c>
      <c r="F351" s="129">
        <v>42779</v>
      </c>
      <c r="H351" s="129">
        <v>42779</v>
      </c>
      <c r="I351" s="108">
        <f t="shared" si="17"/>
        <v>97176.4</v>
      </c>
      <c r="J351" s="108" t="str">
        <f>IF(Таблица97[[#This Row],[НК]]=1,Таблица97[[#This Row],[Продажа]],"")</f>
        <v/>
      </c>
      <c r="L351" s="108">
        <f>3*600+8*900</f>
        <v>9000</v>
      </c>
      <c r="M351" s="108">
        <v>51147</v>
      </c>
      <c r="N351" s="108">
        <f>Таблица97[[#This Row],[Продажа]]-Таблица97[[#This Row],[Закупка]]</f>
        <v>46029.399999999994</v>
      </c>
      <c r="O351" s="108" t="str">
        <f>IF(Таблица97[[#This Row],[НК]]=1,Таблица97[[#This Row],[Маржа]],"")</f>
        <v/>
      </c>
    </row>
    <row r="352" spans="1:15" ht="20.100000000000001" customHeight="1" x14ac:dyDescent="0.25">
      <c r="A352" s="2">
        <v>64</v>
      </c>
      <c r="B352" s="2" t="str">
        <f>TEXT(Таблица97[[#This Row],[Дата]],"ГГ")&amp;RIGHT("000"&amp;Таблица97[[#This Row],[Номер]],4)</f>
        <v>170064</v>
      </c>
      <c r="C352" s="129">
        <v>42769</v>
      </c>
      <c r="D352" s="2" t="s">
        <v>60</v>
      </c>
      <c r="E352" s="108">
        <v>26340.09</v>
      </c>
      <c r="F352" s="129">
        <v>42780</v>
      </c>
      <c r="H352" s="129">
        <v>42772</v>
      </c>
      <c r="I352" s="108">
        <f t="shared" si="17"/>
        <v>26340.09</v>
      </c>
      <c r="J352" s="108" t="str">
        <f>IF(Таблица97[[#This Row],[НК]]=1,Таблица97[[#This Row],[Продажа]],"")</f>
        <v/>
      </c>
      <c r="M352" s="108">
        <v>19984</v>
      </c>
      <c r="N352" s="108">
        <f>Таблица97[[#This Row],[Продажа]]-Таблица97[[#This Row],[Закупка]]</f>
        <v>6356.09</v>
      </c>
      <c r="O352" s="108" t="str">
        <f>IF(Таблица97[[#This Row],[НК]]=1,Таблица97[[#This Row],[Маржа]],"")</f>
        <v/>
      </c>
    </row>
    <row r="353" spans="1:15" ht="20.100000000000001" customHeight="1" x14ac:dyDescent="0.25">
      <c r="A353" s="2">
        <v>60</v>
      </c>
      <c r="B353" s="2" t="str">
        <f>TEXT(Таблица97[[#This Row],[Дата]],"ГГ")&amp;RIGHT("000"&amp;Таблица97[[#This Row],[Номер]],4)</f>
        <v>170060</v>
      </c>
      <c r="C353" s="129">
        <v>42768</v>
      </c>
      <c r="D353" s="2" t="s">
        <v>221</v>
      </c>
      <c r="E353" s="108">
        <v>20875.86</v>
      </c>
      <c r="F353" s="129">
        <v>42780</v>
      </c>
      <c r="G353" s="128">
        <v>1</v>
      </c>
      <c r="H353" s="129">
        <v>42793</v>
      </c>
      <c r="I353" s="108">
        <f t="shared" si="17"/>
        <v>20875.86</v>
      </c>
      <c r="J353" s="108">
        <f>IF(Таблица97[[#This Row],[НК]]=1,Таблица97[[#This Row],[Продажа]],"")</f>
        <v>20875.86</v>
      </c>
      <c r="M353" s="108">
        <v>16019</v>
      </c>
      <c r="N353" s="108">
        <f>Таблица97[[#This Row],[Продажа]]-Таблица97[[#This Row],[Закупка]]</f>
        <v>4856.8600000000006</v>
      </c>
      <c r="O353" s="108">
        <f>IF(Таблица97[[#This Row],[НК]]=1,Таблица97[[#This Row],[Маржа]],"")</f>
        <v>4856.8600000000006</v>
      </c>
    </row>
    <row r="354" spans="1:15" ht="20.100000000000001" customHeight="1" x14ac:dyDescent="0.25">
      <c r="A354" s="2">
        <v>92</v>
      </c>
      <c r="B354" s="2" t="str">
        <f>TEXT(Таблица97[[#This Row],[Дата]],"ГГ")&amp;RIGHT("000"&amp;Таблица97[[#This Row],[Номер]],4)</f>
        <v>170092</v>
      </c>
      <c r="C354" s="129">
        <v>42781</v>
      </c>
      <c r="D354" s="2" t="s">
        <v>222</v>
      </c>
      <c r="E354" s="108">
        <v>8948</v>
      </c>
      <c r="F354" s="129">
        <v>42782</v>
      </c>
      <c r="H354" s="129">
        <v>42804</v>
      </c>
      <c r="I354" s="108">
        <f t="shared" si="17"/>
        <v>8948</v>
      </c>
      <c r="J354" s="108" t="str">
        <f>IF(Таблица97[[#This Row],[НК]]=1,Таблица97[[#This Row],[Продажа]],"")</f>
        <v/>
      </c>
      <c r="M354" s="108">
        <v>7064</v>
      </c>
      <c r="N354" s="108">
        <f>Таблица97[[#This Row],[Продажа]]-Таблица97[[#This Row],[Закупка]]</f>
        <v>1884</v>
      </c>
      <c r="O354" s="108" t="str">
        <f>IF(Таблица97[[#This Row],[НК]]=1,Таблица97[[#This Row],[Маржа]],"")</f>
        <v/>
      </c>
    </row>
    <row r="355" spans="1:15" ht="20.100000000000001" customHeight="1" x14ac:dyDescent="0.25">
      <c r="A355" s="2">
        <v>89</v>
      </c>
      <c r="B355" s="2" t="str">
        <f>TEXT(Таблица97[[#This Row],[Дата]],"ГГ")&amp;RIGHT("000"&amp;Таблица97[[#This Row],[Номер]],4)</f>
        <v>170089</v>
      </c>
      <c r="C355" s="129">
        <v>42780</v>
      </c>
      <c r="D355" s="2" t="s">
        <v>223</v>
      </c>
      <c r="E355" s="108">
        <v>132870</v>
      </c>
      <c r="F355" s="129">
        <v>42783</v>
      </c>
      <c r="G355" s="128">
        <v>1</v>
      </c>
      <c r="H355" s="129">
        <v>42808</v>
      </c>
      <c r="I355" s="108">
        <f t="shared" si="17"/>
        <v>132870</v>
      </c>
      <c r="J355" s="108">
        <f>IF(Таблица97[[#This Row],[НК]]=1,Таблица97[[#This Row],[Продажа]],"")</f>
        <v>132870</v>
      </c>
      <c r="M355" s="108">
        <v>100449</v>
      </c>
      <c r="N355" s="108">
        <f>Таблица97[[#This Row],[Продажа]]-Таблица97[[#This Row],[Закупка]]</f>
        <v>32421</v>
      </c>
      <c r="O355" s="108">
        <f>IF(Таблица97[[#This Row],[НК]]=1,Таблица97[[#This Row],[Маржа]],"")</f>
        <v>32421</v>
      </c>
    </row>
    <row r="356" spans="1:15" ht="20.100000000000001" customHeight="1" x14ac:dyDescent="0.25">
      <c r="A356" s="2">
        <v>94</v>
      </c>
      <c r="B356" s="2" t="str">
        <f>TEXT(Таблица97[[#This Row],[Дата]],"ГГ")&amp;RIGHT("000"&amp;Таблица97[[#This Row],[Номер]],4)</f>
        <v>170094</v>
      </c>
      <c r="C356" s="129">
        <v>42782</v>
      </c>
      <c r="D356" s="2" t="s">
        <v>19</v>
      </c>
      <c r="E356" s="108">
        <v>5138.8999999999996</v>
      </c>
      <c r="F356" s="129">
        <v>42783</v>
      </c>
      <c r="H356" s="129">
        <v>42786</v>
      </c>
      <c r="I356" s="108">
        <f t="shared" si="17"/>
        <v>5138.8999999999996</v>
      </c>
      <c r="J356" s="108" t="str">
        <f>IF(Таблица97[[#This Row],[НК]]=1,Таблица97[[#This Row],[Продажа]],"")</f>
        <v/>
      </c>
      <c r="M356" s="108">
        <v>4604</v>
      </c>
      <c r="N356" s="108">
        <f>Таблица97[[#This Row],[Продажа]]-Таблица97[[#This Row],[Закупка]]</f>
        <v>534.89999999999964</v>
      </c>
      <c r="O356" s="108" t="str">
        <f>IF(Таблица97[[#This Row],[НК]]=1,Таблица97[[#This Row],[Маржа]],"")</f>
        <v/>
      </c>
    </row>
    <row r="357" spans="1:15" ht="20.100000000000001" customHeight="1" x14ac:dyDescent="0.25">
      <c r="A357" s="2">
        <v>101</v>
      </c>
      <c r="B357" s="2" t="str">
        <f>TEXT(Таблица97[[#This Row],[Дата]],"ГГ")&amp;RIGHT("000"&amp;Таблица97[[#This Row],[Номер]],4)</f>
        <v>170101</v>
      </c>
      <c r="C357" s="129">
        <v>42786</v>
      </c>
      <c r="D357" s="2" t="s">
        <v>122</v>
      </c>
      <c r="E357" s="108">
        <v>1800</v>
      </c>
      <c r="F357" s="129">
        <v>42786</v>
      </c>
      <c r="H357" s="129">
        <v>42786</v>
      </c>
      <c r="I357" s="108">
        <f t="shared" si="17"/>
        <v>1800</v>
      </c>
      <c r="J357" s="108" t="str">
        <f>IF(Таблица97[[#This Row],[НК]]=1,Таблица97[[#This Row],[Продажа]],"")</f>
        <v/>
      </c>
      <c r="M357" s="108">
        <v>1485</v>
      </c>
      <c r="N357" s="108">
        <f>Таблица97[[#This Row],[Продажа]]-Таблица97[[#This Row],[Закупка]]</f>
        <v>315</v>
      </c>
      <c r="O357" s="108" t="str">
        <f>IF(Таблица97[[#This Row],[НК]]=1,Таблица97[[#This Row],[Маржа]],"")</f>
        <v/>
      </c>
    </row>
    <row r="358" spans="1:15" ht="20.100000000000001" customHeight="1" x14ac:dyDescent="0.25">
      <c r="A358" s="2">
        <v>99</v>
      </c>
      <c r="B358" s="2" t="str">
        <f>TEXT(Таблица97[[#This Row],[Дата]],"ГГ")&amp;RIGHT("000"&amp;Таблица97[[#This Row],[Номер]],4)</f>
        <v>170099</v>
      </c>
      <c r="C358" s="129">
        <v>42786</v>
      </c>
      <c r="D358" s="2" t="s">
        <v>30</v>
      </c>
      <c r="E358" s="108">
        <v>4086</v>
      </c>
      <c r="F358" s="129">
        <v>42786</v>
      </c>
      <c r="H358" s="129">
        <v>42787</v>
      </c>
      <c r="I358" s="108">
        <f t="shared" si="17"/>
        <v>4086</v>
      </c>
      <c r="J358" s="108" t="str">
        <f>IF(Таблица97[[#This Row],[НК]]=1,Таблица97[[#This Row],[Продажа]],"")</f>
        <v/>
      </c>
      <c r="M358" s="108">
        <v>3348</v>
      </c>
      <c r="N358" s="108">
        <f>Таблица97[[#This Row],[Продажа]]-Таблица97[[#This Row],[Закупка]]</f>
        <v>738</v>
      </c>
      <c r="O358" s="108" t="str">
        <f>IF(Таблица97[[#This Row],[НК]]=1,Таблица97[[#This Row],[Маржа]],"")</f>
        <v/>
      </c>
    </row>
    <row r="359" spans="1:15" ht="20.100000000000001" customHeight="1" x14ac:dyDescent="0.25">
      <c r="A359" s="2">
        <v>87</v>
      </c>
      <c r="B359" s="2" t="str">
        <f>TEXT(Таблица97[[#This Row],[Дата]],"ГГ")&amp;RIGHT("000"&amp;Таблица97[[#This Row],[Номер]],4)</f>
        <v>170087</v>
      </c>
      <c r="C359" s="129">
        <v>42780</v>
      </c>
      <c r="D359" s="2" t="s">
        <v>108</v>
      </c>
      <c r="E359" s="108">
        <v>12000</v>
      </c>
      <c r="F359" s="129">
        <v>42786</v>
      </c>
      <c r="H359" s="129">
        <v>42814</v>
      </c>
      <c r="I359" s="108">
        <f t="shared" si="17"/>
        <v>12000</v>
      </c>
      <c r="J359" s="108" t="str">
        <f>IF(Таблица97[[#This Row],[НК]]=1,Таблица97[[#This Row],[Продажа]],"")</f>
        <v/>
      </c>
      <c r="L359" s="108">
        <f>2*900</f>
        <v>1800</v>
      </c>
      <c r="M359" s="108">
        <v>4102</v>
      </c>
      <c r="N359" s="108">
        <f>Таблица97[[#This Row],[Продажа]]-Таблица97[[#This Row],[Закупка]]</f>
        <v>7898</v>
      </c>
      <c r="O359" s="108" t="str">
        <f>IF(Таблица97[[#This Row],[НК]]=1,Таблица97[[#This Row],[Маржа]],"")</f>
        <v/>
      </c>
    </row>
    <row r="360" spans="1:15" ht="20.100000000000001" customHeight="1" x14ac:dyDescent="0.25">
      <c r="A360" s="2">
        <v>107</v>
      </c>
      <c r="B360" s="2" t="str">
        <f>TEXT(Таблица97[[#This Row],[Дата]],"ГГ")&amp;RIGHT("000"&amp;Таблица97[[#This Row],[Номер]],4)</f>
        <v>170107</v>
      </c>
      <c r="C360" s="129">
        <v>42787</v>
      </c>
      <c r="D360" s="2" t="s">
        <v>16</v>
      </c>
      <c r="E360" s="108">
        <v>11500</v>
      </c>
      <c r="F360" s="129">
        <v>42788</v>
      </c>
      <c r="H360" s="129">
        <v>42793</v>
      </c>
      <c r="I360" s="108">
        <f t="shared" si="17"/>
        <v>11500</v>
      </c>
      <c r="J360" s="108" t="str">
        <f>IF(Таблица97[[#This Row],[НК]]=1,Таблица97[[#This Row],[Продажа]],"")</f>
        <v/>
      </c>
      <c r="M360" s="108">
        <v>7814</v>
      </c>
      <c r="N360" s="108">
        <f>Таблица97[[#This Row],[Продажа]]-Таблица97[[#This Row],[Закупка]]</f>
        <v>3686</v>
      </c>
      <c r="O360" s="108" t="str">
        <f>IF(Таблица97[[#This Row],[НК]]=1,Таблица97[[#This Row],[Маржа]],"")</f>
        <v/>
      </c>
    </row>
    <row r="361" spans="1:15" ht="20.100000000000001" customHeight="1" x14ac:dyDescent="0.25">
      <c r="A361" s="2">
        <v>109</v>
      </c>
      <c r="B361" s="2" t="str">
        <f>TEXT(Таблица97[[#This Row],[Дата]],"ГГ")&amp;RIGHT("000"&amp;Таблица97[[#This Row],[Номер]],4)</f>
        <v>170109</v>
      </c>
      <c r="C361" s="129">
        <v>42787</v>
      </c>
      <c r="D361" s="2" t="s">
        <v>224</v>
      </c>
      <c r="E361" s="108">
        <v>7890</v>
      </c>
      <c r="F361" s="129">
        <v>42788</v>
      </c>
      <c r="G361" s="128">
        <v>1</v>
      </c>
      <c r="H361" s="129">
        <v>42793</v>
      </c>
      <c r="I361" s="108">
        <f t="shared" si="17"/>
        <v>7890</v>
      </c>
      <c r="J361" s="108">
        <f>IF(Таблица97[[#This Row],[НК]]=1,Таблица97[[#This Row],[Продажа]],"")</f>
        <v>7890</v>
      </c>
      <c r="M361" s="108">
        <v>6364</v>
      </c>
      <c r="N361" s="108">
        <f>Таблица97[[#This Row],[Продажа]]-Таблица97[[#This Row],[Закупка]]</f>
        <v>1526</v>
      </c>
      <c r="O361" s="108">
        <f>IF(Таблица97[[#This Row],[НК]]=1,Таблица97[[#This Row],[Маржа]],"")</f>
        <v>1526</v>
      </c>
    </row>
    <row r="362" spans="1:15" ht="20.100000000000001" customHeight="1" x14ac:dyDescent="0.25">
      <c r="A362" s="2">
        <v>21</v>
      </c>
      <c r="B362" s="2" t="str">
        <f>TEXT(Таблица97[[#This Row],[Дата]],"ГГ")&amp;RIGHT("000"&amp;Таблица97[[#This Row],[Номер]],4)</f>
        <v>170021</v>
      </c>
      <c r="C362" s="129">
        <v>42751</v>
      </c>
      <c r="D362" s="2" t="s">
        <v>180</v>
      </c>
      <c r="E362" s="108">
        <v>126654.02</v>
      </c>
      <c r="F362" s="129">
        <v>42788</v>
      </c>
      <c r="H362" s="129">
        <v>42804</v>
      </c>
      <c r="I362" s="108">
        <f>E362/2</f>
        <v>63327.01</v>
      </c>
      <c r="J362" s="108" t="str">
        <f>IF(Таблица97[[#This Row],[НК]]=1,Таблица97[[#This Row],[Продажа]],"")</f>
        <v/>
      </c>
      <c r="M362" s="108">
        <v>45579</v>
      </c>
      <c r="N362" s="108">
        <f>Таблица97[[#This Row],[Продажа]]-Таблица97[[#This Row],[Закупка]]</f>
        <v>17748.010000000002</v>
      </c>
      <c r="O362" s="108" t="str">
        <f>IF(Таблица97[[#This Row],[НК]]=1,Таблица97[[#This Row],[Маржа]],"")</f>
        <v/>
      </c>
    </row>
    <row r="363" spans="1:15" ht="20.100000000000001" customHeight="1" x14ac:dyDescent="0.25">
      <c r="A363" s="2">
        <v>14</v>
      </c>
      <c r="B363" s="2" t="str">
        <f>TEXT(Таблица97[[#This Row],[Дата]],"ГГ")&amp;RIGHT("000"&amp;Таблица97[[#This Row],[Номер]],4)</f>
        <v>170014</v>
      </c>
      <c r="C363" s="129">
        <v>42788</v>
      </c>
      <c r="D363" s="2" t="s">
        <v>175</v>
      </c>
      <c r="E363" s="108">
        <v>18960</v>
      </c>
      <c r="F363" s="129">
        <v>42793</v>
      </c>
      <c r="H363" s="129">
        <v>42807</v>
      </c>
      <c r="I363" s="108">
        <f>E363</f>
        <v>18960</v>
      </c>
      <c r="J363" s="108" t="str">
        <f>IF(Таблица97[[#This Row],[НК]]=1,Таблица97[[#This Row],[Продажа]],"")</f>
        <v/>
      </c>
      <c r="M363" s="108">
        <v>12512</v>
      </c>
      <c r="N363" s="108">
        <f>Таблица97[[#This Row],[Продажа]]-Таблица97[[#This Row],[Закупка]]</f>
        <v>6448</v>
      </c>
      <c r="O363" s="108" t="str">
        <f>IF(Таблица97[[#This Row],[НК]]=1,Таблица97[[#This Row],[Маржа]],"")</f>
        <v/>
      </c>
    </row>
    <row r="364" spans="1:15" ht="20.100000000000001" customHeight="1" x14ac:dyDescent="0.25">
      <c r="A364" s="2">
        <v>111</v>
      </c>
      <c r="B364" s="2" t="str">
        <f>TEXT(Таблица97[[#This Row],[Дата]],"ГГ")&amp;RIGHT("000"&amp;Таблица97[[#This Row],[Номер]],4)</f>
        <v>170111</v>
      </c>
      <c r="C364" s="129">
        <v>42793</v>
      </c>
      <c r="D364" s="2" t="s">
        <v>225</v>
      </c>
      <c r="E364" s="108">
        <v>8480</v>
      </c>
      <c r="F364" s="129">
        <v>42794</v>
      </c>
      <c r="G364" s="128">
        <v>1</v>
      </c>
      <c r="H364" s="129">
        <v>42767</v>
      </c>
      <c r="I364" s="108">
        <f>E364</f>
        <v>8480</v>
      </c>
      <c r="J364" s="108">
        <f>IF(Таблица97[[#This Row],[НК]]=1,Таблица97[[#This Row],[Продажа]],"")</f>
        <v>8480</v>
      </c>
      <c r="M364" s="108">
        <v>3310</v>
      </c>
      <c r="N364" s="108">
        <f>Таблица97[[#This Row],[Продажа]]-Таблица97[[#This Row],[Закупка]]</f>
        <v>5170</v>
      </c>
      <c r="O364" s="108">
        <f>IF(Таблица97[[#This Row],[НК]]=1,Таблица97[[#This Row],[Маржа]],"")</f>
        <v>5170</v>
      </c>
    </row>
    <row r="365" spans="1:15" ht="20.100000000000001" customHeight="1" x14ac:dyDescent="0.25">
      <c r="A365" s="2">
        <v>115</v>
      </c>
      <c r="B365" s="2" t="str">
        <f>TEXT(Таблица97[[#This Row],[Дата]],"ГГ")&amp;RIGHT("000"&amp;Таблица97[[#This Row],[Номер]],4)</f>
        <v>170115</v>
      </c>
      <c r="C365" s="129">
        <v>42794</v>
      </c>
      <c r="D365" s="2" t="s">
        <v>118</v>
      </c>
      <c r="E365" s="108">
        <v>1504.7</v>
      </c>
      <c r="F365" s="129">
        <v>42795</v>
      </c>
      <c r="H365" s="129">
        <v>42767</v>
      </c>
      <c r="I365" s="108">
        <f t="shared" ref="I365:I380" si="18">E365</f>
        <v>1504.7</v>
      </c>
      <c r="J365" s="108" t="str">
        <f>IF(Таблица97[[#This Row],[НК]]=1,Таблица97[[#This Row],[Продажа]],"")</f>
        <v/>
      </c>
      <c r="M365" s="108">
        <v>1449</v>
      </c>
      <c r="N365" s="108">
        <f>Таблица97[[#This Row],[Продажа]]-Таблица97[[#This Row],[Закупка]]</f>
        <v>55.700000000000045</v>
      </c>
      <c r="O365" s="108" t="str">
        <f>IF(Таблица97[[#This Row],[НК]]=1,Таблица97[[#This Row],[Маржа]],"")</f>
        <v/>
      </c>
    </row>
    <row r="366" spans="1:15" ht="20.100000000000001" customHeight="1" x14ac:dyDescent="0.25">
      <c r="A366" s="2">
        <v>98</v>
      </c>
      <c r="B366" s="2" t="str">
        <f>TEXT(Таблица97[[#This Row],[Дата]],"ГГ")&amp;RIGHT("000"&amp;Таблица97[[#This Row],[Номер]],4)</f>
        <v>170098</v>
      </c>
      <c r="C366" s="129">
        <v>42783</v>
      </c>
      <c r="D366" s="2" t="s">
        <v>66</v>
      </c>
      <c r="E366" s="108">
        <v>8032.8</v>
      </c>
      <c r="F366" s="129">
        <v>42795</v>
      </c>
      <c r="H366" s="129">
        <v>42816</v>
      </c>
      <c r="I366" s="108">
        <f t="shared" si="18"/>
        <v>8032.8</v>
      </c>
      <c r="J366" s="108" t="str">
        <f>IF(Таблица97[[#This Row],[НК]]=1,Таблица97[[#This Row],[Продажа]],"")</f>
        <v/>
      </c>
      <c r="M366" s="108">
        <v>5301</v>
      </c>
      <c r="N366" s="108">
        <f>Таблица97[[#This Row],[Продажа]]-Таблица97[[#This Row],[Закупка]]</f>
        <v>2731.8</v>
      </c>
      <c r="O366" s="108" t="str">
        <f>IF(Таблица97[[#This Row],[НК]]=1,Таблица97[[#This Row],[Маржа]],"")</f>
        <v/>
      </c>
    </row>
    <row r="367" spans="1:15" ht="20.100000000000001" customHeight="1" x14ac:dyDescent="0.25">
      <c r="A367" s="2">
        <v>96</v>
      </c>
      <c r="B367" s="2" t="str">
        <f>TEXT(Таблица97[[#This Row],[Дата]],"ГГ")&amp;RIGHT("000"&amp;Таблица97[[#This Row],[Номер]],4)</f>
        <v>170096</v>
      </c>
      <c r="C367" s="129">
        <v>42795</v>
      </c>
      <c r="D367" s="2" t="s">
        <v>226</v>
      </c>
      <c r="E367" s="108">
        <v>149900</v>
      </c>
      <c r="F367" s="129">
        <v>42796</v>
      </c>
      <c r="G367" s="128">
        <v>1</v>
      </c>
      <c r="H367" s="129">
        <v>42801</v>
      </c>
      <c r="I367" s="108">
        <f t="shared" si="18"/>
        <v>149900</v>
      </c>
      <c r="J367" s="108">
        <f>IF(Таблица97[[#This Row],[НК]]=1,Таблица97[[#This Row],[Продажа]],"")</f>
        <v>149900</v>
      </c>
      <c r="M367" s="108">
        <v>123642</v>
      </c>
      <c r="N367" s="108">
        <f>Таблица97[[#This Row],[Продажа]]-Таблица97[[#This Row],[Закупка]]</f>
        <v>26258</v>
      </c>
      <c r="O367" s="108">
        <f>IF(Таблица97[[#This Row],[НК]]=1,Таблица97[[#This Row],[Маржа]],"")</f>
        <v>26258</v>
      </c>
    </row>
    <row r="368" spans="1:15" ht="20.100000000000001" customHeight="1" x14ac:dyDescent="0.25">
      <c r="A368" s="2">
        <v>133</v>
      </c>
      <c r="B368" s="2" t="str">
        <f>TEXT(Таблица97[[#This Row],[Дата]],"ГГ")&amp;RIGHT("000"&amp;Таблица97[[#This Row],[Номер]],4)</f>
        <v>170133</v>
      </c>
      <c r="C368" s="129">
        <v>42797</v>
      </c>
      <c r="D368" s="2" t="s">
        <v>58</v>
      </c>
      <c r="E368" s="108">
        <v>4552.58</v>
      </c>
      <c r="F368" s="129">
        <v>42800</v>
      </c>
      <c r="H368" s="129">
        <v>42803</v>
      </c>
      <c r="I368" s="108">
        <f t="shared" si="18"/>
        <v>4552.58</v>
      </c>
      <c r="J368" s="108" t="str">
        <f>IF(Таблица97[[#This Row],[НК]]=1,Таблица97[[#This Row],[Продажа]],"")</f>
        <v/>
      </c>
      <c r="M368" s="108">
        <v>3463</v>
      </c>
      <c r="N368" s="108">
        <f>Таблица97[[#This Row],[Продажа]]-Таблица97[[#This Row],[Закупка]]</f>
        <v>1089.58</v>
      </c>
      <c r="O368" s="108" t="str">
        <f>IF(Таблица97[[#This Row],[НК]]=1,Таблица97[[#This Row],[Маржа]],"")</f>
        <v/>
      </c>
    </row>
    <row r="369" spans="1:15" ht="20.100000000000001" customHeight="1" x14ac:dyDescent="0.25">
      <c r="A369" s="2">
        <v>80</v>
      </c>
      <c r="B369" s="2" t="str">
        <f>TEXT(Таблица97[[#This Row],[Дата]],"ГГ")&amp;RIGHT("000"&amp;Таблица97[[#This Row],[Номер]],4)</f>
        <v>170080</v>
      </c>
      <c r="C369" s="129">
        <v>42774</v>
      </c>
      <c r="D369" s="2" t="s">
        <v>56</v>
      </c>
      <c r="E369" s="108">
        <v>39853.15</v>
      </c>
      <c r="F369" s="129">
        <v>42807</v>
      </c>
      <c r="H369" s="129">
        <v>42794</v>
      </c>
      <c r="I369" s="108">
        <f t="shared" si="18"/>
        <v>39853.15</v>
      </c>
      <c r="J369" s="108" t="str">
        <f>IF(Таблица97[[#This Row],[НК]]=1,Таблица97[[#This Row],[Продажа]],"")</f>
        <v/>
      </c>
      <c r="M369" s="108">
        <v>24593</v>
      </c>
      <c r="N369" s="108">
        <f>Таблица97[[#This Row],[Продажа]]-Таблица97[[#This Row],[Закупка]]</f>
        <v>15260.150000000001</v>
      </c>
      <c r="O369" s="108" t="str">
        <f>IF(Таблица97[[#This Row],[НК]]=1,Таблица97[[#This Row],[Маржа]],"")</f>
        <v/>
      </c>
    </row>
    <row r="370" spans="1:15" ht="20.100000000000001" customHeight="1" x14ac:dyDescent="0.25">
      <c r="A370" s="2">
        <v>6</v>
      </c>
      <c r="B370" s="2" t="str">
        <f>TEXT(Таблица97[[#This Row],[Дата]],"ГГ")&amp;RIGHT("000"&amp;Таблица97[[#This Row],[Номер]],4)</f>
        <v>170006</v>
      </c>
      <c r="C370" s="129">
        <v>42745</v>
      </c>
      <c r="D370" s="2" t="s">
        <v>38</v>
      </c>
      <c r="E370" s="108">
        <v>199080</v>
      </c>
      <c r="F370" s="129">
        <v>42808</v>
      </c>
      <c r="H370" s="129">
        <v>42774</v>
      </c>
      <c r="I370" s="108">
        <f t="shared" si="18"/>
        <v>199080</v>
      </c>
      <c r="J370" s="108" t="str">
        <f>IF(Таблица97[[#This Row],[НК]]=1,Таблица97[[#This Row],[Продажа]],"")</f>
        <v/>
      </c>
      <c r="L370" s="108">
        <v>1200</v>
      </c>
      <c r="M370" s="108">
        <v>133598</v>
      </c>
      <c r="N370" s="108">
        <f>Таблица97[[#This Row],[Продажа]]-Таблица97[[#This Row],[Закупка]]</f>
        <v>65482</v>
      </c>
      <c r="O370" s="108" t="str">
        <f>IF(Таблица97[[#This Row],[НК]]=1,Таблица97[[#This Row],[Маржа]],"")</f>
        <v/>
      </c>
    </row>
    <row r="371" spans="1:15" ht="20.100000000000001" customHeight="1" x14ac:dyDescent="0.25">
      <c r="A371" s="2">
        <v>125</v>
      </c>
      <c r="B371" s="2" t="str">
        <f>TEXT(Таблица97[[#This Row],[Дата]],"ГГ")&amp;RIGHT("000"&amp;Таблица97[[#This Row],[Номер]],4)</f>
        <v>170125</v>
      </c>
      <c r="C371" s="129">
        <v>42796</v>
      </c>
      <c r="D371" s="2" t="s">
        <v>102</v>
      </c>
      <c r="E371" s="108">
        <v>4627</v>
      </c>
      <c r="F371" s="129">
        <v>42808</v>
      </c>
      <c r="H371" s="129">
        <v>42810</v>
      </c>
      <c r="I371" s="108">
        <f t="shared" si="18"/>
        <v>4627</v>
      </c>
      <c r="J371" s="108" t="str">
        <f>IF(Таблица97[[#This Row],[НК]]=1,Таблица97[[#This Row],[Продажа]],"")</f>
        <v/>
      </c>
      <c r="M371" s="108">
        <v>3885</v>
      </c>
      <c r="N371" s="108">
        <f>Таблица97[[#This Row],[Продажа]]-Таблица97[[#This Row],[Закупка]]</f>
        <v>742</v>
      </c>
      <c r="O371" s="108" t="str">
        <f>IF(Таблица97[[#This Row],[НК]]=1,Таблица97[[#This Row],[Маржа]],"")</f>
        <v/>
      </c>
    </row>
    <row r="372" spans="1:15" ht="20.100000000000001" customHeight="1" x14ac:dyDescent="0.25">
      <c r="A372" s="2">
        <v>136</v>
      </c>
      <c r="B372" s="2" t="str">
        <f>TEXT(Таблица97[[#This Row],[Дата]],"ГГ")&amp;RIGHT("000"&amp;Таблица97[[#This Row],[Номер]],4)</f>
        <v>170136</v>
      </c>
      <c r="C372" s="129">
        <v>42801</v>
      </c>
      <c r="D372" s="2" t="s">
        <v>227</v>
      </c>
      <c r="E372" s="108">
        <v>9790</v>
      </c>
      <c r="F372" s="129">
        <v>42808</v>
      </c>
      <c r="G372" s="128">
        <v>1</v>
      </c>
      <c r="H372" s="129">
        <v>42821</v>
      </c>
      <c r="I372" s="108">
        <f t="shared" si="18"/>
        <v>9790</v>
      </c>
      <c r="J372" s="108">
        <f>IF(Таблица97[[#This Row],[НК]]=1,Таблица97[[#This Row],[Продажа]],"")</f>
        <v>9790</v>
      </c>
      <c r="M372" s="108">
        <v>7196</v>
      </c>
      <c r="N372" s="108">
        <f>Таблица97[[#This Row],[Продажа]]-Таблица97[[#This Row],[Закупка]]</f>
        <v>2594</v>
      </c>
      <c r="O372" s="108">
        <f>IF(Таблица97[[#This Row],[НК]]=1,Таблица97[[#This Row],[Маржа]],"")</f>
        <v>2594</v>
      </c>
    </row>
    <row r="373" spans="1:15" ht="20.100000000000001" customHeight="1" x14ac:dyDescent="0.25">
      <c r="A373" s="2">
        <v>124</v>
      </c>
      <c r="B373" s="2" t="str">
        <f>TEXT(Таблица97[[#This Row],[Дата]],"ГГ")&amp;RIGHT("000"&amp;Таблица97[[#This Row],[Номер]],4)</f>
        <v>170124</v>
      </c>
      <c r="C373" s="129">
        <v>42795</v>
      </c>
      <c r="D373" s="2" t="s">
        <v>65</v>
      </c>
      <c r="E373" s="108">
        <v>20895</v>
      </c>
      <c r="F373" s="129">
        <v>42811</v>
      </c>
      <c r="H373" s="129">
        <v>42811</v>
      </c>
      <c r="I373" s="108">
        <f t="shared" si="18"/>
        <v>20895</v>
      </c>
      <c r="J373" s="108" t="str">
        <f>IF(Таблица97[[#This Row],[НК]]=1,Таблица97[[#This Row],[Продажа]],"")</f>
        <v/>
      </c>
      <c r="M373" s="108">
        <v>17465</v>
      </c>
      <c r="N373" s="108">
        <f>Таблица97[[#This Row],[Продажа]]-Таблица97[[#This Row],[Закупка]]</f>
        <v>3430</v>
      </c>
      <c r="O373" s="108" t="str">
        <f>IF(Таблица97[[#This Row],[НК]]=1,Таблица97[[#This Row],[Маржа]],"")</f>
        <v/>
      </c>
    </row>
    <row r="374" spans="1:15" ht="20.100000000000001" customHeight="1" x14ac:dyDescent="0.25">
      <c r="A374" s="2">
        <v>167</v>
      </c>
      <c r="B374" s="2" t="str">
        <f>TEXT(Таблица97[[#This Row],[Дата]],"ГГ")&amp;RIGHT("000"&amp;Таблица97[[#This Row],[Номер]],4)</f>
        <v>170167</v>
      </c>
      <c r="C374" s="129">
        <v>42810</v>
      </c>
      <c r="D374" s="2" t="s">
        <v>85</v>
      </c>
      <c r="E374" s="108">
        <v>7718.16</v>
      </c>
      <c r="F374" s="129">
        <v>42811</v>
      </c>
      <c r="H374" s="129">
        <v>42829</v>
      </c>
      <c r="I374" s="108">
        <f t="shared" si="18"/>
        <v>7718.16</v>
      </c>
      <c r="J374" s="108" t="str">
        <f>IF(Таблица97[[#This Row],[НК]]=1,Таблица97[[#This Row],[Продажа]],"")</f>
        <v/>
      </c>
      <c r="M374" s="108">
        <v>6275</v>
      </c>
      <c r="N374" s="108">
        <f>Таблица97[[#This Row],[Продажа]]-Таблица97[[#This Row],[Закупка]]</f>
        <v>1443.1599999999999</v>
      </c>
      <c r="O374" s="108" t="str">
        <f>IF(Таблица97[[#This Row],[НК]]=1,Таблица97[[#This Row],[Маржа]],"")</f>
        <v/>
      </c>
    </row>
    <row r="375" spans="1:15" ht="20.100000000000001" customHeight="1" x14ac:dyDescent="0.25">
      <c r="A375" s="2">
        <v>112</v>
      </c>
      <c r="B375" s="2" t="str">
        <f>TEXT(Таблица97[[#This Row],[Дата]],"ГГ")&amp;RIGHT("000"&amp;Таблица97[[#This Row],[Номер]],4)</f>
        <v>170112</v>
      </c>
      <c r="C375" s="129">
        <v>42793</v>
      </c>
      <c r="D375" s="2" t="s">
        <v>11</v>
      </c>
      <c r="E375" s="108">
        <v>18242.62</v>
      </c>
      <c r="F375" s="129">
        <v>42811</v>
      </c>
      <c r="H375" s="129">
        <v>42831</v>
      </c>
      <c r="I375" s="108">
        <f t="shared" si="18"/>
        <v>18242.62</v>
      </c>
      <c r="J375" s="108" t="str">
        <f>IF(Таблица97[[#This Row],[НК]]=1,Таблица97[[#This Row],[Продажа]],"")</f>
        <v/>
      </c>
      <c r="L375" s="108">
        <v>600</v>
      </c>
      <c r="M375" s="108">
        <v>12813</v>
      </c>
      <c r="N375" s="108">
        <f>Таблица97[[#This Row],[Продажа]]-Таблица97[[#This Row],[Закупка]]</f>
        <v>5429.619999999999</v>
      </c>
      <c r="O375" s="108" t="str">
        <f>IF(Таблица97[[#This Row],[НК]]=1,Таблица97[[#This Row],[Маржа]],"")</f>
        <v/>
      </c>
    </row>
    <row r="376" spans="1:15" ht="20.100000000000001" customHeight="1" x14ac:dyDescent="0.25">
      <c r="A376" s="2">
        <v>149</v>
      </c>
      <c r="B376" s="2" t="str">
        <f>TEXT(Таблица97[[#This Row],[Дата]],"ГГ")&amp;RIGHT("000"&amp;Таблица97[[#This Row],[Номер]],4)</f>
        <v>170149</v>
      </c>
      <c r="C376" s="129">
        <v>42807</v>
      </c>
      <c r="D376" s="2" t="s">
        <v>216</v>
      </c>
      <c r="E376" s="108">
        <v>1190</v>
      </c>
      <c r="F376" s="129">
        <v>42811</v>
      </c>
      <c r="H376" s="129">
        <v>42817</v>
      </c>
      <c r="I376" s="108">
        <f t="shared" si="18"/>
        <v>1190</v>
      </c>
      <c r="J376" s="108" t="str">
        <f>IF(Таблица97[[#This Row],[НК]]=1,Таблица97[[#This Row],[Продажа]],"")</f>
        <v/>
      </c>
      <c r="M376" s="108">
        <v>930</v>
      </c>
      <c r="N376" s="108">
        <f>Таблица97[[#This Row],[Продажа]]-Таблица97[[#This Row],[Закупка]]</f>
        <v>260</v>
      </c>
      <c r="O376" s="108" t="str">
        <f>IF(Таблица97[[#This Row],[НК]]=1,Таблица97[[#This Row],[Маржа]],"")</f>
        <v/>
      </c>
    </row>
    <row r="377" spans="1:15" ht="20.100000000000001" customHeight="1" x14ac:dyDescent="0.25">
      <c r="A377" s="2">
        <v>114</v>
      </c>
      <c r="B377" s="2" t="str">
        <f>TEXT(Таблица97[[#This Row],[Дата]],"ГГ")&amp;RIGHT("000"&amp;Таблица97[[#This Row],[Номер]],4)</f>
        <v>170114</v>
      </c>
      <c r="C377" s="129">
        <v>42794</v>
      </c>
      <c r="D377" s="2" t="s">
        <v>216</v>
      </c>
      <c r="E377" s="108">
        <v>4190.75</v>
      </c>
      <c r="F377" s="129">
        <v>42811</v>
      </c>
      <c r="H377" s="129">
        <v>42843</v>
      </c>
      <c r="I377" s="108">
        <f t="shared" si="18"/>
        <v>4190.75</v>
      </c>
      <c r="J377" s="108" t="str">
        <f>IF(Таблица97[[#This Row],[НК]]=1,Таблица97[[#This Row],[Продажа]],"")</f>
        <v/>
      </c>
      <c r="M377" s="108">
        <v>3624</v>
      </c>
      <c r="N377" s="108">
        <f>Таблица97[[#This Row],[Продажа]]-Таблица97[[#This Row],[Закупка]]</f>
        <v>566.75</v>
      </c>
      <c r="O377" s="108" t="str">
        <f>IF(Таблица97[[#This Row],[НК]]=1,Таблица97[[#This Row],[Маржа]],"")</f>
        <v/>
      </c>
    </row>
    <row r="378" spans="1:15" ht="20.100000000000001" customHeight="1" x14ac:dyDescent="0.25">
      <c r="A378" s="2">
        <v>150</v>
      </c>
      <c r="B378" s="2" t="str">
        <f>TEXT(Таблица97[[#This Row],[Дата]],"ГГ")&amp;RIGHT("000"&amp;Таблица97[[#This Row],[Номер]],4)</f>
        <v>170150</v>
      </c>
      <c r="C378" s="129">
        <v>42808</v>
      </c>
      <c r="D378" s="2" t="s">
        <v>89</v>
      </c>
      <c r="E378" s="108">
        <v>4000</v>
      </c>
      <c r="F378" s="129">
        <v>42811</v>
      </c>
      <c r="H378" s="129">
        <v>42814</v>
      </c>
      <c r="I378" s="108">
        <f t="shared" si="18"/>
        <v>4000</v>
      </c>
      <c r="J378" s="108" t="str">
        <f>IF(Таблица97[[#This Row],[НК]]=1,Таблица97[[#This Row],[Продажа]],"")</f>
        <v/>
      </c>
      <c r="L378" s="108">
        <v>600</v>
      </c>
      <c r="M378" s="108">
        <v>1786</v>
      </c>
      <c r="N378" s="108">
        <f>Таблица97[[#This Row],[Продажа]]-Таблица97[[#This Row],[Закупка]]</f>
        <v>2214</v>
      </c>
      <c r="O378" s="108" t="str">
        <f>IF(Таблица97[[#This Row],[НК]]=1,Таблица97[[#This Row],[Маржа]],"")</f>
        <v/>
      </c>
    </row>
    <row r="379" spans="1:15" ht="20.100000000000001" customHeight="1" x14ac:dyDescent="0.25">
      <c r="A379" s="2">
        <v>135</v>
      </c>
      <c r="B379" s="2" t="str">
        <f>TEXT(Таблица97[[#This Row],[Дата]],"ГГ")&amp;RIGHT("000"&amp;Таблица97[[#This Row],[Номер]],4)</f>
        <v>170135</v>
      </c>
      <c r="C379" s="129">
        <v>42800</v>
      </c>
      <c r="D379" s="2" t="s">
        <v>229</v>
      </c>
      <c r="E379" s="108">
        <v>104590</v>
      </c>
      <c r="F379" s="129">
        <v>42815</v>
      </c>
      <c r="G379" s="128">
        <v>1</v>
      </c>
      <c r="H379" s="129">
        <v>42816</v>
      </c>
      <c r="I379" s="108">
        <f t="shared" si="18"/>
        <v>104590</v>
      </c>
      <c r="J379" s="108">
        <f>IF(Таблица97[[#This Row],[НК]]=1,Таблица97[[#This Row],[Продажа]],"")</f>
        <v>104590</v>
      </c>
      <c r="M379" s="108">
        <v>79070</v>
      </c>
      <c r="N379" s="108">
        <f>Таблица97[[#This Row],[Продажа]]-Таблица97[[#This Row],[Закупка]]</f>
        <v>25520</v>
      </c>
      <c r="O379" s="108">
        <f>IF(Таблица97[[#This Row],[НК]]=1,Таблица97[[#This Row],[Маржа]],"")</f>
        <v>25520</v>
      </c>
    </row>
    <row r="380" spans="1:15" ht="20.100000000000001" customHeight="1" x14ac:dyDescent="0.25">
      <c r="A380" s="2">
        <v>170</v>
      </c>
      <c r="B380" s="2" t="str">
        <f>TEXT(Таблица97[[#This Row],[Дата]],"ГГ")&amp;RIGHT("000"&amp;Таблица97[[#This Row],[Номер]],4)</f>
        <v>170170</v>
      </c>
      <c r="C380" s="129">
        <v>42811</v>
      </c>
      <c r="D380" s="2" t="s">
        <v>49</v>
      </c>
      <c r="E380" s="108">
        <v>4468.54</v>
      </c>
      <c r="F380" s="129">
        <v>42815</v>
      </c>
      <c r="H380" s="129">
        <v>42818</v>
      </c>
      <c r="I380" s="108">
        <f t="shared" si="18"/>
        <v>4468.54</v>
      </c>
      <c r="J380" s="108" t="str">
        <f>IF(Таблица97[[#This Row],[НК]]=1,Таблица97[[#This Row],[Продажа]],"")</f>
        <v/>
      </c>
      <c r="M380" s="108">
        <v>3485</v>
      </c>
      <c r="N380" s="108">
        <f>Таблица97[[#This Row],[Продажа]]-Таблица97[[#This Row],[Закупка]]</f>
        <v>983.54</v>
      </c>
      <c r="O380" s="108" t="str">
        <f>IF(Таблица97[[#This Row],[НК]]=1,Таблица97[[#This Row],[Маржа]],"")</f>
        <v/>
      </c>
    </row>
    <row r="381" spans="1:15" ht="20.100000000000001" customHeight="1" x14ac:dyDescent="0.25">
      <c r="A381" s="2">
        <v>93</v>
      </c>
      <c r="B381" s="2" t="str">
        <f>TEXT(Таблица97[[#This Row],[Дата]],"ГГ")&amp;RIGHT("000"&amp;Таблица97[[#This Row],[Номер]],4)</f>
        <v>170093</v>
      </c>
      <c r="C381" s="129">
        <v>42781</v>
      </c>
      <c r="D381" s="2" t="s">
        <v>228</v>
      </c>
      <c r="E381" s="108">
        <v>230621</v>
      </c>
      <c r="F381" s="129">
        <v>42815</v>
      </c>
      <c r="G381" s="128">
        <v>1</v>
      </c>
      <c r="H381" s="129">
        <v>42835</v>
      </c>
      <c r="I381" s="108">
        <f>E381/2</f>
        <v>115310.5</v>
      </c>
      <c r="J381" s="108">
        <f>IF(Таблица97[[#This Row],[НК]]=1,Таблица97[[#This Row],[Продажа]],"")</f>
        <v>115310.5</v>
      </c>
      <c r="M381" s="108">
        <v>91534.5</v>
      </c>
      <c r="N381" s="108">
        <f>Таблица97[[#This Row],[Продажа]]-Таблица97[[#This Row],[Закупка]]</f>
        <v>23776</v>
      </c>
      <c r="O381" s="108">
        <f>IF(Таблица97[[#This Row],[НК]]=1,Таблица97[[#This Row],[Маржа]],"")</f>
        <v>23776</v>
      </c>
    </row>
    <row r="382" spans="1:15" ht="20.100000000000001" customHeight="1" x14ac:dyDescent="0.25">
      <c r="A382" s="2">
        <v>164</v>
      </c>
      <c r="B382" s="2" t="str">
        <f>TEXT(Таблица97[[#This Row],[Дата]],"ГГ")&amp;RIGHT("000"&amp;Таблица97[[#This Row],[Номер]],4)</f>
        <v>170164</v>
      </c>
      <c r="C382" s="129">
        <v>42810</v>
      </c>
      <c r="D382" s="2" t="s">
        <v>65</v>
      </c>
      <c r="E382" s="108">
        <v>30000</v>
      </c>
      <c r="F382" s="129">
        <v>42816</v>
      </c>
      <c r="H382" s="129">
        <v>42816</v>
      </c>
      <c r="I382" s="108">
        <f>E382</f>
        <v>30000</v>
      </c>
      <c r="J382" s="108" t="str">
        <f>IF(Таблица97[[#This Row],[НК]]=1,Таблица97[[#This Row],[Продажа]],"")</f>
        <v/>
      </c>
      <c r="M382" s="108">
        <v>26557</v>
      </c>
      <c r="N382" s="108">
        <f>Таблица97[[#This Row],[Продажа]]-Таблица97[[#This Row],[Закупка]]</f>
        <v>3443</v>
      </c>
      <c r="O382" s="108" t="str">
        <f>IF(Таблица97[[#This Row],[НК]]=1,Таблица97[[#This Row],[Маржа]],"")</f>
        <v/>
      </c>
    </row>
    <row r="383" spans="1:15" ht="20.100000000000001" customHeight="1" x14ac:dyDescent="0.25">
      <c r="A383" s="2">
        <v>53</v>
      </c>
      <c r="B383" s="2" t="str">
        <f>TEXT(Таблица97[[#This Row],[Дата]],"ГГ")&amp;RIGHT("000"&amp;Таблица97[[#This Row],[Номер]],4)</f>
        <v>170053</v>
      </c>
      <c r="C383" s="129">
        <v>42767</v>
      </c>
      <c r="D383" s="2" t="s">
        <v>99</v>
      </c>
      <c r="E383" s="108">
        <v>118322.5</v>
      </c>
      <c r="F383" s="129">
        <v>42816</v>
      </c>
      <c r="H383" s="129">
        <v>42772</v>
      </c>
      <c r="I383" s="108">
        <f>E383</f>
        <v>118322.5</v>
      </c>
      <c r="J383" s="108" t="str">
        <f>IF(Таблица97[[#This Row],[НК]]=1,Таблица97[[#This Row],[Продажа]],"")</f>
        <v/>
      </c>
      <c r="K383" s="108">
        <v>30000</v>
      </c>
      <c r="M383" s="108">
        <v>14980</v>
      </c>
      <c r="N383" s="108">
        <f>Таблица97[[#This Row],[Продажа]]-Таблица97[[#This Row],[Закупка]]</f>
        <v>103342.5</v>
      </c>
      <c r="O383" s="108" t="str">
        <f>IF(Таблица97[[#This Row],[НК]]=1,Таблица97[[#This Row],[Маржа]],"")</f>
        <v/>
      </c>
    </row>
    <row r="384" spans="1:15" ht="20.100000000000001" customHeight="1" x14ac:dyDescent="0.25">
      <c r="A384" s="2">
        <v>147</v>
      </c>
      <c r="B384" s="2" t="str">
        <f>TEXT(Таблица97[[#This Row],[Дата]],"ГГ")&amp;RIGHT("000"&amp;Таблица97[[#This Row],[Номер]],4)</f>
        <v>170147</v>
      </c>
      <c r="C384" s="129">
        <v>42804</v>
      </c>
      <c r="D384" s="2" t="s">
        <v>230</v>
      </c>
      <c r="E384" s="108">
        <v>5770.92</v>
      </c>
      <c r="F384" s="129">
        <v>42816</v>
      </c>
      <c r="G384" s="128">
        <v>1</v>
      </c>
      <c r="H384" s="129">
        <v>42817</v>
      </c>
      <c r="I384" s="108">
        <f>E384</f>
        <v>5770.92</v>
      </c>
      <c r="J384" s="108">
        <f>IF(Таблица97[[#This Row],[НК]]=1,Таблица97[[#This Row],[Продажа]],"")</f>
        <v>5770.92</v>
      </c>
      <c r="M384" s="108">
        <v>4452</v>
      </c>
      <c r="N384" s="108">
        <f>Таблица97[[#This Row],[Продажа]]-Таблица97[[#This Row],[Закупка]]</f>
        <v>1318.92</v>
      </c>
      <c r="O384" s="108">
        <f>IF(Таблица97[[#This Row],[НК]]=1,Таблица97[[#This Row],[Маржа]],"")</f>
        <v>1318.92</v>
      </c>
    </row>
    <row r="385" spans="1:15" ht="20.100000000000001" customHeight="1" x14ac:dyDescent="0.25">
      <c r="A385" s="2">
        <v>144</v>
      </c>
      <c r="B385" s="2" t="str">
        <f>TEXT(Таблица97[[#This Row],[Дата]],"ГГ")&amp;RIGHT("000"&amp;Таблица97[[#This Row],[Номер]],4)</f>
        <v>170144</v>
      </c>
      <c r="C385" s="129">
        <v>42804</v>
      </c>
      <c r="D385" s="2" t="s">
        <v>13</v>
      </c>
      <c r="E385" s="108">
        <v>11941.15</v>
      </c>
      <c r="F385" s="129">
        <v>42816</v>
      </c>
      <c r="H385" s="129">
        <v>42808</v>
      </c>
      <c r="I385" s="108">
        <f>E385</f>
        <v>11941.15</v>
      </c>
      <c r="J385" s="108" t="str">
        <f>IF(Таблица97[[#This Row],[НК]]=1,Таблица97[[#This Row],[Продажа]],"")</f>
        <v/>
      </c>
      <c r="M385" s="108">
        <v>9030</v>
      </c>
      <c r="N385" s="108">
        <f>Таблица97[[#This Row],[Продажа]]-Таблица97[[#This Row],[Закупка]]</f>
        <v>2911.1499999999996</v>
      </c>
      <c r="O385" s="108" t="str">
        <f>IF(Таблица97[[#This Row],[НК]]=1,Таблица97[[#This Row],[Маржа]],"")</f>
        <v/>
      </c>
    </row>
    <row r="386" spans="1:15" ht="20.100000000000001" customHeight="1" x14ac:dyDescent="0.25">
      <c r="A386" s="2">
        <v>143</v>
      </c>
      <c r="B386" s="2" t="str">
        <f>TEXT(Таблица97[[#This Row],[Дата]],"ГГ")&amp;RIGHT("000"&amp;Таблица97[[#This Row],[Номер]],4)</f>
        <v>170143</v>
      </c>
      <c r="C386" s="129">
        <v>42803</v>
      </c>
      <c r="D386" s="2" t="s">
        <v>180</v>
      </c>
      <c r="E386" s="108">
        <v>133579.66</v>
      </c>
      <c r="F386" s="129">
        <v>42816</v>
      </c>
      <c r="H386" s="129">
        <v>42845</v>
      </c>
      <c r="I386" s="108">
        <f>E386/2</f>
        <v>66789.83</v>
      </c>
      <c r="J386" s="108" t="str">
        <f>IF(Таблица97[[#This Row],[НК]]=1,Таблица97[[#This Row],[Продажа]],"")</f>
        <v/>
      </c>
      <c r="L386" s="108">
        <v>1200</v>
      </c>
      <c r="M386" s="108">
        <v>42302.5</v>
      </c>
      <c r="N386" s="108">
        <f>Таблица97[[#This Row],[Продажа]]-Таблица97[[#This Row],[Закупка]]</f>
        <v>24487.33</v>
      </c>
      <c r="O386" s="108" t="str">
        <f>IF(Таблица97[[#This Row],[НК]]=1,Таблица97[[#This Row],[Маржа]],"")</f>
        <v/>
      </c>
    </row>
    <row r="387" spans="1:15" ht="20.100000000000001" customHeight="1" x14ac:dyDescent="0.25">
      <c r="A387" s="2">
        <v>185</v>
      </c>
      <c r="B387" s="2" t="str">
        <f>TEXT(Таблица97[[#This Row],[Дата]],"ГГ")&amp;RIGHT("000"&amp;Таблица97[[#This Row],[Номер]],4)</f>
        <v>170185</v>
      </c>
      <c r="C387" s="129">
        <v>42816</v>
      </c>
      <c r="D387" s="2" t="s">
        <v>231</v>
      </c>
      <c r="E387" s="108">
        <v>8480</v>
      </c>
      <c r="F387" s="129">
        <v>42818</v>
      </c>
      <c r="H387" s="129">
        <v>42821</v>
      </c>
      <c r="I387" s="108">
        <f t="shared" ref="I387:I397" si="19">E387</f>
        <v>8480</v>
      </c>
      <c r="J387" s="108" t="str">
        <f>IF(Таблица97[[#This Row],[НК]]=1,Таблица97[[#This Row],[Продажа]],"")</f>
        <v/>
      </c>
      <c r="L387" s="108">
        <f>600*2</f>
        <v>1200</v>
      </c>
      <c r="M387" s="108">
        <v>3946</v>
      </c>
      <c r="N387" s="108">
        <f>Таблица97[[#This Row],[Продажа]]-Таблица97[[#This Row],[Закупка]]</f>
        <v>4534</v>
      </c>
      <c r="O387" s="108" t="str">
        <f>IF(Таблица97[[#This Row],[НК]]=1,Таблица97[[#This Row],[Маржа]],"")</f>
        <v/>
      </c>
    </row>
    <row r="388" spans="1:15" ht="20.100000000000001" customHeight="1" x14ac:dyDescent="0.25">
      <c r="A388" s="2">
        <v>197</v>
      </c>
      <c r="B388" s="2" t="str">
        <f>TEXT(Таблица97[[#This Row],[Дата]],"ГГ")&amp;RIGHT("000"&amp;Таблица97[[#This Row],[Номер]],4)</f>
        <v>170197</v>
      </c>
      <c r="C388" s="129">
        <v>42821</v>
      </c>
      <c r="D388" s="2" t="s">
        <v>232</v>
      </c>
      <c r="E388" s="108">
        <v>20100</v>
      </c>
      <c r="F388" s="129">
        <v>42822</v>
      </c>
      <c r="G388" s="128">
        <v>1</v>
      </c>
      <c r="H388" s="129">
        <v>42822</v>
      </c>
      <c r="I388" s="108">
        <f t="shared" si="19"/>
        <v>20100</v>
      </c>
      <c r="J388" s="108">
        <f>IF(Таблица97[[#This Row],[НК]]=1,Таблица97[[#This Row],[Продажа]],"")</f>
        <v>20100</v>
      </c>
      <c r="M388" s="108">
        <v>17154</v>
      </c>
      <c r="N388" s="108">
        <f>Таблица97[[#This Row],[Продажа]]-Таблица97[[#This Row],[Закупка]]</f>
        <v>2946</v>
      </c>
      <c r="O388" s="108">
        <f>IF(Таблица97[[#This Row],[НК]]=1,Таблица97[[#This Row],[Маржа]],"")</f>
        <v>2946</v>
      </c>
    </row>
    <row r="389" spans="1:15" ht="20.100000000000001" customHeight="1" x14ac:dyDescent="0.25">
      <c r="A389" s="2">
        <v>181</v>
      </c>
      <c r="B389" s="2" t="str">
        <f>TEXT(Таблица97[[#This Row],[Дата]],"ГГ")&amp;RIGHT("000"&amp;Таблица97[[#This Row],[Номер]],4)</f>
        <v>170181</v>
      </c>
      <c r="C389" s="129">
        <v>42815</v>
      </c>
      <c r="D389" s="2" t="s">
        <v>165</v>
      </c>
      <c r="E389" s="108">
        <v>1331.52</v>
      </c>
      <c r="F389" s="129">
        <v>42822</v>
      </c>
      <c r="H389" s="129">
        <v>42853</v>
      </c>
      <c r="I389" s="108">
        <f t="shared" si="19"/>
        <v>1331.52</v>
      </c>
      <c r="J389" s="108" t="str">
        <f>IF(Таблица97[[#This Row],[НК]]=1,Таблица97[[#This Row],[Продажа]],"")</f>
        <v/>
      </c>
      <c r="M389" s="108">
        <v>1038</v>
      </c>
      <c r="N389" s="108">
        <f>Таблица97[[#This Row],[Продажа]]-Таблица97[[#This Row],[Закупка]]</f>
        <v>293.52</v>
      </c>
      <c r="O389" s="108" t="str">
        <f>IF(Таблица97[[#This Row],[НК]]=1,Таблица97[[#This Row],[Маржа]],"")</f>
        <v/>
      </c>
    </row>
    <row r="390" spans="1:15" ht="20.100000000000001" customHeight="1" x14ac:dyDescent="0.25">
      <c r="A390" s="2">
        <v>202</v>
      </c>
      <c r="B390" s="2" t="str">
        <f>TEXT(Таблица97[[#This Row],[Дата]],"ГГ")&amp;RIGHT("000"&amp;Таблица97[[#This Row],[Номер]],4)</f>
        <v>170202</v>
      </c>
      <c r="C390" s="129">
        <v>42823</v>
      </c>
      <c r="D390" s="2" t="s">
        <v>233</v>
      </c>
      <c r="E390" s="108">
        <v>31673</v>
      </c>
      <c r="F390" s="129">
        <v>42823</v>
      </c>
      <c r="G390" s="128">
        <v>1</v>
      </c>
      <c r="H390" s="129">
        <v>42823</v>
      </c>
      <c r="I390" s="108">
        <f t="shared" si="19"/>
        <v>31673</v>
      </c>
      <c r="J390" s="108">
        <f>IF(Таблица97[[#This Row],[НК]]=1,Таблица97[[#This Row],[Продажа]],"")</f>
        <v>31673</v>
      </c>
      <c r="M390" s="108">
        <v>24204</v>
      </c>
      <c r="N390" s="108">
        <f>Таблица97[[#This Row],[Продажа]]-Таблица97[[#This Row],[Закупка]]</f>
        <v>7469</v>
      </c>
      <c r="O390" s="108">
        <f>IF(Таблица97[[#This Row],[НК]]=1,Таблица97[[#This Row],[Маржа]],"")</f>
        <v>7469</v>
      </c>
    </row>
    <row r="391" spans="1:15" ht="20.100000000000001" customHeight="1" x14ac:dyDescent="0.25">
      <c r="A391" s="2">
        <v>200</v>
      </c>
      <c r="B391" s="2" t="str">
        <f>TEXT(Таблица97[[#This Row],[Дата]],"ГГ")&amp;RIGHT("000"&amp;Таблица97[[#This Row],[Номер]],4)</f>
        <v>170200</v>
      </c>
      <c r="C391" s="129">
        <v>42822</v>
      </c>
      <c r="D391" s="2" t="s">
        <v>234</v>
      </c>
      <c r="E391" s="108">
        <v>17890</v>
      </c>
      <c r="F391" s="129">
        <v>42823</v>
      </c>
      <c r="G391" s="128">
        <v>1</v>
      </c>
      <c r="H391" s="129">
        <v>42843</v>
      </c>
      <c r="I391" s="108">
        <f t="shared" si="19"/>
        <v>17890</v>
      </c>
      <c r="J391" s="108">
        <f>IF(Таблица97[[#This Row],[НК]]=1,Таблица97[[#This Row],[Продажа]],"")</f>
        <v>17890</v>
      </c>
      <c r="M391" s="108">
        <v>13525</v>
      </c>
      <c r="N391" s="108">
        <f>Таблица97[[#This Row],[Продажа]]-Таблица97[[#This Row],[Закупка]]</f>
        <v>4365</v>
      </c>
      <c r="O391" s="108">
        <f>IF(Таблица97[[#This Row],[НК]]=1,Таблица97[[#This Row],[Маржа]],"")</f>
        <v>4365</v>
      </c>
    </row>
    <row r="392" spans="1:15" ht="20.100000000000001" customHeight="1" x14ac:dyDescent="0.25">
      <c r="A392" s="2">
        <v>184</v>
      </c>
      <c r="B392" s="2" t="str">
        <f>TEXT(Таблица97[[#This Row],[Дата]],"ГГ")&amp;RIGHT("000"&amp;Таблица97[[#This Row],[Номер]],4)</f>
        <v>170184</v>
      </c>
      <c r="C392" s="129">
        <v>42816</v>
      </c>
      <c r="D392" s="2" t="s">
        <v>66</v>
      </c>
      <c r="E392" s="108">
        <v>102.03</v>
      </c>
      <c r="F392" s="129">
        <v>42823</v>
      </c>
      <c r="H392" s="129">
        <v>42843</v>
      </c>
      <c r="I392" s="108">
        <f t="shared" si="19"/>
        <v>102.03</v>
      </c>
      <c r="J392" s="108" t="str">
        <f>IF(Таблица97[[#This Row],[НК]]=1,Таблица97[[#This Row],[Продажа]],"")</f>
        <v/>
      </c>
      <c r="M392" s="108">
        <v>57</v>
      </c>
      <c r="N392" s="108">
        <f>Таблица97[[#This Row],[Продажа]]-Таблица97[[#This Row],[Закупка]]</f>
        <v>45.03</v>
      </c>
      <c r="O392" s="108" t="str">
        <f>IF(Таблица97[[#This Row],[НК]]=1,Таблица97[[#This Row],[Маржа]],"")</f>
        <v/>
      </c>
    </row>
    <row r="393" spans="1:15" ht="20.100000000000001" customHeight="1" x14ac:dyDescent="0.25">
      <c r="A393" s="2">
        <v>194</v>
      </c>
      <c r="B393" s="2" t="str">
        <f>TEXT(Таблица97[[#This Row],[Дата]],"ГГ")&amp;RIGHT("000"&amp;Таблица97[[#This Row],[Номер]],4)</f>
        <v>170194</v>
      </c>
      <c r="C393" s="129">
        <v>42821</v>
      </c>
      <c r="D393" s="2" t="s">
        <v>66</v>
      </c>
      <c r="E393" s="108">
        <v>582</v>
      </c>
      <c r="F393" s="129">
        <v>42823</v>
      </c>
      <c r="H393" s="129">
        <v>42821</v>
      </c>
      <c r="I393" s="108">
        <f t="shared" si="19"/>
        <v>582</v>
      </c>
      <c r="J393" s="108" t="str">
        <f>IF(Таблица97[[#This Row],[НК]]=1,Таблица97[[#This Row],[Продажа]],"")</f>
        <v/>
      </c>
      <c r="M393" s="108">
        <v>382</v>
      </c>
      <c r="N393" s="108">
        <f>Таблица97[[#This Row],[Продажа]]-Таблица97[[#This Row],[Закупка]]</f>
        <v>200</v>
      </c>
      <c r="O393" s="108" t="str">
        <f>IF(Таблица97[[#This Row],[НК]]=1,Таблица97[[#This Row],[Маржа]],"")</f>
        <v/>
      </c>
    </row>
    <row r="394" spans="1:15" ht="20.100000000000001" customHeight="1" x14ac:dyDescent="0.25">
      <c r="A394" s="2">
        <v>148</v>
      </c>
      <c r="B394" s="2" t="str">
        <f>TEXT(Таблица97[[#This Row],[Дата]],"ГГ")&amp;RIGHT("000"&amp;Таблица97[[#This Row],[Номер]],4)</f>
        <v>170148</v>
      </c>
      <c r="C394" s="129">
        <v>42804</v>
      </c>
      <c r="D394" s="2" t="s">
        <v>33</v>
      </c>
      <c r="E394" s="108">
        <v>4920.6000000000004</v>
      </c>
      <c r="F394" s="129">
        <v>42823</v>
      </c>
      <c r="H394" s="129">
        <v>42825</v>
      </c>
      <c r="I394" s="108">
        <f t="shared" si="19"/>
        <v>4920.6000000000004</v>
      </c>
      <c r="J394" s="108" t="str">
        <f>IF(Таблица97[[#This Row],[НК]]=1,Таблица97[[#This Row],[Продажа]],"")</f>
        <v/>
      </c>
      <c r="M394" s="108">
        <v>3463</v>
      </c>
      <c r="N394" s="108">
        <f>Таблица97[[#This Row],[Продажа]]-Таблица97[[#This Row],[Закупка]]</f>
        <v>1457.6000000000004</v>
      </c>
      <c r="O394" s="108" t="str">
        <f>IF(Таблица97[[#This Row],[НК]]=1,Таблица97[[#This Row],[Маржа]],"")</f>
        <v/>
      </c>
    </row>
    <row r="395" spans="1:15" ht="20.100000000000001" customHeight="1" x14ac:dyDescent="0.25">
      <c r="A395" s="2">
        <v>129</v>
      </c>
      <c r="B395" s="2" t="str">
        <f>TEXT(Таблица97[[#This Row],[Дата]],"ГГ")&amp;RIGHT("000"&amp;Таблица97[[#This Row],[Номер]],4)</f>
        <v>170129</v>
      </c>
      <c r="C395" s="129">
        <v>42815</v>
      </c>
      <c r="D395" s="2" t="s">
        <v>94</v>
      </c>
      <c r="E395" s="108">
        <v>6736.9</v>
      </c>
      <c r="F395" s="129">
        <v>42823</v>
      </c>
      <c r="H395" s="129">
        <v>42815</v>
      </c>
      <c r="I395" s="108">
        <f t="shared" si="19"/>
        <v>6736.9</v>
      </c>
      <c r="J395" s="108" t="str">
        <f>IF(Таблица97[[#This Row],[НК]]=1,Таблица97[[#This Row],[Продажа]],"")</f>
        <v/>
      </c>
      <c r="M395" s="108">
        <v>4833</v>
      </c>
      <c r="N395" s="108">
        <f>Таблица97[[#This Row],[Продажа]]-Таблица97[[#This Row],[Закупка]]</f>
        <v>1903.8999999999996</v>
      </c>
      <c r="O395" s="108" t="str">
        <f>IF(Таблица97[[#This Row],[НК]]=1,Таблица97[[#This Row],[Маржа]],"")</f>
        <v/>
      </c>
    </row>
    <row r="396" spans="1:15" ht="20.100000000000001" customHeight="1" x14ac:dyDescent="0.25">
      <c r="A396" s="2">
        <v>201</v>
      </c>
      <c r="B396" s="2" t="str">
        <f>TEXT(Таблица97[[#This Row],[Дата]],"ГГ")&amp;RIGHT("000"&amp;Таблица97[[#This Row],[Номер]],4)</f>
        <v>170201</v>
      </c>
      <c r="C396" s="129">
        <v>42822</v>
      </c>
      <c r="D396" s="2" t="s">
        <v>216</v>
      </c>
      <c r="E396" s="108">
        <v>16542.93</v>
      </c>
      <c r="F396" s="129">
        <v>42824</v>
      </c>
      <c r="H396" s="129">
        <v>42843</v>
      </c>
      <c r="I396" s="108">
        <f t="shared" si="19"/>
        <v>16542.93</v>
      </c>
      <c r="J396" s="108" t="str">
        <f>IF(Таблица97[[#This Row],[НК]]=1,Таблица97[[#This Row],[Продажа]],"")</f>
        <v/>
      </c>
      <c r="M396" s="108">
        <v>15067</v>
      </c>
      <c r="N396" s="108">
        <f>Таблица97[[#This Row],[Продажа]]-Таблица97[[#This Row],[Закупка]]</f>
        <v>1475.9300000000003</v>
      </c>
      <c r="O396" s="108" t="str">
        <f>IF(Таблица97[[#This Row],[НК]]=1,Таблица97[[#This Row],[Маржа]],"")</f>
        <v/>
      </c>
    </row>
    <row r="397" spans="1:15" ht="20.100000000000001" customHeight="1" x14ac:dyDescent="0.25">
      <c r="A397" s="2">
        <v>198</v>
      </c>
      <c r="B397" s="2" t="str">
        <f>TEXT(Таблица97[[#This Row],[Дата]],"ГГ")&amp;RIGHT("000"&amp;Таблица97[[#This Row],[Номер]],4)</f>
        <v>170198</v>
      </c>
      <c r="C397" s="129">
        <v>42822</v>
      </c>
      <c r="D397" s="2" t="s">
        <v>91</v>
      </c>
      <c r="E397" s="108">
        <v>2090</v>
      </c>
      <c r="F397" s="129">
        <v>42825</v>
      </c>
      <c r="H397" s="129">
        <v>42828</v>
      </c>
      <c r="I397" s="108">
        <f t="shared" si="19"/>
        <v>2090</v>
      </c>
      <c r="J397" s="108" t="str">
        <f>IF(Таблица97[[#This Row],[НК]]=1,Таблица97[[#This Row],[Продажа]],"")</f>
        <v/>
      </c>
      <c r="M397" s="108">
        <v>1702</v>
      </c>
      <c r="N397" s="108">
        <f>Таблица97[[#This Row],[Продажа]]-Таблица97[[#This Row],[Закупка]]</f>
        <v>388</v>
      </c>
      <c r="O397" s="108" t="str">
        <f>IF(Таблица97[[#This Row],[НК]]=1,Таблица97[[#This Row],[Маржа]],"")</f>
        <v/>
      </c>
    </row>
    <row r="398" spans="1:15" ht="20.100000000000001" customHeight="1" x14ac:dyDescent="0.25">
      <c r="A398" s="2">
        <v>204</v>
      </c>
      <c r="B398" s="2" t="str">
        <f>TEXT(Таблица97[[#This Row],[Дата]],"ГГ")&amp;RIGHT("000"&amp;Таблица97[[#This Row],[Номер]],4)</f>
        <v>170204</v>
      </c>
      <c r="C398" s="129">
        <v>42823</v>
      </c>
      <c r="D398" s="2" t="s">
        <v>228</v>
      </c>
      <c r="E398" s="108">
        <v>4474.68</v>
      </c>
      <c r="F398" s="129">
        <v>42829</v>
      </c>
      <c r="H398" s="129">
        <v>42835</v>
      </c>
      <c r="I398" s="108">
        <f>E398</f>
        <v>4474.68</v>
      </c>
      <c r="J398" s="108" t="str">
        <f>IF(Таблица97[[#This Row],[НК]]=1,Таблица97[[#This Row],[Продажа]],"")</f>
        <v/>
      </c>
      <c r="M398" s="108">
        <v>3446</v>
      </c>
      <c r="N398" s="108">
        <f>Таблица97[[#This Row],[Продажа]]-Таблица97[[#This Row],[Закупка]]</f>
        <v>1028.6800000000003</v>
      </c>
      <c r="O398" s="108" t="str">
        <f>IF(Таблица97[[#This Row],[НК]]=1,Таблица97[[#This Row],[Маржа]],"")</f>
        <v/>
      </c>
    </row>
    <row r="399" spans="1:15" ht="20.100000000000001" customHeight="1" x14ac:dyDescent="0.25">
      <c r="A399" s="2">
        <v>217</v>
      </c>
      <c r="B399" s="2" t="str">
        <f>TEXT(Таблица97[[#This Row],[Дата]],"ГГ")&amp;RIGHT("000"&amp;Таблица97[[#This Row],[Номер]],4)</f>
        <v>170217</v>
      </c>
      <c r="C399" s="129">
        <v>42828</v>
      </c>
      <c r="D399" s="2" t="s">
        <v>236</v>
      </c>
      <c r="E399" s="108">
        <v>10400</v>
      </c>
      <c r="F399" s="129">
        <v>42830</v>
      </c>
      <c r="H399" s="129">
        <v>42836</v>
      </c>
      <c r="I399" s="108">
        <f>E399</f>
        <v>10400</v>
      </c>
      <c r="J399" s="108" t="str">
        <f>IF(Таблица97[[#This Row],[НК]]=1,Таблица97[[#This Row],[Продажа]],"")</f>
        <v/>
      </c>
      <c r="M399" s="108">
        <v>5400</v>
      </c>
      <c r="N399" s="108">
        <f>Таблица97[[#This Row],[Продажа]]-Таблица97[[#This Row],[Закупка]]</f>
        <v>5000</v>
      </c>
      <c r="O399" s="108" t="str">
        <f>IF(Таблица97[[#This Row],[НК]]=1,Таблица97[[#This Row],[Маржа]],"")</f>
        <v/>
      </c>
    </row>
    <row r="400" spans="1:15" ht="20.100000000000001" customHeight="1" x14ac:dyDescent="0.25">
      <c r="A400" s="2">
        <v>230</v>
      </c>
      <c r="B400" s="2" t="str">
        <f>TEXT(Таблица97[[#This Row],[Дата]],"ГГ")&amp;RIGHT("000"&amp;Таблица97[[#This Row],[Номер]],4)</f>
        <v>170230</v>
      </c>
      <c r="C400" s="129">
        <v>42831</v>
      </c>
      <c r="D400" s="2" t="s">
        <v>125</v>
      </c>
      <c r="E400" s="108">
        <v>20999</v>
      </c>
      <c r="F400" s="129">
        <v>42831</v>
      </c>
      <c r="H400" s="129">
        <v>42832</v>
      </c>
      <c r="I400" s="108">
        <f>E400</f>
        <v>20999</v>
      </c>
      <c r="J400" s="108" t="str">
        <f>IF(Таблица97[[#This Row],[НК]]=1,Таблица97[[#This Row],[Продажа]],"")</f>
        <v/>
      </c>
      <c r="M400" s="108">
        <v>17154</v>
      </c>
      <c r="N400" s="108">
        <f>Таблица97[[#This Row],[Продажа]]-Таблица97[[#This Row],[Закупка]]</f>
        <v>3845</v>
      </c>
      <c r="O400" s="108" t="str">
        <f>IF(Таблица97[[#This Row],[НК]]=1,Таблица97[[#This Row],[Маржа]],"")</f>
        <v/>
      </c>
    </row>
    <row r="401" spans="1:15" ht="20.100000000000001" customHeight="1" x14ac:dyDescent="0.25">
      <c r="A401" s="2">
        <v>126</v>
      </c>
      <c r="B401" s="2" t="str">
        <f>TEXT(Таблица97[[#This Row],[Дата]],"ГГ")&amp;RIGHT("000"&amp;Таблица97[[#This Row],[Номер]],4)</f>
        <v>170126</v>
      </c>
      <c r="C401" s="129">
        <v>42831</v>
      </c>
      <c r="D401" s="2" t="s">
        <v>237</v>
      </c>
      <c r="E401" s="108">
        <v>68628.84</v>
      </c>
      <c r="F401" s="129">
        <v>42832</v>
      </c>
      <c r="G401" s="128">
        <v>1</v>
      </c>
      <c r="H401" s="129">
        <v>42837</v>
      </c>
      <c r="I401" s="108">
        <f>E401</f>
        <v>68628.84</v>
      </c>
      <c r="J401" s="108">
        <f>IF(Таблица97[[#This Row],[НК]]=1,Таблица97[[#This Row],[Продажа]],"")</f>
        <v>68628.84</v>
      </c>
      <c r="L401" s="108">
        <v>600</v>
      </c>
      <c r="M401" s="108">
        <v>57636.25</v>
      </c>
      <c r="N401" s="108">
        <f>Таблица97[[#This Row],[Продажа]]-Таблица97[[#This Row],[Закупка]]</f>
        <v>10992.589999999997</v>
      </c>
      <c r="O401" s="108">
        <f>IF(Таблица97[[#This Row],[НК]]=1,Таблица97[[#This Row],[Маржа]],"")</f>
        <v>10992.589999999997</v>
      </c>
    </row>
    <row r="402" spans="1:15" ht="20.100000000000001" customHeight="1" x14ac:dyDescent="0.25">
      <c r="A402" s="2">
        <v>206</v>
      </c>
      <c r="B402" s="2" t="str">
        <f>TEXT(Таблица97[[#This Row],[Дата]],"ГГ")&amp;RIGHT("000"&amp;Таблица97[[#This Row],[Номер]],4)</f>
        <v>170206</v>
      </c>
      <c r="C402" s="129">
        <v>42824</v>
      </c>
      <c r="D402" s="2" t="s">
        <v>97</v>
      </c>
      <c r="E402" s="108">
        <v>2345.4899999999998</v>
      </c>
      <c r="F402" s="129">
        <v>42831</v>
      </c>
      <c r="H402" s="129">
        <v>42843</v>
      </c>
      <c r="I402" s="108">
        <f>E402</f>
        <v>2345.4899999999998</v>
      </c>
      <c r="J402" s="108" t="str">
        <f>IF(Таблица97[[#This Row],[НК]]=1,Таблица97[[#This Row],[Продажа]],"")</f>
        <v/>
      </c>
      <c r="M402" s="108">
        <v>1548</v>
      </c>
      <c r="N402" s="108">
        <f>Таблица97[[#This Row],[Продажа]]-Таблица97[[#This Row],[Закупка]]</f>
        <v>797.48999999999978</v>
      </c>
      <c r="O402" s="108" t="str">
        <f>IF(Таблица97[[#This Row],[НК]]=1,Таблица97[[#This Row],[Маржа]],"")</f>
        <v/>
      </c>
    </row>
    <row r="403" spans="1:15" ht="20.100000000000001" customHeight="1" x14ac:dyDescent="0.25">
      <c r="A403" s="2">
        <v>93</v>
      </c>
      <c r="B403" s="2" t="str">
        <f>TEXT(Таблица97[[#This Row],[Дата]],"ГГ")&amp;RIGHT("000"&amp;Таблица97[[#This Row],[Номер]],4)</f>
        <v>170093</v>
      </c>
      <c r="C403" s="129">
        <v>42781</v>
      </c>
      <c r="D403" s="2" t="s">
        <v>228</v>
      </c>
      <c r="E403" s="108">
        <v>230621</v>
      </c>
      <c r="F403" s="129">
        <v>42832</v>
      </c>
      <c r="G403" s="128">
        <v>1</v>
      </c>
      <c r="H403" s="129">
        <v>42835</v>
      </c>
      <c r="I403" s="108">
        <f>E403/2</f>
        <v>115310.5</v>
      </c>
      <c r="J403" s="108">
        <f>IF(Таблица97[[#This Row],[НК]]=1,Таблица97[[#This Row],[Продажа]],"")</f>
        <v>115310.5</v>
      </c>
      <c r="M403" s="108">
        <v>91534.5</v>
      </c>
      <c r="N403" s="108">
        <f>Таблица97[[#This Row],[Продажа]]-Таблица97[[#This Row],[Закупка]]</f>
        <v>23776</v>
      </c>
      <c r="O403" s="108">
        <f>IF(Таблица97[[#This Row],[НК]]=1,Таблица97[[#This Row],[Маржа]],"")</f>
        <v>23776</v>
      </c>
    </row>
    <row r="404" spans="1:15" ht="20.100000000000001" customHeight="1" x14ac:dyDescent="0.25">
      <c r="A404" s="2">
        <v>234</v>
      </c>
      <c r="B404" s="2" t="str">
        <f>TEXT(Таблица97[[#This Row],[Дата]],"ГГ")&amp;RIGHT("000"&amp;Таблица97[[#This Row],[Номер]],4)</f>
        <v>170234</v>
      </c>
      <c r="C404" s="129">
        <v>42832</v>
      </c>
      <c r="D404" s="2" t="s">
        <v>175</v>
      </c>
      <c r="E404" s="108">
        <v>9480</v>
      </c>
      <c r="F404" s="129">
        <v>42835</v>
      </c>
      <c r="H404" s="129">
        <v>42837</v>
      </c>
      <c r="I404" s="108">
        <f t="shared" ref="I404:I428" si="20">E404</f>
        <v>9480</v>
      </c>
      <c r="J404" s="108" t="str">
        <f>IF(Таблица97[[#This Row],[НК]]=1,Таблица97[[#This Row],[Продажа]],"")</f>
        <v/>
      </c>
      <c r="M404" s="108">
        <v>6256</v>
      </c>
      <c r="N404" s="108">
        <f>Таблица97[[#This Row],[Продажа]]-Таблица97[[#This Row],[Закупка]]</f>
        <v>3224</v>
      </c>
      <c r="O404" s="108" t="str">
        <f>IF(Таблица97[[#This Row],[НК]]=1,Таблица97[[#This Row],[Маржа]],"")</f>
        <v/>
      </c>
    </row>
    <row r="405" spans="1:15" ht="20.100000000000001" customHeight="1" x14ac:dyDescent="0.25">
      <c r="A405" s="2">
        <v>233</v>
      </c>
      <c r="B405" s="2" t="str">
        <f>TEXT(Таблица97[[#This Row],[Дата]],"ГГ")&amp;RIGHT("000"&amp;Таблица97[[#This Row],[Номер]],4)</f>
        <v>170233</v>
      </c>
      <c r="C405" s="129">
        <v>42832</v>
      </c>
      <c r="D405" s="2" t="s">
        <v>238</v>
      </c>
      <c r="E405" s="108">
        <v>6490</v>
      </c>
      <c r="F405" s="129">
        <v>42835</v>
      </c>
      <c r="G405" s="128">
        <v>1</v>
      </c>
      <c r="H405" s="129">
        <v>42838</v>
      </c>
      <c r="I405" s="108">
        <f t="shared" si="20"/>
        <v>6490</v>
      </c>
      <c r="J405" s="108">
        <f>IF(Таблица97[[#This Row],[НК]]=1,Таблица97[[#This Row],[Продажа]],"")</f>
        <v>6490</v>
      </c>
      <c r="M405" s="108">
        <v>4612</v>
      </c>
      <c r="N405" s="108">
        <f>Таблица97[[#This Row],[Продажа]]-Таблица97[[#This Row],[Закупка]]</f>
        <v>1878</v>
      </c>
      <c r="O405" s="108">
        <f>IF(Таблица97[[#This Row],[НК]]=1,Таблица97[[#This Row],[Маржа]],"")</f>
        <v>1878</v>
      </c>
    </row>
    <row r="406" spans="1:15" ht="20.100000000000001" customHeight="1" x14ac:dyDescent="0.25">
      <c r="A406" s="2">
        <v>240</v>
      </c>
      <c r="B406" s="2" t="str">
        <f>TEXT(Таблица97[[#This Row],[Дата]],"ГГ")&amp;RIGHT("000"&amp;Таблица97[[#This Row],[Номер]],4)</f>
        <v>170240</v>
      </c>
      <c r="C406" s="129">
        <v>42836</v>
      </c>
      <c r="D406" s="2" t="s">
        <v>239</v>
      </c>
      <c r="E406" s="108">
        <v>15990</v>
      </c>
      <c r="F406" s="129">
        <v>42836</v>
      </c>
      <c r="G406" s="128">
        <v>1</v>
      </c>
      <c r="H406" s="129">
        <v>42838</v>
      </c>
      <c r="I406" s="108">
        <f t="shared" si="20"/>
        <v>15990</v>
      </c>
      <c r="J406" s="108">
        <f>IF(Таблица97[[#This Row],[НК]]=1,Таблица97[[#This Row],[Продажа]],"")</f>
        <v>15990</v>
      </c>
      <c r="M406" s="108">
        <v>12088</v>
      </c>
      <c r="N406" s="108">
        <f>Таблица97[[#This Row],[Продажа]]-Таблица97[[#This Row],[Закупка]]</f>
        <v>3902</v>
      </c>
      <c r="O406" s="108">
        <f>IF(Таблица97[[#This Row],[НК]]=1,Таблица97[[#This Row],[Маржа]],"")</f>
        <v>3902</v>
      </c>
    </row>
    <row r="407" spans="1:15" ht="20.100000000000001" customHeight="1" x14ac:dyDescent="0.25">
      <c r="A407" s="2">
        <v>241</v>
      </c>
      <c r="B407" s="2" t="str">
        <f>TEXT(Таблица97[[#This Row],[Дата]],"ГГ")&amp;RIGHT("000"&amp;Таблица97[[#This Row],[Номер]],4)</f>
        <v>170241</v>
      </c>
      <c r="C407" s="129">
        <v>42836</v>
      </c>
      <c r="D407" s="2" t="s">
        <v>209</v>
      </c>
      <c r="E407" s="108">
        <v>2312.85</v>
      </c>
      <c r="F407" s="129">
        <v>42836</v>
      </c>
      <c r="H407" s="129">
        <v>42836</v>
      </c>
      <c r="I407" s="108">
        <f t="shared" si="20"/>
        <v>2312.85</v>
      </c>
      <c r="J407" s="108" t="str">
        <f>IF(Таблица97[[#This Row],[НК]]=1,Таблица97[[#This Row],[Продажа]],"")</f>
        <v/>
      </c>
      <c r="M407" s="108">
        <v>1935</v>
      </c>
      <c r="N407" s="108">
        <f>Таблица97[[#This Row],[Продажа]]-Таблица97[[#This Row],[Закупка]]</f>
        <v>377.84999999999991</v>
      </c>
      <c r="O407" s="108" t="str">
        <f>IF(Таблица97[[#This Row],[НК]]=1,Таблица97[[#This Row],[Маржа]],"")</f>
        <v/>
      </c>
    </row>
    <row r="408" spans="1:15" ht="20.100000000000001" customHeight="1" x14ac:dyDescent="0.25">
      <c r="A408" s="2">
        <v>235</v>
      </c>
      <c r="B408" s="2" t="str">
        <f>TEXT(Таблица97[[#This Row],[Дата]],"ГГ")&amp;RIGHT("000"&amp;Таблица97[[#This Row],[Номер]],4)</f>
        <v>170235</v>
      </c>
      <c r="C408" s="129">
        <v>42832</v>
      </c>
      <c r="D408" s="2" t="s">
        <v>175</v>
      </c>
      <c r="E408" s="108">
        <v>28440</v>
      </c>
      <c r="F408" s="129">
        <v>42837</v>
      </c>
      <c r="H408" s="129">
        <v>42865</v>
      </c>
      <c r="I408" s="108">
        <f t="shared" si="20"/>
        <v>28440</v>
      </c>
      <c r="J408" s="108" t="str">
        <f>IF(Таблица97[[#This Row],[НК]]=1,Таблица97[[#This Row],[Продажа]],"")</f>
        <v/>
      </c>
      <c r="M408" s="108">
        <v>18768</v>
      </c>
      <c r="N408" s="108">
        <f>Таблица97[[#This Row],[Продажа]]-Таблица97[[#This Row],[Закупка]]</f>
        <v>9672</v>
      </c>
      <c r="O408" s="108" t="str">
        <f>IF(Таблица97[[#This Row],[НК]]=1,Таблица97[[#This Row],[Маржа]],"")</f>
        <v/>
      </c>
    </row>
    <row r="409" spans="1:15" ht="20.100000000000001" customHeight="1" x14ac:dyDescent="0.25">
      <c r="A409" s="2">
        <v>243</v>
      </c>
      <c r="B409" s="2" t="str">
        <f>TEXT(Таблица97[[#This Row],[Дата]],"ГГ")&amp;RIGHT("000"&amp;Таблица97[[#This Row],[Номер]],4)</f>
        <v>170243</v>
      </c>
      <c r="C409" s="129">
        <v>42836</v>
      </c>
      <c r="D409" s="2" t="s">
        <v>185</v>
      </c>
      <c r="E409" s="108">
        <v>5444</v>
      </c>
      <c r="F409" s="129">
        <v>42837</v>
      </c>
      <c r="H409" s="129">
        <v>42843</v>
      </c>
      <c r="I409" s="108">
        <f t="shared" si="20"/>
        <v>5444</v>
      </c>
      <c r="J409" s="108" t="str">
        <f>IF(Таблица97[[#This Row],[НК]]=1,Таблица97[[#This Row],[Продажа]],"")</f>
        <v/>
      </c>
      <c r="M409" s="108">
        <v>4129</v>
      </c>
      <c r="N409" s="108">
        <f>Таблица97[[#This Row],[Продажа]]-Таблица97[[#This Row],[Закупка]]</f>
        <v>1315</v>
      </c>
      <c r="O409" s="108" t="str">
        <f>IF(Таблица97[[#This Row],[НК]]=1,Таблица97[[#This Row],[Маржа]],"")</f>
        <v/>
      </c>
    </row>
    <row r="410" spans="1:15" ht="20.100000000000001" customHeight="1" x14ac:dyDescent="0.25">
      <c r="A410" s="2">
        <v>248</v>
      </c>
      <c r="B410" s="2" t="str">
        <f>TEXT(Таблица97[[#This Row],[Дата]],"ГГ")&amp;RIGHT("000"&amp;Таблица97[[#This Row],[Номер]],4)</f>
        <v>170248</v>
      </c>
      <c r="C410" s="129">
        <v>42837</v>
      </c>
      <c r="D410" s="2" t="s">
        <v>175</v>
      </c>
      <c r="E410" s="108">
        <v>5358</v>
      </c>
      <c r="F410" s="129">
        <v>42838</v>
      </c>
      <c r="H410" s="129">
        <v>42838</v>
      </c>
      <c r="I410" s="108">
        <f t="shared" si="20"/>
        <v>5358</v>
      </c>
      <c r="J410" s="108" t="str">
        <f>IF(Таблица97[[#This Row],[НК]]=1,Таблица97[[#This Row],[Продажа]],"")</f>
        <v/>
      </c>
      <c r="M410" s="108">
        <v>3960</v>
      </c>
      <c r="N410" s="108">
        <f>Таблица97[[#This Row],[Продажа]]-Таблица97[[#This Row],[Закупка]]</f>
        <v>1398</v>
      </c>
      <c r="O410" s="108" t="str">
        <f>IF(Таблица97[[#This Row],[НК]]=1,Таблица97[[#This Row],[Маржа]],"")</f>
        <v/>
      </c>
    </row>
    <row r="411" spans="1:15" ht="20.100000000000001" customHeight="1" x14ac:dyDescent="0.25">
      <c r="A411" s="2">
        <v>154</v>
      </c>
      <c r="B411" s="2" t="str">
        <f>TEXT(Таблица97[[#This Row],[Дата]],"ГГ")&amp;RIGHT("000"&amp;Таблица97[[#This Row],[Номер]],4)</f>
        <v>170154</v>
      </c>
      <c r="C411" s="129">
        <v>42808</v>
      </c>
      <c r="D411" s="2" t="s">
        <v>60</v>
      </c>
      <c r="E411" s="108">
        <v>19194.18</v>
      </c>
      <c r="F411" s="129">
        <v>42838</v>
      </c>
      <c r="H411" s="129">
        <v>42830</v>
      </c>
      <c r="I411" s="108">
        <f t="shared" si="20"/>
        <v>19194.18</v>
      </c>
      <c r="J411" s="108" t="str">
        <f>IF(Таблица97[[#This Row],[НК]]=1,Таблица97[[#This Row],[Продажа]],"")</f>
        <v/>
      </c>
      <c r="M411" s="108">
        <v>15047</v>
      </c>
      <c r="N411" s="108">
        <f>Таблица97[[#This Row],[Продажа]]-Таблица97[[#This Row],[Закупка]]</f>
        <v>4147.18</v>
      </c>
      <c r="O411" s="108" t="str">
        <f>IF(Таблица97[[#This Row],[НК]]=1,Таблица97[[#This Row],[Маржа]],"")</f>
        <v/>
      </c>
    </row>
    <row r="412" spans="1:15" ht="20.100000000000001" customHeight="1" x14ac:dyDescent="0.25">
      <c r="A412" s="2">
        <v>122</v>
      </c>
      <c r="B412" s="2" t="str">
        <f>TEXT(Таблица97[[#This Row],[Дата]],"ГГ")&amp;RIGHT("000"&amp;Таблица97[[#This Row],[Номер]],4)</f>
        <v>170122</v>
      </c>
      <c r="C412" s="129">
        <v>42795</v>
      </c>
      <c r="D412" s="2" t="s">
        <v>175</v>
      </c>
      <c r="E412" s="108">
        <v>19112</v>
      </c>
      <c r="F412" s="129">
        <v>42839</v>
      </c>
      <c r="H412" s="129">
        <v>42839</v>
      </c>
      <c r="I412" s="108">
        <f t="shared" si="20"/>
        <v>19112</v>
      </c>
      <c r="J412" s="108" t="str">
        <f>IF(Таблица97[[#This Row],[НК]]=1,Таблица97[[#This Row],[Продажа]],"")</f>
        <v/>
      </c>
      <c r="M412" s="108">
        <v>13752</v>
      </c>
      <c r="N412" s="108">
        <f>Таблица97[[#This Row],[Продажа]]-Таблица97[[#This Row],[Закупка]]</f>
        <v>5360</v>
      </c>
      <c r="O412" s="108" t="str">
        <f>IF(Таблица97[[#This Row],[НК]]=1,Таблица97[[#This Row],[Маржа]],"")</f>
        <v/>
      </c>
    </row>
    <row r="413" spans="1:15" ht="20.100000000000001" customHeight="1" x14ac:dyDescent="0.25">
      <c r="A413" s="2">
        <v>212</v>
      </c>
      <c r="B413" s="2" t="str">
        <f>TEXT(Таблица97[[#This Row],[Дата]],"ГГ")&amp;RIGHT("000"&amp;Таблица97[[#This Row],[Номер]],4)</f>
        <v>170212</v>
      </c>
      <c r="C413" s="129">
        <v>42825</v>
      </c>
      <c r="D413" s="2" t="s">
        <v>60</v>
      </c>
      <c r="E413" s="108">
        <v>22631.64</v>
      </c>
      <c r="F413" s="129">
        <v>42839</v>
      </c>
      <c r="H413" s="129">
        <v>42830</v>
      </c>
      <c r="I413" s="108">
        <f t="shared" si="20"/>
        <v>22631.64</v>
      </c>
      <c r="J413" s="108" t="str">
        <f>IF(Таблица97[[#This Row],[НК]]=1,Таблица97[[#This Row],[Продажа]],"")</f>
        <v/>
      </c>
      <c r="M413" s="108">
        <v>17604</v>
      </c>
      <c r="N413" s="108">
        <f>Таблица97[[#This Row],[Продажа]]-Таблица97[[#This Row],[Закупка]]</f>
        <v>5027.6399999999994</v>
      </c>
      <c r="O413" s="108" t="str">
        <f>IF(Таблица97[[#This Row],[НК]]=1,Таблица97[[#This Row],[Маржа]],"")</f>
        <v/>
      </c>
    </row>
    <row r="414" spans="1:15" ht="20.100000000000001" customHeight="1" x14ac:dyDescent="0.25">
      <c r="A414" s="2">
        <v>142</v>
      </c>
      <c r="B414" s="2" t="str">
        <f>TEXT(Таблица97[[#This Row],[Дата]],"ГГ")&amp;RIGHT("000"&amp;Таблица97[[#This Row],[Номер]],4)</f>
        <v>170142</v>
      </c>
      <c r="C414" s="129">
        <v>42818</v>
      </c>
      <c r="D414" s="2" t="s">
        <v>56</v>
      </c>
      <c r="E414" s="108">
        <v>34418.81</v>
      </c>
      <c r="F414" s="129">
        <v>42839</v>
      </c>
      <c r="H414" s="129">
        <v>42823</v>
      </c>
      <c r="I414" s="108">
        <f t="shared" si="20"/>
        <v>34418.81</v>
      </c>
      <c r="J414" s="108" t="str">
        <f>IF(Таблица97[[#This Row],[НК]]=1,Таблица97[[#This Row],[Продажа]],"")</f>
        <v/>
      </c>
      <c r="L414" s="108">
        <f>5*600</f>
        <v>3000</v>
      </c>
      <c r="M414" s="108">
        <v>18282</v>
      </c>
      <c r="N414" s="108">
        <f>Таблица97[[#This Row],[Продажа]]-Таблица97[[#This Row],[Закупка]]</f>
        <v>16136.809999999998</v>
      </c>
      <c r="O414" s="108" t="str">
        <f>IF(Таблица97[[#This Row],[НК]]=1,Таблица97[[#This Row],[Маржа]],"")</f>
        <v/>
      </c>
    </row>
    <row r="415" spans="1:15" ht="20.100000000000001" customHeight="1" x14ac:dyDescent="0.25">
      <c r="A415" s="2">
        <v>275</v>
      </c>
      <c r="B415" s="2" t="str">
        <f>TEXT(Таблица97[[#This Row],[Дата]],"ГГ")&amp;RIGHT("000"&amp;Таблица97[[#This Row],[Номер]],4)</f>
        <v>170275</v>
      </c>
      <c r="C415" s="129">
        <v>42843</v>
      </c>
      <c r="D415" s="2" t="s">
        <v>240</v>
      </c>
      <c r="E415" s="108">
        <v>22236</v>
      </c>
      <c r="F415" s="129">
        <v>42844</v>
      </c>
      <c r="G415" s="128">
        <v>1</v>
      </c>
      <c r="H415" s="129">
        <v>42844</v>
      </c>
      <c r="I415" s="108">
        <f t="shared" si="20"/>
        <v>22236</v>
      </c>
      <c r="J415" s="108">
        <f>IF(Таблица97[[#This Row],[НК]]=1,Таблица97[[#This Row],[Продажа]],"")</f>
        <v>22236</v>
      </c>
      <c r="M415" s="108">
        <v>17296</v>
      </c>
      <c r="N415" s="108">
        <f>Таблица97[[#This Row],[Продажа]]-Таблица97[[#This Row],[Закупка]]</f>
        <v>4940</v>
      </c>
      <c r="O415" s="108">
        <f>IF(Таблица97[[#This Row],[НК]]=1,Таблица97[[#This Row],[Маржа]],"")</f>
        <v>4940</v>
      </c>
    </row>
    <row r="416" spans="1:15" ht="20.100000000000001" customHeight="1" x14ac:dyDescent="0.25">
      <c r="A416" s="2">
        <v>278</v>
      </c>
      <c r="B416" s="2" t="str">
        <f>TEXT(Таблица97[[#This Row],[Дата]],"ГГ")&amp;RIGHT("000"&amp;Таблица97[[#This Row],[Номер]],4)</f>
        <v>170278</v>
      </c>
      <c r="C416" s="129">
        <v>42843</v>
      </c>
      <c r="D416" s="2" t="s">
        <v>14</v>
      </c>
      <c r="E416" s="108">
        <v>4985</v>
      </c>
      <c r="F416" s="129">
        <v>42844</v>
      </c>
      <c r="H416" s="129">
        <v>42846</v>
      </c>
      <c r="I416" s="108">
        <f t="shared" si="20"/>
        <v>4985</v>
      </c>
      <c r="J416" s="108" t="str">
        <f>IF(Таблица97[[#This Row],[НК]]=1,Таблица97[[#This Row],[Продажа]],"")</f>
        <v/>
      </c>
      <c r="M416" s="108">
        <v>3402</v>
      </c>
      <c r="N416" s="108">
        <f>Таблица97[[#This Row],[Продажа]]-Таблица97[[#This Row],[Закупка]]</f>
        <v>1583</v>
      </c>
      <c r="O416" s="108" t="str">
        <f>IF(Таблица97[[#This Row],[НК]]=1,Таблица97[[#This Row],[Маржа]],"")</f>
        <v/>
      </c>
    </row>
    <row r="417" spans="1:15" ht="20.100000000000001" customHeight="1" x14ac:dyDescent="0.25">
      <c r="A417" s="2">
        <v>215</v>
      </c>
      <c r="B417" s="2" t="str">
        <f>TEXT(Таблица97[[#This Row],[Дата]],"ГГ")&amp;RIGHT("000"&amp;Таблица97[[#This Row],[Номер]],4)</f>
        <v>170215</v>
      </c>
      <c r="C417" s="129">
        <v>42828</v>
      </c>
      <c r="D417" s="2" t="s">
        <v>180</v>
      </c>
      <c r="E417" s="108">
        <v>48997.09</v>
      </c>
      <c r="F417" s="129">
        <v>42845</v>
      </c>
      <c r="H417" s="129">
        <v>42844</v>
      </c>
      <c r="I417" s="108">
        <f t="shared" si="20"/>
        <v>48997.09</v>
      </c>
      <c r="J417" s="108" t="str">
        <f>IF(Таблица97[[#This Row],[НК]]=1,Таблица97[[#This Row],[Продажа]],"")</f>
        <v/>
      </c>
      <c r="M417" s="108">
        <v>33258</v>
      </c>
      <c r="N417" s="108">
        <f>Таблица97[[#This Row],[Продажа]]-Таблица97[[#This Row],[Закупка]]</f>
        <v>15739.089999999997</v>
      </c>
      <c r="O417" s="108" t="str">
        <f>IF(Таблица97[[#This Row],[НК]]=1,Таблица97[[#This Row],[Маржа]],"")</f>
        <v/>
      </c>
    </row>
    <row r="418" spans="1:15" ht="20.100000000000001" customHeight="1" x14ac:dyDescent="0.25">
      <c r="A418" s="2">
        <v>282</v>
      </c>
      <c r="B418" s="2" t="str">
        <f>TEXT(Таблица97[[#This Row],[Дата]],"ГГ")&amp;RIGHT("000"&amp;Таблица97[[#This Row],[Номер]],4)</f>
        <v>170282</v>
      </c>
      <c r="C418" s="129">
        <v>42844</v>
      </c>
      <c r="D418" s="2" t="s">
        <v>241</v>
      </c>
      <c r="E418" s="108">
        <v>2161</v>
      </c>
      <c r="F418" s="129">
        <v>42845</v>
      </c>
      <c r="G418" s="128">
        <v>1</v>
      </c>
      <c r="H418" s="129">
        <v>42850</v>
      </c>
      <c r="I418" s="108">
        <f t="shared" si="20"/>
        <v>2161</v>
      </c>
      <c r="J418" s="108">
        <f>IF(Таблица97[[#This Row],[НК]]=1,Таблица97[[#This Row],[Продажа]],"")</f>
        <v>2161</v>
      </c>
      <c r="M418" s="108">
        <v>1633</v>
      </c>
      <c r="N418" s="108">
        <f>Таблица97[[#This Row],[Продажа]]-Таблица97[[#This Row],[Закупка]]</f>
        <v>528</v>
      </c>
      <c r="O418" s="108">
        <f>IF(Таблица97[[#This Row],[НК]]=1,Таблица97[[#This Row],[Маржа]],"")</f>
        <v>528</v>
      </c>
    </row>
    <row r="419" spans="1:15" ht="20.100000000000001" customHeight="1" x14ac:dyDescent="0.25">
      <c r="A419" s="2">
        <v>273</v>
      </c>
      <c r="B419" s="2" t="str">
        <f>TEXT(Таблица97[[#This Row],[Дата]],"ГГ")&amp;RIGHT("000"&amp;Таблица97[[#This Row],[Номер]],4)</f>
        <v>170273</v>
      </c>
      <c r="C419" s="129">
        <v>42844</v>
      </c>
      <c r="D419" s="2" t="s">
        <v>242</v>
      </c>
      <c r="E419" s="108">
        <v>18490</v>
      </c>
      <c r="F419" s="129">
        <v>42846</v>
      </c>
      <c r="G419" s="128">
        <v>1</v>
      </c>
      <c r="H419" s="129">
        <v>42846</v>
      </c>
      <c r="I419" s="108">
        <f t="shared" si="20"/>
        <v>18490</v>
      </c>
      <c r="J419" s="108">
        <f>IF(Таблица97[[#This Row],[НК]]=1,Таблица97[[#This Row],[Продажа]],"")</f>
        <v>18490</v>
      </c>
      <c r="M419" s="108">
        <v>13142</v>
      </c>
      <c r="N419" s="108">
        <f>Таблица97[[#This Row],[Продажа]]-Таблица97[[#This Row],[Закупка]]</f>
        <v>5348</v>
      </c>
      <c r="O419" s="108">
        <f>IF(Таблица97[[#This Row],[НК]]=1,Таблица97[[#This Row],[Маржа]],"")</f>
        <v>5348</v>
      </c>
    </row>
    <row r="420" spans="1:15" ht="20.100000000000001" customHeight="1" x14ac:dyDescent="0.25">
      <c r="A420" s="2">
        <v>210</v>
      </c>
      <c r="B420" s="2" t="str">
        <f>TEXT(Таблица97[[#This Row],[Дата]],"ГГ")&amp;RIGHT("000"&amp;Таблица97[[#This Row],[Номер]],4)</f>
        <v>170210</v>
      </c>
      <c r="C420" s="129">
        <v>42825</v>
      </c>
      <c r="D420" s="2" t="s">
        <v>235</v>
      </c>
      <c r="E420" s="108">
        <v>26389.17</v>
      </c>
      <c r="F420" s="129">
        <v>42849</v>
      </c>
      <c r="G420" s="128">
        <v>1</v>
      </c>
      <c r="H420" s="129">
        <v>42828</v>
      </c>
      <c r="I420" s="108">
        <f t="shared" si="20"/>
        <v>26389.17</v>
      </c>
      <c r="J420" s="108">
        <f>IF(Таблица97[[#This Row],[НК]]=1,Таблица97[[#This Row],[Продажа]],"")</f>
        <v>26389.17</v>
      </c>
      <c r="M420" s="108">
        <v>18133</v>
      </c>
      <c r="N420" s="108">
        <f>Таблица97[[#This Row],[Продажа]]-Таблица97[[#This Row],[Закупка]]</f>
        <v>8256.1699999999983</v>
      </c>
      <c r="O420" s="108">
        <f>IF(Таблица97[[#This Row],[НК]]=1,Таблица97[[#This Row],[Маржа]],"")</f>
        <v>8256.1699999999983</v>
      </c>
    </row>
    <row r="421" spans="1:15" ht="20.100000000000001" customHeight="1" x14ac:dyDescent="0.25">
      <c r="A421" s="2">
        <v>295</v>
      </c>
      <c r="B421" s="2" t="str">
        <f>TEXT(Таблица97[[#This Row],[Дата]],"ГГ")&amp;RIGHT("000"&amp;Таблица97[[#This Row],[Номер]],4)</f>
        <v>170295</v>
      </c>
      <c r="C421" s="129">
        <v>42846</v>
      </c>
      <c r="D421" s="2" t="s">
        <v>234</v>
      </c>
      <c r="E421" s="108">
        <v>2579.42</v>
      </c>
      <c r="F421" s="129">
        <v>42849</v>
      </c>
      <c r="H421" s="129">
        <v>42866</v>
      </c>
      <c r="I421" s="108">
        <f t="shared" si="20"/>
        <v>2579.42</v>
      </c>
      <c r="J421" s="108" t="str">
        <f>IF(Таблица97[[#This Row],[НК]]=1,Таблица97[[#This Row],[Продажа]],"")</f>
        <v/>
      </c>
      <c r="M421" s="108">
        <v>2054</v>
      </c>
      <c r="N421" s="108">
        <f>Таблица97[[#This Row],[Продажа]]-Таблица97[[#This Row],[Закупка]]</f>
        <v>525.42000000000007</v>
      </c>
      <c r="O421" s="108" t="str">
        <f>IF(Таблица97[[#This Row],[НК]]=1,Таблица97[[#This Row],[Маржа]],"")</f>
        <v/>
      </c>
    </row>
    <row r="422" spans="1:15" ht="20.100000000000001" customHeight="1" x14ac:dyDescent="0.25">
      <c r="A422" s="2">
        <v>284</v>
      </c>
      <c r="B422" s="2" t="str">
        <f>TEXT(Таблица97[[#This Row],[Дата]],"ГГ")&amp;RIGHT("000"&amp;Таблица97[[#This Row],[Номер]],4)</f>
        <v>170284</v>
      </c>
      <c r="C422" s="129">
        <v>42845</v>
      </c>
      <c r="D422" s="2" t="s">
        <v>243</v>
      </c>
      <c r="E422" s="108">
        <v>44087.199999999997</v>
      </c>
      <c r="F422" s="129">
        <v>42849</v>
      </c>
      <c r="H422" s="129">
        <v>42865</v>
      </c>
      <c r="I422" s="108">
        <f t="shared" si="20"/>
        <v>44087.199999999997</v>
      </c>
      <c r="J422" s="108" t="str">
        <f>IF(Таблица97[[#This Row],[НК]]=1,Таблица97[[#This Row],[Продажа]],"")</f>
        <v/>
      </c>
      <c r="M422" s="108">
        <v>34380</v>
      </c>
      <c r="N422" s="108">
        <f>Таблица97[[#This Row],[Продажа]]-Таблица97[[#This Row],[Закупка]]</f>
        <v>9707.1999999999971</v>
      </c>
      <c r="O422" s="108" t="str">
        <f>IF(Таблица97[[#This Row],[НК]]=1,Таблица97[[#This Row],[Маржа]],"")</f>
        <v/>
      </c>
    </row>
    <row r="423" spans="1:15" ht="20.100000000000001" customHeight="1" x14ac:dyDescent="0.25">
      <c r="A423" s="2">
        <v>237</v>
      </c>
      <c r="B423" s="2" t="str">
        <f>TEXT(Таблица97[[#This Row],[Дата]],"ГГ")&amp;RIGHT("000"&amp;Таблица97[[#This Row],[Номер]],4)</f>
        <v>170237</v>
      </c>
      <c r="C423" s="129">
        <v>42832</v>
      </c>
      <c r="D423" s="2" t="s">
        <v>167</v>
      </c>
      <c r="E423" s="108">
        <v>6513</v>
      </c>
      <c r="F423" s="129">
        <v>42851</v>
      </c>
      <c r="H423" s="129">
        <v>42853</v>
      </c>
      <c r="I423" s="108">
        <f t="shared" si="20"/>
        <v>6513</v>
      </c>
      <c r="J423" s="108" t="str">
        <f>IF(Таблица97[[#This Row],[НК]]=1,Таблица97[[#This Row],[Продажа]],"")</f>
        <v/>
      </c>
      <c r="L423" s="108">
        <v>600</v>
      </c>
      <c r="M423" s="108">
        <v>3448</v>
      </c>
      <c r="N423" s="108">
        <f>Таблица97[[#This Row],[Продажа]]-Таблица97[[#This Row],[Закупка]]</f>
        <v>3065</v>
      </c>
      <c r="O423" s="108" t="str">
        <f>IF(Таблица97[[#This Row],[НК]]=1,Таблица97[[#This Row],[Маржа]],"")</f>
        <v/>
      </c>
    </row>
    <row r="424" spans="1:15" ht="20.100000000000001" customHeight="1" x14ac:dyDescent="0.25">
      <c r="A424" s="2">
        <v>279</v>
      </c>
      <c r="B424" s="2" t="str">
        <f>TEXT(Таблица97[[#This Row],[Дата]],"ГГ")&amp;RIGHT("000"&amp;Таблица97[[#This Row],[Номер]],4)</f>
        <v>170279</v>
      </c>
      <c r="C424" s="129">
        <v>42844</v>
      </c>
      <c r="D424" s="2" t="s">
        <v>11</v>
      </c>
      <c r="E424" s="108">
        <v>9048.24</v>
      </c>
      <c r="F424" s="129">
        <v>42852</v>
      </c>
      <c r="H424" s="129">
        <v>42867</v>
      </c>
      <c r="I424" s="108">
        <f t="shared" si="20"/>
        <v>9048.24</v>
      </c>
      <c r="J424" s="108" t="str">
        <f>IF(Таблица97[[#This Row],[НК]]=1,Таблица97[[#This Row],[Продажа]],"")</f>
        <v/>
      </c>
      <c r="M424" s="108">
        <v>5762</v>
      </c>
      <c r="N424" s="108">
        <f>Таблица97[[#This Row],[Продажа]]-Таблица97[[#This Row],[Закупка]]</f>
        <v>3286.24</v>
      </c>
      <c r="O424" s="108" t="str">
        <f>IF(Таблица97[[#This Row],[НК]]=1,Таблица97[[#This Row],[Маржа]],"")</f>
        <v/>
      </c>
    </row>
    <row r="425" spans="1:15" ht="20.100000000000001" customHeight="1" x14ac:dyDescent="0.25">
      <c r="A425" s="2">
        <v>301</v>
      </c>
      <c r="B425" s="2" t="str">
        <f>TEXT(Таблица97[[#This Row],[Дата]],"ГГ")&amp;RIGHT("000"&amp;Таблица97[[#This Row],[Номер]],4)</f>
        <v>170301</v>
      </c>
      <c r="C425" s="129">
        <v>42851</v>
      </c>
      <c r="D425" s="2" t="s">
        <v>244</v>
      </c>
      <c r="E425" s="108">
        <v>1760.27</v>
      </c>
      <c r="F425" s="129">
        <v>42852</v>
      </c>
      <c r="G425" s="128">
        <v>1</v>
      </c>
      <c r="H425" s="129">
        <v>42867</v>
      </c>
      <c r="I425" s="108">
        <f t="shared" si="20"/>
        <v>1760.27</v>
      </c>
      <c r="J425" s="108">
        <f>IF(Таблица97[[#This Row],[НК]]=1,Таблица97[[#This Row],[Продажа]],"")</f>
        <v>1760.27</v>
      </c>
      <c r="M425" s="108">
        <v>1698</v>
      </c>
      <c r="N425" s="108">
        <f>Таблица97[[#This Row],[Продажа]]-Таблица97[[#This Row],[Закупка]]</f>
        <v>62.269999999999982</v>
      </c>
      <c r="O425" s="108">
        <f>IF(Таблица97[[#This Row],[НК]]=1,Таблица97[[#This Row],[Маржа]],"")</f>
        <v>62.269999999999982</v>
      </c>
    </row>
    <row r="426" spans="1:15" ht="20.100000000000001" customHeight="1" x14ac:dyDescent="0.25">
      <c r="A426" s="2">
        <v>208</v>
      </c>
      <c r="B426" s="2" t="str">
        <f>TEXT(Таблица97[[#This Row],[Дата]],"ГГ")&amp;RIGHT("000"&amp;Таблица97[[#This Row],[Номер]],4)</f>
        <v>170208</v>
      </c>
      <c r="C426" s="129">
        <v>42846</v>
      </c>
      <c r="D426" s="2" t="s">
        <v>65</v>
      </c>
      <c r="E426" s="108">
        <v>100945.52</v>
      </c>
      <c r="F426" s="129">
        <v>42852</v>
      </c>
      <c r="H426" s="129">
        <v>42873</v>
      </c>
      <c r="I426" s="108">
        <f t="shared" si="20"/>
        <v>100945.52</v>
      </c>
      <c r="J426" s="108" t="str">
        <f>IF(Таблица97[[#This Row],[НК]]=1,Таблица97[[#This Row],[Продажа]],"")</f>
        <v/>
      </c>
      <c r="M426" s="108">
        <v>85324</v>
      </c>
      <c r="N426" s="108">
        <f>Таблица97[[#This Row],[Продажа]]-Таблица97[[#This Row],[Закупка]]</f>
        <v>15621.520000000004</v>
      </c>
      <c r="O426" s="108" t="str">
        <f>IF(Таблица97[[#This Row],[НК]]=1,Таблица97[[#This Row],[Маржа]],"")</f>
        <v/>
      </c>
    </row>
    <row r="427" spans="1:15" ht="20.100000000000001" customHeight="1" x14ac:dyDescent="0.25">
      <c r="A427" s="2">
        <v>287</v>
      </c>
      <c r="B427" s="2" t="str">
        <f>TEXT(Таблица97[[#This Row],[Дата]],"ГГ")&amp;RIGHT("000"&amp;Таблица97[[#This Row],[Номер]],4)</f>
        <v>170287</v>
      </c>
      <c r="C427" s="129">
        <v>42845</v>
      </c>
      <c r="D427" s="2" t="s">
        <v>245</v>
      </c>
      <c r="E427" s="108">
        <v>12512.85</v>
      </c>
      <c r="F427" s="129">
        <v>42853</v>
      </c>
      <c r="G427" s="128">
        <v>1</v>
      </c>
      <c r="H427" s="129">
        <v>42873</v>
      </c>
      <c r="I427" s="108">
        <f t="shared" si="20"/>
        <v>12512.85</v>
      </c>
      <c r="J427" s="108">
        <f>IF(Таблица97[[#This Row],[НК]]=1,Таблица97[[#This Row],[Продажа]],"")</f>
        <v>12512.85</v>
      </c>
      <c r="M427" s="108">
        <v>10585</v>
      </c>
      <c r="N427" s="108">
        <f>Таблица97[[#This Row],[Продажа]]-Таблица97[[#This Row],[Закупка]]</f>
        <v>1927.8500000000004</v>
      </c>
      <c r="O427" s="108">
        <f>IF(Таблица97[[#This Row],[НК]]=1,Таблица97[[#This Row],[Маржа]],"")</f>
        <v>1927.8500000000004</v>
      </c>
    </row>
    <row r="428" spans="1:15" ht="20.100000000000001" customHeight="1" x14ac:dyDescent="0.25">
      <c r="A428" s="2">
        <v>239</v>
      </c>
      <c r="B428" s="2" t="str">
        <f>TEXT(Таблица97[[#This Row],[Дата]],"ГГ")&amp;RIGHT("000"&amp;Таблица97[[#This Row],[Номер]],4)</f>
        <v>170239</v>
      </c>
      <c r="C428" s="129">
        <v>42835</v>
      </c>
      <c r="D428" s="2" t="s">
        <v>13</v>
      </c>
      <c r="E428" s="108">
        <v>11941.15</v>
      </c>
      <c r="F428" s="129">
        <v>42853</v>
      </c>
      <c r="H428" s="129">
        <v>42836</v>
      </c>
      <c r="I428" s="108">
        <f t="shared" si="20"/>
        <v>11941.15</v>
      </c>
      <c r="J428" s="108" t="str">
        <f>IF(Таблица97[[#This Row],[НК]]=1,Таблица97[[#This Row],[Продажа]],"")</f>
        <v/>
      </c>
      <c r="M428" s="108">
        <v>8595</v>
      </c>
      <c r="N428" s="108">
        <f>Таблица97[[#This Row],[Продажа]]-Таблица97[[#This Row],[Закупка]]</f>
        <v>3346.1499999999996</v>
      </c>
      <c r="O428" s="108" t="str">
        <f>IF(Таблица97[[#This Row],[НК]]=1,Таблица97[[#This Row],[Маржа]],"")</f>
        <v/>
      </c>
    </row>
    <row r="429" spans="1:15" ht="20.100000000000001" customHeight="1" x14ac:dyDescent="0.25">
      <c r="A429" s="2">
        <v>304</v>
      </c>
      <c r="B429" s="2" t="str">
        <f>TEXT(Таблица97[[#This Row],[Дата]],"ГГ")&amp;RIGHT("000"&amp;Таблица97[[#This Row],[Номер]],4)</f>
        <v>170304</v>
      </c>
      <c r="C429" s="129">
        <v>42853</v>
      </c>
      <c r="D429" s="2" t="s">
        <v>246</v>
      </c>
      <c r="E429" s="108">
        <v>72699</v>
      </c>
      <c r="F429" s="129">
        <v>42857</v>
      </c>
      <c r="G429" s="128">
        <v>1</v>
      </c>
      <c r="H429" s="129">
        <v>42860</v>
      </c>
      <c r="I429" s="108">
        <f>E429</f>
        <v>72699</v>
      </c>
      <c r="J429" s="108">
        <f>IF(Таблица97[[#This Row],[НК]]=1,Таблица97[[#This Row],[Продажа]],"")</f>
        <v>72699</v>
      </c>
      <c r="M429" s="108">
        <v>54960</v>
      </c>
      <c r="N429" s="108">
        <f>Таблица97[[#This Row],[Продажа]]-Таблица97[[#This Row],[Закупка]]</f>
        <v>17739</v>
      </c>
      <c r="O429" s="108">
        <f>IF(Таблица97[[#This Row],[НК]]=1,Таблица97[[#This Row],[Маржа]],"")</f>
        <v>17739</v>
      </c>
    </row>
    <row r="430" spans="1:15" ht="20.100000000000001" customHeight="1" x14ac:dyDescent="0.25">
      <c r="A430" s="2">
        <v>261</v>
      </c>
      <c r="B430" s="2" t="str">
        <f>TEXT(Таблица97[[#This Row],[Дата]],"ГГ")&amp;RIGHT("000"&amp;Таблица97[[#This Row],[Номер]],4)</f>
        <v>170261</v>
      </c>
      <c r="C430" s="129">
        <v>42849</v>
      </c>
      <c r="D430" s="2" t="s">
        <v>247</v>
      </c>
      <c r="E430" s="108">
        <v>18114.240000000002</v>
      </c>
      <c r="F430" s="129">
        <v>42858</v>
      </c>
      <c r="G430" s="128">
        <v>1</v>
      </c>
      <c r="H430" s="129">
        <v>42877</v>
      </c>
      <c r="I430" s="108">
        <f>E430</f>
        <v>18114.240000000002</v>
      </c>
      <c r="J430" s="108">
        <f>IF(Таблица97[[#This Row],[НК]]=1,Таблица97[[#This Row],[Продажа]],"")</f>
        <v>18114.240000000002</v>
      </c>
      <c r="M430" s="108">
        <v>14129</v>
      </c>
      <c r="N430" s="108">
        <f>Таблица97[[#This Row],[Продажа]]-Таблица97[[#This Row],[Закупка]]</f>
        <v>3985.2400000000016</v>
      </c>
      <c r="O430" s="108">
        <f>IF(Таблица97[[#This Row],[НК]]=1,Таблица97[[#This Row],[Маржа]],"")</f>
        <v>3985.2400000000016</v>
      </c>
    </row>
    <row r="431" spans="1:15" ht="20.100000000000001" customHeight="1" x14ac:dyDescent="0.25">
      <c r="A431" s="2">
        <v>288</v>
      </c>
      <c r="B431" s="2" t="str">
        <f>TEXT(Таблица97[[#This Row],[Дата]],"ГГ")&amp;RIGHT("000"&amp;Таблица97[[#This Row],[Номер]],4)</f>
        <v>170288</v>
      </c>
      <c r="C431" s="129">
        <v>42845</v>
      </c>
      <c r="D431" s="2" t="s">
        <v>175</v>
      </c>
      <c r="E431" s="108">
        <v>16125.42</v>
      </c>
      <c r="F431" s="129">
        <v>42860</v>
      </c>
      <c r="H431" s="129">
        <v>42892</v>
      </c>
      <c r="I431" s="108">
        <f>E431</f>
        <v>16125.42</v>
      </c>
      <c r="J431" s="108" t="str">
        <f>IF(Таблица97[[#This Row],[НК]]=1,Таблица97[[#This Row],[Продажа]],"")</f>
        <v/>
      </c>
      <c r="M431" s="108">
        <v>13208</v>
      </c>
      <c r="N431" s="108">
        <f>Таблица97[[#This Row],[Продажа]]-Таблица97[[#This Row],[Закупка]]</f>
        <v>2917.42</v>
      </c>
      <c r="O431" s="108" t="str">
        <f>IF(Таблица97[[#This Row],[НК]]=1,Таблица97[[#This Row],[Маржа]],"")</f>
        <v/>
      </c>
    </row>
    <row r="432" spans="1:15" ht="20.100000000000001" customHeight="1" x14ac:dyDescent="0.25">
      <c r="A432" s="2">
        <v>274</v>
      </c>
      <c r="B432" s="2" t="str">
        <f>TEXT(Таблица97[[#This Row],[Дата]],"ГГ")&amp;RIGHT("000"&amp;Таблица97[[#This Row],[Номер]],4)</f>
        <v>170274</v>
      </c>
      <c r="C432" s="129">
        <v>42843</v>
      </c>
      <c r="D432" s="2" t="s">
        <v>228</v>
      </c>
      <c r="E432" s="108">
        <v>14800</v>
      </c>
      <c r="F432" s="129">
        <v>42865</v>
      </c>
      <c r="H432" s="129">
        <v>42860</v>
      </c>
      <c r="I432" s="108">
        <f>E432</f>
        <v>14800</v>
      </c>
      <c r="J432" s="108" t="str">
        <f>IF(Таблица97[[#This Row],[НК]]=1,Таблица97[[#This Row],[Продажа]],"")</f>
        <v/>
      </c>
      <c r="L432" s="108">
        <v>600</v>
      </c>
      <c r="M432" s="108">
        <v>6175</v>
      </c>
      <c r="N432" s="108">
        <f>Таблица97[[#This Row],[Продажа]]-Таблица97[[#This Row],[Закупка]]</f>
        <v>8625</v>
      </c>
      <c r="O432" s="108" t="str">
        <f>IF(Таблица97[[#This Row],[НК]]=1,Таблица97[[#This Row],[Маржа]],"")</f>
        <v/>
      </c>
    </row>
    <row r="433" spans="1:15" ht="20.100000000000001" customHeight="1" x14ac:dyDescent="0.25">
      <c r="A433" s="2">
        <v>143</v>
      </c>
      <c r="B433" s="2" t="str">
        <f>TEXT(Таблица97[[#This Row],[Дата]],"ГГ")&amp;RIGHT("000"&amp;Таблица97[[#This Row],[Номер]],4)</f>
        <v>170143</v>
      </c>
      <c r="C433" s="129">
        <v>42803</v>
      </c>
      <c r="D433" s="2" t="s">
        <v>180</v>
      </c>
      <c r="E433" s="108">
        <v>133579.66</v>
      </c>
      <c r="F433" s="129">
        <v>42866</v>
      </c>
      <c r="H433" s="129">
        <v>42845</v>
      </c>
      <c r="I433" s="108">
        <f>E433/2</f>
        <v>66789.83</v>
      </c>
      <c r="J433" s="108" t="str">
        <f>IF(Таблица97[[#This Row],[НК]]=1,Таблица97[[#This Row],[Продажа]],"")</f>
        <v/>
      </c>
      <c r="L433" s="108">
        <v>1200</v>
      </c>
      <c r="M433" s="108">
        <v>42302.5</v>
      </c>
      <c r="N433" s="108">
        <f>Таблица97[[#This Row],[Продажа]]-Таблица97[[#This Row],[Закупка]]</f>
        <v>24487.33</v>
      </c>
      <c r="O433" s="108" t="str">
        <f>IF(Таблица97[[#This Row],[НК]]=1,Таблица97[[#This Row],[Маржа]],"")</f>
        <v/>
      </c>
    </row>
    <row r="434" spans="1:15" ht="20.100000000000001" customHeight="1" x14ac:dyDescent="0.25">
      <c r="A434" s="2">
        <v>312</v>
      </c>
      <c r="B434" s="2" t="str">
        <f>TEXT(Таблица97[[#This Row],[Дата]],"ГГ")&amp;RIGHT("000"&amp;Таблица97[[#This Row],[Номер]],4)</f>
        <v>170312</v>
      </c>
      <c r="C434" s="129">
        <v>42858</v>
      </c>
      <c r="D434" s="2" t="s">
        <v>50</v>
      </c>
      <c r="E434" s="108">
        <v>4496.92</v>
      </c>
      <c r="F434" s="129">
        <v>42866</v>
      </c>
      <c r="H434" s="129">
        <v>42873</v>
      </c>
      <c r="I434" s="108">
        <f t="shared" ref="I434:I469" si="21">E434</f>
        <v>4496.92</v>
      </c>
      <c r="J434" s="108" t="str">
        <f>IF(Таблица97[[#This Row],[НК]]=1,Таблица97[[#This Row],[Продажа]],"")</f>
        <v/>
      </c>
      <c r="M434" s="108">
        <v>3463</v>
      </c>
      <c r="N434" s="108">
        <f>Таблица97[[#This Row],[Продажа]]-Таблица97[[#This Row],[Закупка]]</f>
        <v>1033.92</v>
      </c>
      <c r="O434" s="108" t="str">
        <f>IF(Таблица97[[#This Row],[НК]]=1,Таблица97[[#This Row],[Маржа]],"")</f>
        <v/>
      </c>
    </row>
    <row r="435" spans="1:15" ht="20.100000000000001" customHeight="1" x14ac:dyDescent="0.25">
      <c r="A435" s="2">
        <v>329</v>
      </c>
      <c r="B435" s="2" t="str">
        <f>TEXT(Таблица97[[#This Row],[Дата]],"ГГ")&amp;RIGHT("000"&amp;Таблица97[[#This Row],[Номер]],4)</f>
        <v>170329</v>
      </c>
      <c r="C435" s="129">
        <v>42866</v>
      </c>
      <c r="D435" s="2" t="s">
        <v>249</v>
      </c>
      <c r="E435" s="108">
        <v>18790</v>
      </c>
      <c r="F435" s="129">
        <v>42867</v>
      </c>
      <c r="G435" s="128">
        <v>1</v>
      </c>
      <c r="H435" s="129">
        <v>42891</v>
      </c>
      <c r="I435" s="108">
        <f t="shared" si="21"/>
        <v>18790</v>
      </c>
      <c r="J435" s="108">
        <f>IF(Таблица97[[#This Row],[НК]]=1,Таблица97[[#This Row],[Продажа]],"")</f>
        <v>18790</v>
      </c>
      <c r="M435" s="108">
        <v>13811</v>
      </c>
      <c r="N435" s="108">
        <f>Таблица97[[#This Row],[Продажа]]-Таблица97[[#This Row],[Закупка]]</f>
        <v>4979</v>
      </c>
      <c r="O435" s="108">
        <f>IF(Таблица97[[#This Row],[НК]]=1,Таблица97[[#This Row],[Маржа]],"")</f>
        <v>4979</v>
      </c>
    </row>
    <row r="436" spans="1:15" ht="20.100000000000001" customHeight="1" x14ac:dyDescent="0.25">
      <c r="A436" s="2">
        <v>333</v>
      </c>
      <c r="B436" s="2" t="str">
        <f>TEXT(Таблица97[[#This Row],[Дата]],"ГГ")&amp;RIGHT("000"&amp;Таблица97[[#This Row],[Номер]],4)</f>
        <v>170333</v>
      </c>
      <c r="C436" s="129">
        <v>42867</v>
      </c>
      <c r="D436" s="2" t="s">
        <v>250</v>
      </c>
      <c r="E436" s="108">
        <v>4013.71</v>
      </c>
      <c r="F436" s="129">
        <v>42867</v>
      </c>
      <c r="H436" s="129">
        <v>42874</v>
      </c>
      <c r="I436" s="108">
        <f t="shared" si="21"/>
        <v>4013.71</v>
      </c>
      <c r="J436" s="108" t="str">
        <f>IF(Таблица97[[#This Row],[НК]]=1,Таблица97[[#This Row],[Продажа]],"")</f>
        <v/>
      </c>
      <c r="M436" s="108">
        <v>3139</v>
      </c>
      <c r="N436" s="108">
        <f>Таблица97[[#This Row],[Продажа]]-Таблица97[[#This Row],[Закупка]]</f>
        <v>874.71</v>
      </c>
      <c r="O436" s="108" t="str">
        <f>IF(Таблица97[[#This Row],[НК]]=1,Таблица97[[#This Row],[Маржа]],"")</f>
        <v/>
      </c>
    </row>
    <row r="437" spans="1:15" ht="20.100000000000001" customHeight="1" x14ac:dyDescent="0.25">
      <c r="A437" s="2">
        <v>337</v>
      </c>
      <c r="B437" s="2" t="str">
        <f>TEXT(Таблица97[[#This Row],[Дата]],"ГГ")&amp;RIGHT("000"&amp;Таблица97[[#This Row],[Номер]],4)</f>
        <v>170337</v>
      </c>
      <c r="C437" s="129">
        <v>42867</v>
      </c>
      <c r="D437" s="2" t="s">
        <v>169</v>
      </c>
      <c r="E437" s="108">
        <v>83811.37</v>
      </c>
      <c r="F437" s="129">
        <v>42870</v>
      </c>
      <c r="H437" s="129">
        <v>42895</v>
      </c>
      <c r="I437" s="108">
        <f t="shared" si="21"/>
        <v>83811.37</v>
      </c>
      <c r="J437" s="108" t="str">
        <f>IF(Таблица97[[#This Row],[НК]]=1,Таблица97[[#This Row],[Продажа]],"")</f>
        <v/>
      </c>
      <c r="L437" s="108">
        <v>600</v>
      </c>
      <c r="M437" s="108">
        <v>61417</v>
      </c>
      <c r="N437" s="108">
        <f>Таблица97[[#This Row],[Продажа]]-Таблица97[[#This Row],[Закупка]]</f>
        <v>22394.369999999995</v>
      </c>
      <c r="O437" s="108" t="str">
        <f>IF(Таблица97[[#This Row],[НК]]=1,Таблица97[[#This Row],[Маржа]],"")</f>
        <v/>
      </c>
    </row>
    <row r="438" spans="1:15" ht="20.100000000000001" customHeight="1" x14ac:dyDescent="0.25">
      <c r="A438" s="2">
        <v>193</v>
      </c>
      <c r="B438" s="2" t="str">
        <f>TEXT(Таблица97[[#This Row],[Дата]],"ГГ")&amp;RIGHT("000"&amp;Таблица97[[#This Row],[Номер]],4)</f>
        <v>170193</v>
      </c>
      <c r="C438" s="129">
        <v>42821</v>
      </c>
      <c r="D438" s="2" t="s">
        <v>99</v>
      </c>
      <c r="E438" s="108">
        <v>163265.54999999999</v>
      </c>
      <c r="F438" s="129">
        <v>42871</v>
      </c>
      <c r="H438" s="129">
        <v>42844</v>
      </c>
      <c r="I438" s="108">
        <f t="shared" si="21"/>
        <v>163265.54999999999</v>
      </c>
      <c r="J438" s="108" t="str">
        <f>IF(Таблица97[[#This Row],[НК]]=1,Таблица97[[#This Row],[Продажа]],"")</f>
        <v/>
      </c>
      <c r="K438" s="108">
        <v>15000</v>
      </c>
      <c r="L438" s="108">
        <f>600*26</f>
        <v>15600</v>
      </c>
      <c r="M438" s="108">
        <v>80530</v>
      </c>
      <c r="N438" s="108">
        <f>Таблица97[[#This Row],[Продажа]]-Таблица97[[#This Row],[Закупка]]</f>
        <v>82735.549999999988</v>
      </c>
      <c r="O438" s="108" t="str">
        <f>IF(Таблица97[[#This Row],[НК]]=1,Таблица97[[#This Row],[Маржа]],"")</f>
        <v/>
      </c>
    </row>
    <row r="439" spans="1:15" ht="20.100000000000001" customHeight="1" x14ac:dyDescent="0.25">
      <c r="A439" s="2">
        <v>336</v>
      </c>
      <c r="B439" s="2" t="str">
        <f>TEXT(Таблица97[[#This Row],[Дата]],"ГГ")&amp;RIGHT("000"&amp;Таблица97[[#This Row],[Номер]],4)</f>
        <v>170336</v>
      </c>
      <c r="C439" s="129">
        <v>42867</v>
      </c>
      <c r="D439" s="2" t="s">
        <v>228</v>
      </c>
      <c r="E439" s="108">
        <v>12000</v>
      </c>
      <c r="F439" s="129">
        <v>42871</v>
      </c>
      <c r="H439" s="129">
        <v>42879</v>
      </c>
      <c r="I439" s="108">
        <f t="shared" si="21"/>
        <v>12000</v>
      </c>
      <c r="J439" s="108" t="str">
        <f>IF(Таблица97[[#This Row],[НК]]=1,Таблица97[[#This Row],[Продажа]],"")</f>
        <v/>
      </c>
      <c r="L439" s="108">
        <f>600*3</f>
        <v>1800</v>
      </c>
      <c r="M439" s="108">
        <v>4137</v>
      </c>
      <c r="N439" s="108">
        <f>Таблица97[[#This Row],[Продажа]]-Таблица97[[#This Row],[Закупка]]</f>
        <v>7863</v>
      </c>
      <c r="O439" s="108" t="str">
        <f>IF(Таблица97[[#This Row],[НК]]=1,Таблица97[[#This Row],[Маржа]],"")</f>
        <v/>
      </c>
    </row>
    <row r="440" spans="1:15" ht="20.100000000000001" customHeight="1" x14ac:dyDescent="0.25">
      <c r="A440" s="2">
        <v>199</v>
      </c>
      <c r="B440" s="2" t="str">
        <f>TEXT(Таблица97[[#This Row],[Дата]],"ГГ")&amp;RIGHT("000"&amp;Таблица97[[#This Row],[Номер]],4)</f>
        <v>170199</v>
      </c>
      <c r="C440" s="129">
        <v>42867</v>
      </c>
      <c r="D440" s="2" t="s">
        <v>251</v>
      </c>
      <c r="E440" s="108">
        <v>3291</v>
      </c>
      <c r="F440" s="129">
        <v>42871</v>
      </c>
      <c r="G440" s="128">
        <v>1</v>
      </c>
      <c r="H440" s="129">
        <v>42877</v>
      </c>
      <c r="I440" s="108">
        <f t="shared" si="21"/>
        <v>3291</v>
      </c>
      <c r="J440" s="108">
        <f>IF(Таблица97[[#This Row],[НК]]=1,Таблица97[[#This Row],[Продажа]],"")</f>
        <v>3291</v>
      </c>
      <c r="M440" s="108">
        <v>2487</v>
      </c>
      <c r="N440" s="108">
        <f>Таблица97[[#This Row],[Продажа]]-Таблица97[[#This Row],[Закупка]]</f>
        <v>804</v>
      </c>
      <c r="O440" s="108">
        <f>IF(Таблица97[[#This Row],[НК]]=1,Таблица97[[#This Row],[Маржа]],"")</f>
        <v>804</v>
      </c>
    </row>
    <row r="441" spans="1:15" ht="20.100000000000001" customHeight="1" x14ac:dyDescent="0.25">
      <c r="A441" s="2">
        <v>178</v>
      </c>
      <c r="B441" s="2" t="str">
        <f>TEXT(Таблица97[[#This Row],[Дата]],"ГГ")&amp;RIGHT("000"&amp;Таблица97[[#This Row],[Номер]],4)</f>
        <v>170178</v>
      </c>
      <c r="C441" s="129">
        <v>42830</v>
      </c>
      <c r="D441" s="2" t="s">
        <v>56</v>
      </c>
      <c r="E441" s="108">
        <v>44988.79</v>
      </c>
      <c r="F441" s="129">
        <v>42872</v>
      </c>
      <c r="H441" s="129">
        <v>42849</v>
      </c>
      <c r="I441" s="108">
        <f t="shared" si="21"/>
        <v>44988.79</v>
      </c>
      <c r="J441" s="108" t="str">
        <f>IF(Таблица97[[#This Row],[НК]]=1,Таблица97[[#This Row],[Продажа]],"")</f>
        <v/>
      </c>
      <c r="M441" s="108">
        <v>29780</v>
      </c>
      <c r="N441" s="108">
        <f>Таблица97[[#This Row],[Продажа]]-Таблица97[[#This Row],[Закупка]]</f>
        <v>15208.79</v>
      </c>
      <c r="O441" s="108" t="str">
        <f>IF(Таблица97[[#This Row],[НК]]=1,Таблица97[[#This Row],[Маржа]],"")</f>
        <v/>
      </c>
    </row>
    <row r="442" spans="1:15" ht="20.100000000000001" customHeight="1" x14ac:dyDescent="0.25">
      <c r="A442" s="2">
        <v>214</v>
      </c>
      <c r="B442" s="2" t="str">
        <f>TEXT(Таблица97[[#This Row],[Дата]],"ГГ")&amp;RIGHT("000"&amp;Таблица97[[#This Row],[Номер]],4)</f>
        <v>170214</v>
      </c>
      <c r="C442" s="129">
        <v>42853</v>
      </c>
      <c r="D442" s="2" t="s">
        <v>65</v>
      </c>
      <c r="E442" s="108">
        <v>16358.48</v>
      </c>
      <c r="F442" s="129">
        <v>42873</v>
      </c>
      <c r="H442" s="129">
        <v>42873</v>
      </c>
      <c r="I442" s="108">
        <f t="shared" si="21"/>
        <v>16358.48</v>
      </c>
      <c r="J442" s="108" t="str">
        <f>IF(Таблица97[[#This Row],[НК]]=1,Таблица97[[#This Row],[Продажа]],"")</f>
        <v/>
      </c>
      <c r="M442" s="108">
        <v>12192</v>
      </c>
      <c r="N442" s="108">
        <f>Таблица97[[#This Row],[Продажа]]-Таблица97[[#This Row],[Закупка]]</f>
        <v>4166.4799999999996</v>
      </c>
      <c r="O442" s="108" t="str">
        <f>IF(Таблица97[[#This Row],[НК]]=1,Таблица97[[#This Row],[Маржа]],"")</f>
        <v/>
      </c>
    </row>
    <row r="443" spans="1:15" ht="20.100000000000001" customHeight="1" x14ac:dyDescent="0.25">
      <c r="A443" s="2">
        <v>339</v>
      </c>
      <c r="B443" s="2" t="str">
        <f>TEXT(Таблица97[[#This Row],[Дата]],"ГГ")&amp;RIGHT("000"&amp;Таблица97[[#This Row],[Номер]],4)</f>
        <v>170339</v>
      </c>
      <c r="C443" s="129">
        <v>42870</v>
      </c>
      <c r="D443" s="2" t="s">
        <v>137</v>
      </c>
      <c r="E443" s="108">
        <v>596.73</v>
      </c>
      <c r="F443" s="129">
        <v>42873</v>
      </c>
      <c r="H443" s="129">
        <v>42895</v>
      </c>
      <c r="I443" s="108">
        <f t="shared" si="21"/>
        <v>596.73</v>
      </c>
      <c r="J443" s="108" t="str">
        <f>IF(Таблица97[[#This Row],[НК]]=1,Таблица97[[#This Row],[Продажа]],"")</f>
        <v/>
      </c>
      <c r="M443" s="108">
        <v>465</v>
      </c>
      <c r="N443" s="108">
        <f>Таблица97[[#This Row],[Продажа]]-Таблица97[[#This Row],[Закупка]]</f>
        <v>131.73000000000002</v>
      </c>
      <c r="O443" s="108" t="str">
        <f>IF(Таблица97[[#This Row],[НК]]=1,Таблица97[[#This Row],[Маржа]],"")</f>
        <v/>
      </c>
    </row>
    <row r="444" spans="1:15" ht="20.100000000000001" customHeight="1" x14ac:dyDescent="0.25">
      <c r="A444" s="2">
        <v>192</v>
      </c>
      <c r="B444" s="2" t="str">
        <f>TEXT(Таблица97[[#This Row],[Дата]],"ГГ")&amp;RIGHT("000"&amp;Таблица97[[#This Row],[Номер]],4)</f>
        <v>170192</v>
      </c>
      <c r="C444" s="129">
        <v>42836</v>
      </c>
      <c r="D444" s="2" t="s">
        <v>56</v>
      </c>
      <c r="E444" s="108">
        <v>280640</v>
      </c>
      <c r="F444" s="129">
        <v>42874</v>
      </c>
      <c r="H444" s="129">
        <v>42865</v>
      </c>
      <c r="I444" s="108">
        <f t="shared" si="21"/>
        <v>280640</v>
      </c>
      <c r="J444" s="108" t="str">
        <f>IF(Таблица97[[#This Row],[НК]]=1,Таблица97[[#This Row],[Продажа]],"")</f>
        <v/>
      </c>
      <c r="M444" s="108">
        <v>221826</v>
      </c>
      <c r="N444" s="108">
        <f>Таблица97[[#This Row],[Продажа]]-Таблица97[[#This Row],[Закупка]]</f>
        <v>58814</v>
      </c>
      <c r="O444" s="108" t="str">
        <f>IF(Таблица97[[#This Row],[НК]]=1,Таблица97[[#This Row],[Маржа]],"")</f>
        <v/>
      </c>
    </row>
    <row r="445" spans="1:15" ht="20.100000000000001" customHeight="1" x14ac:dyDescent="0.25">
      <c r="A445" s="2">
        <v>328</v>
      </c>
      <c r="B445" s="2" t="str">
        <f>TEXT(Таблица97[[#This Row],[Дата]],"ГГ")&amp;RIGHT("000"&amp;Таблица97[[#This Row],[Номер]],4)</f>
        <v>170328</v>
      </c>
      <c r="C445" s="129">
        <v>42866</v>
      </c>
      <c r="D445" s="2" t="s">
        <v>89</v>
      </c>
      <c r="E445" s="108">
        <v>8216.1</v>
      </c>
      <c r="F445" s="129">
        <v>42874</v>
      </c>
      <c r="H445" s="129">
        <v>42878</v>
      </c>
      <c r="I445" s="108">
        <f t="shared" si="21"/>
        <v>8216.1</v>
      </c>
      <c r="J445" s="108" t="str">
        <f>IF(Таблица97[[#This Row],[НК]]=1,Таблица97[[#This Row],[Продажа]],"")</f>
        <v/>
      </c>
      <c r="M445" s="108">
        <v>6408</v>
      </c>
      <c r="N445" s="108">
        <f>Таблица97[[#This Row],[Продажа]]-Таблица97[[#This Row],[Закупка]]</f>
        <v>1808.1000000000004</v>
      </c>
      <c r="O445" s="108" t="str">
        <f>IF(Таблица97[[#This Row],[НК]]=1,Таблица97[[#This Row],[Маржа]],"")</f>
        <v/>
      </c>
    </row>
    <row r="446" spans="1:15" ht="20.100000000000001" customHeight="1" x14ac:dyDescent="0.25">
      <c r="A446" s="2">
        <v>375</v>
      </c>
      <c r="B446" s="2" t="str">
        <f>TEXT(Таблица97[[#This Row],[Дата]],"ГГ")&amp;RIGHT("000"&amp;Таблица97[[#This Row],[Номер]],4)</f>
        <v>170375</v>
      </c>
      <c r="C446" s="129">
        <v>42874</v>
      </c>
      <c r="D446" s="2" t="s">
        <v>253</v>
      </c>
      <c r="E446" s="108">
        <v>5390</v>
      </c>
      <c r="F446" s="129">
        <v>42874</v>
      </c>
      <c r="G446" s="128">
        <v>1</v>
      </c>
      <c r="H446" s="129">
        <v>42881</v>
      </c>
      <c r="I446" s="108">
        <f t="shared" si="21"/>
        <v>5390</v>
      </c>
      <c r="J446" s="108">
        <f>IF(Таблица97[[#This Row],[НК]]=1,Таблица97[[#This Row],[Продажа]],"")</f>
        <v>5390</v>
      </c>
      <c r="M446" s="108">
        <v>4075</v>
      </c>
      <c r="N446" s="108">
        <f>Таблица97[[#This Row],[Продажа]]-Таблица97[[#This Row],[Закупка]]</f>
        <v>1315</v>
      </c>
      <c r="O446" s="108">
        <f>IF(Таблица97[[#This Row],[НК]]=1,Таблица97[[#This Row],[Маржа]],"")</f>
        <v>1315</v>
      </c>
    </row>
    <row r="447" spans="1:15" ht="20.100000000000001" customHeight="1" x14ac:dyDescent="0.25">
      <c r="A447" s="2">
        <v>359</v>
      </c>
      <c r="B447" s="2" t="str">
        <f>TEXT(Таблица97[[#This Row],[Дата]],"ГГ")&amp;RIGHT("000"&amp;Таблица97[[#This Row],[Номер]],4)</f>
        <v>170359</v>
      </c>
      <c r="C447" s="129">
        <v>42873</v>
      </c>
      <c r="D447" s="2" t="s">
        <v>86</v>
      </c>
      <c r="E447" s="108">
        <v>11092.54</v>
      </c>
      <c r="F447" s="129">
        <v>42877</v>
      </c>
      <c r="H447" s="129">
        <v>42878</v>
      </c>
      <c r="I447" s="108">
        <f t="shared" si="21"/>
        <v>11092.54</v>
      </c>
      <c r="J447" s="108" t="str">
        <f>IF(Таблица97[[#This Row],[НК]]=1,Таблица97[[#This Row],[Продажа]],"")</f>
        <v/>
      </c>
      <c r="M447" s="108">
        <v>10409</v>
      </c>
      <c r="N447" s="108">
        <f>Таблица97[[#This Row],[Продажа]]-Таблица97[[#This Row],[Закупка]]</f>
        <v>683.54000000000087</v>
      </c>
      <c r="O447" s="108" t="str">
        <f>IF(Таблица97[[#This Row],[НК]]=1,Таблица97[[#This Row],[Маржа]],"")</f>
        <v/>
      </c>
    </row>
    <row r="448" spans="1:15" ht="20.100000000000001" customHeight="1" x14ac:dyDescent="0.25">
      <c r="A448" s="2">
        <v>347</v>
      </c>
      <c r="B448" s="2" t="str">
        <f>TEXT(Таблица97[[#This Row],[Дата]],"ГГ")&amp;RIGHT("000"&amp;Таблица97[[#This Row],[Номер]],4)</f>
        <v>170347</v>
      </c>
      <c r="C448" s="129">
        <v>42870</v>
      </c>
      <c r="D448" s="2" t="s">
        <v>255</v>
      </c>
      <c r="E448" s="108">
        <v>41400</v>
      </c>
      <c r="F448" s="129">
        <v>42878</v>
      </c>
      <c r="G448" s="128">
        <v>1</v>
      </c>
      <c r="H448" s="129">
        <v>42895</v>
      </c>
      <c r="I448" s="108">
        <f t="shared" si="21"/>
        <v>41400</v>
      </c>
      <c r="J448" s="108">
        <f>IF(Таблица97[[#This Row],[НК]]=1,Таблица97[[#This Row],[Продажа]],"")</f>
        <v>41400</v>
      </c>
      <c r="M448" s="108">
        <v>32794</v>
      </c>
      <c r="N448" s="108">
        <f>Таблица97[[#This Row],[Продажа]]-Таблица97[[#This Row],[Закупка]]</f>
        <v>8606</v>
      </c>
      <c r="O448" s="108">
        <f>IF(Таблица97[[#This Row],[НК]]=1,Таблица97[[#This Row],[Маржа]],"")</f>
        <v>8606</v>
      </c>
    </row>
    <row r="449" spans="1:15" ht="20.100000000000001" customHeight="1" x14ac:dyDescent="0.25">
      <c r="A449" s="2">
        <v>360</v>
      </c>
      <c r="B449" s="2" t="str">
        <f>TEXT(Таблица97[[#This Row],[Дата]],"ГГ")&amp;RIGHT("000"&amp;Таблица97[[#This Row],[Номер]],4)</f>
        <v>170360</v>
      </c>
      <c r="C449" s="129">
        <v>42873</v>
      </c>
      <c r="D449" s="2" t="s">
        <v>147</v>
      </c>
      <c r="E449" s="108">
        <v>8817.44</v>
      </c>
      <c r="F449" s="129">
        <v>42879</v>
      </c>
      <c r="H449" s="129">
        <v>42893</v>
      </c>
      <c r="I449" s="108">
        <f t="shared" si="21"/>
        <v>8817.44</v>
      </c>
      <c r="J449" s="108" t="str">
        <f>IF(Таблица97[[#This Row],[НК]]=1,Таблица97[[#This Row],[Продажа]],"")</f>
        <v/>
      </c>
      <c r="M449" s="108">
        <v>6876</v>
      </c>
      <c r="N449" s="108">
        <f>Таблица97[[#This Row],[Продажа]]-Таблица97[[#This Row],[Закупка]]</f>
        <v>1941.4400000000005</v>
      </c>
      <c r="O449" s="108" t="str">
        <f>IF(Таблица97[[#This Row],[НК]]=1,Таблица97[[#This Row],[Маржа]],"")</f>
        <v/>
      </c>
    </row>
    <row r="450" spans="1:15" ht="20.100000000000001" customHeight="1" x14ac:dyDescent="0.25">
      <c r="A450" s="2">
        <v>366</v>
      </c>
      <c r="B450" s="2" t="str">
        <f>TEXT(Таблица97[[#This Row],[Дата]],"ГГ")&amp;RIGHT("000"&amp;Таблица97[[#This Row],[Номер]],4)</f>
        <v>170366</v>
      </c>
      <c r="C450" s="129">
        <v>42873</v>
      </c>
      <c r="D450" s="2" t="s">
        <v>144</v>
      </c>
      <c r="E450" s="108">
        <v>2450</v>
      </c>
      <c r="F450" s="129">
        <v>42879</v>
      </c>
      <c r="H450" s="129">
        <v>42891</v>
      </c>
      <c r="I450" s="108">
        <f t="shared" si="21"/>
        <v>2450</v>
      </c>
      <c r="J450" s="108" t="str">
        <f>IF(Таблица97[[#This Row],[НК]]=1,Таблица97[[#This Row],[Продажа]],"")</f>
        <v/>
      </c>
      <c r="M450" s="108">
        <v>2183</v>
      </c>
      <c r="N450" s="108">
        <f>Таблица97[[#This Row],[Продажа]]-Таблица97[[#This Row],[Закупка]]</f>
        <v>267</v>
      </c>
      <c r="O450" s="108" t="str">
        <f>IF(Таблица97[[#This Row],[НК]]=1,Таблица97[[#This Row],[Маржа]],"")</f>
        <v/>
      </c>
    </row>
    <row r="451" spans="1:15" ht="20.100000000000001" customHeight="1" x14ac:dyDescent="0.25">
      <c r="A451" s="2">
        <v>338</v>
      </c>
      <c r="B451" s="2" t="str">
        <f>TEXT(Таблица97[[#This Row],[Дата]],"ГГ")&amp;RIGHT("000"&amp;Таблица97[[#This Row],[Номер]],4)</f>
        <v>170338</v>
      </c>
      <c r="C451" s="129">
        <v>42870</v>
      </c>
      <c r="D451" s="2" t="s">
        <v>252</v>
      </c>
      <c r="E451" s="108">
        <v>2179.81</v>
      </c>
      <c r="F451" s="129">
        <v>42878</v>
      </c>
      <c r="H451" s="129">
        <v>42873</v>
      </c>
      <c r="I451" s="108">
        <f t="shared" si="21"/>
        <v>2179.81</v>
      </c>
      <c r="J451" s="108" t="str">
        <f>IF(Таблица97[[#This Row],[НК]]=1,Таблица97[[#This Row],[Продажа]],"")</f>
        <v/>
      </c>
      <c r="M451" s="108">
        <v>1648</v>
      </c>
      <c r="N451" s="108">
        <f>Таблица97[[#This Row],[Продажа]]-Таблица97[[#This Row],[Закупка]]</f>
        <v>531.80999999999995</v>
      </c>
      <c r="O451" s="108" t="str">
        <f>IF(Таблица97[[#This Row],[НК]]=1,Таблица97[[#This Row],[Маржа]],"")</f>
        <v/>
      </c>
    </row>
    <row r="452" spans="1:15" ht="20.100000000000001" customHeight="1" x14ac:dyDescent="0.25">
      <c r="A452" s="2">
        <v>332</v>
      </c>
      <c r="B452" s="2" t="str">
        <f>TEXT(Таблица97[[#This Row],[Дата]],"ГГ")&amp;RIGHT("000"&amp;Таблица97[[#This Row],[Номер]],4)</f>
        <v>170332</v>
      </c>
      <c r="C452" s="129">
        <v>42867</v>
      </c>
      <c r="D452" s="2" t="s">
        <v>175</v>
      </c>
      <c r="E452" s="108">
        <v>18012</v>
      </c>
      <c r="F452" s="129">
        <v>42880</v>
      </c>
      <c r="H452" s="129">
        <v>42892</v>
      </c>
      <c r="I452" s="108">
        <f t="shared" si="21"/>
        <v>18012</v>
      </c>
      <c r="J452" s="108" t="str">
        <f>IF(Таблица97[[#This Row],[НК]]=1,Таблица97[[#This Row],[Продажа]],"")</f>
        <v/>
      </c>
      <c r="M452" s="108">
        <v>12512</v>
      </c>
      <c r="N452" s="108">
        <f>Таблица97[[#This Row],[Продажа]]-Таблица97[[#This Row],[Закупка]]</f>
        <v>5500</v>
      </c>
      <c r="O452" s="108" t="str">
        <f>IF(Таблица97[[#This Row],[НК]]=1,Таблица97[[#This Row],[Маржа]],"")</f>
        <v/>
      </c>
    </row>
    <row r="453" spans="1:15" ht="20.100000000000001" customHeight="1" x14ac:dyDescent="0.25">
      <c r="A453" s="2">
        <v>372</v>
      </c>
      <c r="B453" s="2" t="str">
        <f>TEXT(Таблица97[[#This Row],[Дата]],"ГГ")&amp;RIGHT("000"&amp;Таблица97[[#This Row],[Номер]],4)</f>
        <v>170372</v>
      </c>
      <c r="C453" s="129">
        <v>42874</v>
      </c>
      <c r="D453" s="2" t="s">
        <v>49</v>
      </c>
      <c r="E453" s="108">
        <v>600</v>
      </c>
      <c r="F453" s="129">
        <v>42880</v>
      </c>
      <c r="H453" s="129">
        <v>42885</v>
      </c>
      <c r="I453" s="108">
        <f t="shared" si="21"/>
        <v>600</v>
      </c>
      <c r="J453" s="108" t="str">
        <f>IF(Таблица97[[#This Row],[НК]]=1,Таблица97[[#This Row],[Продажа]],"")</f>
        <v/>
      </c>
      <c r="M453" s="108">
        <v>100</v>
      </c>
      <c r="N453" s="108">
        <f>Таблица97[[#This Row],[Продажа]]-Таблица97[[#This Row],[Закупка]]</f>
        <v>500</v>
      </c>
      <c r="O453" s="108" t="str">
        <f>IF(Таблица97[[#This Row],[НК]]=1,Таблица97[[#This Row],[Маржа]],"")</f>
        <v/>
      </c>
    </row>
    <row r="454" spans="1:15" ht="20.100000000000001" customHeight="1" x14ac:dyDescent="0.25">
      <c r="A454" s="2">
        <v>379</v>
      </c>
      <c r="B454" s="2" t="str">
        <f>TEXT(Таблица97[[#This Row],[Дата]],"ГГ")&amp;RIGHT("000"&amp;Таблица97[[#This Row],[Номер]],4)</f>
        <v>170379</v>
      </c>
      <c r="C454" s="129">
        <v>42877</v>
      </c>
      <c r="D454" s="2" t="s">
        <v>258</v>
      </c>
      <c r="E454" s="108">
        <v>4468</v>
      </c>
      <c r="F454" s="129">
        <v>42880</v>
      </c>
      <c r="H454" s="129">
        <v>42884</v>
      </c>
      <c r="I454" s="108">
        <f t="shared" si="21"/>
        <v>4468</v>
      </c>
      <c r="J454" s="108" t="str">
        <f>IF(Таблица97[[#This Row],[НК]]=1,Таблица97[[#This Row],[Продажа]],"")</f>
        <v/>
      </c>
      <c r="M454" s="108">
        <v>3485</v>
      </c>
      <c r="N454" s="108">
        <f>Таблица97[[#This Row],[Продажа]]-Таблица97[[#This Row],[Закупка]]</f>
        <v>983</v>
      </c>
      <c r="O454" s="108" t="str">
        <f>IF(Таблица97[[#This Row],[НК]]=1,Таблица97[[#This Row],[Маржа]],"")</f>
        <v/>
      </c>
    </row>
    <row r="455" spans="1:15" ht="20.100000000000001" customHeight="1" x14ac:dyDescent="0.25">
      <c r="A455" s="2">
        <v>376</v>
      </c>
      <c r="B455" s="2" t="str">
        <f>TEXT(Таблица97[[#This Row],[Дата]],"ГГ")&amp;RIGHT("000"&amp;Таблица97[[#This Row],[Номер]],4)</f>
        <v>170376</v>
      </c>
      <c r="C455" s="129">
        <v>42874</v>
      </c>
      <c r="D455" s="2" t="s">
        <v>257</v>
      </c>
      <c r="E455" s="108">
        <v>7180</v>
      </c>
      <c r="F455" s="129">
        <v>42880</v>
      </c>
      <c r="G455" s="128">
        <v>1</v>
      </c>
      <c r="H455" s="129">
        <v>42891</v>
      </c>
      <c r="I455" s="108">
        <f t="shared" si="21"/>
        <v>7180</v>
      </c>
      <c r="J455" s="108">
        <f>IF(Таблица97[[#This Row],[НК]]=1,Таблица97[[#This Row],[Продажа]],"")</f>
        <v>7180</v>
      </c>
      <c r="M455" s="108">
        <v>5428</v>
      </c>
      <c r="N455" s="108">
        <f>Таблица97[[#This Row],[Продажа]]-Таблица97[[#This Row],[Закупка]]</f>
        <v>1752</v>
      </c>
      <c r="O455" s="108">
        <f>IF(Таблица97[[#This Row],[НК]]=1,Таблица97[[#This Row],[Маржа]],"")</f>
        <v>1752</v>
      </c>
    </row>
    <row r="456" spans="1:15" ht="20.100000000000001" customHeight="1" x14ac:dyDescent="0.25">
      <c r="A456" s="2">
        <v>367</v>
      </c>
      <c r="B456" s="2" t="str">
        <f>TEXT(Таблица97[[#This Row],[Дата]],"ГГ")&amp;RIGHT("000"&amp;Таблица97[[#This Row],[Номер]],4)</f>
        <v>170367</v>
      </c>
      <c r="C456" s="129">
        <v>42873</v>
      </c>
      <c r="D456" s="2" t="s">
        <v>11</v>
      </c>
      <c r="E456" s="108">
        <v>22199</v>
      </c>
      <c r="F456" s="129">
        <v>42880</v>
      </c>
      <c r="H456" s="129">
        <v>42923</v>
      </c>
      <c r="I456" s="108">
        <f t="shared" si="21"/>
        <v>22199</v>
      </c>
      <c r="J456" s="108" t="str">
        <f>IF(Таблица97[[#This Row],[НК]]=1,Таблица97[[#This Row],[Продажа]],"")</f>
        <v/>
      </c>
      <c r="M456" s="108">
        <v>16782</v>
      </c>
      <c r="N456" s="108">
        <f>Таблица97[[#This Row],[Продажа]]-Таблица97[[#This Row],[Закупка]]</f>
        <v>5417</v>
      </c>
      <c r="O456" s="108" t="str">
        <f>IF(Таблица97[[#This Row],[НК]]=1,Таблица97[[#This Row],[Маржа]],"")</f>
        <v/>
      </c>
    </row>
    <row r="457" spans="1:15" ht="20.100000000000001" customHeight="1" x14ac:dyDescent="0.25">
      <c r="A457" s="2">
        <v>341</v>
      </c>
      <c r="B457" s="2" t="str">
        <f>TEXT(Таблица97[[#This Row],[Дата]],"ГГ")&amp;RIGHT("000"&amp;Таблица97[[#This Row],[Номер]],4)</f>
        <v>170341</v>
      </c>
      <c r="C457" s="129">
        <v>42870</v>
      </c>
      <c r="D457" s="2" t="s">
        <v>180</v>
      </c>
      <c r="E457" s="108">
        <v>21000</v>
      </c>
      <c r="F457" s="129">
        <v>42880</v>
      </c>
      <c r="H457" s="129">
        <v>42893</v>
      </c>
      <c r="I457" s="108">
        <f t="shared" si="21"/>
        <v>21000</v>
      </c>
      <c r="J457" s="108" t="str">
        <f>IF(Таблица97[[#This Row],[НК]]=1,Таблица97[[#This Row],[Продажа]],"")</f>
        <v/>
      </c>
      <c r="M457" s="108">
        <v>12600</v>
      </c>
      <c r="N457" s="108">
        <f>Таблица97[[#This Row],[Продажа]]-Таблица97[[#This Row],[Закупка]]</f>
        <v>8400</v>
      </c>
      <c r="O457" s="108" t="str">
        <f>IF(Таблица97[[#This Row],[НК]]=1,Таблица97[[#This Row],[Маржа]],"")</f>
        <v/>
      </c>
    </row>
    <row r="458" spans="1:15" ht="20.100000000000001" customHeight="1" x14ac:dyDescent="0.25">
      <c r="A458" s="2">
        <v>303</v>
      </c>
      <c r="B458" s="2" t="str">
        <f>TEXT(Таблица97[[#This Row],[Дата]],"ГГ")&amp;RIGHT("000"&amp;Таблица97[[#This Row],[Номер]],4)</f>
        <v>170303</v>
      </c>
      <c r="C458" s="129">
        <v>42851</v>
      </c>
      <c r="D458" s="2" t="s">
        <v>60</v>
      </c>
      <c r="E458" s="108">
        <v>2991.3</v>
      </c>
      <c r="F458" s="129">
        <v>42880</v>
      </c>
      <c r="H458" s="129">
        <v>42873</v>
      </c>
      <c r="I458" s="108">
        <f t="shared" si="21"/>
        <v>2991.3</v>
      </c>
      <c r="J458" s="108" t="str">
        <f>IF(Таблица97[[#This Row],[НК]]=1,Таблица97[[#This Row],[Продажа]],"")</f>
        <v/>
      </c>
      <c r="M458" s="108">
        <v>2088</v>
      </c>
      <c r="N458" s="108">
        <f>Таблица97[[#This Row],[Продажа]]-Таблица97[[#This Row],[Закупка]]</f>
        <v>903.30000000000018</v>
      </c>
      <c r="O458" s="108" t="str">
        <f>IF(Таблица97[[#This Row],[НК]]=1,Таблица97[[#This Row],[Маржа]],"")</f>
        <v/>
      </c>
    </row>
    <row r="459" spans="1:15" ht="20.100000000000001" customHeight="1" x14ac:dyDescent="0.25">
      <c r="A459" s="2">
        <v>340</v>
      </c>
      <c r="B459" s="2" t="str">
        <f>TEXT(Таблица97[[#This Row],[Дата]],"ГГ")&amp;RIGHT("000"&amp;Таблица97[[#This Row],[Номер]],4)</f>
        <v>170340</v>
      </c>
      <c r="C459" s="129">
        <v>42870</v>
      </c>
      <c r="D459" s="2" t="s">
        <v>60</v>
      </c>
      <c r="E459" s="108">
        <v>2239.64</v>
      </c>
      <c r="F459" s="129">
        <v>42880</v>
      </c>
      <c r="H459" s="129">
        <v>42873</v>
      </c>
      <c r="I459" s="108">
        <f t="shared" si="21"/>
        <v>2239.64</v>
      </c>
      <c r="J459" s="108" t="str">
        <f>IF(Таблица97[[#This Row],[НК]]=1,Таблица97[[#This Row],[Продажа]],"")</f>
        <v/>
      </c>
      <c r="M459" s="108">
        <v>1848</v>
      </c>
      <c r="N459" s="108">
        <f>Таблица97[[#This Row],[Продажа]]-Таблица97[[#This Row],[Закупка]]</f>
        <v>391.63999999999987</v>
      </c>
      <c r="O459" s="108" t="str">
        <f>IF(Таблица97[[#This Row],[НК]]=1,Таблица97[[#This Row],[Маржа]],"")</f>
        <v/>
      </c>
    </row>
    <row r="460" spans="1:15" ht="20.100000000000001" customHeight="1" x14ac:dyDescent="0.25">
      <c r="A460" s="2">
        <v>374</v>
      </c>
      <c r="B460" s="2" t="str">
        <f>TEXT(Таблица97[[#This Row],[Дата]],"ГГ")&amp;RIGHT("000"&amp;Таблица97[[#This Row],[Номер]],4)</f>
        <v>170374</v>
      </c>
      <c r="C460" s="129">
        <v>42874</v>
      </c>
      <c r="D460" s="2" t="s">
        <v>97</v>
      </c>
      <c r="E460" s="108">
        <v>107.38</v>
      </c>
      <c r="F460" s="129">
        <v>42881</v>
      </c>
      <c r="H460" s="129">
        <v>42893</v>
      </c>
      <c r="I460" s="108">
        <f t="shared" si="21"/>
        <v>107.38</v>
      </c>
      <c r="J460" s="108" t="str">
        <f>IF(Таблица97[[#This Row],[НК]]=1,Таблица97[[#This Row],[Продажа]],"")</f>
        <v/>
      </c>
      <c r="M460" s="108">
        <v>71</v>
      </c>
      <c r="N460" s="108">
        <f>Таблица97[[#This Row],[Продажа]]-Таблица97[[#This Row],[Закупка]]</f>
        <v>36.379999999999995</v>
      </c>
      <c r="O460" s="108" t="str">
        <f>IF(Таблица97[[#This Row],[НК]]=1,Таблица97[[#This Row],[Маржа]],"")</f>
        <v/>
      </c>
    </row>
    <row r="461" spans="1:15" ht="20.100000000000001" customHeight="1" x14ac:dyDescent="0.25">
      <c r="A461" s="2">
        <v>266</v>
      </c>
      <c r="B461" s="2" t="str">
        <f>TEXT(Таблица97[[#This Row],[Дата]],"ГГ")&amp;RIGHT("000"&amp;Таблица97[[#This Row],[Номер]],4)</f>
        <v>170266</v>
      </c>
      <c r="C461" s="129">
        <v>42842</v>
      </c>
      <c r="D461" s="2" t="s">
        <v>56</v>
      </c>
      <c r="E461" s="108">
        <v>101974.45</v>
      </c>
      <c r="F461" s="129">
        <v>42881</v>
      </c>
      <c r="H461" s="129">
        <v>42865</v>
      </c>
      <c r="I461" s="108">
        <f t="shared" si="21"/>
        <v>101974.45</v>
      </c>
      <c r="J461" s="108" t="str">
        <f>IF(Таблица97[[#This Row],[НК]]=1,Таблица97[[#This Row],[Продажа]],"")</f>
        <v/>
      </c>
      <c r="M461" s="108">
        <v>67348</v>
      </c>
      <c r="N461" s="108">
        <f>Таблица97[[#This Row],[Продажа]]-Таблица97[[#This Row],[Закупка]]</f>
        <v>34626.449999999997</v>
      </c>
      <c r="O461" s="108" t="str">
        <f>IF(Таблица97[[#This Row],[НК]]=1,Таблица97[[#This Row],[Маржа]],"")</f>
        <v/>
      </c>
    </row>
    <row r="462" spans="1:15" ht="20.100000000000001" customHeight="1" x14ac:dyDescent="0.25">
      <c r="A462" s="2">
        <v>353</v>
      </c>
      <c r="B462" s="2" t="str">
        <f>TEXT(Таблица97[[#This Row],[Дата]],"ГГ")&amp;RIGHT("000"&amp;Таблица97[[#This Row],[Номер]],4)</f>
        <v>170353</v>
      </c>
      <c r="C462" s="129">
        <v>42872</v>
      </c>
      <c r="D462" s="2" t="s">
        <v>56</v>
      </c>
      <c r="E462" s="108">
        <v>11479.33</v>
      </c>
      <c r="F462" s="129">
        <v>42881</v>
      </c>
      <c r="H462" s="129">
        <v>42873</v>
      </c>
      <c r="I462" s="108">
        <f t="shared" si="21"/>
        <v>11479.33</v>
      </c>
      <c r="J462" s="108" t="str">
        <f>IF(Таблица97[[#This Row],[НК]]=1,Таблица97[[#This Row],[Продажа]],"")</f>
        <v/>
      </c>
      <c r="M462" s="108">
        <v>5022</v>
      </c>
      <c r="N462" s="108">
        <f>Таблица97[[#This Row],[Продажа]]-Таблица97[[#This Row],[Закупка]]</f>
        <v>6457.33</v>
      </c>
      <c r="O462" s="108" t="str">
        <f>IF(Таблица97[[#This Row],[НК]]=1,Таблица97[[#This Row],[Маржа]],"")</f>
        <v/>
      </c>
    </row>
    <row r="463" spans="1:15" ht="20.100000000000001" customHeight="1" x14ac:dyDescent="0.25">
      <c r="A463" s="2">
        <v>391</v>
      </c>
      <c r="B463" s="2" t="str">
        <f>TEXT(Таблица97[[#This Row],[Дата]],"ГГ")&amp;RIGHT("000"&amp;Таблица97[[#This Row],[Номер]],4)</f>
        <v>170391</v>
      </c>
      <c r="C463" s="129">
        <v>42881</v>
      </c>
      <c r="D463" s="2" t="s">
        <v>259</v>
      </c>
      <c r="E463" s="108">
        <v>8670</v>
      </c>
      <c r="F463" s="129">
        <v>42884</v>
      </c>
      <c r="G463" s="128">
        <v>1</v>
      </c>
      <c r="H463" s="129">
        <v>42885</v>
      </c>
      <c r="I463" s="108">
        <f t="shared" si="21"/>
        <v>8670</v>
      </c>
      <c r="J463" s="108">
        <f>IF(Таблица97[[#This Row],[НК]]=1,Таблица97[[#This Row],[Продажа]],"")</f>
        <v>8670</v>
      </c>
      <c r="M463" s="108">
        <v>7398.91</v>
      </c>
      <c r="N463" s="108">
        <f>Таблица97[[#This Row],[Продажа]]-Таблица97[[#This Row],[Закупка]]</f>
        <v>1271.0900000000001</v>
      </c>
      <c r="O463" s="108">
        <f>IF(Таблица97[[#This Row],[НК]]=1,Таблица97[[#This Row],[Маржа]],"")</f>
        <v>1271.0900000000001</v>
      </c>
    </row>
    <row r="464" spans="1:15" ht="20.100000000000001" customHeight="1" x14ac:dyDescent="0.25">
      <c r="A464" s="2">
        <v>389</v>
      </c>
      <c r="B464" s="2" t="str">
        <f>TEXT(Таблица97[[#This Row],[Дата]],"ГГ")&amp;RIGHT("000"&amp;Таблица97[[#This Row],[Номер]],4)</f>
        <v>170389</v>
      </c>
      <c r="C464" s="129">
        <v>42880</v>
      </c>
      <c r="D464" s="2" t="s">
        <v>260</v>
      </c>
      <c r="E464" s="108">
        <v>10374.44</v>
      </c>
      <c r="F464" s="129">
        <v>42885</v>
      </c>
      <c r="G464" s="128">
        <v>1</v>
      </c>
      <c r="H464" s="129">
        <v>42921</v>
      </c>
      <c r="I464" s="108">
        <f t="shared" si="21"/>
        <v>10374.44</v>
      </c>
      <c r="J464" s="108">
        <f>IF(Таблица97[[#This Row],[НК]]=1,Таблица97[[#This Row],[Продажа]],"")</f>
        <v>10374.44</v>
      </c>
      <c r="M464" s="108">
        <v>8196</v>
      </c>
      <c r="N464" s="108">
        <f>Таблица97[[#This Row],[Продажа]]-Таблица97[[#This Row],[Закупка]]</f>
        <v>2178.4400000000005</v>
      </c>
      <c r="O464" s="108">
        <f>IF(Таблица97[[#This Row],[НК]]=1,Таблица97[[#This Row],[Маржа]],"")</f>
        <v>2178.4400000000005</v>
      </c>
    </row>
    <row r="465" spans="1:15" ht="20.100000000000001" customHeight="1" x14ac:dyDescent="0.25">
      <c r="A465" s="2">
        <v>394</v>
      </c>
      <c r="B465" s="2" t="str">
        <f>TEXT(Таблица97[[#This Row],[Дата]],"ГГ")&amp;RIGHT("000"&amp;Таблица97[[#This Row],[Номер]],4)</f>
        <v>170394</v>
      </c>
      <c r="C465" s="129">
        <v>42884</v>
      </c>
      <c r="D465" s="2" t="s">
        <v>261</v>
      </c>
      <c r="E465" s="108">
        <v>11107</v>
      </c>
      <c r="F465" s="129">
        <v>42885</v>
      </c>
      <c r="G465" s="128">
        <v>1</v>
      </c>
      <c r="H465" s="129">
        <v>42922</v>
      </c>
      <c r="I465" s="108">
        <f t="shared" si="21"/>
        <v>11107</v>
      </c>
      <c r="J465" s="108">
        <f>IF(Таблица97[[#This Row],[НК]]=1,Таблица97[[#This Row],[Продажа]],"")</f>
        <v>11107</v>
      </c>
      <c r="M465" s="108">
        <v>8552</v>
      </c>
      <c r="N465" s="108">
        <f>Таблица97[[#This Row],[Продажа]]-Таблица97[[#This Row],[Закупка]]</f>
        <v>2555</v>
      </c>
      <c r="O465" s="108">
        <f>IF(Таблица97[[#This Row],[НК]]=1,Таблица97[[#This Row],[Маржа]],"")</f>
        <v>2555</v>
      </c>
    </row>
    <row r="466" spans="1:15" ht="20.100000000000001" customHeight="1" x14ac:dyDescent="0.25">
      <c r="A466" s="2">
        <v>242</v>
      </c>
      <c r="B466" s="2" t="str">
        <f>TEXT(Таблица97[[#This Row],[Дата]],"ГГ")&amp;RIGHT("000"&amp;Таблица97[[#This Row],[Номер]],4)</f>
        <v>170242</v>
      </c>
      <c r="C466" s="129">
        <v>42836</v>
      </c>
      <c r="D466" s="2" t="s">
        <v>66</v>
      </c>
      <c r="E466" s="108">
        <v>17124</v>
      </c>
      <c r="F466" s="129">
        <v>42885</v>
      </c>
      <c r="H466" s="129">
        <v>42899</v>
      </c>
      <c r="I466" s="108">
        <f t="shared" si="21"/>
        <v>17124</v>
      </c>
      <c r="J466" s="108" t="str">
        <f>IF(Таблица97[[#This Row],[НК]]=1,Таблица97[[#This Row],[Продажа]],"")</f>
        <v/>
      </c>
      <c r="M466" s="108">
        <v>13059</v>
      </c>
      <c r="N466" s="108">
        <f>Таблица97[[#This Row],[Продажа]]-Таблица97[[#This Row],[Закупка]]</f>
        <v>4065</v>
      </c>
      <c r="O466" s="108" t="str">
        <f>IF(Таблица97[[#This Row],[НК]]=1,Таблица97[[#This Row],[Маржа]],"")</f>
        <v/>
      </c>
    </row>
    <row r="467" spans="1:15" ht="20.100000000000001" customHeight="1" x14ac:dyDescent="0.25">
      <c r="A467" s="2">
        <v>380</v>
      </c>
      <c r="B467" s="2" t="str">
        <f>TEXT(Таблица97[[#This Row],[Дата]],"ГГ")&amp;RIGHT("000"&amp;Таблица97[[#This Row],[Номер]],4)</f>
        <v>170380</v>
      </c>
      <c r="C467" s="129">
        <v>42879</v>
      </c>
      <c r="D467" s="2" t="s">
        <v>254</v>
      </c>
      <c r="E467" s="108">
        <v>40190</v>
      </c>
      <c r="F467" s="129">
        <v>42885</v>
      </c>
      <c r="G467" s="128">
        <v>1</v>
      </c>
      <c r="H467" s="129">
        <v>42879</v>
      </c>
      <c r="I467" s="108">
        <f t="shared" si="21"/>
        <v>40190</v>
      </c>
      <c r="J467" s="108">
        <f>IF(Таблица97[[#This Row],[НК]]=1,Таблица97[[#This Row],[Продажа]],"")</f>
        <v>40190</v>
      </c>
      <c r="M467" s="108">
        <v>32954</v>
      </c>
      <c r="N467" s="108">
        <f>Таблица97[[#This Row],[Продажа]]-Таблица97[[#This Row],[Закупка]]</f>
        <v>7236</v>
      </c>
      <c r="O467" s="108">
        <f>IF(Таблица97[[#This Row],[НК]]=1,Таблица97[[#This Row],[Маржа]],"")</f>
        <v>7236</v>
      </c>
    </row>
    <row r="468" spans="1:15" ht="20.100000000000001" customHeight="1" x14ac:dyDescent="0.25">
      <c r="A468" s="2">
        <v>401</v>
      </c>
      <c r="B468" s="2" t="str">
        <f>TEXT(Таблица97[[#This Row],[Дата]],"ГГ")&amp;RIGHT("000"&amp;Таблица97[[#This Row],[Номер]],4)</f>
        <v>170401</v>
      </c>
      <c r="C468" s="129">
        <v>42885</v>
      </c>
      <c r="D468" s="2" t="s">
        <v>19</v>
      </c>
      <c r="E468" s="108">
        <v>5615.97</v>
      </c>
      <c r="F468" s="129">
        <v>42886</v>
      </c>
      <c r="H468" s="129">
        <v>42892</v>
      </c>
      <c r="I468" s="108">
        <f t="shared" si="21"/>
        <v>5615.97</v>
      </c>
      <c r="J468" s="108" t="str">
        <f>IF(Таблица97[[#This Row],[НК]]=1,Таблица97[[#This Row],[Продажа]],"")</f>
        <v/>
      </c>
      <c r="M468" s="108">
        <v>5338</v>
      </c>
      <c r="N468" s="108">
        <f>Таблица97[[#This Row],[Продажа]]-Таблица97[[#This Row],[Закупка]]</f>
        <v>277.97000000000025</v>
      </c>
      <c r="O468" s="108" t="str">
        <f>IF(Таблица97[[#This Row],[НК]]=1,Таблица97[[#This Row],[Маржа]],"")</f>
        <v/>
      </c>
    </row>
    <row r="469" spans="1:15" ht="20.100000000000001" customHeight="1" x14ac:dyDescent="0.25">
      <c r="A469" s="2">
        <v>349</v>
      </c>
      <c r="B469" s="2" t="str">
        <f>TEXT(Таблица97[[#This Row],[Дата]],"ГГ")&amp;RIGHT("000"&amp;Таблица97[[#This Row],[Номер]],4)</f>
        <v>170349</v>
      </c>
      <c r="C469" s="129">
        <v>42871</v>
      </c>
      <c r="D469" s="2" t="s">
        <v>13</v>
      </c>
      <c r="E469" s="108">
        <v>23099.040000000001</v>
      </c>
      <c r="F469" s="129">
        <v>42886</v>
      </c>
      <c r="H469" s="129">
        <v>42872</v>
      </c>
      <c r="I469" s="108">
        <f t="shared" si="21"/>
        <v>23099.040000000001</v>
      </c>
      <c r="J469" s="108" t="str">
        <f>IF(Таблица97[[#This Row],[НК]]=1,Таблица97[[#This Row],[Продажа]],"")</f>
        <v/>
      </c>
      <c r="M469" s="108">
        <v>17513</v>
      </c>
      <c r="N469" s="108">
        <f>Таблица97[[#This Row],[Продажа]]-Таблица97[[#This Row],[Закупка]]</f>
        <v>5586.0400000000009</v>
      </c>
      <c r="O469" s="108" t="str">
        <f>IF(Таблица97[[#This Row],[НК]]=1,Таблица97[[#This Row],[Маржа]],"")</f>
        <v/>
      </c>
    </row>
    <row r="470" spans="1:15" ht="20.100000000000001" customHeight="1" x14ac:dyDescent="0.25">
      <c r="A470" s="2">
        <v>399</v>
      </c>
      <c r="B470" s="2" t="str">
        <f>TEXT(Таблица97[[#This Row],[Дата]],"ГГ")&amp;RIGHT("000"&amp;Таблица97[[#This Row],[Номер]],4)</f>
        <v>170399</v>
      </c>
      <c r="C470" s="129">
        <v>42885</v>
      </c>
      <c r="D470" s="2" t="s">
        <v>77</v>
      </c>
      <c r="E470" s="108">
        <v>1537.25</v>
      </c>
      <c r="F470" s="129">
        <v>42887</v>
      </c>
      <c r="H470" s="129">
        <v>42891</v>
      </c>
      <c r="I470" s="108">
        <f t="shared" ref="I470:I501" si="22">E470</f>
        <v>1537.25</v>
      </c>
      <c r="J470" s="108" t="str">
        <f>IF(Таблица97[[#This Row],[НК]]=1,Таблица97[[#This Row],[Продажа]],"")</f>
        <v/>
      </c>
      <c r="M470" s="108">
        <v>1116</v>
      </c>
      <c r="N470" s="108">
        <f>Таблица97[[#This Row],[Продажа]]-Таблица97[[#This Row],[Закупка]]</f>
        <v>421.25</v>
      </c>
      <c r="O470" s="108" t="str">
        <f>IF(Таблица97[[#This Row],[НК]]=1,Таблица97[[#This Row],[Маржа]],"")</f>
        <v/>
      </c>
    </row>
    <row r="471" spans="1:15" ht="20.100000000000001" customHeight="1" x14ac:dyDescent="0.25">
      <c r="A471" s="2">
        <v>420</v>
      </c>
      <c r="B471" s="2" t="str">
        <f>TEXT(Таблица97[[#This Row],[Дата]],"ГГ")&amp;RIGHT("000"&amp;Таблица97[[#This Row],[Номер]],4)</f>
        <v>170420</v>
      </c>
      <c r="C471" s="129">
        <v>42888</v>
      </c>
      <c r="D471" s="2" t="s">
        <v>122</v>
      </c>
      <c r="E471" s="108">
        <v>962</v>
      </c>
      <c r="F471" s="129">
        <v>42888</v>
      </c>
      <c r="H471" s="129">
        <v>42888</v>
      </c>
      <c r="I471" s="108">
        <f t="shared" si="22"/>
        <v>962</v>
      </c>
      <c r="J471" s="108" t="str">
        <f>IF(Таблица97[[#This Row],[НК]]=1,Таблица97[[#This Row],[Продажа]],"")</f>
        <v/>
      </c>
      <c r="M471" s="108">
        <v>787</v>
      </c>
      <c r="N471" s="108">
        <f>Таблица97[[#This Row],[Продажа]]-Таблица97[[#This Row],[Закупка]]</f>
        <v>175</v>
      </c>
      <c r="O471" s="108" t="str">
        <f>IF(Таблица97[[#This Row],[НК]]=1,Таблица97[[#This Row],[Маржа]],"")</f>
        <v/>
      </c>
    </row>
    <row r="472" spans="1:15" ht="20.100000000000001" customHeight="1" x14ac:dyDescent="0.25">
      <c r="A472" s="2">
        <v>416</v>
      </c>
      <c r="B472" s="2" t="str">
        <f>TEXT(Таблица97[[#This Row],[Дата]],"ГГ")&amp;RIGHT("000"&amp;Таблица97[[#This Row],[Номер]],4)</f>
        <v>170416</v>
      </c>
      <c r="C472" s="129">
        <v>42887</v>
      </c>
      <c r="D472" s="2" t="s">
        <v>263</v>
      </c>
      <c r="E472" s="108">
        <v>52690</v>
      </c>
      <c r="F472" s="129">
        <v>42888</v>
      </c>
      <c r="G472" s="128">
        <v>1</v>
      </c>
      <c r="H472" s="129">
        <v>42891</v>
      </c>
      <c r="I472" s="108">
        <f t="shared" si="22"/>
        <v>52690</v>
      </c>
      <c r="J472" s="108">
        <f>IF(Таблица97[[#This Row],[НК]]=1,Таблица97[[#This Row],[Продажа]],"")</f>
        <v>52690</v>
      </c>
      <c r="M472" s="108">
        <v>39834</v>
      </c>
      <c r="N472" s="108">
        <f>Таблица97[[#This Row],[Продажа]]-Таблица97[[#This Row],[Закупка]]</f>
        <v>12856</v>
      </c>
      <c r="O472" s="108">
        <f>IF(Таблица97[[#This Row],[НК]]=1,Таблица97[[#This Row],[Маржа]],"")</f>
        <v>12856</v>
      </c>
    </row>
    <row r="473" spans="1:15" ht="20.100000000000001" customHeight="1" x14ac:dyDescent="0.25">
      <c r="A473" s="2">
        <v>404</v>
      </c>
      <c r="B473" s="2" t="str">
        <f>TEXT(Таблица97[[#This Row],[Дата]],"ГГ")&amp;RIGHT("000"&amp;Таблица97[[#This Row],[Номер]],4)</f>
        <v>170404</v>
      </c>
      <c r="C473" s="129">
        <v>42886</v>
      </c>
      <c r="D473" s="2" t="s">
        <v>16</v>
      </c>
      <c r="E473" s="108">
        <v>4919.54</v>
      </c>
      <c r="F473" s="129">
        <v>42888</v>
      </c>
      <c r="H473" s="129">
        <v>42920</v>
      </c>
      <c r="I473" s="108">
        <f t="shared" si="22"/>
        <v>4919.54</v>
      </c>
      <c r="J473" s="108" t="str">
        <f>IF(Таблица97[[#This Row],[НК]]=1,Таблица97[[#This Row],[Продажа]],"")</f>
        <v/>
      </c>
      <c r="M473" s="108">
        <v>3244</v>
      </c>
      <c r="N473" s="108">
        <f>Таблица97[[#This Row],[Продажа]]-Таблица97[[#This Row],[Закупка]]</f>
        <v>1675.54</v>
      </c>
      <c r="O473" s="108" t="str">
        <f>IF(Таблица97[[#This Row],[НК]]=1,Таблица97[[#This Row],[Маржа]],"")</f>
        <v/>
      </c>
    </row>
    <row r="474" spans="1:15" ht="20.100000000000001" customHeight="1" x14ac:dyDescent="0.25">
      <c r="A474" s="2">
        <v>412</v>
      </c>
      <c r="B474" s="2" t="str">
        <f>TEXT(Таблица97[[#This Row],[Дата]],"ГГ")&amp;RIGHT("000"&amp;Таблица97[[#This Row],[Номер]],4)</f>
        <v>170412</v>
      </c>
      <c r="C474" s="129">
        <v>42887</v>
      </c>
      <c r="D474" s="2" t="s">
        <v>220</v>
      </c>
      <c r="E474" s="108">
        <v>1924</v>
      </c>
      <c r="F474" s="129">
        <v>42888</v>
      </c>
      <c r="H474" s="129">
        <v>42891</v>
      </c>
      <c r="I474" s="108">
        <f t="shared" si="22"/>
        <v>1924</v>
      </c>
      <c r="J474" s="108" t="str">
        <f>IF(Таблица97[[#This Row],[НК]]=1,Таблица97[[#This Row],[Продажа]],"")</f>
        <v/>
      </c>
      <c r="M474" s="108">
        <v>1484</v>
      </c>
      <c r="N474" s="108">
        <f>Таблица97[[#This Row],[Продажа]]-Таблица97[[#This Row],[Закупка]]</f>
        <v>440</v>
      </c>
      <c r="O474" s="108" t="str">
        <f>IF(Таблица97[[#This Row],[НК]]=1,Таблица97[[#This Row],[Маржа]],"")</f>
        <v/>
      </c>
    </row>
    <row r="475" spans="1:15" ht="20.100000000000001" customHeight="1" x14ac:dyDescent="0.25">
      <c r="A475" s="2">
        <v>424</v>
      </c>
      <c r="B475" s="2" t="str">
        <f>TEXT(Таблица97[[#This Row],[Дата]],"ГГ")&amp;RIGHT("000"&amp;Таблица97[[#This Row],[Номер]],4)</f>
        <v>170424</v>
      </c>
      <c r="C475" s="129">
        <v>42891</v>
      </c>
      <c r="D475" s="2" t="s">
        <v>122</v>
      </c>
      <c r="E475" s="108">
        <v>203.26</v>
      </c>
      <c r="F475" s="129">
        <v>42892</v>
      </c>
      <c r="H475" s="129">
        <v>42913</v>
      </c>
      <c r="I475" s="108">
        <f t="shared" si="22"/>
        <v>203.26</v>
      </c>
      <c r="J475" s="108" t="str">
        <f>IF(Таблица97[[#This Row],[НК]]=1,Таблица97[[#This Row],[Продажа]],"")</f>
        <v/>
      </c>
      <c r="M475" s="108">
        <v>134</v>
      </c>
      <c r="N475" s="108">
        <f>Таблица97[[#This Row],[Продажа]]-Таблица97[[#This Row],[Закупка]]</f>
        <v>69.259999999999991</v>
      </c>
      <c r="O475" s="108" t="str">
        <f>IF(Таблица97[[#This Row],[НК]]=1,Таблица97[[#This Row],[Маржа]],"")</f>
        <v/>
      </c>
    </row>
    <row r="476" spans="1:15" ht="20.100000000000001" customHeight="1" x14ac:dyDescent="0.25">
      <c r="A476" s="2">
        <v>408</v>
      </c>
      <c r="B476" s="2" t="str">
        <f>TEXT(Таблица97[[#This Row],[Дата]],"ГГ")&amp;RIGHT("000"&amp;Таблица97[[#This Row],[Номер]],4)</f>
        <v>170408</v>
      </c>
      <c r="C476" s="129">
        <v>42861</v>
      </c>
      <c r="D476" s="2" t="s">
        <v>262</v>
      </c>
      <c r="E476" s="108">
        <v>15990</v>
      </c>
      <c r="F476" s="129">
        <v>42893</v>
      </c>
      <c r="G476" s="128">
        <v>1</v>
      </c>
      <c r="H476" s="129">
        <v>42861</v>
      </c>
      <c r="I476" s="108">
        <f t="shared" si="22"/>
        <v>15990</v>
      </c>
      <c r="J476" s="108">
        <f>IF(Таблица97[[#This Row],[НК]]=1,Таблица97[[#This Row],[Продажа]],"")</f>
        <v>15990</v>
      </c>
      <c r="M476" s="108">
        <v>12088</v>
      </c>
      <c r="N476" s="108">
        <f>Таблица97[[#This Row],[Продажа]]-Таблица97[[#This Row],[Закупка]]</f>
        <v>3902</v>
      </c>
      <c r="O476" s="108">
        <f>IF(Таблица97[[#This Row],[НК]]=1,Таблица97[[#This Row],[Маржа]],"")</f>
        <v>3902</v>
      </c>
    </row>
    <row r="477" spans="1:15" ht="20.100000000000001" customHeight="1" x14ac:dyDescent="0.25">
      <c r="A477" s="2">
        <v>384</v>
      </c>
      <c r="B477" s="2" t="str">
        <f>TEXT(Таблица97[[#This Row],[Дата]],"ГГ")&amp;RIGHT("000"&amp;Таблица97[[#This Row],[Номер]],4)</f>
        <v>170384</v>
      </c>
      <c r="C477" s="129">
        <v>42878</v>
      </c>
      <c r="D477" s="2" t="s">
        <v>175</v>
      </c>
      <c r="E477" s="108">
        <v>23246.5</v>
      </c>
      <c r="F477" s="129">
        <v>42894</v>
      </c>
      <c r="H477" s="129">
        <v>42895</v>
      </c>
      <c r="I477" s="108">
        <f t="shared" si="22"/>
        <v>23246.5</v>
      </c>
      <c r="J477" s="108" t="str">
        <f>IF(Таблица97[[#This Row],[НК]]=1,Таблица97[[#This Row],[Продажа]],"")</f>
        <v/>
      </c>
      <c r="M477" s="108">
        <v>17858</v>
      </c>
      <c r="N477" s="108">
        <f>Таблица97[[#This Row],[Продажа]]-Таблица97[[#This Row],[Закупка]]</f>
        <v>5388.5</v>
      </c>
      <c r="O477" s="108" t="str">
        <f>IF(Таблица97[[#This Row],[НК]]=1,Таблица97[[#This Row],[Маржа]],"")</f>
        <v/>
      </c>
    </row>
    <row r="478" spans="1:15" ht="20.100000000000001" customHeight="1" x14ac:dyDescent="0.25">
      <c r="A478" s="2">
        <v>327</v>
      </c>
      <c r="B478" s="2" t="str">
        <f>TEXT(Таблица97[[#This Row],[Дата]],"ГГ")&amp;RIGHT("000"&amp;Таблица97[[#This Row],[Номер]],4)</f>
        <v>170327</v>
      </c>
      <c r="C478" s="129">
        <v>42878</v>
      </c>
      <c r="D478" s="2" t="s">
        <v>256</v>
      </c>
      <c r="E478" s="108">
        <v>40658.120000000003</v>
      </c>
      <c r="F478" s="129">
        <v>42894</v>
      </c>
      <c r="G478" s="128">
        <v>1</v>
      </c>
      <c r="H478" s="129">
        <v>42901</v>
      </c>
      <c r="I478" s="108">
        <f t="shared" si="22"/>
        <v>40658.120000000003</v>
      </c>
      <c r="J478" s="108">
        <f>IF(Таблица97[[#This Row],[НК]]=1,Таблица97[[#This Row],[Продажа]],"")</f>
        <v>40658.120000000003</v>
      </c>
      <c r="M478" s="108">
        <v>31248</v>
      </c>
      <c r="N478" s="108">
        <f>Таблица97[[#This Row],[Продажа]]-Таблица97[[#This Row],[Закупка]]</f>
        <v>9410.1200000000026</v>
      </c>
      <c r="O478" s="108">
        <f>IF(Таблица97[[#This Row],[НК]]=1,Таблица97[[#This Row],[Маржа]],"")</f>
        <v>9410.1200000000026</v>
      </c>
    </row>
    <row r="479" spans="1:15" ht="20.100000000000001" customHeight="1" x14ac:dyDescent="0.25">
      <c r="A479" s="2">
        <v>289</v>
      </c>
      <c r="B479" s="2" t="str">
        <f>TEXT(Таблица97[[#This Row],[Дата]],"ГГ")&amp;RIGHT("000"&amp;Таблица97[[#This Row],[Номер]],4)</f>
        <v>170289</v>
      </c>
      <c r="C479" s="129">
        <v>42845</v>
      </c>
      <c r="D479" s="2" t="s">
        <v>66</v>
      </c>
      <c r="E479" s="108">
        <v>14874</v>
      </c>
      <c r="F479" s="129">
        <v>42894</v>
      </c>
      <c r="H479" s="129">
        <v>42899</v>
      </c>
      <c r="I479" s="108">
        <f t="shared" si="22"/>
        <v>14874</v>
      </c>
      <c r="J479" s="108" t="str">
        <f>IF(Таблица97[[#This Row],[НК]]=1,Таблица97[[#This Row],[Продажа]],"")</f>
        <v/>
      </c>
      <c r="M479" s="108">
        <v>10382</v>
      </c>
      <c r="N479" s="108">
        <f>Таблица97[[#This Row],[Продажа]]-Таблица97[[#This Row],[Закупка]]</f>
        <v>4492</v>
      </c>
      <c r="O479" s="108" t="str">
        <f>IF(Таблица97[[#This Row],[НК]]=1,Таблица97[[#This Row],[Маржа]],"")</f>
        <v/>
      </c>
    </row>
    <row r="480" spans="1:15" ht="20.100000000000001" customHeight="1" x14ac:dyDescent="0.25">
      <c r="A480" s="2">
        <v>418</v>
      </c>
      <c r="B480" s="2" t="str">
        <f>TEXT(Таблица97[[#This Row],[Дата]],"ГГ")&amp;RIGHT("000"&amp;Таблица97[[#This Row],[Номер]],4)</f>
        <v>170418</v>
      </c>
      <c r="C480" s="129">
        <v>42888</v>
      </c>
      <c r="D480" s="2" t="s">
        <v>11</v>
      </c>
      <c r="E480" s="108">
        <v>11799</v>
      </c>
      <c r="F480" s="129">
        <v>42895</v>
      </c>
      <c r="H480" s="129">
        <v>42900</v>
      </c>
      <c r="I480" s="108">
        <f t="shared" si="22"/>
        <v>11799</v>
      </c>
      <c r="J480" s="108" t="str">
        <f>IF(Таблица97[[#This Row],[НК]]=1,Таблица97[[#This Row],[Продажа]],"")</f>
        <v/>
      </c>
      <c r="M480" s="108">
        <v>8920</v>
      </c>
      <c r="N480" s="108">
        <f>Таблица97[[#This Row],[Продажа]]-Таблица97[[#This Row],[Закупка]]</f>
        <v>2879</v>
      </c>
      <c r="O480" s="108" t="str">
        <f>IF(Таблица97[[#This Row],[НК]]=1,Таблица97[[#This Row],[Маржа]],"")</f>
        <v/>
      </c>
    </row>
    <row r="481" spans="1:15" ht="20.100000000000001" customHeight="1" x14ac:dyDescent="0.25">
      <c r="A481" s="2">
        <v>438</v>
      </c>
      <c r="B481" s="2" t="str">
        <f>TEXT(Таблица97[[#This Row],[Дата]],"ГГ")&amp;RIGHT("000"&amp;Таблица97[[#This Row],[Номер]],4)</f>
        <v>170438</v>
      </c>
      <c r="C481" s="129">
        <v>42894</v>
      </c>
      <c r="D481" s="2" t="s">
        <v>58</v>
      </c>
      <c r="E481" s="108">
        <v>4552.58</v>
      </c>
      <c r="F481" s="129">
        <v>42899</v>
      </c>
      <c r="H481" s="129">
        <v>42902</v>
      </c>
      <c r="I481" s="108">
        <f t="shared" si="22"/>
        <v>4552.58</v>
      </c>
      <c r="J481" s="108" t="str">
        <f>IF(Таблица97[[#This Row],[НК]]=1,Таблица97[[#This Row],[Продажа]],"")</f>
        <v/>
      </c>
      <c r="M481" s="108">
        <v>3463</v>
      </c>
      <c r="N481" s="108">
        <f>Таблица97[[#This Row],[Продажа]]-Таблица97[[#This Row],[Закупка]]</f>
        <v>1089.58</v>
      </c>
      <c r="O481" s="108" t="str">
        <f>IF(Таблица97[[#This Row],[НК]]=1,Таблица97[[#This Row],[Маржа]],"")</f>
        <v/>
      </c>
    </row>
    <row r="482" spans="1:15" ht="20.100000000000001" customHeight="1" x14ac:dyDescent="0.25">
      <c r="A482" s="2">
        <v>303</v>
      </c>
      <c r="B482" s="2" t="str">
        <f>TEXT(Таблица97[[#This Row],[Дата]],"ГГ")&amp;RIGHT("000"&amp;Таблица97[[#This Row],[Номер]],4)</f>
        <v>170303</v>
      </c>
      <c r="C482" s="129">
        <v>42851</v>
      </c>
      <c r="D482" s="2" t="s">
        <v>60</v>
      </c>
      <c r="E482" s="108">
        <v>1495.65</v>
      </c>
      <c r="F482" s="129">
        <v>42899</v>
      </c>
      <c r="H482" s="129">
        <v>42893</v>
      </c>
      <c r="I482" s="108">
        <f t="shared" si="22"/>
        <v>1495.65</v>
      </c>
      <c r="J482" s="108" t="str">
        <f>IF(Таблица97[[#This Row],[НК]]=1,Таблица97[[#This Row],[Продажа]],"")</f>
        <v/>
      </c>
      <c r="M482" s="108">
        <v>989</v>
      </c>
      <c r="N482" s="108">
        <f>Таблица97[[#This Row],[Продажа]]-Таблица97[[#This Row],[Закупка]]</f>
        <v>506.65000000000009</v>
      </c>
      <c r="O482" s="108" t="str">
        <f>IF(Таблица97[[#This Row],[НК]]=1,Таблица97[[#This Row],[Маржа]],"")</f>
        <v/>
      </c>
    </row>
    <row r="483" spans="1:15" ht="20.100000000000001" customHeight="1" x14ac:dyDescent="0.25">
      <c r="A483" s="2">
        <v>340</v>
      </c>
      <c r="B483" s="2" t="str">
        <f>TEXT(Таблица97[[#This Row],[Дата]],"ГГ")&amp;RIGHT("000"&amp;Таблица97[[#This Row],[Номер]],4)</f>
        <v>170340</v>
      </c>
      <c r="C483" s="129">
        <v>42870</v>
      </c>
      <c r="D483" s="2" t="s">
        <v>60</v>
      </c>
      <c r="E483" s="108">
        <v>1119.82</v>
      </c>
      <c r="F483" s="129">
        <v>42899</v>
      </c>
      <c r="H483" s="129">
        <v>42893</v>
      </c>
      <c r="I483" s="108">
        <f t="shared" si="22"/>
        <v>1119.82</v>
      </c>
      <c r="J483" s="108" t="str">
        <f>IF(Таблица97[[#This Row],[НК]]=1,Таблица97[[#This Row],[Продажа]],"")</f>
        <v/>
      </c>
      <c r="M483" s="108">
        <v>874</v>
      </c>
      <c r="N483" s="108">
        <f>Таблица97[[#This Row],[Продажа]]-Таблица97[[#This Row],[Закупка]]</f>
        <v>245.81999999999994</v>
      </c>
      <c r="O483" s="108" t="str">
        <f>IF(Таблица97[[#This Row],[НК]]=1,Таблица97[[#This Row],[Маржа]],"")</f>
        <v/>
      </c>
    </row>
    <row r="484" spans="1:15" ht="20.100000000000001" customHeight="1" x14ac:dyDescent="0.25">
      <c r="A484" s="2">
        <v>430</v>
      </c>
      <c r="B484" s="2" t="str">
        <f>TEXT(Таблица97[[#This Row],[Дата]],"ГГ")&amp;RIGHT("000"&amp;Таблица97[[#This Row],[Номер]],4)</f>
        <v>170430</v>
      </c>
      <c r="C484" s="129">
        <v>42893</v>
      </c>
      <c r="D484" s="2" t="s">
        <v>264</v>
      </c>
      <c r="E484" s="108">
        <v>28590</v>
      </c>
      <c r="F484" s="129">
        <v>42900</v>
      </c>
      <c r="H484" s="129">
        <v>42901</v>
      </c>
      <c r="I484" s="108">
        <f t="shared" si="22"/>
        <v>28590</v>
      </c>
      <c r="J484" s="108" t="str">
        <f>IF(Таблица97[[#This Row],[НК]]=1,Таблица97[[#This Row],[Продажа]],"")</f>
        <v/>
      </c>
      <c r="M484" s="108">
        <v>21614</v>
      </c>
      <c r="N484" s="108">
        <f>Таблица97[[#This Row],[Продажа]]-Таблица97[[#This Row],[Закупка]]</f>
        <v>6976</v>
      </c>
      <c r="O484" s="108" t="str">
        <f>IF(Таблица97[[#This Row],[НК]]=1,Таблица97[[#This Row],[Маржа]],"")</f>
        <v/>
      </c>
    </row>
    <row r="485" spans="1:15" ht="20.100000000000001" customHeight="1" x14ac:dyDescent="0.25">
      <c r="A485" s="2">
        <v>265</v>
      </c>
      <c r="B485" s="2" t="str">
        <f>TEXT(Таблица97[[#This Row],[Дата]],"ГГ")&amp;RIGHT("000"&amp;Таблица97[[#This Row],[Номер]],4)</f>
        <v>170265</v>
      </c>
      <c r="C485" s="129">
        <v>42886</v>
      </c>
      <c r="D485" s="2" t="s">
        <v>248</v>
      </c>
      <c r="E485" s="108">
        <v>15010.96</v>
      </c>
      <c r="F485" s="129">
        <v>42900</v>
      </c>
      <c r="G485" s="128">
        <v>1</v>
      </c>
      <c r="H485" s="129">
        <v>42886</v>
      </c>
      <c r="I485" s="108">
        <f t="shared" si="22"/>
        <v>15010.96</v>
      </c>
      <c r="J485" s="108">
        <f>IF(Таблица97[[#This Row],[НК]]=1,Таблица97[[#This Row],[Продажа]],"")</f>
        <v>15010.96</v>
      </c>
      <c r="M485" s="108">
        <v>11710</v>
      </c>
      <c r="N485" s="108">
        <f>Таблица97[[#This Row],[Продажа]]-Таблица97[[#This Row],[Закупка]]</f>
        <v>3300.9599999999991</v>
      </c>
      <c r="O485" s="108">
        <f>IF(Таблица97[[#This Row],[НК]]=1,Таблица97[[#This Row],[Маржа]],"")</f>
        <v>3300.9599999999991</v>
      </c>
    </row>
    <row r="486" spans="1:15" ht="20.100000000000001" customHeight="1" x14ac:dyDescent="0.25">
      <c r="A486" s="2">
        <v>450</v>
      </c>
      <c r="B486" s="2" t="str">
        <f>TEXT(Таблица97[[#This Row],[Дата]],"ГГ")&amp;RIGHT("000"&amp;Таблица97[[#This Row],[Номер]],4)</f>
        <v>170450</v>
      </c>
      <c r="C486" s="129">
        <v>42900</v>
      </c>
      <c r="D486" s="2" t="s">
        <v>236</v>
      </c>
      <c r="E486" s="108">
        <v>14455</v>
      </c>
      <c r="F486" s="129">
        <v>42901</v>
      </c>
      <c r="H486" s="129">
        <v>42909</v>
      </c>
      <c r="I486" s="108">
        <f t="shared" si="22"/>
        <v>14455</v>
      </c>
      <c r="J486" s="108" t="str">
        <f>IF(Таблица97[[#This Row],[НК]]=1,Таблица97[[#This Row],[Продажа]],"")</f>
        <v/>
      </c>
      <c r="M486" s="108">
        <v>10915</v>
      </c>
      <c r="N486" s="108">
        <f>Таблица97[[#This Row],[Продажа]]-Таблица97[[#This Row],[Закупка]]</f>
        <v>3540</v>
      </c>
      <c r="O486" s="108" t="str">
        <f>IF(Таблица97[[#This Row],[НК]]=1,Таблица97[[#This Row],[Маржа]],"")</f>
        <v/>
      </c>
    </row>
    <row r="487" spans="1:15" ht="20.100000000000001" customHeight="1" x14ac:dyDescent="0.25">
      <c r="A487" s="2">
        <v>449</v>
      </c>
      <c r="B487" s="2" t="str">
        <f>TEXT(Таблица97[[#This Row],[Дата]],"ГГ")&amp;RIGHT("000"&amp;Таблица97[[#This Row],[Номер]],4)</f>
        <v>170449</v>
      </c>
      <c r="C487" s="129">
        <v>42900</v>
      </c>
      <c r="D487" s="2" t="s">
        <v>91</v>
      </c>
      <c r="E487" s="108">
        <v>4410</v>
      </c>
      <c r="F487" s="129">
        <v>42901</v>
      </c>
      <c r="H487" s="129">
        <v>42902</v>
      </c>
      <c r="I487" s="108">
        <f t="shared" si="22"/>
        <v>4410</v>
      </c>
      <c r="J487" s="108" t="str">
        <f>IF(Таблица97[[#This Row],[НК]]=1,Таблица97[[#This Row],[Продажа]],"")</f>
        <v/>
      </c>
      <c r="M487" s="108">
        <v>3438</v>
      </c>
      <c r="N487" s="108">
        <f>Таблица97[[#This Row],[Продажа]]-Таблица97[[#This Row],[Закупка]]</f>
        <v>972</v>
      </c>
      <c r="O487" s="108" t="str">
        <f>IF(Таблица97[[#This Row],[НК]]=1,Таблица97[[#This Row],[Маржа]],"")</f>
        <v/>
      </c>
    </row>
    <row r="488" spans="1:15" ht="20.100000000000001" customHeight="1" x14ac:dyDescent="0.25">
      <c r="A488" s="2">
        <v>415</v>
      </c>
      <c r="B488" s="2" t="str">
        <f>TEXT(Таблица97[[#This Row],[Дата]],"ГГ")&amp;RIGHT("000"&amp;Таблица97[[#This Row],[Номер]],4)</f>
        <v>170415</v>
      </c>
      <c r="C488" s="129">
        <v>42887</v>
      </c>
      <c r="D488" s="2" t="s">
        <v>265</v>
      </c>
      <c r="E488" s="108">
        <v>4885.79</v>
      </c>
      <c r="F488" s="129">
        <v>42906</v>
      </c>
      <c r="H488" s="129">
        <v>42922</v>
      </c>
      <c r="I488" s="108">
        <f t="shared" si="22"/>
        <v>4885.79</v>
      </c>
      <c r="J488" s="108" t="str">
        <f>IF(Таблица97[[#This Row],[НК]]=1,Таблица97[[#This Row],[Продажа]],"")</f>
        <v/>
      </c>
      <c r="M488" s="108">
        <v>3226</v>
      </c>
      <c r="N488" s="108">
        <f>Таблица97[[#This Row],[Продажа]]-Таблица97[[#This Row],[Закупка]]</f>
        <v>1659.79</v>
      </c>
      <c r="O488" s="108" t="str">
        <f>IF(Таблица97[[#This Row],[НК]]=1,Таблица97[[#This Row],[Маржа]],"")</f>
        <v/>
      </c>
    </row>
    <row r="489" spans="1:15" ht="20.100000000000001" customHeight="1" x14ac:dyDescent="0.25">
      <c r="A489" s="2">
        <v>439</v>
      </c>
      <c r="B489" s="2" t="str">
        <f>TEXT(Таблица97[[#This Row],[Дата]],"ГГ")&amp;RIGHT("000"&amp;Таблица97[[#This Row],[Номер]],4)</f>
        <v>170439</v>
      </c>
      <c r="C489" s="129">
        <v>42895</v>
      </c>
      <c r="D489" s="2" t="s">
        <v>137</v>
      </c>
      <c r="E489" s="108">
        <v>2675.3</v>
      </c>
      <c r="F489" s="129">
        <v>42906</v>
      </c>
      <c r="H489" s="129">
        <v>42944</v>
      </c>
      <c r="I489" s="108">
        <f t="shared" si="22"/>
        <v>2675.3</v>
      </c>
      <c r="J489" s="108" t="str">
        <f>IF(Таблица97[[#This Row],[НК]]=1,Таблица97[[#This Row],[Продажа]],"")</f>
        <v/>
      </c>
      <c r="M489" s="108">
        <v>2087</v>
      </c>
      <c r="N489" s="108">
        <f>Таблица97[[#This Row],[Продажа]]-Таблица97[[#This Row],[Закупка]]</f>
        <v>588.30000000000018</v>
      </c>
      <c r="O489" s="108" t="str">
        <f>IF(Таблица97[[#This Row],[НК]]=1,Таблица97[[#This Row],[Маржа]],"")</f>
        <v/>
      </c>
    </row>
    <row r="490" spans="1:15" ht="20.100000000000001" customHeight="1" x14ac:dyDescent="0.25">
      <c r="A490" s="2">
        <v>370</v>
      </c>
      <c r="B490" s="2" t="str">
        <f>TEXT(Таблица97[[#This Row],[Дата]],"ГГ")&amp;RIGHT("000"&amp;Таблица97[[#This Row],[Номер]],4)</f>
        <v>170370</v>
      </c>
      <c r="C490" s="129">
        <v>42873</v>
      </c>
      <c r="D490" s="2" t="s">
        <v>56</v>
      </c>
      <c r="E490" s="108">
        <v>740.16</v>
      </c>
      <c r="F490" s="129">
        <v>42907</v>
      </c>
      <c r="H490" s="129">
        <v>42892</v>
      </c>
      <c r="I490" s="108">
        <f t="shared" si="22"/>
        <v>740.16</v>
      </c>
      <c r="J490" s="108" t="str">
        <f>IF(Таблица97[[#This Row],[НК]]=1,Таблица97[[#This Row],[Продажа]],"")</f>
        <v/>
      </c>
      <c r="M490" s="108">
        <v>488</v>
      </c>
      <c r="N490" s="108">
        <f>Таблица97[[#This Row],[Продажа]]-Таблица97[[#This Row],[Закупка]]</f>
        <v>252.15999999999997</v>
      </c>
      <c r="O490" s="108" t="str">
        <f>IF(Таблица97[[#This Row],[НК]]=1,Таблица97[[#This Row],[Маржа]],"")</f>
        <v/>
      </c>
    </row>
    <row r="491" spans="1:15" ht="20.100000000000001" customHeight="1" x14ac:dyDescent="0.25">
      <c r="A491" s="2">
        <v>402</v>
      </c>
      <c r="B491" s="2" t="str">
        <f>TEXT(Таблица97[[#This Row],[Дата]],"ГГ")&amp;RIGHT("000"&amp;Таблица97[[#This Row],[Номер]],4)</f>
        <v>170402</v>
      </c>
      <c r="C491" s="129">
        <v>42887</v>
      </c>
      <c r="D491" s="2" t="s">
        <v>56</v>
      </c>
      <c r="E491" s="108">
        <v>42797.23</v>
      </c>
      <c r="F491" s="129">
        <v>42907</v>
      </c>
      <c r="H491" s="129">
        <v>42892</v>
      </c>
      <c r="I491" s="108">
        <f t="shared" si="22"/>
        <v>42797.23</v>
      </c>
      <c r="J491" s="108" t="str">
        <f>IF(Таблица97[[#This Row],[НК]]=1,Таблица97[[#This Row],[Продажа]],"")</f>
        <v/>
      </c>
      <c r="M491" s="108">
        <v>24813</v>
      </c>
      <c r="N491" s="108">
        <f>Таблица97[[#This Row],[Продажа]]-Таблица97[[#This Row],[Закупка]]</f>
        <v>17984.230000000003</v>
      </c>
      <c r="O491" s="108" t="str">
        <f>IF(Таблица97[[#This Row],[НК]]=1,Таблица97[[#This Row],[Маржа]],"")</f>
        <v/>
      </c>
    </row>
    <row r="492" spans="1:15" ht="20.100000000000001" customHeight="1" x14ac:dyDescent="0.25">
      <c r="A492" s="2">
        <v>463</v>
      </c>
      <c r="B492" s="2" t="str">
        <f>TEXT(Таблица97[[#This Row],[Дата]],"ГГ")&amp;RIGHT("000"&amp;Таблица97[[#This Row],[Номер]],4)</f>
        <v>170463</v>
      </c>
      <c r="C492" s="129">
        <v>42905</v>
      </c>
      <c r="D492" s="2" t="s">
        <v>180</v>
      </c>
      <c r="E492" s="108">
        <v>1279.3599999999999</v>
      </c>
      <c r="F492" s="129">
        <v>42908</v>
      </c>
      <c r="H492" s="129">
        <v>42914</v>
      </c>
      <c r="I492" s="108">
        <f t="shared" si="22"/>
        <v>1279.3599999999999</v>
      </c>
      <c r="J492" s="108" t="str">
        <f>IF(Таблица97[[#This Row],[НК]]=1,Таблица97[[#This Row],[Продажа]],"")</f>
        <v/>
      </c>
      <c r="M492" s="108">
        <v>844</v>
      </c>
      <c r="N492" s="108">
        <f>Таблица97[[#This Row],[Продажа]]-Таблица97[[#This Row],[Закупка]]</f>
        <v>435.3599999999999</v>
      </c>
      <c r="O492" s="108" t="str">
        <f>IF(Таблица97[[#This Row],[НК]]=1,Таблица97[[#This Row],[Маржа]],"")</f>
        <v/>
      </c>
    </row>
    <row r="493" spans="1:15" ht="20.100000000000001" customHeight="1" x14ac:dyDescent="0.25">
      <c r="A493" s="2">
        <v>426</v>
      </c>
      <c r="B493" s="2" t="str">
        <f>TEXT(Таблица97[[#This Row],[Дата]],"ГГ")&amp;RIGHT("000"&amp;Таблица97[[#This Row],[Номер]],4)</f>
        <v>170426</v>
      </c>
      <c r="C493" s="129">
        <v>42891</v>
      </c>
      <c r="D493" s="2" t="s">
        <v>268</v>
      </c>
      <c r="E493" s="108">
        <v>114880</v>
      </c>
      <c r="F493" s="129">
        <v>42912</v>
      </c>
      <c r="G493" s="128">
        <v>1</v>
      </c>
      <c r="H493" s="129">
        <v>42913</v>
      </c>
      <c r="I493" s="108">
        <f t="shared" si="22"/>
        <v>114880</v>
      </c>
      <c r="J493" s="108">
        <f>IF(Таблица97[[#This Row],[НК]]=1,Таблица97[[#This Row],[Продажа]],"")</f>
        <v>114880</v>
      </c>
      <c r="M493" s="108">
        <v>86850</v>
      </c>
      <c r="N493" s="108">
        <f>Таблица97[[#This Row],[Продажа]]-Таблица97[[#This Row],[Закупка]]</f>
        <v>28030</v>
      </c>
      <c r="O493" s="108">
        <f>IF(Таблица97[[#This Row],[НК]]=1,Таблица97[[#This Row],[Маржа]],"")</f>
        <v>28030</v>
      </c>
    </row>
    <row r="494" spans="1:15" ht="20.100000000000001" customHeight="1" x14ac:dyDescent="0.25">
      <c r="A494" s="2">
        <v>480</v>
      </c>
      <c r="B494" s="2" t="str">
        <f>TEXT(Таблица97[[#This Row],[Дата]],"ГГ")&amp;RIGHT("000"&amp;Таблица97[[#This Row],[Номер]],4)</f>
        <v>170480</v>
      </c>
      <c r="C494" s="129">
        <v>42912</v>
      </c>
      <c r="D494" s="2" t="s">
        <v>267</v>
      </c>
      <c r="E494" s="108">
        <v>37636</v>
      </c>
      <c r="F494" s="129">
        <v>42912</v>
      </c>
      <c r="G494" s="128">
        <v>1</v>
      </c>
      <c r="H494" s="129">
        <v>42913</v>
      </c>
      <c r="I494" s="108">
        <f t="shared" si="22"/>
        <v>37636</v>
      </c>
      <c r="J494" s="108">
        <f>IF(Таблица97[[#This Row],[НК]]=1,Таблица97[[#This Row],[Продажа]],"")</f>
        <v>37636</v>
      </c>
      <c r="M494" s="108">
        <v>28585</v>
      </c>
      <c r="N494" s="108">
        <f>Таблица97[[#This Row],[Продажа]]-Таблица97[[#This Row],[Закупка]]</f>
        <v>9051</v>
      </c>
      <c r="O494" s="108">
        <f>IF(Таблица97[[#This Row],[НК]]=1,Таблица97[[#This Row],[Маржа]],"")</f>
        <v>9051</v>
      </c>
    </row>
    <row r="495" spans="1:15" ht="20.100000000000001" customHeight="1" x14ac:dyDescent="0.25">
      <c r="A495" s="2">
        <v>485</v>
      </c>
      <c r="B495" s="2" t="str">
        <f>TEXT(Таблица97[[#This Row],[Дата]],"ГГ")&amp;RIGHT("000"&amp;Таблица97[[#This Row],[Номер]],4)</f>
        <v>170485</v>
      </c>
      <c r="C495" s="129">
        <v>42913</v>
      </c>
      <c r="D495" s="2" t="s">
        <v>269</v>
      </c>
      <c r="E495" s="108">
        <v>11990</v>
      </c>
      <c r="F495" s="129">
        <v>42914</v>
      </c>
      <c r="G495" s="128">
        <v>1</v>
      </c>
      <c r="H495" s="129">
        <v>42922</v>
      </c>
      <c r="I495" s="108">
        <f t="shared" si="22"/>
        <v>11990</v>
      </c>
      <c r="J495" s="108">
        <f>IF(Таблица97[[#This Row],[НК]]=1,Таблица97[[#This Row],[Продажа]],"")</f>
        <v>11990</v>
      </c>
      <c r="M495" s="108">
        <v>9064</v>
      </c>
      <c r="N495" s="108">
        <f>Таблица97[[#This Row],[Продажа]]-Таблица97[[#This Row],[Закупка]]</f>
        <v>2926</v>
      </c>
      <c r="O495" s="108">
        <f>IF(Таблица97[[#This Row],[НК]]=1,Таблица97[[#This Row],[Маржа]],"")</f>
        <v>2926</v>
      </c>
    </row>
    <row r="496" spans="1:15" ht="20.100000000000001" customHeight="1" x14ac:dyDescent="0.25">
      <c r="A496" s="2">
        <v>460</v>
      </c>
      <c r="B496" s="2" t="str">
        <f>TEXT(Таблица97[[#This Row],[Дата]],"ГГ")&amp;RIGHT("000"&amp;Таблица97[[#This Row],[Номер]],4)</f>
        <v>170460</v>
      </c>
      <c r="C496" s="129">
        <v>42905</v>
      </c>
      <c r="D496" s="2" t="s">
        <v>50</v>
      </c>
      <c r="E496" s="108">
        <v>4496.92</v>
      </c>
      <c r="F496" s="129">
        <v>42915</v>
      </c>
      <c r="H496" s="129">
        <v>42919</v>
      </c>
      <c r="I496" s="108">
        <f t="shared" si="22"/>
        <v>4496.92</v>
      </c>
      <c r="J496" s="108" t="str">
        <f>IF(Таблица97[[#This Row],[НК]]=1,Таблица97[[#This Row],[Продажа]],"")</f>
        <v/>
      </c>
      <c r="M496" s="108">
        <v>3463</v>
      </c>
      <c r="N496" s="108">
        <f>Таблица97[[#This Row],[Продажа]]-Таблица97[[#This Row],[Закупка]]</f>
        <v>1033.92</v>
      </c>
      <c r="O496" s="108" t="str">
        <f>IF(Таблица97[[#This Row],[НК]]=1,Таблица97[[#This Row],[Маржа]],"")</f>
        <v/>
      </c>
    </row>
    <row r="497" spans="1:15" ht="20.100000000000001" customHeight="1" x14ac:dyDescent="0.25">
      <c r="A497" s="2">
        <v>269</v>
      </c>
      <c r="B497" s="2" t="str">
        <f>TEXT(Таблица97[[#This Row],[Дата]],"ГГ")&amp;RIGHT("000"&amp;Таблица97[[#This Row],[Номер]],4)</f>
        <v>170269</v>
      </c>
      <c r="C497" s="129">
        <v>42843</v>
      </c>
      <c r="D497" s="2" t="s">
        <v>99</v>
      </c>
      <c r="E497" s="108">
        <v>294927.26</v>
      </c>
      <c r="F497" s="129">
        <v>42915</v>
      </c>
      <c r="H497" s="129">
        <v>42881</v>
      </c>
      <c r="I497" s="108">
        <f t="shared" si="22"/>
        <v>294927.26</v>
      </c>
      <c r="J497" s="108" t="str">
        <f>IF(Таблица97[[#This Row],[НК]]=1,Таблица97[[#This Row],[Продажа]],"")</f>
        <v/>
      </c>
      <c r="K497" s="108">
        <v>45000</v>
      </c>
      <c r="M497" s="108">
        <v>112724.15</v>
      </c>
      <c r="N497" s="108">
        <f>Таблица97[[#This Row],[Продажа]]-Таблица97[[#This Row],[Закупка]]</f>
        <v>182203.11000000002</v>
      </c>
      <c r="O497" s="108" t="str">
        <f>IF(Таблица97[[#This Row],[НК]]=1,Таблица97[[#This Row],[Маржа]],"")</f>
        <v/>
      </c>
    </row>
    <row r="498" spans="1:15" ht="20.100000000000001" customHeight="1" x14ac:dyDescent="0.25">
      <c r="A498" s="2">
        <v>355</v>
      </c>
      <c r="B498" s="2" t="str">
        <f>TEXT(Таблица97[[#This Row],[Дата]],"ГГ")&amp;RIGHT("000"&amp;Таблица97[[#This Row],[Номер]],4)</f>
        <v>170355</v>
      </c>
      <c r="C498" s="129">
        <v>42872</v>
      </c>
      <c r="D498" s="2" t="s">
        <v>99</v>
      </c>
      <c r="E498" s="108">
        <v>212853.94</v>
      </c>
      <c r="F498" s="129">
        <v>42915</v>
      </c>
      <c r="H498" s="129">
        <v>42881</v>
      </c>
      <c r="I498" s="108">
        <f t="shared" si="22"/>
        <v>212853.94</v>
      </c>
      <c r="J498" s="108" t="str">
        <f>IF(Таблица97[[#This Row],[НК]]=1,Таблица97[[#This Row],[Продажа]],"")</f>
        <v/>
      </c>
      <c r="K498" s="108">
        <v>33000</v>
      </c>
      <c r="M498" s="108">
        <v>77900.05</v>
      </c>
      <c r="N498" s="108">
        <f>Таблица97[[#This Row],[Продажа]]-Таблица97[[#This Row],[Закупка]]</f>
        <v>134953.89000000001</v>
      </c>
      <c r="O498" s="108" t="str">
        <f>IF(Таблица97[[#This Row],[НК]]=1,Таблица97[[#This Row],[Маржа]],"")</f>
        <v/>
      </c>
    </row>
    <row r="499" spans="1:15" ht="20.100000000000001" customHeight="1" x14ac:dyDescent="0.25">
      <c r="A499" s="2">
        <v>493</v>
      </c>
      <c r="B499" s="2" t="str">
        <f>TEXT(Таблица97[[#This Row],[Дата]],"ГГ")&amp;RIGHT("000"&amp;Таблица97[[#This Row],[Номер]],4)</f>
        <v>170493</v>
      </c>
      <c r="C499" s="129">
        <v>42915</v>
      </c>
      <c r="D499" s="2" t="s">
        <v>270</v>
      </c>
      <c r="E499" s="108">
        <v>1529</v>
      </c>
      <c r="F499" s="129">
        <v>42915</v>
      </c>
      <c r="H499" s="129">
        <v>42921</v>
      </c>
      <c r="I499" s="108">
        <f t="shared" si="22"/>
        <v>1529</v>
      </c>
      <c r="J499" s="108" t="str">
        <f>IF(Таблица97[[#This Row],[НК]]=1,Таблица97[[#This Row],[Продажа]],"")</f>
        <v/>
      </c>
      <c r="M499" s="108">
        <v>1193</v>
      </c>
      <c r="N499" s="108">
        <f>Таблица97[[#This Row],[Продажа]]-Таблица97[[#This Row],[Закупка]]</f>
        <v>336</v>
      </c>
      <c r="O499" s="108" t="str">
        <f>IF(Таблица97[[#This Row],[НК]]=1,Таблица97[[#This Row],[Маржа]],"")</f>
        <v/>
      </c>
    </row>
    <row r="500" spans="1:15" ht="20.100000000000001" customHeight="1" x14ac:dyDescent="0.25">
      <c r="A500" s="2">
        <v>497</v>
      </c>
      <c r="B500" s="2" t="str">
        <f>TEXT(Таблица97[[#This Row],[Дата]],"ГГ")&amp;RIGHT("000"&amp;Таблица97[[#This Row],[Номер]],4)</f>
        <v>170497</v>
      </c>
      <c r="C500" s="129">
        <v>42916</v>
      </c>
      <c r="D500" s="2" t="s">
        <v>209</v>
      </c>
      <c r="E500" s="108">
        <v>3083.8</v>
      </c>
      <c r="F500" s="129">
        <v>42916</v>
      </c>
      <c r="H500" s="129">
        <v>42930</v>
      </c>
      <c r="I500" s="108">
        <f t="shared" si="22"/>
        <v>3083.8</v>
      </c>
      <c r="J500" s="108" t="str">
        <f>IF(Таблица97[[#This Row],[НК]]=1,Таблица97[[#This Row],[Продажа]],"")</f>
        <v/>
      </c>
      <c r="M500" s="108">
        <v>2580</v>
      </c>
      <c r="N500" s="108">
        <f>Таблица97[[#This Row],[Продажа]]-Таблица97[[#This Row],[Закупка]]</f>
        <v>503.80000000000018</v>
      </c>
      <c r="O500" s="108" t="str">
        <f>IF(Таблица97[[#This Row],[НК]]=1,Таблица97[[#This Row],[Маржа]],"")</f>
        <v/>
      </c>
    </row>
    <row r="501" spans="1:15" ht="20.100000000000001" customHeight="1" x14ac:dyDescent="0.25">
      <c r="A501" s="2">
        <v>445</v>
      </c>
      <c r="B501" s="2" t="str">
        <f>TEXT(Таблица97[[#This Row],[Дата]],"ГГ")&amp;RIGHT("000"&amp;Таблица97[[#This Row],[Номер]],4)</f>
        <v>170445</v>
      </c>
      <c r="C501" s="129">
        <v>42899</v>
      </c>
      <c r="D501" s="2" t="s">
        <v>202</v>
      </c>
      <c r="E501" s="108">
        <v>14730</v>
      </c>
      <c r="F501" s="129">
        <v>42916</v>
      </c>
      <c r="H501" s="129">
        <v>42948</v>
      </c>
      <c r="I501" s="108">
        <f t="shared" si="22"/>
        <v>14730</v>
      </c>
      <c r="J501" s="108" t="str">
        <f>IF(Таблица97[[#This Row],[НК]]=1,Таблица97[[#This Row],[Продажа]],"")</f>
        <v/>
      </c>
      <c r="M501" s="108">
        <v>13604</v>
      </c>
      <c r="N501" s="108">
        <f>Таблица97[[#This Row],[Продажа]]-Таблица97[[#This Row],[Закупка]]</f>
        <v>1126</v>
      </c>
      <c r="O501" s="108" t="str">
        <f>IF(Таблица97[[#This Row],[НК]]=1,Таблица97[[#This Row],[Маржа]],"")</f>
        <v/>
      </c>
    </row>
    <row r="502" spans="1:15" ht="20.100000000000001" customHeight="1" x14ac:dyDescent="0.25">
      <c r="A502" s="2">
        <v>458</v>
      </c>
      <c r="B502" s="2" t="str">
        <f>TEXT(Таблица97[[#This Row],[Дата]],"ГГ")&amp;RIGHT("000"&amp;Таблица97[[#This Row],[Номер]],4)</f>
        <v>170458</v>
      </c>
      <c r="C502" s="129">
        <v>42902</v>
      </c>
      <c r="D502" s="2" t="s">
        <v>266</v>
      </c>
      <c r="E502" s="108">
        <v>33940</v>
      </c>
      <c r="F502" s="129">
        <v>42919</v>
      </c>
      <c r="G502" s="128">
        <v>1</v>
      </c>
      <c r="H502" s="129">
        <v>42902</v>
      </c>
      <c r="I502" s="108">
        <f t="shared" ref="I502:I527" si="23">E502</f>
        <v>33940</v>
      </c>
      <c r="J502" s="108">
        <f>IF(Таблица97[[#This Row],[НК]]=1,Таблица97[[#This Row],[Продажа]],"")</f>
        <v>33940</v>
      </c>
      <c r="M502" s="108">
        <v>25726</v>
      </c>
      <c r="N502" s="108">
        <f>Таблица97[[#This Row],[Продажа]]-Таблица97[[#This Row],[Закупка]]</f>
        <v>8214</v>
      </c>
      <c r="O502" s="108">
        <f>IF(Таблица97[[#This Row],[НК]]=1,Таблица97[[#This Row],[Маржа]],"")</f>
        <v>8214</v>
      </c>
    </row>
    <row r="503" spans="1:15" ht="20.100000000000001" customHeight="1" x14ac:dyDescent="0.25">
      <c r="A503" s="2">
        <v>330</v>
      </c>
      <c r="B503" s="2" t="str">
        <f>TEXT(Таблица97[[#This Row],[Дата]],"ГГ")&amp;RIGHT("000"&amp;Таблица97[[#This Row],[Номер]],4)</f>
        <v>170330</v>
      </c>
      <c r="C503" s="129">
        <v>42868</v>
      </c>
      <c r="D503" s="2" t="s">
        <v>13</v>
      </c>
      <c r="E503" s="108">
        <v>5299.97</v>
      </c>
      <c r="F503" s="129">
        <v>42920</v>
      </c>
      <c r="H503" s="129">
        <v>42907</v>
      </c>
      <c r="I503" s="108">
        <f t="shared" si="23"/>
        <v>5299.97</v>
      </c>
      <c r="J503" s="108" t="str">
        <f>IF(Таблица97[[#This Row],[НК]]=1,Таблица97[[#This Row],[Продажа]],"")</f>
        <v/>
      </c>
      <c r="M503" s="108">
        <v>4229</v>
      </c>
      <c r="N503" s="108">
        <f>Таблица97[[#This Row],[Продажа]]-Таблица97[[#This Row],[Закупка]]</f>
        <v>1070.9700000000003</v>
      </c>
      <c r="O503" s="108" t="str">
        <f>IF(Таблица97[[#This Row],[НК]]=1,Таблица97[[#This Row],[Маржа]],"")</f>
        <v/>
      </c>
    </row>
    <row r="504" spans="1:15" ht="20.100000000000001" customHeight="1" x14ac:dyDescent="0.25">
      <c r="A504" s="2">
        <v>443</v>
      </c>
      <c r="B504" s="2" t="str">
        <f>TEXT(Таблица97[[#This Row],[Дата]],"ГГ")&amp;RIGHT("000"&amp;Таблица97[[#This Row],[Номер]],4)</f>
        <v>170443</v>
      </c>
      <c r="C504" s="129">
        <v>42899</v>
      </c>
      <c r="D504" s="2" t="s">
        <v>13</v>
      </c>
      <c r="E504" s="108">
        <v>8346.5</v>
      </c>
      <c r="F504" s="129">
        <v>42920</v>
      </c>
      <c r="H504" s="129">
        <v>42907</v>
      </c>
      <c r="I504" s="108">
        <f t="shared" si="23"/>
        <v>8346.5</v>
      </c>
      <c r="J504" s="108" t="str">
        <f>IF(Таблица97[[#This Row],[НК]]=1,Таблица97[[#This Row],[Продажа]],"")</f>
        <v/>
      </c>
      <c r="M504" s="108">
        <v>6423</v>
      </c>
      <c r="N504" s="108">
        <f>Таблица97[[#This Row],[Продажа]]-Таблица97[[#This Row],[Закупка]]</f>
        <v>1923.5</v>
      </c>
      <c r="O504" s="108" t="str">
        <f>IF(Таблица97[[#This Row],[НК]]=1,Таблица97[[#This Row],[Маржа]],"")</f>
        <v/>
      </c>
    </row>
    <row r="505" spans="1:15" ht="20.100000000000001" customHeight="1" x14ac:dyDescent="0.25">
      <c r="A505" s="2">
        <v>489</v>
      </c>
      <c r="B505" s="2" t="str">
        <f>TEXT(Таблица97[[#This Row],[Дата]],"ГГ")&amp;RIGHT("000"&amp;Таблица97[[#This Row],[Номер]],4)</f>
        <v>170489</v>
      </c>
      <c r="C505" s="129">
        <v>42919</v>
      </c>
      <c r="D505" s="2" t="s">
        <v>217</v>
      </c>
      <c r="E505" s="108">
        <v>34034</v>
      </c>
      <c r="F505" s="129">
        <v>42921</v>
      </c>
      <c r="H505" s="129">
        <v>42922</v>
      </c>
      <c r="I505" s="108">
        <f t="shared" si="23"/>
        <v>34034</v>
      </c>
      <c r="J505" s="108" t="str">
        <f>IF(Таблица97[[#This Row],[НК]]=1,Таблица97[[#This Row],[Продажа]],"")</f>
        <v/>
      </c>
      <c r="M505" s="108">
        <v>29869</v>
      </c>
      <c r="N505" s="108">
        <f>Таблица97[[#This Row],[Продажа]]-Таблица97[[#This Row],[Закупка]]</f>
        <v>4165</v>
      </c>
      <c r="O505" s="108" t="str">
        <f>IF(Таблица97[[#This Row],[НК]]=1,Таблица97[[#This Row],[Маржа]],"")</f>
        <v/>
      </c>
    </row>
    <row r="506" spans="1:15" ht="20.100000000000001" customHeight="1" x14ac:dyDescent="0.25">
      <c r="A506" s="2">
        <v>511</v>
      </c>
      <c r="B506" s="2" t="str">
        <f>TEXT(Таблица97[[#This Row],[Дата]],"ГГ")&amp;RIGHT("000"&amp;Таблица97[[#This Row],[Номер]],4)</f>
        <v>170511</v>
      </c>
      <c r="C506" s="129">
        <v>42920</v>
      </c>
      <c r="D506" s="2" t="s">
        <v>71</v>
      </c>
      <c r="E506" s="108">
        <v>2870</v>
      </c>
      <c r="F506" s="129">
        <v>42921</v>
      </c>
      <c r="H506" s="129">
        <v>42930</v>
      </c>
      <c r="I506" s="108">
        <f t="shared" si="23"/>
        <v>2870</v>
      </c>
      <c r="J506" s="108" t="str">
        <f>IF(Таблица97[[#This Row],[НК]]=1,Таблица97[[#This Row],[Продажа]],"")</f>
        <v/>
      </c>
      <c r="M506" s="108">
        <v>2354</v>
      </c>
      <c r="N506" s="108">
        <f>Таблица97[[#This Row],[Продажа]]-Таблица97[[#This Row],[Закупка]]</f>
        <v>516</v>
      </c>
      <c r="O506" s="108" t="str">
        <f>IF(Таблица97[[#This Row],[НК]]=1,Таблица97[[#This Row],[Маржа]],"")</f>
        <v/>
      </c>
    </row>
    <row r="507" spans="1:15" ht="19.5" customHeight="1" x14ac:dyDescent="0.25">
      <c r="A507" s="2">
        <v>432</v>
      </c>
      <c r="B507" s="2" t="str">
        <f>TEXT(Таблица97[[#This Row],[Дата]],"ГГ")&amp;RIGHT("000"&amp;Таблица97[[#This Row],[Номер]],4)</f>
        <v>170432</v>
      </c>
      <c r="C507" s="129">
        <v>42893</v>
      </c>
      <c r="D507" s="2" t="s">
        <v>180</v>
      </c>
      <c r="E507" s="108">
        <v>37690.639999999999</v>
      </c>
      <c r="F507" s="129">
        <v>42922</v>
      </c>
      <c r="H507" s="129">
        <v>42914</v>
      </c>
      <c r="I507" s="108">
        <f t="shared" si="23"/>
        <v>37690.639999999999</v>
      </c>
      <c r="J507" s="108" t="str">
        <f>IF(Таблица97[[#This Row],[НК]]=1,Таблица97[[#This Row],[Продажа]],"")</f>
        <v/>
      </c>
      <c r="M507" s="108">
        <v>20555.97</v>
      </c>
      <c r="N507" s="108">
        <f>Таблица97[[#This Row],[Продажа]]-Таблица97[[#This Row],[Закупка]]</f>
        <v>17134.669999999998</v>
      </c>
      <c r="O507" s="108" t="str">
        <f>IF(Таблица97[[#This Row],[НК]]=1,Таблица97[[#This Row],[Маржа]],"")</f>
        <v/>
      </c>
    </row>
    <row r="508" spans="1:15" ht="19.5" customHeight="1" x14ac:dyDescent="0.25">
      <c r="A508" s="2">
        <v>495</v>
      </c>
      <c r="B508" s="2" t="str">
        <f>TEXT(Таблица97[[#This Row],[Дата]],"ГГ")&amp;RIGHT("000"&amp;Таблица97[[#This Row],[Номер]],4)</f>
        <v>170495</v>
      </c>
      <c r="C508" s="129">
        <v>42915</v>
      </c>
      <c r="D508" s="2" t="s">
        <v>175</v>
      </c>
      <c r="E508" s="108">
        <v>9764.1</v>
      </c>
      <c r="F508" s="129">
        <v>42923</v>
      </c>
      <c r="H508" s="129">
        <v>42934</v>
      </c>
      <c r="I508" s="108">
        <f t="shared" si="23"/>
        <v>9764.1</v>
      </c>
      <c r="J508" s="108" t="str">
        <f>IF(Таблица97[[#This Row],[НК]]=1,Таблица97[[#This Row],[Продажа]],"")</f>
        <v/>
      </c>
      <c r="M508" s="108">
        <v>8016</v>
      </c>
      <c r="N508" s="108">
        <f>Таблица97[[#This Row],[Продажа]]-Таблица97[[#This Row],[Закупка]]</f>
        <v>1748.1000000000004</v>
      </c>
      <c r="O508" s="108" t="str">
        <f>IF(Таблица97[[#This Row],[НК]]=1,Таблица97[[#This Row],[Маржа]],"")</f>
        <v/>
      </c>
    </row>
    <row r="509" spans="1:15" ht="20.100000000000001" customHeight="1" x14ac:dyDescent="0.25">
      <c r="A509" s="2">
        <v>378</v>
      </c>
      <c r="B509" s="2" t="str">
        <f>TEXT(Таблица97[[#This Row],[Дата]],"ГГ")&amp;RIGHT("000"&amp;Таблица97[[#This Row],[Номер]],4)</f>
        <v>170378</v>
      </c>
      <c r="C509" s="129">
        <v>42921</v>
      </c>
      <c r="D509" s="2" t="s">
        <v>271</v>
      </c>
      <c r="E509" s="108">
        <v>52690</v>
      </c>
      <c r="F509" s="129">
        <v>42923</v>
      </c>
      <c r="G509" s="128">
        <v>1</v>
      </c>
      <c r="H509" s="129">
        <v>42921</v>
      </c>
      <c r="I509" s="108">
        <f t="shared" si="23"/>
        <v>52690</v>
      </c>
      <c r="J509" s="108">
        <f>IF(Таблица97[[#This Row],[НК]]=1,Таблица97[[#This Row],[Продажа]],"")</f>
        <v>52690</v>
      </c>
      <c r="M509" s="108">
        <v>39834</v>
      </c>
      <c r="N509" s="108">
        <f>Таблица97[[#This Row],[Продажа]]-Таблица97[[#This Row],[Закупка]]</f>
        <v>12856</v>
      </c>
      <c r="O509" s="108">
        <f>IF(Таблица97[[#This Row],[НК]]=1,Таблица97[[#This Row],[Маржа]],"")</f>
        <v>12856</v>
      </c>
    </row>
    <row r="510" spans="1:15" ht="20.100000000000001" customHeight="1" x14ac:dyDescent="0.25">
      <c r="A510" s="2">
        <v>519</v>
      </c>
      <c r="B510" s="2" t="str">
        <f>TEXT(Таблица97[[#This Row],[Дата]],"ГГ")&amp;RIGHT("000"&amp;Таблица97[[#This Row],[Номер]],4)</f>
        <v>170519</v>
      </c>
      <c r="C510" s="129">
        <v>42922</v>
      </c>
      <c r="D510" s="2" t="s">
        <v>272</v>
      </c>
      <c r="E510" s="108">
        <v>16744</v>
      </c>
      <c r="F510" s="129">
        <v>42926</v>
      </c>
      <c r="G510" s="128">
        <v>1</v>
      </c>
      <c r="H510" s="129">
        <v>42928</v>
      </c>
      <c r="I510" s="108">
        <f t="shared" si="23"/>
        <v>16744</v>
      </c>
      <c r="J510" s="108">
        <f>IF(Таблица97[[#This Row],[НК]]=1,Таблица97[[#This Row],[Продажа]],"")</f>
        <v>16744</v>
      </c>
      <c r="M510" s="108">
        <v>12635</v>
      </c>
      <c r="N510" s="108">
        <f>Таблица97[[#This Row],[Продажа]]-Таблица97[[#This Row],[Закупка]]</f>
        <v>4109</v>
      </c>
      <c r="O510" s="108">
        <f>IF(Таблица97[[#This Row],[НК]]=1,Таблица97[[#This Row],[Маржа]],"")</f>
        <v>4109</v>
      </c>
    </row>
    <row r="511" spans="1:15" ht="20.100000000000001" customHeight="1" x14ac:dyDescent="0.25">
      <c r="A511" s="2">
        <v>441</v>
      </c>
      <c r="B511" s="2" t="str">
        <f>TEXT(Таблица97[[#This Row],[Дата]],"ГГ")&amp;RIGHT("000"&amp;Таблица97[[#This Row],[Номер]],4)</f>
        <v>170441</v>
      </c>
      <c r="C511" s="129">
        <v>42895</v>
      </c>
      <c r="D511" s="2" t="s">
        <v>60</v>
      </c>
      <c r="E511" s="108">
        <v>928.05</v>
      </c>
      <c r="F511" s="129">
        <v>42926</v>
      </c>
      <c r="H511" s="129">
        <v>42921</v>
      </c>
      <c r="I511" s="108">
        <f t="shared" si="23"/>
        <v>928.05</v>
      </c>
      <c r="J511" s="108" t="str">
        <f>IF(Таблица97[[#This Row],[НК]]=1,Таблица97[[#This Row],[Продажа]],"")</f>
        <v/>
      </c>
      <c r="M511" s="108">
        <v>610</v>
      </c>
      <c r="N511" s="108">
        <f>Таблица97[[#This Row],[Продажа]]-Таблица97[[#This Row],[Закупка]]</f>
        <v>318.04999999999995</v>
      </c>
      <c r="O511" s="108" t="str">
        <f>IF(Таблица97[[#This Row],[НК]]=1,Таблица97[[#This Row],[Маржа]],"")</f>
        <v/>
      </c>
    </row>
    <row r="512" spans="1:15" ht="20.100000000000001" customHeight="1" x14ac:dyDescent="0.25">
      <c r="A512" s="2">
        <v>397</v>
      </c>
      <c r="B512" s="2" t="str">
        <f>TEXT(Таблица97[[#This Row],[Дата]],"ГГ")&amp;RIGHT("000"&amp;Таблица97[[#This Row],[Номер]],4)</f>
        <v>170397</v>
      </c>
      <c r="C512" s="129">
        <v>42928</v>
      </c>
      <c r="D512" s="2" t="s">
        <v>273</v>
      </c>
      <c r="E512" s="108">
        <v>19651</v>
      </c>
      <c r="F512" s="129">
        <v>42928</v>
      </c>
      <c r="G512" s="128">
        <v>1</v>
      </c>
      <c r="H512" s="129">
        <v>42928</v>
      </c>
      <c r="I512" s="108">
        <f t="shared" si="23"/>
        <v>19651</v>
      </c>
      <c r="J512" s="108">
        <f>IF(Таблица97[[#This Row],[НК]]=1,Таблица97[[#This Row],[Продажа]],"")</f>
        <v>19651</v>
      </c>
      <c r="M512" s="108">
        <v>16099</v>
      </c>
      <c r="N512" s="108">
        <f>Таблица97[[#This Row],[Продажа]]-Таблица97[[#This Row],[Закупка]]</f>
        <v>3552</v>
      </c>
      <c r="O512" s="108">
        <f>IF(Таблица97[[#This Row],[НК]]=1,Таблица97[[#This Row],[Маржа]],"")</f>
        <v>3552</v>
      </c>
    </row>
    <row r="513" spans="1:15" ht="20.100000000000001" customHeight="1" x14ac:dyDescent="0.25">
      <c r="A513" s="2">
        <v>524</v>
      </c>
      <c r="B513" s="2" t="str">
        <f>TEXT(Таблица97[[#This Row],[Дата]],"ГГ")&amp;RIGHT("000"&amp;Таблица97[[#This Row],[Номер]],4)</f>
        <v>170524</v>
      </c>
      <c r="C513" s="129">
        <v>42926</v>
      </c>
      <c r="D513" s="2" t="s">
        <v>274</v>
      </c>
      <c r="E513" s="108">
        <v>15990</v>
      </c>
      <c r="F513" s="129">
        <v>42928</v>
      </c>
      <c r="H513" s="129">
        <v>42929</v>
      </c>
      <c r="I513" s="108">
        <f t="shared" si="23"/>
        <v>15990</v>
      </c>
      <c r="J513" s="108" t="str">
        <f>IF(Таблица97[[#This Row],[НК]]=1,Таблица97[[#This Row],[Продажа]],"")</f>
        <v/>
      </c>
      <c r="M513" s="108">
        <v>12088</v>
      </c>
      <c r="N513" s="108">
        <f>Таблица97[[#This Row],[Продажа]]-Таблица97[[#This Row],[Закупка]]</f>
        <v>3902</v>
      </c>
      <c r="O513" s="108" t="str">
        <f>IF(Таблица97[[#This Row],[НК]]=1,Таблица97[[#This Row],[Маржа]],"")</f>
        <v/>
      </c>
    </row>
    <row r="514" spans="1:15" ht="20.100000000000001" customHeight="1" x14ac:dyDescent="0.25">
      <c r="A514" s="2">
        <v>525</v>
      </c>
      <c r="B514" s="2" t="str">
        <f>TEXT(Таблица97[[#This Row],[Дата]],"ГГ")&amp;RIGHT("000"&amp;Таблица97[[#This Row],[Номер]],4)</f>
        <v>170525</v>
      </c>
      <c r="C514" s="129">
        <v>42926</v>
      </c>
      <c r="D514" s="2" t="s">
        <v>60</v>
      </c>
      <c r="E514" s="108">
        <v>5068</v>
      </c>
      <c r="F514" s="129">
        <v>42933</v>
      </c>
      <c r="H514" s="129">
        <v>42927</v>
      </c>
      <c r="I514" s="108">
        <f t="shared" si="23"/>
        <v>5068</v>
      </c>
      <c r="J514" s="108" t="str">
        <f>IF(Таблица97[[#This Row],[НК]]=1,Таблица97[[#This Row],[Продажа]],"")</f>
        <v/>
      </c>
      <c r="M514" s="108">
        <v>3956</v>
      </c>
      <c r="N514" s="108">
        <f>Таблица97[[#This Row],[Продажа]]-Таблица97[[#This Row],[Закупка]]</f>
        <v>1112</v>
      </c>
      <c r="O514" s="108" t="str">
        <f>IF(Таблица97[[#This Row],[НК]]=1,Таблица97[[#This Row],[Маржа]],"")</f>
        <v/>
      </c>
    </row>
    <row r="515" spans="1:15" ht="20.100000000000001" customHeight="1" x14ac:dyDescent="0.25">
      <c r="A515" s="2">
        <v>528</v>
      </c>
      <c r="B515" s="2" t="str">
        <f>TEXT(Таблица97[[#This Row],[Дата]],"ГГ")&amp;RIGHT("000"&amp;Таблица97[[#This Row],[Номер]],4)</f>
        <v>170528</v>
      </c>
      <c r="C515" s="129">
        <v>42927</v>
      </c>
      <c r="D515" s="2" t="s">
        <v>275</v>
      </c>
      <c r="E515" s="108">
        <v>32878.980000000003</v>
      </c>
      <c r="F515" s="129">
        <v>42935</v>
      </c>
      <c r="H515" s="129">
        <v>43166</v>
      </c>
      <c r="I515" s="108">
        <f t="shared" si="23"/>
        <v>32878.980000000003</v>
      </c>
      <c r="J515" s="108" t="str">
        <f>IF(Таблица97[[#This Row],[НК]]=1,Таблица97[[#This Row],[Продажа]],"")</f>
        <v/>
      </c>
      <c r="M515" s="108">
        <v>25644</v>
      </c>
      <c r="N515" s="108">
        <f>Таблица97[[#This Row],[Продажа]]-Таблица97[[#This Row],[Закупка]]</f>
        <v>7234.9800000000032</v>
      </c>
      <c r="O515" s="108" t="str">
        <f>IF(Таблица97[[#This Row],[НК]]=1,Таблица97[[#This Row],[Маржа]],"")</f>
        <v/>
      </c>
    </row>
    <row r="516" spans="1:15" ht="20.100000000000001" customHeight="1" x14ac:dyDescent="0.25">
      <c r="A516" s="2">
        <v>425</v>
      </c>
      <c r="B516" s="2" t="str">
        <f>TEXT(Таблица97[[#This Row],[Дата]],"ГГ")&amp;RIGHT("000"&amp;Таблица97[[#This Row],[Номер]],4)</f>
        <v>170425</v>
      </c>
      <c r="C516" s="129">
        <v>42891</v>
      </c>
      <c r="D516" s="2" t="s">
        <v>56</v>
      </c>
      <c r="E516" s="108">
        <v>39483.43</v>
      </c>
      <c r="F516" s="129">
        <v>42935</v>
      </c>
      <c r="H516" s="129">
        <v>42922</v>
      </c>
      <c r="I516" s="108">
        <f t="shared" si="23"/>
        <v>39483.43</v>
      </c>
      <c r="J516" s="108" t="str">
        <f>IF(Таблица97[[#This Row],[НК]]=1,Таблица97[[#This Row],[Продажа]],"")</f>
        <v/>
      </c>
      <c r="M516" s="108">
        <v>25844</v>
      </c>
      <c r="N516" s="108">
        <f>Таблица97[[#This Row],[Продажа]]-Таблица97[[#This Row],[Закупка]]</f>
        <v>13639.43</v>
      </c>
      <c r="O516" s="108" t="str">
        <f>IF(Таблица97[[#This Row],[НК]]=1,Таблица97[[#This Row],[Маржа]],"")</f>
        <v/>
      </c>
    </row>
    <row r="517" spans="1:15" ht="20.100000000000001" customHeight="1" x14ac:dyDescent="0.25">
      <c r="A517" s="2">
        <v>554</v>
      </c>
      <c r="B517" s="2" t="str">
        <f>TEXT(Таблица97[[#This Row],[Дата]],"ГГ")&amp;RIGHT("000"&amp;Таблица97[[#This Row],[Номер]],4)</f>
        <v>170554</v>
      </c>
      <c r="C517" s="129">
        <v>42930</v>
      </c>
      <c r="D517" s="2" t="s">
        <v>139</v>
      </c>
      <c r="E517" s="108">
        <v>10400</v>
      </c>
      <c r="F517" s="129">
        <v>42936</v>
      </c>
      <c r="H517" s="129">
        <v>42942</v>
      </c>
      <c r="I517" s="108">
        <f t="shared" si="23"/>
        <v>10400</v>
      </c>
      <c r="J517" s="108" t="str">
        <f>IF(Таблица97[[#This Row],[НК]]=1,Таблица97[[#This Row],[Продажа]],"")</f>
        <v/>
      </c>
      <c r="M517" s="108">
        <v>4192</v>
      </c>
      <c r="N517" s="108">
        <f>Таблица97[[#This Row],[Продажа]]-Таблица97[[#This Row],[Закупка]]</f>
        <v>6208</v>
      </c>
      <c r="O517" s="108" t="str">
        <f>IF(Таблица97[[#This Row],[НК]]=1,Таблица97[[#This Row],[Маржа]],"")</f>
        <v/>
      </c>
    </row>
    <row r="518" spans="1:15" ht="20.100000000000001" customHeight="1" x14ac:dyDescent="0.25">
      <c r="A518" s="2">
        <v>509</v>
      </c>
      <c r="B518" s="2" t="str">
        <f>TEXT(Таблица97[[#This Row],[Дата]],"ГГ")&amp;RIGHT("000"&amp;Таблица97[[#This Row],[Номер]],4)</f>
        <v>170509</v>
      </c>
      <c r="C518" s="129">
        <v>42920</v>
      </c>
      <c r="D518" s="2" t="s">
        <v>11</v>
      </c>
      <c r="E518" s="108">
        <v>22199</v>
      </c>
      <c r="F518" s="129">
        <v>42936</v>
      </c>
      <c r="H518" s="129">
        <v>42940</v>
      </c>
      <c r="I518" s="108">
        <f t="shared" si="23"/>
        <v>22199</v>
      </c>
      <c r="J518" s="108" t="str">
        <f>IF(Таблица97[[#This Row],[НК]]=1,Таблица97[[#This Row],[Продажа]],"")</f>
        <v/>
      </c>
      <c r="M518" s="108">
        <v>16782</v>
      </c>
      <c r="N518" s="108">
        <f>Таблица97[[#This Row],[Продажа]]-Таблица97[[#This Row],[Закупка]]</f>
        <v>5417</v>
      </c>
      <c r="O518" s="108" t="str">
        <f>IF(Таблица97[[#This Row],[НК]]=1,Таблица97[[#This Row],[Маржа]],"")</f>
        <v/>
      </c>
    </row>
    <row r="519" spans="1:15" ht="20.100000000000001" customHeight="1" x14ac:dyDescent="0.25">
      <c r="A519" s="2">
        <v>521</v>
      </c>
      <c r="B519" s="2" t="str">
        <f>TEXT(Таблица97[[#This Row],[Дата]],"ГГ")&amp;RIGHT("000"&amp;Таблица97[[#This Row],[Номер]],4)</f>
        <v>170521</v>
      </c>
      <c r="C519" s="129">
        <v>42923</v>
      </c>
      <c r="D519" s="2" t="s">
        <v>180</v>
      </c>
      <c r="E519" s="108">
        <v>10500</v>
      </c>
      <c r="F519" s="129">
        <v>42936</v>
      </c>
      <c r="H519" s="129">
        <v>42942</v>
      </c>
      <c r="I519" s="108">
        <f t="shared" si="23"/>
        <v>10500</v>
      </c>
      <c r="J519" s="108" t="str">
        <f>IF(Таблица97[[#This Row],[НК]]=1,Таблица97[[#This Row],[Продажа]],"")</f>
        <v/>
      </c>
      <c r="M519" s="108">
        <v>6300</v>
      </c>
      <c r="N519" s="108">
        <f>Таблица97[[#This Row],[Продажа]]-Таблица97[[#This Row],[Закупка]]</f>
        <v>4200</v>
      </c>
      <c r="O519" s="108" t="str">
        <f>IF(Таблица97[[#This Row],[НК]]=1,Таблица97[[#This Row],[Маржа]],"")</f>
        <v/>
      </c>
    </row>
    <row r="520" spans="1:15" ht="20.100000000000001" customHeight="1" x14ac:dyDescent="0.25">
      <c r="A520" s="2">
        <v>443</v>
      </c>
      <c r="B520" s="2" t="str">
        <f>TEXT(Таблица97[[#This Row],[Дата]],"ГГ")&amp;RIGHT("000"&amp;Таблица97[[#This Row],[Номер]],4)</f>
        <v>170443</v>
      </c>
      <c r="C520" s="129">
        <v>42899</v>
      </c>
      <c r="D520" s="2" t="s">
        <v>13</v>
      </c>
      <c r="E520" s="108">
        <v>2100.04</v>
      </c>
      <c r="F520" s="129">
        <v>42937</v>
      </c>
      <c r="H520" s="129">
        <v>42927</v>
      </c>
      <c r="I520" s="108">
        <f t="shared" si="23"/>
        <v>2100.04</v>
      </c>
      <c r="J520" s="108" t="str">
        <f>IF(Таблица97[[#This Row],[НК]]=1,Таблица97[[#This Row],[Продажа]],"")</f>
        <v/>
      </c>
      <c r="M520" s="108">
        <v>1638</v>
      </c>
      <c r="N520" s="108">
        <f>Таблица97[[#This Row],[Продажа]]-Таблица97[[#This Row],[Закупка]]</f>
        <v>462.03999999999996</v>
      </c>
      <c r="O520" s="108" t="str">
        <f>IF(Таблица97[[#This Row],[НК]]=1,Таблица97[[#This Row],[Маржа]],"")</f>
        <v/>
      </c>
    </row>
    <row r="521" spans="1:15" ht="20.100000000000001" customHeight="1" x14ac:dyDescent="0.25">
      <c r="A521" s="2">
        <v>453</v>
      </c>
      <c r="B521" s="2" t="str">
        <f>TEXT(Таблица97[[#This Row],[Дата]],"ГГ")&amp;RIGHT("000"&amp;Таблица97[[#This Row],[Номер]],4)</f>
        <v>170453</v>
      </c>
      <c r="C521" s="129">
        <v>43000</v>
      </c>
      <c r="D521" s="2" t="s">
        <v>13</v>
      </c>
      <c r="E521" s="108">
        <v>2094.2600000000002</v>
      </c>
      <c r="F521" s="129">
        <v>42937</v>
      </c>
      <c r="H521" s="129">
        <v>42927</v>
      </c>
      <c r="I521" s="108">
        <f t="shared" si="23"/>
        <v>2094.2600000000002</v>
      </c>
      <c r="J521" s="108" t="str">
        <f>IF(Таблица97[[#This Row],[НК]]=1,Таблица97[[#This Row],[Продажа]],"")</f>
        <v/>
      </c>
      <c r="M521" s="108">
        <v>1507</v>
      </c>
      <c r="N521" s="108">
        <f>Таблица97[[#This Row],[Продажа]]-Таблица97[[#This Row],[Закупка]]</f>
        <v>587.26000000000022</v>
      </c>
      <c r="O521" s="108" t="str">
        <f>IF(Таблица97[[#This Row],[НК]]=1,Таблица97[[#This Row],[Маржа]],"")</f>
        <v/>
      </c>
    </row>
    <row r="522" spans="1:15" ht="20.100000000000001" customHeight="1" x14ac:dyDescent="0.25">
      <c r="A522" s="2">
        <v>330</v>
      </c>
      <c r="B522" s="2" t="str">
        <f>TEXT(Таблица97[[#This Row],[Дата]],"ГГ")&amp;RIGHT("000"&amp;Таблица97[[#This Row],[Номер]],4)</f>
        <v>170330</v>
      </c>
      <c r="C522" s="129">
        <v>42868</v>
      </c>
      <c r="D522" s="2" t="s">
        <v>13</v>
      </c>
      <c r="E522" s="108">
        <v>3046.53</v>
      </c>
      <c r="F522" s="129">
        <v>42937</v>
      </c>
      <c r="H522" s="129">
        <v>42927</v>
      </c>
      <c r="I522" s="108">
        <f t="shared" si="23"/>
        <v>3046.53</v>
      </c>
      <c r="J522" s="108" t="str">
        <f>IF(Таблица97[[#This Row],[НК]]=1,Таблица97[[#This Row],[Продажа]],"")</f>
        <v/>
      </c>
      <c r="M522" s="108">
        <v>2194</v>
      </c>
      <c r="N522" s="108">
        <f>Таблица97[[#This Row],[Продажа]]-Таблица97[[#This Row],[Закупка]]</f>
        <v>852.5300000000002</v>
      </c>
      <c r="O522" s="108" t="str">
        <f>IF(Таблица97[[#This Row],[НК]]=1,Таблица97[[#This Row],[Маржа]],"")</f>
        <v/>
      </c>
    </row>
    <row r="523" spans="1:15" ht="20.100000000000001" customHeight="1" x14ac:dyDescent="0.25">
      <c r="A523" s="2">
        <v>346</v>
      </c>
      <c r="B523" s="2" t="str">
        <f>TEXT(Таблица97[[#This Row],[Дата]],"ГГ")&amp;RIGHT("000"&amp;Таблица97[[#This Row],[Номер]],4)</f>
        <v>170346</v>
      </c>
      <c r="C523" s="129">
        <v>42894</v>
      </c>
      <c r="D523" s="2" t="s">
        <v>56</v>
      </c>
      <c r="E523" s="108">
        <v>120950</v>
      </c>
      <c r="F523" s="129">
        <v>42941</v>
      </c>
      <c r="H523" s="129">
        <v>42922</v>
      </c>
      <c r="I523" s="108">
        <f t="shared" si="23"/>
        <v>120950</v>
      </c>
      <c r="J523" s="108" t="str">
        <f>IF(Таблица97[[#This Row],[НК]]=1,Таблица97[[#This Row],[Продажа]],"")</f>
        <v/>
      </c>
      <c r="M523" s="108">
        <v>94266</v>
      </c>
      <c r="N523" s="108">
        <f>Таблица97[[#This Row],[Продажа]]-Таблица97[[#This Row],[Закупка]]</f>
        <v>26684</v>
      </c>
      <c r="O523" s="108" t="str">
        <f>IF(Таблица97[[#This Row],[НК]]=1,Таблица97[[#This Row],[Маржа]],"")</f>
        <v/>
      </c>
    </row>
    <row r="524" spans="1:15" ht="20.100000000000001" customHeight="1" x14ac:dyDescent="0.25">
      <c r="A524" s="2">
        <v>586</v>
      </c>
      <c r="B524" s="2" t="str">
        <f>TEXT(Таблица97[[#This Row],[Дата]],"ГГ")&amp;RIGHT("000"&amp;Таблица97[[#This Row],[Номер]],4)</f>
        <v>170586</v>
      </c>
      <c r="C524" s="129">
        <v>42940</v>
      </c>
      <c r="D524" s="2" t="s">
        <v>236</v>
      </c>
      <c r="E524" s="108">
        <v>18490</v>
      </c>
      <c r="F524" s="129">
        <v>42941</v>
      </c>
      <c r="H524" s="129">
        <v>42944</v>
      </c>
      <c r="I524" s="108">
        <f t="shared" si="23"/>
        <v>18490</v>
      </c>
      <c r="J524" s="108" t="str">
        <f>IF(Таблица97[[#This Row],[НК]]=1,Таблица97[[#This Row],[Продажа]],"")</f>
        <v/>
      </c>
      <c r="M524" s="108">
        <v>13338</v>
      </c>
      <c r="N524" s="108">
        <f>Таблица97[[#This Row],[Продажа]]-Таблица97[[#This Row],[Закупка]]</f>
        <v>5152</v>
      </c>
      <c r="O524" s="108" t="str">
        <f>IF(Таблица97[[#This Row],[НК]]=1,Таблица97[[#This Row],[Маржа]],"")</f>
        <v/>
      </c>
    </row>
    <row r="525" spans="1:15" ht="20.100000000000001" customHeight="1" x14ac:dyDescent="0.25">
      <c r="A525" s="2">
        <v>345</v>
      </c>
      <c r="B525" s="2" t="str">
        <f>TEXT(Таблица97[[#This Row],[Дата]],"ГГ")&amp;RIGHT("000"&amp;Таблица97[[#This Row],[Номер]],4)</f>
        <v>170345</v>
      </c>
      <c r="C525" s="129">
        <v>42887</v>
      </c>
      <c r="D525" s="2" t="s">
        <v>99</v>
      </c>
      <c r="E525" s="108">
        <v>604750</v>
      </c>
      <c r="F525" s="129">
        <v>42943</v>
      </c>
      <c r="H525" s="129">
        <v>42920</v>
      </c>
      <c r="I525" s="108">
        <f t="shared" si="23"/>
        <v>604750</v>
      </c>
      <c r="J525" s="108" t="str">
        <f>IF(Таблица97[[#This Row],[НК]]=1,Таблица97[[#This Row],[Продажа]],"")</f>
        <v/>
      </c>
      <c r="K525" s="108">
        <v>10000</v>
      </c>
      <c r="M525" s="108">
        <v>471330</v>
      </c>
      <c r="N525" s="108">
        <f>Таблица97[[#This Row],[Продажа]]-Таблица97[[#This Row],[Закупка]]</f>
        <v>133420</v>
      </c>
      <c r="O525" s="108" t="str">
        <f>IF(Таблица97[[#This Row],[НК]]=1,Таблица97[[#This Row],[Маржа]],"")</f>
        <v/>
      </c>
    </row>
    <row r="526" spans="1:15" ht="20.100000000000001" customHeight="1" x14ac:dyDescent="0.25">
      <c r="A526" s="2">
        <v>575</v>
      </c>
      <c r="B526" s="2" t="str">
        <f>TEXT(Таблица97[[#This Row],[Дата]],"ГГ")&amp;RIGHT("000"&amp;Таблица97[[#This Row],[Номер]],4)</f>
        <v>170575</v>
      </c>
      <c r="C526" s="129">
        <v>42937</v>
      </c>
      <c r="D526" s="2" t="s">
        <v>65</v>
      </c>
      <c r="E526" s="108">
        <v>99147</v>
      </c>
      <c r="F526" s="129">
        <v>42943</v>
      </c>
      <c r="H526" s="129">
        <v>42944</v>
      </c>
      <c r="I526" s="108">
        <f t="shared" si="23"/>
        <v>99147</v>
      </c>
      <c r="J526" s="108" t="str">
        <f>IF(Таблица97[[#This Row],[НК]]=1,Таблица97[[#This Row],[Продажа]],"")</f>
        <v/>
      </c>
      <c r="L526" s="108">
        <f>600*3</f>
        <v>1800</v>
      </c>
      <c r="M526" s="108">
        <v>73096</v>
      </c>
      <c r="N526" s="108">
        <f>Таблица97[[#This Row],[Продажа]]-Таблица97[[#This Row],[Закупка]]</f>
        <v>26051</v>
      </c>
      <c r="O526" s="108" t="str">
        <f>IF(Таблица97[[#This Row],[НК]]=1,Таблица97[[#This Row],[Маржа]],"")</f>
        <v/>
      </c>
    </row>
    <row r="527" spans="1:15" ht="20.100000000000001" customHeight="1" x14ac:dyDescent="0.25">
      <c r="A527" s="2">
        <v>599</v>
      </c>
      <c r="B527" s="2" t="str">
        <f>TEXT(Таблица97[[#This Row],[Дата]],"ГГ")&amp;RIGHT("000"&amp;Таблица97[[#This Row],[Номер]],4)</f>
        <v>170599</v>
      </c>
      <c r="C527" s="129">
        <v>42943</v>
      </c>
      <c r="D527" s="2" t="s">
        <v>276</v>
      </c>
      <c r="E527" s="108">
        <v>2286</v>
      </c>
      <c r="F527" s="129">
        <v>42943</v>
      </c>
      <c r="H527" s="129">
        <v>42944</v>
      </c>
      <c r="I527" s="108">
        <f t="shared" si="23"/>
        <v>2286</v>
      </c>
      <c r="J527" s="108" t="str">
        <f>IF(Таблица97[[#This Row],[НК]]=1,Таблица97[[#This Row],[Продажа]],"")</f>
        <v/>
      </c>
      <c r="M527" s="108">
        <v>1340</v>
      </c>
      <c r="N527" s="108">
        <f>Таблица97[[#This Row],[Продажа]]-Таблица97[[#This Row],[Закупка]]</f>
        <v>946</v>
      </c>
      <c r="O527" s="108" t="str">
        <f>IF(Таблица97[[#This Row],[НК]]=1,Таблица97[[#This Row],[Маржа]],"")</f>
        <v/>
      </c>
    </row>
    <row r="528" spans="1:15" ht="20.100000000000001" customHeight="1" x14ac:dyDescent="0.25">
      <c r="A528" s="2">
        <v>594</v>
      </c>
      <c r="B528" s="2" t="str">
        <f>TEXT(Таблица97[[#This Row],[Дата]],"ГГ")&amp;RIGHT("000"&amp;Таблица97[[#This Row],[Номер]],4)</f>
        <v>170594</v>
      </c>
      <c r="C528" s="129">
        <v>42942</v>
      </c>
      <c r="D528" s="2" t="s">
        <v>228</v>
      </c>
      <c r="E528" s="108">
        <v>14903.97</v>
      </c>
      <c r="F528" s="129">
        <v>42948</v>
      </c>
      <c r="H528" s="129">
        <v>42956</v>
      </c>
      <c r="I528" s="108">
        <f t="shared" ref="I528:I567" si="24">E528</f>
        <v>14903.97</v>
      </c>
      <c r="J528" s="108" t="str">
        <f>IF(Таблица97[[#This Row],[НК]]=1,Таблица97[[#This Row],[Продажа]],"")</f>
        <v/>
      </c>
      <c r="M528" s="108">
        <v>9837</v>
      </c>
      <c r="N528" s="108">
        <f>Таблица97[[#This Row],[Продажа]]-Таблица97[[#This Row],[Закупка]]</f>
        <v>5066.9699999999993</v>
      </c>
      <c r="O528" s="108" t="str">
        <f>IF(Таблица97[[#This Row],[НК]]=1,Таблица97[[#This Row],[Маржа]],"")</f>
        <v/>
      </c>
    </row>
    <row r="529" spans="1:15" ht="20.100000000000001" customHeight="1" x14ac:dyDescent="0.25">
      <c r="A529" s="2">
        <v>607</v>
      </c>
      <c r="B529" s="2" t="str">
        <f>TEXT(Таблица97[[#This Row],[Дата]],"ГГ")&amp;RIGHT("000"&amp;Таблица97[[#This Row],[Номер]],4)</f>
        <v>170607</v>
      </c>
      <c r="C529" s="129">
        <v>42948</v>
      </c>
      <c r="D529" s="2" t="s">
        <v>277</v>
      </c>
      <c r="E529" s="108">
        <v>11799</v>
      </c>
      <c r="F529" s="129">
        <v>42948</v>
      </c>
      <c r="G529" s="128">
        <v>1</v>
      </c>
      <c r="H529" s="129">
        <v>42949</v>
      </c>
      <c r="I529" s="108">
        <f t="shared" si="24"/>
        <v>11799</v>
      </c>
      <c r="J529" s="108">
        <f>IF(Таблица97[[#This Row],[НК]]=1,Таблица97[[#This Row],[Продажа]],"")</f>
        <v>11799</v>
      </c>
      <c r="M529" s="108">
        <v>8920</v>
      </c>
      <c r="N529" s="108">
        <f>Таблица97[[#This Row],[Продажа]]-Таблица97[[#This Row],[Закупка]]</f>
        <v>2879</v>
      </c>
      <c r="O529" s="108">
        <f>IF(Таблица97[[#This Row],[НК]]=1,Таблица97[[#This Row],[Маржа]],"")</f>
        <v>2879</v>
      </c>
    </row>
    <row r="530" spans="1:15" ht="20.100000000000001" customHeight="1" x14ac:dyDescent="0.25">
      <c r="A530" s="2">
        <v>503</v>
      </c>
      <c r="B530" s="2" t="str">
        <f>TEXT(Таблица97[[#This Row],[Дата]],"ГГ")&amp;RIGHT("000"&amp;Таблица97[[#This Row],[Номер]],4)</f>
        <v>170503</v>
      </c>
      <c r="C530" s="129">
        <v>42920</v>
      </c>
      <c r="D530" s="2" t="s">
        <v>176</v>
      </c>
      <c r="E530" s="108">
        <v>9390</v>
      </c>
      <c r="F530" s="129">
        <v>42950</v>
      </c>
      <c r="H530" s="129">
        <v>42933</v>
      </c>
      <c r="I530" s="108">
        <f t="shared" si="24"/>
        <v>9390</v>
      </c>
      <c r="J530" s="108" t="str">
        <f>IF(Таблица97[[#This Row],[НК]]=1,Таблица97[[#This Row],[Продажа]],"")</f>
        <v/>
      </c>
      <c r="M530" s="108">
        <v>6902</v>
      </c>
      <c r="N530" s="108">
        <f>Таблица97[[#This Row],[Продажа]]-Таблица97[[#This Row],[Закупка]]</f>
        <v>2488</v>
      </c>
      <c r="O530" s="108" t="str">
        <f>IF(Таблица97[[#This Row],[НК]]=1,Таблица97[[#This Row],[Маржа]],"")</f>
        <v/>
      </c>
    </row>
    <row r="531" spans="1:15" ht="20.100000000000001" customHeight="1" x14ac:dyDescent="0.25">
      <c r="A531" s="2">
        <v>605</v>
      </c>
      <c r="B531" s="2" t="str">
        <f>TEXT(Таблица97[[#This Row],[Дата]],"ГГ")&amp;RIGHT("000"&amp;Таблица97[[#This Row],[Номер]],4)</f>
        <v>170605</v>
      </c>
      <c r="C531" s="129">
        <v>42948</v>
      </c>
      <c r="D531" s="2" t="s">
        <v>278</v>
      </c>
      <c r="E531" s="108">
        <v>10344</v>
      </c>
      <c r="F531" s="129">
        <v>42950</v>
      </c>
      <c r="H531" s="129">
        <v>42951</v>
      </c>
      <c r="I531" s="108">
        <f t="shared" si="24"/>
        <v>10344</v>
      </c>
      <c r="J531" s="108" t="str">
        <f>IF(Таблица97[[#This Row],[НК]]=1,Таблица97[[#This Row],[Продажа]],"")</f>
        <v/>
      </c>
      <c r="M531" s="108">
        <v>8288</v>
      </c>
      <c r="N531" s="108">
        <f>Таблица97[[#This Row],[Продажа]]-Таблица97[[#This Row],[Закупка]]</f>
        <v>2056</v>
      </c>
      <c r="O531" s="108" t="str">
        <f>IF(Таблица97[[#This Row],[НК]]=1,Таблица97[[#This Row],[Маржа]],"")</f>
        <v/>
      </c>
    </row>
    <row r="532" spans="1:15" ht="20.100000000000001" customHeight="1" x14ac:dyDescent="0.25">
      <c r="A532" s="2">
        <v>622</v>
      </c>
      <c r="B532" s="2" t="str">
        <f>TEXT(Таблица97[[#This Row],[Дата]],"ГГ")&amp;RIGHT("000"&amp;Таблица97[[#This Row],[Номер]],4)</f>
        <v>170622</v>
      </c>
      <c r="C532" s="129">
        <v>42950</v>
      </c>
      <c r="D532" s="2" t="s">
        <v>118</v>
      </c>
      <c r="E532" s="108">
        <v>10624.15</v>
      </c>
      <c r="F532" s="129">
        <v>42951</v>
      </c>
      <c r="H532" s="129">
        <v>42954</v>
      </c>
      <c r="I532" s="108">
        <f t="shared" si="24"/>
        <v>10624.15</v>
      </c>
      <c r="J532" s="108" t="str">
        <f>IF(Таблица97[[#This Row],[НК]]=1,Таблица97[[#This Row],[Продажа]],"")</f>
        <v/>
      </c>
      <c r="M532" s="108">
        <v>8920</v>
      </c>
      <c r="N532" s="108">
        <f>Таблица97[[#This Row],[Продажа]]-Таблица97[[#This Row],[Закупка]]</f>
        <v>1704.1499999999996</v>
      </c>
      <c r="O532" s="108" t="str">
        <f>IF(Таблица97[[#This Row],[НК]]=1,Таблица97[[#This Row],[Маржа]],"")</f>
        <v/>
      </c>
    </row>
    <row r="533" spans="1:15" ht="20.100000000000001" customHeight="1" x14ac:dyDescent="0.25">
      <c r="A533" s="2">
        <v>619</v>
      </c>
      <c r="B533" s="2" t="str">
        <f>TEXT(Таблица97[[#This Row],[Дата]],"ГГ")&amp;RIGHT("000"&amp;Таблица97[[#This Row],[Номер]],4)</f>
        <v>170619</v>
      </c>
      <c r="C533" s="129">
        <v>42950</v>
      </c>
      <c r="D533" s="2" t="s">
        <v>279</v>
      </c>
      <c r="E533" s="108">
        <v>5790</v>
      </c>
      <c r="F533" s="129">
        <v>42951</v>
      </c>
      <c r="H533" s="129">
        <v>42954</v>
      </c>
      <c r="I533" s="108">
        <f t="shared" si="24"/>
        <v>5790</v>
      </c>
      <c r="J533" s="108" t="str">
        <f>IF(Таблица97[[#This Row],[НК]]=1,Таблица97[[#This Row],[Продажа]],"")</f>
        <v/>
      </c>
      <c r="M533" s="108">
        <v>4075</v>
      </c>
      <c r="N533" s="108">
        <f>Таблица97[[#This Row],[Продажа]]-Таблица97[[#This Row],[Закупка]]</f>
        <v>1715</v>
      </c>
      <c r="O533" s="108" t="str">
        <f>IF(Таблица97[[#This Row],[НК]]=1,Таблица97[[#This Row],[Маржа]],"")</f>
        <v/>
      </c>
    </row>
    <row r="534" spans="1:15" ht="20.100000000000001" customHeight="1" x14ac:dyDescent="0.25">
      <c r="A534" s="2">
        <v>612</v>
      </c>
      <c r="B534" s="2" t="str">
        <f>TEXT(Таблица97[[#This Row],[Дата]],"ГГ")&amp;RIGHT("000"&amp;Таблица97[[#This Row],[Номер]],4)</f>
        <v>170612</v>
      </c>
      <c r="C534" s="129">
        <v>42949</v>
      </c>
      <c r="D534" s="2" t="s">
        <v>270</v>
      </c>
      <c r="E534" s="108">
        <v>2230</v>
      </c>
      <c r="F534" s="129">
        <v>42951</v>
      </c>
      <c r="H534" s="129">
        <v>42955</v>
      </c>
      <c r="I534" s="108">
        <f t="shared" si="24"/>
        <v>2230</v>
      </c>
      <c r="J534" s="108" t="str">
        <f>IF(Таблица97[[#This Row],[НК]]=1,Таблица97[[#This Row],[Продажа]],"")</f>
        <v/>
      </c>
      <c r="M534" s="108">
        <v>1615</v>
      </c>
      <c r="N534" s="108">
        <f>Таблица97[[#This Row],[Продажа]]-Таблица97[[#This Row],[Закупка]]</f>
        <v>615</v>
      </c>
      <c r="O534" s="108" t="str">
        <f>IF(Таблица97[[#This Row],[НК]]=1,Таблица97[[#This Row],[Маржа]],"")</f>
        <v/>
      </c>
    </row>
    <row r="535" spans="1:15" ht="20.100000000000001" customHeight="1" x14ac:dyDescent="0.25">
      <c r="A535" s="2">
        <v>610</v>
      </c>
      <c r="B535" s="2" t="str">
        <f>TEXT(Таблица97[[#This Row],[Дата]],"ГГ")&amp;RIGHT("000"&amp;Таблица97[[#This Row],[Номер]],4)</f>
        <v>170610</v>
      </c>
      <c r="C535" s="129">
        <v>42949</v>
      </c>
      <c r="D535" s="2" t="s">
        <v>60</v>
      </c>
      <c r="E535" s="108">
        <v>22631.64</v>
      </c>
      <c r="F535" s="129">
        <v>42955</v>
      </c>
      <c r="H535" s="129">
        <v>42950</v>
      </c>
      <c r="I535" s="108">
        <f t="shared" si="24"/>
        <v>22631.64</v>
      </c>
      <c r="J535" s="108" t="str">
        <f>IF(Таблица97[[#This Row],[НК]]=1,Таблица97[[#This Row],[Продажа]],"")</f>
        <v/>
      </c>
      <c r="M535" s="108">
        <v>8634</v>
      </c>
      <c r="N535" s="108">
        <f>Таблица97[[#This Row],[Продажа]]-Таблица97[[#This Row],[Закупка]]</f>
        <v>13997.64</v>
      </c>
      <c r="O535" s="108" t="str">
        <f>IF(Таблица97[[#This Row],[НК]]=1,Таблица97[[#This Row],[Маржа]],"")</f>
        <v/>
      </c>
    </row>
    <row r="536" spans="1:15" ht="20.100000000000001" customHeight="1" x14ac:dyDescent="0.25">
      <c r="A536" s="2">
        <v>637</v>
      </c>
      <c r="B536" s="2" t="str">
        <f>TEXT(Таблица97[[#This Row],[Дата]],"ГГ")&amp;RIGHT("000"&amp;Таблица97[[#This Row],[Номер]],4)</f>
        <v>170637</v>
      </c>
      <c r="C536" s="129">
        <v>42955</v>
      </c>
      <c r="D536" s="2" t="s">
        <v>236</v>
      </c>
      <c r="E536" s="108">
        <v>553</v>
      </c>
      <c r="F536" s="129">
        <v>42955</v>
      </c>
      <c r="H536" s="129">
        <v>42958</v>
      </c>
      <c r="I536" s="108">
        <f t="shared" si="24"/>
        <v>553</v>
      </c>
      <c r="J536" s="108" t="str">
        <f>IF(Таблица97[[#This Row],[НК]]=1,Таблица97[[#This Row],[Продажа]],"")</f>
        <v/>
      </c>
      <c r="M536" s="108">
        <v>400</v>
      </c>
      <c r="N536" s="108">
        <f>Таблица97[[#This Row],[Продажа]]-Таблица97[[#This Row],[Закупка]]</f>
        <v>153</v>
      </c>
      <c r="O536" s="108" t="str">
        <f>IF(Таблица97[[#This Row],[НК]]=1,Таблица97[[#This Row],[Маржа]],"")</f>
        <v/>
      </c>
    </row>
    <row r="537" spans="1:15" ht="20.100000000000001" customHeight="1" x14ac:dyDescent="0.25">
      <c r="A537" s="2">
        <v>522</v>
      </c>
      <c r="B537" s="2" t="str">
        <f>TEXT(Таблица97[[#This Row],[Дата]],"ГГ")&amp;RIGHT("000"&amp;Таблица97[[#This Row],[Номер]],4)</f>
        <v>170522</v>
      </c>
      <c r="C537" s="129">
        <v>42923</v>
      </c>
      <c r="D537" s="2" t="s">
        <v>175</v>
      </c>
      <c r="E537" s="108">
        <v>18156.400000000001</v>
      </c>
      <c r="F537" s="129">
        <v>42956</v>
      </c>
      <c r="H537" s="129">
        <v>42957</v>
      </c>
      <c r="I537" s="108">
        <f t="shared" si="24"/>
        <v>18156.400000000001</v>
      </c>
      <c r="J537" s="108" t="str">
        <f>IF(Таблица97[[#This Row],[НК]]=1,Таблица97[[#This Row],[Продажа]],"")</f>
        <v/>
      </c>
      <c r="M537" s="108">
        <v>13752</v>
      </c>
      <c r="N537" s="108">
        <f>Таблица97[[#This Row],[Продажа]]-Таблица97[[#This Row],[Закупка]]</f>
        <v>4404.4000000000015</v>
      </c>
      <c r="O537" s="108" t="str">
        <f>IF(Таблица97[[#This Row],[НК]]=1,Таблица97[[#This Row],[Маржа]],"")</f>
        <v/>
      </c>
    </row>
    <row r="538" spans="1:15" ht="20.100000000000001" customHeight="1" x14ac:dyDescent="0.25">
      <c r="A538" s="2">
        <v>641</v>
      </c>
      <c r="B538" s="2" t="str">
        <f>TEXT(Таблица97[[#This Row],[Дата]],"ГГ")&amp;RIGHT("000"&amp;Таблица97[[#This Row],[Номер]],4)</f>
        <v>170641</v>
      </c>
      <c r="C538" s="129">
        <v>42957</v>
      </c>
      <c r="D538" s="2" t="s">
        <v>46</v>
      </c>
      <c r="E538" s="108">
        <v>3555</v>
      </c>
      <c r="F538" s="129">
        <v>42958</v>
      </c>
      <c r="H538" s="129">
        <v>42961</v>
      </c>
      <c r="I538" s="108">
        <f t="shared" si="24"/>
        <v>3555</v>
      </c>
      <c r="J538" s="108" t="str">
        <f>IF(Таблица97[[#This Row],[НК]]=1,Таблица97[[#This Row],[Продажа]],"")</f>
        <v/>
      </c>
      <c r="M538" s="108">
        <v>2004</v>
      </c>
      <c r="N538" s="108">
        <f>Таблица97[[#This Row],[Продажа]]-Таблица97[[#This Row],[Закупка]]</f>
        <v>1551</v>
      </c>
      <c r="O538" s="108" t="str">
        <f>IF(Таблица97[[#This Row],[НК]]=1,Таблица97[[#This Row],[Маржа]],"")</f>
        <v/>
      </c>
    </row>
    <row r="539" spans="1:15" ht="20.100000000000001" customHeight="1" x14ac:dyDescent="0.25">
      <c r="A539" s="2">
        <v>651</v>
      </c>
      <c r="B539" s="2" t="str">
        <f>TEXT(Таблица97[[#This Row],[Дата]],"ГГ")&amp;RIGHT("000"&amp;Таблица97[[#This Row],[Номер]],4)</f>
        <v>170651</v>
      </c>
      <c r="C539" s="129">
        <v>42961</v>
      </c>
      <c r="D539" s="2" t="s">
        <v>281</v>
      </c>
      <c r="E539" s="108">
        <v>1036</v>
      </c>
      <c r="F539" s="129">
        <v>42961</v>
      </c>
      <c r="H539" s="129">
        <v>42961</v>
      </c>
      <c r="I539" s="108">
        <f t="shared" si="24"/>
        <v>1036</v>
      </c>
      <c r="J539" s="108" t="str">
        <f>IF(Таблица97[[#This Row],[НК]]=1,Таблица97[[#This Row],[Продажа]],"")</f>
        <v/>
      </c>
      <c r="M539" s="108">
        <v>750</v>
      </c>
      <c r="N539" s="108">
        <f>Таблица97[[#This Row],[Продажа]]-Таблица97[[#This Row],[Закупка]]</f>
        <v>286</v>
      </c>
      <c r="O539" s="108" t="str">
        <f>IF(Таблица97[[#This Row],[НК]]=1,Таблица97[[#This Row],[Маржа]],"")</f>
        <v/>
      </c>
    </row>
    <row r="540" spans="1:15" ht="20.100000000000001" customHeight="1" x14ac:dyDescent="0.25">
      <c r="A540" s="2">
        <v>355</v>
      </c>
      <c r="B540" s="2" t="str">
        <f>TEXT(Таблица97[[#This Row],[Дата]],"ГГ")&amp;RIGHT("000"&amp;Таблица97[[#This Row],[Номер]],4)</f>
        <v>170355</v>
      </c>
      <c r="C540" s="129">
        <v>42872</v>
      </c>
      <c r="D540" s="2" t="s">
        <v>99</v>
      </c>
      <c r="E540" s="108">
        <v>7820.34</v>
      </c>
      <c r="F540" s="129">
        <v>42961</v>
      </c>
      <c r="H540" s="129">
        <v>42893</v>
      </c>
      <c r="I540" s="108">
        <f t="shared" si="24"/>
        <v>7820.34</v>
      </c>
      <c r="J540" s="108" t="str">
        <f>IF(Таблица97[[#This Row],[НК]]=1,Таблица97[[#This Row],[Продажа]],"")</f>
        <v/>
      </c>
      <c r="M540" s="108">
        <v>6100</v>
      </c>
      <c r="N540" s="108">
        <f>Таблица97[[#This Row],[Продажа]]-Таблица97[[#This Row],[Закупка]]</f>
        <v>1720.3400000000001</v>
      </c>
      <c r="O540" s="108" t="str">
        <f>IF(Таблица97[[#This Row],[НК]]=1,Таблица97[[#This Row],[Маржа]],"")</f>
        <v/>
      </c>
    </row>
    <row r="541" spans="1:15" ht="20.100000000000001" customHeight="1" x14ac:dyDescent="0.25">
      <c r="A541" s="2">
        <v>525</v>
      </c>
      <c r="B541" s="2" t="str">
        <f>TEXT(Таблица97[[#This Row],[Дата]],"ГГ")&amp;RIGHT("000"&amp;Таблица97[[#This Row],[Номер]],4)</f>
        <v>170525</v>
      </c>
      <c r="C541" s="129">
        <v>42926</v>
      </c>
      <c r="D541" s="2" t="s">
        <v>60</v>
      </c>
      <c r="E541" s="108">
        <v>1267</v>
      </c>
      <c r="F541" s="129">
        <v>42961</v>
      </c>
      <c r="H541" s="129">
        <v>42956</v>
      </c>
      <c r="I541" s="108">
        <f t="shared" si="24"/>
        <v>1267</v>
      </c>
      <c r="J541" s="108" t="str">
        <f>IF(Таблица97[[#This Row],[НК]]=1,Таблица97[[#This Row],[Продажа]],"")</f>
        <v/>
      </c>
      <c r="M541" s="108">
        <v>989</v>
      </c>
      <c r="N541" s="108">
        <f>Таблица97[[#This Row],[Продажа]]-Таблица97[[#This Row],[Закупка]]</f>
        <v>278</v>
      </c>
      <c r="O541" s="108" t="str">
        <f>IF(Таблица97[[#This Row],[НК]]=1,Таблица97[[#This Row],[Маржа]],"")</f>
        <v/>
      </c>
    </row>
    <row r="542" spans="1:15" ht="20.100000000000001" customHeight="1" x14ac:dyDescent="0.25">
      <c r="A542" s="2">
        <v>626</v>
      </c>
      <c r="B542" s="2" t="str">
        <f>TEXT(Таблица97[[#This Row],[Дата]],"ГГ")&amp;RIGHT("000"&amp;Таблица97[[#This Row],[Номер]],4)</f>
        <v>170626</v>
      </c>
      <c r="C542" s="129">
        <v>42951</v>
      </c>
      <c r="D542" s="2" t="s">
        <v>282</v>
      </c>
      <c r="E542" s="108">
        <v>61580</v>
      </c>
      <c r="F542" s="129">
        <v>42961</v>
      </c>
      <c r="G542" s="128">
        <v>1</v>
      </c>
      <c r="H542" s="129">
        <v>42962</v>
      </c>
      <c r="I542" s="108">
        <f t="shared" si="24"/>
        <v>61580</v>
      </c>
      <c r="J542" s="108">
        <f>IF(Таблица97[[#This Row],[НК]]=1,Таблица97[[#This Row],[Продажа]],"")</f>
        <v>61580</v>
      </c>
      <c r="M542" s="108">
        <v>46554</v>
      </c>
      <c r="N542" s="108">
        <f>Таблица97[[#This Row],[Продажа]]-Таблица97[[#This Row],[Закупка]]</f>
        <v>15026</v>
      </c>
      <c r="O542" s="108">
        <f>IF(Таблица97[[#This Row],[НК]]=1,Таблица97[[#This Row],[Маржа]],"")</f>
        <v>15026</v>
      </c>
    </row>
    <row r="543" spans="1:15" ht="20.100000000000001" customHeight="1" x14ac:dyDescent="0.25">
      <c r="A543" s="2">
        <v>623</v>
      </c>
      <c r="B543" s="2" t="str">
        <f>TEXT(Таблица97[[#This Row],[Дата]],"ГГ")&amp;RIGHT("000"&amp;Таблица97[[#This Row],[Номер]],4)</f>
        <v>170623</v>
      </c>
      <c r="C543" s="129">
        <v>42951</v>
      </c>
      <c r="D543" s="2" t="s">
        <v>49</v>
      </c>
      <c r="E543" s="108">
        <v>3554</v>
      </c>
      <c r="F543" s="129">
        <v>42962</v>
      </c>
      <c r="H543" s="129">
        <v>42990</v>
      </c>
      <c r="I543" s="108">
        <f t="shared" si="24"/>
        <v>3554</v>
      </c>
      <c r="J543" s="108" t="str">
        <f>IF(Таблица97[[#This Row],[НК]]=1,Таблица97[[#This Row],[Продажа]],"")</f>
        <v/>
      </c>
      <c r="M543" s="108">
        <v>2346</v>
      </c>
      <c r="N543" s="108">
        <f>Таблица97[[#This Row],[Продажа]]-Таблица97[[#This Row],[Закупка]]</f>
        <v>1208</v>
      </c>
      <c r="O543" s="108" t="str">
        <f>IF(Таблица97[[#This Row],[НК]]=1,Таблица97[[#This Row],[Маржа]],"")</f>
        <v/>
      </c>
    </row>
    <row r="544" spans="1:15" ht="20.100000000000001" customHeight="1" x14ac:dyDescent="0.25">
      <c r="A544" s="2">
        <v>595</v>
      </c>
      <c r="B544" s="2" t="str">
        <f>TEXT(Таблица97[[#This Row],[Дата]],"ГГ")&amp;RIGHT("000"&amp;Таблица97[[#This Row],[Номер]],4)</f>
        <v>170595</v>
      </c>
      <c r="C544" s="129">
        <v>42942</v>
      </c>
      <c r="D544" s="2" t="s">
        <v>50</v>
      </c>
      <c r="E544" s="108">
        <v>4496.92</v>
      </c>
      <c r="F544" s="129">
        <v>42962</v>
      </c>
      <c r="H544" s="129">
        <v>42962</v>
      </c>
      <c r="I544" s="108">
        <f t="shared" si="24"/>
        <v>4496.92</v>
      </c>
      <c r="J544" s="108" t="str">
        <f>IF(Таблица97[[#This Row],[НК]]=1,Таблица97[[#This Row],[Продажа]],"")</f>
        <v/>
      </c>
      <c r="M544" s="108">
        <v>3463</v>
      </c>
      <c r="N544" s="108">
        <f>Таблица97[[#This Row],[Продажа]]-Таблица97[[#This Row],[Закупка]]</f>
        <v>1033.92</v>
      </c>
      <c r="O544" s="108" t="str">
        <f>IF(Таблица97[[#This Row],[НК]]=1,Таблица97[[#This Row],[Маржа]],"")</f>
        <v/>
      </c>
    </row>
    <row r="545" spans="1:15" ht="20.100000000000001" customHeight="1" x14ac:dyDescent="0.25">
      <c r="A545" s="2">
        <v>630</v>
      </c>
      <c r="B545" s="2" t="str">
        <f>TEXT(Таблица97[[#This Row],[Дата]],"ГГ")&amp;RIGHT("000"&amp;Таблица97[[#This Row],[Номер]],4)</f>
        <v>170630</v>
      </c>
      <c r="C545" s="129">
        <v>42954</v>
      </c>
      <c r="D545" s="2" t="s">
        <v>280</v>
      </c>
      <c r="E545" s="108">
        <v>17890</v>
      </c>
      <c r="F545" s="129">
        <v>42962</v>
      </c>
      <c r="G545" s="128">
        <v>1</v>
      </c>
      <c r="H545" s="129">
        <v>42954</v>
      </c>
      <c r="I545" s="108">
        <f t="shared" si="24"/>
        <v>17890</v>
      </c>
      <c r="J545" s="108">
        <f>IF(Таблица97[[#This Row],[НК]]=1,Таблица97[[#This Row],[Продажа]],"")</f>
        <v>17890</v>
      </c>
      <c r="M545" s="108">
        <v>13525</v>
      </c>
      <c r="N545" s="108">
        <f>Таблица97[[#This Row],[Продажа]]-Таблица97[[#This Row],[Закупка]]</f>
        <v>4365</v>
      </c>
      <c r="O545" s="108">
        <f>IF(Таблица97[[#This Row],[НК]]=1,Таблица97[[#This Row],[Маржа]],"")</f>
        <v>4365</v>
      </c>
    </row>
    <row r="546" spans="1:15" ht="20.100000000000001" customHeight="1" x14ac:dyDescent="0.25">
      <c r="A546" s="2">
        <v>652</v>
      </c>
      <c r="B546" s="2" t="str">
        <f>TEXT(Таблица97[[#This Row],[Дата]],"ГГ")&amp;RIGHT("000"&amp;Таблица97[[#This Row],[Номер]],4)</f>
        <v>170652</v>
      </c>
      <c r="C546" s="129">
        <v>42961</v>
      </c>
      <c r="D546" s="2" t="s">
        <v>77</v>
      </c>
      <c r="E546" s="108">
        <v>1466</v>
      </c>
      <c r="F546" s="129">
        <v>42962</v>
      </c>
      <c r="H546" s="129">
        <v>42963</v>
      </c>
      <c r="I546" s="108">
        <f t="shared" si="24"/>
        <v>1466</v>
      </c>
      <c r="J546" s="108" t="str">
        <f>IF(Таблица97[[#This Row],[НК]]=1,Таблица97[[#This Row],[Продажа]],"")</f>
        <v/>
      </c>
      <c r="M546" s="108">
        <v>1062</v>
      </c>
      <c r="N546" s="108">
        <f>Таблица97[[#This Row],[Продажа]]-Таблица97[[#This Row],[Закупка]]</f>
        <v>404</v>
      </c>
      <c r="O546" s="108" t="str">
        <f>IF(Таблица97[[#This Row],[НК]]=1,Таблица97[[#This Row],[Маржа]],"")</f>
        <v/>
      </c>
    </row>
    <row r="547" spans="1:15" ht="20.100000000000001" customHeight="1" x14ac:dyDescent="0.25">
      <c r="A547" s="2">
        <v>690</v>
      </c>
      <c r="B547" s="2" t="str">
        <f>TEXT(Таблица97[[#This Row],[Дата]],"ГГ")&amp;RIGHT("000"&amp;Таблица97[[#This Row],[Номер]],4)</f>
        <v>170690</v>
      </c>
      <c r="C547" s="129">
        <v>42962</v>
      </c>
      <c r="D547" s="2" t="s">
        <v>250</v>
      </c>
      <c r="E547" s="108">
        <v>2500</v>
      </c>
      <c r="F547" s="129">
        <v>42963</v>
      </c>
      <c r="H547" s="129">
        <v>42964</v>
      </c>
      <c r="I547" s="108">
        <f t="shared" si="24"/>
        <v>2500</v>
      </c>
      <c r="J547" s="108" t="str">
        <f>IF(Таблица97[[#This Row],[НК]]=1,Таблица97[[#This Row],[Продажа]],"")</f>
        <v/>
      </c>
      <c r="M547" s="108">
        <v>1250</v>
      </c>
      <c r="N547" s="108">
        <f>Таблица97[[#This Row],[Продажа]]-Таблица97[[#This Row],[Закупка]]</f>
        <v>1250</v>
      </c>
      <c r="O547" s="108" t="str">
        <f>IF(Таблица97[[#This Row],[НК]]=1,Таблица97[[#This Row],[Маржа]],"")</f>
        <v/>
      </c>
    </row>
    <row r="548" spans="1:15" ht="20.100000000000001" customHeight="1" x14ac:dyDescent="0.25">
      <c r="A548" s="2">
        <v>512</v>
      </c>
      <c r="B548" s="2" t="str">
        <f>TEXT(Таблица97[[#This Row],[Дата]],"ГГ")&amp;RIGHT("000"&amp;Таблица97[[#This Row],[Номер]],4)</f>
        <v>170512</v>
      </c>
      <c r="C548" s="129">
        <v>42920</v>
      </c>
      <c r="D548" s="2" t="s">
        <v>56</v>
      </c>
      <c r="E548" s="108">
        <v>41845.07</v>
      </c>
      <c r="F548" s="129">
        <v>42963</v>
      </c>
      <c r="H548" s="129">
        <v>42942</v>
      </c>
      <c r="I548" s="108">
        <f t="shared" si="24"/>
        <v>41845.07</v>
      </c>
      <c r="J548" s="108" t="str">
        <f>IF(Таблица97[[#This Row],[НК]]=1,Таблица97[[#This Row],[Продажа]],"")</f>
        <v/>
      </c>
      <c r="M548" s="108">
        <v>27017</v>
      </c>
      <c r="N548" s="108">
        <f>Таблица97[[#This Row],[Продажа]]-Таблица97[[#This Row],[Закупка]]</f>
        <v>14828.07</v>
      </c>
      <c r="O548" s="108" t="str">
        <f>IF(Таблица97[[#This Row],[НК]]=1,Таблица97[[#This Row],[Маржа]],"")</f>
        <v/>
      </c>
    </row>
    <row r="549" spans="1:15" ht="20.100000000000001" customHeight="1" x14ac:dyDescent="0.25">
      <c r="A549" s="2">
        <v>603</v>
      </c>
      <c r="B549" s="2" t="str">
        <f>TEXT(Таблица97[[#This Row],[Дата]],"ГГ")&amp;RIGHT("000"&amp;Таблица97[[#This Row],[Номер]],4)</f>
        <v>170603</v>
      </c>
      <c r="C549" s="129">
        <v>42947</v>
      </c>
      <c r="D549" s="2" t="s">
        <v>56</v>
      </c>
      <c r="E549" s="108">
        <v>8938</v>
      </c>
      <c r="F549" s="129">
        <v>42963</v>
      </c>
      <c r="H549" s="129">
        <v>42947</v>
      </c>
      <c r="I549" s="108">
        <f t="shared" si="24"/>
        <v>8938</v>
      </c>
      <c r="J549" s="108" t="str">
        <f>IF(Таблица97[[#This Row],[НК]]=1,Таблица97[[#This Row],[Продажа]],"")</f>
        <v/>
      </c>
      <c r="M549" s="108">
        <v>6970</v>
      </c>
      <c r="N549" s="108">
        <f>Таблица97[[#This Row],[Продажа]]-Таблица97[[#This Row],[Закупка]]</f>
        <v>1968</v>
      </c>
      <c r="O549" s="108" t="str">
        <f>IF(Таблица97[[#This Row],[НК]]=1,Таблица97[[#This Row],[Маржа]],"")</f>
        <v/>
      </c>
    </row>
    <row r="550" spans="1:15" ht="20.100000000000001" customHeight="1" x14ac:dyDescent="0.25">
      <c r="A550" s="2">
        <v>585</v>
      </c>
      <c r="B550" s="2" t="str">
        <f>TEXT(Таблица97[[#This Row],[Дата]],"ГГ")&amp;RIGHT("000"&amp;Таблица97[[#This Row],[Номер]],4)</f>
        <v>170585</v>
      </c>
      <c r="C550" s="129">
        <v>42940</v>
      </c>
      <c r="D550" s="2" t="s">
        <v>180</v>
      </c>
      <c r="E550" s="108">
        <v>10500</v>
      </c>
      <c r="F550" s="129">
        <v>42964</v>
      </c>
      <c r="H550" s="129">
        <v>42970</v>
      </c>
      <c r="I550" s="108">
        <f t="shared" si="24"/>
        <v>10500</v>
      </c>
      <c r="J550" s="108" t="str">
        <f>IF(Таблица97[[#This Row],[НК]]=1,Таблица97[[#This Row],[Продажа]],"")</f>
        <v/>
      </c>
      <c r="M550" s="108">
        <v>6300</v>
      </c>
      <c r="N550" s="108">
        <f>Таблица97[[#This Row],[Продажа]]-Таблица97[[#This Row],[Закупка]]</f>
        <v>4200</v>
      </c>
      <c r="O550" s="108" t="str">
        <f>IF(Таблица97[[#This Row],[НК]]=1,Таблица97[[#This Row],[Маржа]],"")</f>
        <v/>
      </c>
    </row>
    <row r="551" spans="1:15" ht="20.100000000000001" customHeight="1" x14ac:dyDescent="0.25">
      <c r="A551" s="2">
        <v>712</v>
      </c>
      <c r="B551" s="2" t="str">
        <f>TEXT(Таблица97[[#This Row],[Дата]],"ГГ")&amp;RIGHT("000"&amp;Таблица97[[#This Row],[Номер]],4)</f>
        <v>170712</v>
      </c>
      <c r="C551" s="129">
        <v>42964</v>
      </c>
      <c r="D551" s="2" t="s">
        <v>283</v>
      </c>
      <c r="E551" s="108">
        <v>6199</v>
      </c>
      <c r="F551" s="129">
        <v>42964</v>
      </c>
      <c r="G551" s="128">
        <v>1</v>
      </c>
      <c r="H551" s="129">
        <v>42971</v>
      </c>
      <c r="I551" s="108">
        <f t="shared" si="24"/>
        <v>6199</v>
      </c>
      <c r="J551" s="108">
        <f>IF(Таблица97[[#This Row],[НК]]=1,Таблица97[[#This Row],[Продажа]],"")</f>
        <v>6199</v>
      </c>
      <c r="M551" s="108">
        <v>4627</v>
      </c>
      <c r="N551" s="108">
        <f>Таблица97[[#This Row],[Продажа]]-Таблица97[[#This Row],[Закупка]]</f>
        <v>1572</v>
      </c>
      <c r="O551" s="108">
        <f>IF(Таблица97[[#This Row],[НК]]=1,Таблица97[[#This Row],[Маржа]],"")</f>
        <v>1572</v>
      </c>
    </row>
    <row r="552" spans="1:15" ht="20.100000000000001" customHeight="1" x14ac:dyDescent="0.25">
      <c r="A552" s="2">
        <v>673</v>
      </c>
      <c r="B552" s="2" t="str">
        <f>TEXT(Таблица97[[#This Row],[Дата]],"ГГ")&amp;RIGHT("000"&amp;Таблица97[[#This Row],[Номер]],4)</f>
        <v>170673</v>
      </c>
      <c r="C552" s="129">
        <v>42962</v>
      </c>
      <c r="D552" s="2" t="s">
        <v>209</v>
      </c>
      <c r="E552" s="108">
        <v>1769.7</v>
      </c>
      <c r="F552" s="129">
        <v>42964</v>
      </c>
      <c r="H552" s="129">
        <v>42989</v>
      </c>
      <c r="I552" s="108">
        <f t="shared" si="24"/>
        <v>1769.7</v>
      </c>
      <c r="J552" s="108" t="str">
        <f>IF(Таблица97[[#This Row],[НК]]=1,Таблица97[[#This Row],[Продажа]],"")</f>
        <v/>
      </c>
      <c r="M552" s="108">
        <v>1624</v>
      </c>
      <c r="N552" s="108">
        <f>Таблица97[[#This Row],[Продажа]]-Таблица97[[#This Row],[Закупка]]</f>
        <v>145.70000000000005</v>
      </c>
      <c r="O552" s="108" t="str">
        <f>IF(Таблица97[[#This Row],[НК]]=1,Таблица97[[#This Row],[Маржа]],"")</f>
        <v/>
      </c>
    </row>
    <row r="553" spans="1:15" ht="20.100000000000001" customHeight="1" x14ac:dyDescent="0.25">
      <c r="A553" s="2">
        <v>655</v>
      </c>
      <c r="B553" s="2" t="str">
        <f>TEXT(Таблица97[[#This Row],[Дата]],"ГГ")&amp;RIGHT("000"&amp;Таблица97[[#This Row],[Номер]],4)</f>
        <v>170655</v>
      </c>
      <c r="C553" s="129">
        <v>42961</v>
      </c>
      <c r="D553" s="2" t="s">
        <v>284</v>
      </c>
      <c r="E553" s="108">
        <v>35890</v>
      </c>
      <c r="F553" s="129">
        <v>42965</v>
      </c>
      <c r="G553" s="128">
        <v>1</v>
      </c>
      <c r="H553" s="129">
        <v>42989</v>
      </c>
      <c r="I553" s="108">
        <f t="shared" si="24"/>
        <v>35890</v>
      </c>
      <c r="J553" s="108">
        <f>IF(Таблица97[[#This Row],[НК]]=1,Таблица97[[#This Row],[Продажа]],"")</f>
        <v>35890</v>
      </c>
      <c r="M553" s="108">
        <v>25621</v>
      </c>
      <c r="N553" s="108">
        <f>Таблица97[[#This Row],[Продажа]]-Таблица97[[#This Row],[Закупка]]</f>
        <v>10269</v>
      </c>
      <c r="O553" s="108">
        <f>IF(Таблица97[[#This Row],[НК]]=1,Таблица97[[#This Row],[Маржа]],"")</f>
        <v>10269</v>
      </c>
    </row>
    <row r="554" spans="1:15" ht="20.100000000000001" customHeight="1" x14ac:dyDescent="0.25">
      <c r="A554" s="2">
        <v>687</v>
      </c>
      <c r="B554" s="2" t="str">
        <f>TEXT(Таблица97[[#This Row],[Дата]],"ГГ")&amp;RIGHT("000"&amp;Таблица97[[#This Row],[Номер]],4)</f>
        <v>170687</v>
      </c>
      <c r="C554" s="129">
        <v>42962</v>
      </c>
      <c r="D554" s="2" t="s">
        <v>234</v>
      </c>
      <c r="E554" s="108">
        <v>31343</v>
      </c>
      <c r="F554" s="129">
        <v>42968</v>
      </c>
      <c r="H554" s="129">
        <v>42989</v>
      </c>
      <c r="I554" s="108">
        <f t="shared" si="24"/>
        <v>31343</v>
      </c>
      <c r="J554" s="108" t="str">
        <f>IF(Таблица97[[#This Row],[НК]]=1,Таблица97[[#This Row],[Продажа]],"")</f>
        <v/>
      </c>
      <c r="M554" s="108">
        <v>23677</v>
      </c>
      <c r="N554" s="108">
        <f>Таблица97[[#This Row],[Продажа]]-Таблица97[[#This Row],[Закупка]]</f>
        <v>7666</v>
      </c>
      <c r="O554" s="108" t="str">
        <f>IF(Таблица97[[#This Row],[НК]]=1,Таблица97[[#This Row],[Маржа]],"")</f>
        <v/>
      </c>
    </row>
    <row r="555" spans="1:15" ht="20.100000000000001" customHeight="1" x14ac:dyDescent="0.25">
      <c r="A555" s="2">
        <v>636</v>
      </c>
      <c r="B555" s="2" t="str">
        <f>TEXT(Таблица97[[#This Row],[Дата]],"ГГ")&amp;RIGHT("000"&amp;Таблица97[[#This Row],[Номер]],4)</f>
        <v>170636</v>
      </c>
      <c r="C555" s="129">
        <v>42955</v>
      </c>
      <c r="D555" s="2" t="s">
        <v>13</v>
      </c>
      <c r="E555" s="108">
        <v>32186</v>
      </c>
      <c r="F555" s="129">
        <v>42969</v>
      </c>
      <c r="H555" s="129">
        <v>42957</v>
      </c>
      <c r="I555" s="108">
        <f t="shared" si="24"/>
        <v>32186</v>
      </c>
      <c r="J555" s="108" t="str">
        <f>IF(Таблица97[[#This Row],[НК]]=1,Таблица97[[#This Row],[Продажа]],"")</f>
        <v/>
      </c>
      <c r="M555" s="108">
        <v>22751</v>
      </c>
      <c r="N555" s="108">
        <f>Таблица97[[#This Row],[Продажа]]-Таблица97[[#This Row],[Закупка]]</f>
        <v>9435</v>
      </c>
      <c r="O555" s="108" t="str">
        <f>IF(Таблица97[[#This Row],[НК]]=1,Таблица97[[#This Row],[Маржа]],"")</f>
        <v/>
      </c>
    </row>
    <row r="556" spans="1:15" ht="20.100000000000001" customHeight="1" x14ac:dyDescent="0.25">
      <c r="A556" s="2">
        <v>713</v>
      </c>
      <c r="B556" s="2" t="str">
        <f>TEXT(Таблица97[[#This Row],[Дата]],"ГГ")&amp;RIGHT("000"&amp;Таблица97[[#This Row],[Номер]],4)</f>
        <v>170713</v>
      </c>
      <c r="C556" s="129">
        <v>42964</v>
      </c>
      <c r="D556" s="2" t="s">
        <v>228</v>
      </c>
      <c r="E556" s="108">
        <v>16090</v>
      </c>
      <c r="F556" s="129">
        <v>42969</v>
      </c>
      <c r="H556" s="129">
        <v>42992</v>
      </c>
      <c r="I556" s="108">
        <f t="shared" si="24"/>
        <v>16090</v>
      </c>
      <c r="J556" s="108" t="str">
        <f>IF(Таблица97[[#This Row],[НК]]=1,Таблица97[[#This Row],[Продажа]],"")</f>
        <v/>
      </c>
      <c r="M556" s="108">
        <v>12069</v>
      </c>
      <c r="N556" s="108">
        <f>Таблица97[[#This Row],[Продажа]]-Таблица97[[#This Row],[Закупка]]</f>
        <v>4021</v>
      </c>
      <c r="O556" s="108" t="str">
        <f>IF(Таблица97[[#This Row],[НК]]=1,Таблица97[[#This Row],[Маржа]],"")</f>
        <v/>
      </c>
    </row>
    <row r="557" spans="1:15" ht="20.100000000000001" customHeight="1" x14ac:dyDescent="0.25">
      <c r="A557" s="2">
        <v>590</v>
      </c>
      <c r="B557" s="2" t="str">
        <f>TEXT(Таблица97[[#This Row],[Дата]],"ГГ")&amp;RIGHT("000"&amp;Таблица97[[#This Row],[Номер]],4)</f>
        <v>170590</v>
      </c>
      <c r="C557" s="129">
        <v>42940</v>
      </c>
      <c r="D557" s="2" t="s">
        <v>56</v>
      </c>
      <c r="E557" s="108">
        <v>6837.59</v>
      </c>
      <c r="F557" s="129">
        <v>42970</v>
      </c>
      <c r="H557" s="129">
        <v>42954</v>
      </c>
      <c r="I557" s="108">
        <f t="shared" si="24"/>
        <v>6837.59</v>
      </c>
      <c r="J557" s="108" t="str">
        <f>IF(Таблица97[[#This Row],[НК]]=1,Таблица97[[#This Row],[Продажа]],"")</f>
        <v/>
      </c>
      <c r="M557" s="108">
        <v>4038</v>
      </c>
      <c r="N557" s="108">
        <f>Таблица97[[#This Row],[Продажа]]-Таблица97[[#This Row],[Закупка]]</f>
        <v>2799.59</v>
      </c>
      <c r="O557" s="108" t="str">
        <f>IF(Таблица97[[#This Row],[НК]]=1,Таблица97[[#This Row],[Маржа]],"")</f>
        <v/>
      </c>
    </row>
    <row r="558" spans="1:15" ht="20.100000000000001" customHeight="1" x14ac:dyDescent="0.25">
      <c r="A558" s="2">
        <v>598</v>
      </c>
      <c r="B558" s="2" t="str">
        <f>TEXT(Таблица97[[#This Row],[Дата]],"ГГ")&amp;RIGHT("000"&amp;Таблица97[[#This Row],[Номер]],4)</f>
        <v>170598</v>
      </c>
      <c r="C558" s="129">
        <v>42943</v>
      </c>
      <c r="D558" s="2" t="s">
        <v>56</v>
      </c>
      <c r="E558" s="108">
        <v>10704.96</v>
      </c>
      <c r="F558" s="129">
        <v>42970</v>
      </c>
      <c r="H558" s="129">
        <v>42954</v>
      </c>
      <c r="I558" s="108">
        <f t="shared" si="24"/>
        <v>10704.96</v>
      </c>
      <c r="J558" s="108" t="str">
        <f>IF(Таблица97[[#This Row],[НК]]=1,Таблица97[[#This Row],[Продажа]],"")</f>
        <v/>
      </c>
      <c r="M558" s="108">
        <v>6834</v>
      </c>
      <c r="N558" s="108">
        <f>Таблица97[[#This Row],[Продажа]]-Таблица97[[#This Row],[Закупка]]</f>
        <v>3870.9599999999991</v>
      </c>
      <c r="O558" s="108" t="str">
        <f>IF(Таблица97[[#This Row],[НК]]=1,Таблица97[[#This Row],[Маржа]],"")</f>
        <v/>
      </c>
    </row>
    <row r="559" spans="1:15" ht="20.100000000000001" customHeight="1" x14ac:dyDescent="0.25">
      <c r="A559" s="2">
        <v>518</v>
      </c>
      <c r="B559" s="2" t="str">
        <f>TEXT(Таблица97[[#This Row],[Дата]],"ГГ")&amp;RIGHT("000"&amp;Таблица97[[#This Row],[Номер]],4)</f>
        <v>170518</v>
      </c>
      <c r="C559" s="129">
        <v>42954</v>
      </c>
      <c r="D559" s="2" t="s">
        <v>56</v>
      </c>
      <c r="E559" s="108">
        <v>3436</v>
      </c>
      <c r="F559" s="129">
        <v>42970</v>
      </c>
      <c r="H559" s="129">
        <v>42954</v>
      </c>
      <c r="I559" s="108">
        <f t="shared" si="24"/>
        <v>3436</v>
      </c>
      <c r="J559" s="108" t="str">
        <f>IF(Таблица97[[#This Row],[НК]]=1,Таблица97[[#This Row],[Продажа]],"")</f>
        <v/>
      </c>
      <c r="M559" s="108">
        <v>2488</v>
      </c>
      <c r="N559" s="108">
        <f>Таблица97[[#This Row],[Продажа]]-Таблица97[[#This Row],[Закупка]]</f>
        <v>948</v>
      </c>
      <c r="O559" s="108" t="str">
        <f>IF(Таблица97[[#This Row],[НК]]=1,Таблица97[[#This Row],[Маржа]],"")</f>
        <v/>
      </c>
    </row>
    <row r="560" spans="1:15" ht="20.100000000000001" customHeight="1" x14ac:dyDescent="0.25">
      <c r="A560" s="2">
        <v>631</v>
      </c>
      <c r="B560" s="2" t="str">
        <f>TEXT(Таблица97[[#This Row],[Дата]],"ГГ")&amp;RIGHT("000"&amp;Таблица97[[#This Row],[Номер]],4)</f>
        <v>170631</v>
      </c>
      <c r="C560" s="129">
        <v>42954</v>
      </c>
      <c r="D560" s="2" t="s">
        <v>56</v>
      </c>
      <c r="E560" s="108">
        <v>20919.8</v>
      </c>
      <c r="F560" s="129">
        <v>42970</v>
      </c>
      <c r="H560" s="129">
        <v>42962</v>
      </c>
      <c r="I560" s="108">
        <f t="shared" si="24"/>
        <v>20919.8</v>
      </c>
      <c r="J560" s="108" t="str">
        <f>IF(Таблица97[[#This Row],[НК]]=1,Таблица97[[#This Row],[Продажа]],"")</f>
        <v/>
      </c>
      <c r="M560" s="108">
        <v>16302</v>
      </c>
      <c r="N560" s="108">
        <f>Таблица97[[#This Row],[Продажа]]-Таблица97[[#This Row],[Закупка]]</f>
        <v>4617.7999999999993</v>
      </c>
      <c r="O560" s="108" t="str">
        <f>IF(Таблица97[[#This Row],[НК]]=1,Таблица97[[#This Row],[Маржа]],"")</f>
        <v/>
      </c>
    </row>
    <row r="561" spans="1:15" ht="20.100000000000001" customHeight="1" x14ac:dyDescent="0.25">
      <c r="A561" s="2">
        <v>644</v>
      </c>
      <c r="B561" s="2" t="str">
        <f>TEXT(Таблица97[[#This Row],[Дата]],"ГГ")&amp;RIGHT("000"&amp;Таблица97[[#This Row],[Номер]],4)</f>
        <v>170644</v>
      </c>
      <c r="C561" s="129">
        <v>42970</v>
      </c>
      <c r="D561" s="2" t="s">
        <v>285</v>
      </c>
      <c r="E561" s="108">
        <v>999</v>
      </c>
      <c r="F561" s="129">
        <v>42970</v>
      </c>
      <c r="G561" s="128">
        <v>1</v>
      </c>
      <c r="H561" s="129">
        <v>42972</v>
      </c>
      <c r="I561" s="108">
        <f t="shared" si="24"/>
        <v>999</v>
      </c>
      <c r="J561" s="108">
        <f>IF(Таблица97[[#This Row],[НК]]=1,Таблица97[[#This Row],[Продажа]],"")</f>
        <v>999</v>
      </c>
      <c r="M561" s="108">
        <v>723</v>
      </c>
      <c r="N561" s="108">
        <f>Таблица97[[#This Row],[Продажа]]-Таблица97[[#This Row],[Закупка]]</f>
        <v>276</v>
      </c>
      <c r="O561" s="108">
        <f>IF(Таблица97[[#This Row],[НК]]=1,Таблица97[[#This Row],[Маржа]],"")</f>
        <v>276</v>
      </c>
    </row>
    <row r="562" spans="1:15" ht="20.100000000000001" customHeight="1" x14ac:dyDescent="0.25">
      <c r="A562" s="2">
        <v>732</v>
      </c>
      <c r="B562" s="2" t="str">
        <f>TEXT(Таблица97[[#This Row],[Дата]],"ГГ")&amp;RIGHT("000"&amp;Таблица97[[#This Row],[Номер]],4)</f>
        <v>170732</v>
      </c>
      <c r="C562" s="129">
        <v>42970</v>
      </c>
      <c r="D562" s="2" t="s">
        <v>286</v>
      </c>
      <c r="E562" s="108">
        <v>16999</v>
      </c>
      <c r="F562" s="129">
        <v>42971</v>
      </c>
      <c r="H562" s="129">
        <v>42972</v>
      </c>
      <c r="I562" s="108">
        <f t="shared" si="24"/>
        <v>16999</v>
      </c>
      <c r="J562" s="108" t="str">
        <f>IF(Таблица97[[#This Row],[НК]]=1,Таблица97[[#This Row],[Продажа]],"")</f>
        <v/>
      </c>
      <c r="M562" s="108">
        <v>13811</v>
      </c>
      <c r="N562" s="108">
        <f>Таблица97[[#This Row],[Продажа]]-Таблица97[[#This Row],[Закупка]]</f>
        <v>3188</v>
      </c>
      <c r="O562" s="108" t="str">
        <f>IF(Таблица97[[#This Row],[НК]]=1,Таблица97[[#This Row],[Маржа]],"")</f>
        <v/>
      </c>
    </row>
    <row r="563" spans="1:15" ht="20.100000000000001" customHeight="1" x14ac:dyDescent="0.25">
      <c r="A563" s="2">
        <v>737</v>
      </c>
      <c r="B563" s="2" t="str">
        <f>TEXT(Таблица97[[#This Row],[Дата]],"ГГ")&amp;RIGHT("000"&amp;Таблица97[[#This Row],[Номер]],4)</f>
        <v>170737</v>
      </c>
      <c r="C563" s="129">
        <v>42975</v>
      </c>
      <c r="D563" s="2" t="s">
        <v>287</v>
      </c>
      <c r="E563" s="108">
        <v>6958</v>
      </c>
      <c r="F563" s="129">
        <v>42975</v>
      </c>
      <c r="G563" s="128">
        <v>1</v>
      </c>
      <c r="H563" s="129">
        <v>42990</v>
      </c>
      <c r="I563" s="108">
        <f t="shared" si="24"/>
        <v>6958</v>
      </c>
      <c r="J563" s="108">
        <f>IF(Таблица97[[#This Row],[НК]]=1,Таблица97[[#This Row],[Продажа]],"")</f>
        <v>6958</v>
      </c>
      <c r="M563" s="108">
        <v>5358</v>
      </c>
      <c r="N563" s="108">
        <f>Таблица97[[#This Row],[Продажа]]-Таблица97[[#This Row],[Закупка]]</f>
        <v>1600</v>
      </c>
      <c r="O563" s="108">
        <f>IF(Таблица97[[#This Row],[НК]]=1,Таблица97[[#This Row],[Маржа]],"")</f>
        <v>1600</v>
      </c>
    </row>
    <row r="564" spans="1:15" ht="20.100000000000001" customHeight="1" x14ac:dyDescent="0.25">
      <c r="A564" s="2">
        <v>736</v>
      </c>
      <c r="B564" s="2" t="str">
        <f>TEXT(Таблица97[[#This Row],[Дата]],"ГГ")&amp;RIGHT("000"&amp;Таблица97[[#This Row],[Номер]],4)</f>
        <v>170736</v>
      </c>
      <c r="C564" s="129">
        <v>42976</v>
      </c>
      <c r="D564" s="2" t="s">
        <v>77</v>
      </c>
      <c r="E564" s="108">
        <v>2932</v>
      </c>
      <c r="F564" s="129">
        <v>42976</v>
      </c>
      <c r="H564" s="129">
        <v>42979</v>
      </c>
      <c r="I564" s="108">
        <f t="shared" si="24"/>
        <v>2932</v>
      </c>
      <c r="J564" s="108" t="str">
        <f>IF(Таблица97[[#This Row],[НК]]=1,Таблица97[[#This Row],[Продажа]],"")</f>
        <v/>
      </c>
      <c r="M564" s="108">
        <v>2124</v>
      </c>
      <c r="N564" s="108">
        <f>Таблица97[[#This Row],[Продажа]]-Таблица97[[#This Row],[Закупка]]</f>
        <v>808</v>
      </c>
      <c r="O564" s="108" t="str">
        <f>IF(Таблица97[[#This Row],[НК]]=1,Таблица97[[#This Row],[Маржа]],"")</f>
        <v/>
      </c>
    </row>
    <row r="565" spans="1:15" ht="20.100000000000001" customHeight="1" x14ac:dyDescent="0.25">
      <c r="A565" s="2">
        <v>727</v>
      </c>
      <c r="B565" s="2" t="str">
        <f>TEXT(Таблица97[[#This Row],[Дата]],"ГГ")&amp;RIGHT("000"&amp;Таблица97[[#This Row],[Номер]],4)</f>
        <v>170727</v>
      </c>
      <c r="C565" s="129">
        <v>42969</v>
      </c>
      <c r="D565" s="2" t="s">
        <v>281</v>
      </c>
      <c r="E565" s="108">
        <v>1279</v>
      </c>
      <c r="F565" s="129">
        <v>42977</v>
      </c>
      <c r="H565" s="129">
        <v>42982</v>
      </c>
      <c r="I565" s="108">
        <f t="shared" si="24"/>
        <v>1279</v>
      </c>
      <c r="J565" s="108" t="str">
        <f>IF(Таблица97[[#This Row],[НК]]=1,Таблица97[[#This Row],[Продажа]],"")</f>
        <v/>
      </c>
      <c r="M565" s="108">
        <v>1073</v>
      </c>
      <c r="N565" s="108">
        <f>Таблица97[[#This Row],[Продажа]]-Таблица97[[#This Row],[Закупка]]</f>
        <v>206</v>
      </c>
      <c r="O565" s="108" t="str">
        <f>IF(Таблица97[[#This Row],[НК]]=1,Таблица97[[#This Row],[Маржа]],"")</f>
        <v/>
      </c>
    </row>
    <row r="566" spans="1:15" ht="20.100000000000001" customHeight="1" x14ac:dyDescent="0.25">
      <c r="A566" s="2">
        <v>616</v>
      </c>
      <c r="B566" s="2" t="str">
        <f>TEXT(Таблица97[[#This Row],[Дата]],"ГГ")&amp;RIGHT("000"&amp;Таблица97[[#This Row],[Номер]],4)</f>
        <v>170616</v>
      </c>
      <c r="C566" s="129">
        <v>42950</v>
      </c>
      <c r="D566" s="2" t="s">
        <v>277</v>
      </c>
      <c r="E566" s="108">
        <v>3350</v>
      </c>
      <c r="F566" s="129">
        <v>42978</v>
      </c>
      <c r="H566" s="129">
        <v>42989</v>
      </c>
      <c r="I566" s="108">
        <f t="shared" si="24"/>
        <v>3350</v>
      </c>
      <c r="J566" s="108" t="str">
        <f>IF(Таблица97[[#This Row],[НК]]=1,Таблица97[[#This Row],[Продажа]],"")</f>
        <v/>
      </c>
      <c r="M566" s="108">
        <v>2435</v>
      </c>
      <c r="N566" s="108">
        <f>Таблица97[[#This Row],[Продажа]]-Таблица97[[#This Row],[Закупка]]</f>
        <v>915</v>
      </c>
      <c r="O566" s="108" t="str">
        <f>IF(Таблица97[[#This Row],[НК]]=1,Таблица97[[#This Row],[Маржа]],"")</f>
        <v/>
      </c>
    </row>
    <row r="567" spans="1:15" ht="20.100000000000001" customHeight="1" x14ac:dyDescent="0.25">
      <c r="A567" s="2">
        <v>751</v>
      </c>
      <c r="B567" s="2" t="str">
        <f>TEXT(Таблица97[[#This Row],[Дата]],"ГГ")&amp;RIGHT("000"&amp;Таблица97[[#This Row],[Номер]],4)</f>
        <v>170751</v>
      </c>
      <c r="C567" s="129">
        <v>42978</v>
      </c>
      <c r="D567" s="2" t="s">
        <v>118</v>
      </c>
      <c r="E567" s="108">
        <v>4708</v>
      </c>
      <c r="F567" s="129">
        <v>42978</v>
      </c>
      <c r="H567" s="129">
        <v>43013</v>
      </c>
      <c r="I567" s="108">
        <f t="shared" si="24"/>
        <v>4708</v>
      </c>
      <c r="J567" s="108" t="str">
        <f>IF(Таблица97[[#This Row],[НК]]=1,Таблица97[[#This Row],[Продажа]],"")</f>
        <v/>
      </c>
      <c r="M567" s="108">
        <v>3912</v>
      </c>
      <c r="N567" s="108">
        <f>Таблица97[[#This Row],[Продажа]]-Таблица97[[#This Row],[Закупка]]</f>
        <v>796</v>
      </c>
      <c r="O567" s="108" t="str">
        <f>IF(Таблица97[[#This Row],[НК]]=1,Таблица97[[#This Row],[Маржа]],"")</f>
        <v/>
      </c>
    </row>
    <row r="568" spans="1:15" ht="20.100000000000001" customHeight="1" x14ac:dyDescent="0.25">
      <c r="A568" s="2">
        <v>762</v>
      </c>
      <c r="B568" s="2" t="str">
        <f>TEXT(Таблица97[[#This Row],[Дата]],"ГГ")&amp;RIGHT("000"&amp;Таблица97[[#This Row],[Номер]],4)</f>
        <v>170762</v>
      </c>
      <c r="C568" s="129">
        <v>42982</v>
      </c>
      <c r="D568" s="2" t="s">
        <v>288</v>
      </c>
      <c r="E568" s="108">
        <v>17980</v>
      </c>
      <c r="F568" s="129">
        <v>42983</v>
      </c>
      <c r="G568" s="128">
        <v>1</v>
      </c>
      <c r="H568" s="129">
        <v>42983</v>
      </c>
      <c r="I568" s="108">
        <f t="shared" ref="I568:I588" si="25">E568</f>
        <v>17980</v>
      </c>
      <c r="J568" s="108">
        <f>IF(Таблица97[[#This Row],[НК]]=1,Таблица97[[#This Row],[Продажа]],"")</f>
        <v>17980</v>
      </c>
      <c r="M568" s="108">
        <v>12686</v>
      </c>
      <c r="N568" s="108">
        <f>Таблица97[[#This Row],[Продажа]]-Таблица97[[#This Row],[Закупка]]</f>
        <v>5294</v>
      </c>
      <c r="O568" s="108">
        <f>IF(Таблица97[[#This Row],[НК]]=1,Таблица97[[#This Row],[Маржа]],"")</f>
        <v>5294</v>
      </c>
    </row>
    <row r="569" spans="1:15" ht="20.100000000000001" customHeight="1" x14ac:dyDescent="0.25">
      <c r="A569" s="2">
        <v>759</v>
      </c>
      <c r="B569" s="2" t="str">
        <f>TEXT(Таблица97[[#This Row],[Дата]],"ГГ")&amp;RIGHT("000"&amp;Таблица97[[#This Row],[Номер]],4)</f>
        <v>170759</v>
      </c>
      <c r="C569" s="129">
        <v>42982</v>
      </c>
      <c r="D569" s="2" t="s">
        <v>289</v>
      </c>
      <c r="E569" s="108">
        <v>20970</v>
      </c>
      <c r="F569" s="129">
        <v>42983</v>
      </c>
      <c r="G569" s="128">
        <v>1</v>
      </c>
      <c r="H569" s="129">
        <v>43010</v>
      </c>
      <c r="I569" s="108">
        <f t="shared" si="25"/>
        <v>20970</v>
      </c>
      <c r="J569" s="108">
        <f>IF(Таблица97[[#This Row],[НК]]=1,Таблица97[[#This Row],[Продажа]],"")</f>
        <v>20970</v>
      </c>
      <c r="M569" s="108">
        <v>15414</v>
      </c>
      <c r="N569" s="108">
        <f>Таблица97[[#This Row],[Продажа]]-Таблица97[[#This Row],[Закупка]]</f>
        <v>5556</v>
      </c>
      <c r="O569" s="108">
        <f>IF(Таблица97[[#This Row],[НК]]=1,Таблица97[[#This Row],[Маржа]],"")</f>
        <v>5556</v>
      </c>
    </row>
    <row r="570" spans="1:15" ht="20.100000000000001" customHeight="1" x14ac:dyDescent="0.25">
      <c r="A570" s="2">
        <v>763</v>
      </c>
      <c r="B570" s="2" t="str">
        <f>TEXT(Таблица97[[#This Row],[Дата]],"ГГ")&amp;RIGHT("000"&amp;Таблица97[[#This Row],[Номер]],4)</f>
        <v>170763</v>
      </c>
      <c r="C570" s="129">
        <v>42982</v>
      </c>
      <c r="D570" s="2" t="s">
        <v>290</v>
      </c>
      <c r="E570" s="108">
        <v>77990</v>
      </c>
      <c r="F570" s="129">
        <v>42983</v>
      </c>
      <c r="G570" s="128">
        <v>1</v>
      </c>
      <c r="H570" s="129">
        <v>42984</v>
      </c>
      <c r="I570" s="108">
        <f t="shared" si="25"/>
        <v>77990</v>
      </c>
      <c r="J570" s="108">
        <f>IF(Таблица97[[#This Row],[НК]]=1,Таблица97[[#This Row],[Продажа]],"")</f>
        <v>77990</v>
      </c>
      <c r="M570" s="108">
        <v>54960</v>
      </c>
      <c r="N570" s="108">
        <f>Таблица97[[#This Row],[Продажа]]-Таблица97[[#This Row],[Закупка]]</f>
        <v>23030</v>
      </c>
      <c r="O570" s="108">
        <f>IF(Таблица97[[#This Row],[НК]]=1,Таблица97[[#This Row],[Маржа]],"")</f>
        <v>23030</v>
      </c>
    </row>
    <row r="571" spans="1:15" ht="20.100000000000001" customHeight="1" x14ac:dyDescent="0.25">
      <c r="A571" s="2">
        <v>775</v>
      </c>
      <c r="B571" s="2" t="str">
        <f>TEXT(Таблица97[[#This Row],[Дата]],"ГГ")&amp;RIGHT("000"&amp;Таблица97[[#This Row],[Номер]],4)</f>
        <v>170775</v>
      </c>
      <c r="C571" s="129">
        <v>42985</v>
      </c>
      <c r="D571" s="2" t="s">
        <v>291</v>
      </c>
      <c r="E571" s="108">
        <v>33843</v>
      </c>
      <c r="F571" s="129">
        <v>42985</v>
      </c>
      <c r="G571" s="128">
        <v>1</v>
      </c>
      <c r="H571" s="129">
        <v>42990</v>
      </c>
      <c r="I571" s="108">
        <f t="shared" si="25"/>
        <v>33843</v>
      </c>
      <c r="J571" s="108">
        <f>IF(Таблица97[[#This Row],[НК]]=1,Таблица97[[#This Row],[Продажа]],"")</f>
        <v>33843</v>
      </c>
      <c r="M571" s="108">
        <v>24927</v>
      </c>
      <c r="N571" s="108">
        <f>Таблица97[[#This Row],[Продажа]]-Таблица97[[#This Row],[Закупка]]</f>
        <v>8916</v>
      </c>
      <c r="O571" s="108">
        <f>IF(Таблица97[[#This Row],[НК]]=1,Таблица97[[#This Row],[Маржа]],"")</f>
        <v>8916</v>
      </c>
    </row>
    <row r="572" spans="1:15" ht="20.100000000000001" customHeight="1" x14ac:dyDescent="0.25">
      <c r="A572" s="2">
        <v>778</v>
      </c>
      <c r="B572" s="2" t="str">
        <f>TEXT(Таблица97[[#This Row],[Дата]],"ГГ")&amp;RIGHT("000"&amp;Таблица97[[#This Row],[Номер]],4)</f>
        <v>170778</v>
      </c>
      <c r="C572" s="129">
        <v>42986</v>
      </c>
      <c r="D572" s="2" t="s">
        <v>236</v>
      </c>
      <c r="E572" s="108">
        <v>134047</v>
      </c>
      <c r="F572" s="129">
        <v>42989</v>
      </c>
      <c r="H572" s="129">
        <v>43012</v>
      </c>
      <c r="I572" s="108">
        <f t="shared" si="25"/>
        <v>134047</v>
      </c>
      <c r="J572" s="108" t="str">
        <f>IF(Таблица97[[#This Row],[НК]]=1,Таблица97[[#This Row],[Продажа]],"")</f>
        <v/>
      </c>
      <c r="L572" s="108">
        <f>300*7</f>
        <v>2100</v>
      </c>
      <c r="M572" s="108">
        <v>99439</v>
      </c>
      <c r="N572" s="108">
        <f>Таблица97[[#This Row],[Продажа]]-Таблица97[[#This Row],[Закупка]]</f>
        <v>34608</v>
      </c>
      <c r="O572" s="108" t="str">
        <f>IF(Таблица97[[#This Row],[НК]]=1,Таблица97[[#This Row],[Маржа]],"")</f>
        <v/>
      </c>
    </row>
    <row r="573" spans="1:15" ht="20.100000000000001" customHeight="1" x14ac:dyDescent="0.25">
      <c r="A573" s="2">
        <v>502</v>
      </c>
      <c r="B573" s="2" t="str">
        <f>TEXT(Таблица97[[#This Row],[Дата]],"ГГ")&amp;RIGHT("000"&amp;Таблица97[[#This Row],[Номер]],4)</f>
        <v>170502</v>
      </c>
      <c r="C573" s="129">
        <v>42920</v>
      </c>
      <c r="D573" s="2" t="s">
        <v>65</v>
      </c>
      <c r="E573" s="108">
        <v>97484</v>
      </c>
      <c r="F573" s="129">
        <v>42989</v>
      </c>
      <c r="H573" s="129">
        <v>42992</v>
      </c>
      <c r="I573" s="108">
        <f t="shared" si="25"/>
        <v>97484</v>
      </c>
      <c r="J573" s="108" t="str">
        <f>IF(Таблица97[[#This Row],[НК]]=1,Таблица97[[#This Row],[Продажа]],"")</f>
        <v/>
      </c>
      <c r="M573" s="108">
        <v>77105</v>
      </c>
      <c r="N573" s="108">
        <f>Таблица97[[#This Row],[Продажа]]-Таблица97[[#This Row],[Закупка]]</f>
        <v>20379</v>
      </c>
      <c r="O573" s="108" t="str">
        <f>IF(Таблица97[[#This Row],[НК]]=1,Таблица97[[#This Row],[Маржа]],"")</f>
        <v/>
      </c>
    </row>
    <row r="574" spans="1:15" ht="20.100000000000001" customHeight="1" x14ac:dyDescent="0.25">
      <c r="A574" s="2">
        <v>760</v>
      </c>
      <c r="B574" s="2" t="str">
        <f>TEXT(Таблица97[[#This Row],[Дата]],"ГГ")&amp;RIGHT("000"&amp;Таблица97[[#This Row],[Номер]],4)</f>
        <v>170760</v>
      </c>
      <c r="C574" s="129">
        <v>42982</v>
      </c>
      <c r="D574" s="2" t="s">
        <v>72</v>
      </c>
      <c r="E574" s="108">
        <v>5769</v>
      </c>
      <c r="F574" s="129">
        <v>42989</v>
      </c>
      <c r="H574" s="129">
        <v>42990</v>
      </c>
      <c r="I574" s="108">
        <f t="shared" si="25"/>
        <v>5769</v>
      </c>
      <c r="J574" s="108" t="str">
        <f>IF(Таблица97[[#This Row],[НК]]=1,Таблица97[[#This Row],[Продажа]],"")</f>
        <v/>
      </c>
      <c r="M574" s="108">
        <v>4179</v>
      </c>
      <c r="N574" s="108">
        <f>Таблица97[[#This Row],[Продажа]]-Таблица97[[#This Row],[Закупка]]</f>
        <v>1590</v>
      </c>
      <c r="O574" s="108" t="str">
        <f>IF(Таблица97[[#This Row],[НК]]=1,Таблица97[[#This Row],[Маржа]],"")</f>
        <v/>
      </c>
    </row>
    <row r="575" spans="1:15" ht="20.100000000000001" customHeight="1" x14ac:dyDescent="0.25">
      <c r="A575" s="2">
        <v>786</v>
      </c>
      <c r="B575" s="2" t="str">
        <f>TEXT(Таблица97[[#This Row],[Дата]],"ГГ")&amp;RIGHT("000"&amp;Таблица97[[#This Row],[Номер]],4)</f>
        <v>170786</v>
      </c>
      <c r="C575" s="129">
        <v>42990</v>
      </c>
      <c r="D575" s="2" t="s">
        <v>291</v>
      </c>
      <c r="E575" s="108">
        <v>3027</v>
      </c>
      <c r="F575" s="129">
        <v>42990</v>
      </c>
      <c r="G575" s="128">
        <v>1</v>
      </c>
      <c r="H575" s="129">
        <v>42990</v>
      </c>
      <c r="I575" s="108">
        <f t="shared" si="25"/>
        <v>3027</v>
      </c>
      <c r="J575" s="108">
        <f>IF(Таблица97[[#This Row],[НК]]=1,Таблица97[[#This Row],[Продажа]],"")</f>
        <v>3027</v>
      </c>
      <c r="M575" s="108">
        <v>2586</v>
      </c>
      <c r="N575" s="108">
        <f>Таблица97[[#This Row],[Продажа]]-Таблица97[[#This Row],[Закупка]]</f>
        <v>441</v>
      </c>
      <c r="O575" s="108">
        <f>IF(Таблица97[[#This Row],[НК]]=1,Таблица97[[#This Row],[Маржа]],"")</f>
        <v>441</v>
      </c>
    </row>
    <row r="576" spans="1:15" ht="20.100000000000001" customHeight="1" x14ac:dyDescent="0.25">
      <c r="A576" s="2">
        <v>734</v>
      </c>
      <c r="B576" s="2" t="str">
        <f>TEXT(Таблица97[[#This Row],[Дата]],"ГГ")&amp;RIGHT("000"&amp;Таблица97[[#This Row],[Номер]],4)</f>
        <v>170734</v>
      </c>
      <c r="C576" s="129">
        <v>42989</v>
      </c>
      <c r="D576" s="2" t="s">
        <v>161</v>
      </c>
      <c r="E576" s="108">
        <v>1467</v>
      </c>
      <c r="F576" s="129">
        <v>42990</v>
      </c>
      <c r="H576" s="129">
        <v>43032</v>
      </c>
      <c r="I576" s="108">
        <f t="shared" si="25"/>
        <v>1467</v>
      </c>
      <c r="J576" s="108" t="str">
        <f>IF(Таблица97[[#This Row],[НК]]=1,Таблица97[[#This Row],[Продажа]],"")</f>
        <v/>
      </c>
      <c r="M576" s="108">
        <v>968</v>
      </c>
      <c r="N576" s="108">
        <f>Таблица97[[#This Row],[Продажа]]-Таблица97[[#This Row],[Закупка]]</f>
        <v>499</v>
      </c>
      <c r="O576" s="108" t="str">
        <f>IF(Таблица97[[#This Row],[НК]]=1,Таблица97[[#This Row],[Маржа]],"")</f>
        <v/>
      </c>
    </row>
    <row r="577" spans="1:15" ht="20.100000000000001" customHeight="1" x14ac:dyDescent="0.25">
      <c r="A577" s="2">
        <v>769</v>
      </c>
      <c r="B577" s="2" t="str">
        <f>TEXT(Таблица97[[#This Row],[Дата]],"ГГ")&amp;RIGHT("000"&amp;Таблица97[[#This Row],[Номер]],4)</f>
        <v>170769</v>
      </c>
      <c r="C577" s="129">
        <v>42984</v>
      </c>
      <c r="D577" s="2" t="s">
        <v>15</v>
      </c>
      <c r="E577" s="108">
        <v>24442</v>
      </c>
      <c r="F577" s="129">
        <v>42991</v>
      </c>
      <c r="H577" s="129">
        <v>43021</v>
      </c>
      <c r="I577" s="108">
        <f t="shared" si="25"/>
        <v>24442</v>
      </c>
      <c r="J577" s="108" t="str">
        <f>IF(Таблица97[[#This Row],[НК]]=1,Таблица97[[#This Row],[Продажа]],"")</f>
        <v/>
      </c>
      <c r="M577" s="108">
        <v>17863</v>
      </c>
      <c r="N577" s="108">
        <f>Таблица97[[#This Row],[Продажа]]-Таблица97[[#This Row],[Закупка]]</f>
        <v>6579</v>
      </c>
      <c r="O577" s="108" t="str">
        <f>IF(Таблица97[[#This Row],[НК]]=1,Таблица97[[#This Row],[Маржа]],"")</f>
        <v/>
      </c>
    </row>
    <row r="578" spans="1:15" ht="20.100000000000001" customHeight="1" x14ac:dyDescent="0.25">
      <c r="A578" s="2">
        <v>780</v>
      </c>
      <c r="B578" s="2" t="str">
        <f>TEXT(Таблица97[[#This Row],[Дата]],"ГГ")&amp;RIGHT("000"&amp;Таблица97[[#This Row],[Номер]],4)</f>
        <v>170780</v>
      </c>
      <c r="C578" s="129">
        <v>42986</v>
      </c>
      <c r="D578" s="2" t="s">
        <v>292</v>
      </c>
      <c r="E578" s="108">
        <v>5200</v>
      </c>
      <c r="F578" s="129">
        <v>42993</v>
      </c>
      <c r="H578" s="129">
        <v>43010</v>
      </c>
      <c r="I578" s="108">
        <f t="shared" si="25"/>
        <v>5200</v>
      </c>
      <c r="J578" s="108" t="str">
        <f>IF(Таблица97[[#This Row],[НК]]=1,Таблица97[[#This Row],[Продажа]],"")</f>
        <v/>
      </c>
      <c r="M578" s="108">
        <v>3233</v>
      </c>
      <c r="N578" s="108">
        <f>Таблица97[[#This Row],[Продажа]]-Таблица97[[#This Row],[Закупка]]</f>
        <v>1967</v>
      </c>
      <c r="O578" s="108" t="str">
        <f>IF(Таблица97[[#This Row],[НК]]=1,Таблица97[[#This Row],[Маржа]],"")</f>
        <v/>
      </c>
    </row>
    <row r="579" spans="1:15" ht="20.100000000000001" customHeight="1" x14ac:dyDescent="0.25">
      <c r="A579" s="2">
        <v>785</v>
      </c>
      <c r="B579" s="2" t="str">
        <f>TEXT(Таблица97[[#This Row],[Дата]],"ГГ")&amp;RIGHT("000"&amp;Таблица97[[#This Row],[Номер]],4)</f>
        <v>170785</v>
      </c>
      <c r="C579" s="129">
        <v>42990</v>
      </c>
      <c r="D579" s="2" t="s">
        <v>53</v>
      </c>
      <c r="E579" s="108">
        <v>18580</v>
      </c>
      <c r="F579" s="129">
        <v>42993</v>
      </c>
      <c r="H579" s="129">
        <v>43007</v>
      </c>
      <c r="I579" s="108">
        <f t="shared" si="25"/>
        <v>18580</v>
      </c>
      <c r="J579" s="108" t="str">
        <f>IF(Таблица97[[#This Row],[НК]]=1,Таблица97[[#This Row],[Продажа]],"")</f>
        <v/>
      </c>
      <c r="M579" s="108">
        <v>13517</v>
      </c>
      <c r="N579" s="108">
        <f>Таблица97[[#This Row],[Продажа]]-Таблица97[[#This Row],[Закупка]]</f>
        <v>5063</v>
      </c>
      <c r="O579" s="108" t="str">
        <f>IF(Таблица97[[#This Row],[НК]]=1,Таблица97[[#This Row],[Маржа]],"")</f>
        <v/>
      </c>
    </row>
    <row r="580" spans="1:15" ht="20.100000000000001" customHeight="1" x14ac:dyDescent="0.25">
      <c r="A580" s="2">
        <v>810</v>
      </c>
      <c r="B580" s="2" t="str">
        <f>TEXT(Таблица97[[#This Row],[Дата]],"ГГ")&amp;RIGHT("000"&amp;Таблица97[[#This Row],[Номер]],4)</f>
        <v>170810</v>
      </c>
      <c r="C580" s="129">
        <v>42998</v>
      </c>
      <c r="D580" s="2" t="s">
        <v>65</v>
      </c>
      <c r="E580" s="108">
        <v>49916</v>
      </c>
      <c r="F580" s="129">
        <v>42998</v>
      </c>
      <c r="H580" s="129">
        <v>42998</v>
      </c>
      <c r="I580" s="108">
        <f t="shared" si="25"/>
        <v>49916</v>
      </c>
      <c r="J580" s="108" t="str">
        <f>IF(Таблица97[[#This Row],[НК]]=1,Таблица97[[#This Row],[Продажа]],"")</f>
        <v/>
      </c>
      <c r="L580" s="108">
        <f>300*8</f>
        <v>2400</v>
      </c>
      <c r="M580" s="108">
        <v>15217</v>
      </c>
      <c r="N580" s="108">
        <f>Таблица97[[#This Row],[Продажа]]-Таблица97[[#This Row],[Закупка]]</f>
        <v>34699</v>
      </c>
      <c r="O580" s="108" t="str">
        <f>IF(Таблица97[[#This Row],[НК]]=1,Таблица97[[#This Row],[Маржа]],"")</f>
        <v/>
      </c>
    </row>
    <row r="581" spans="1:15" ht="20.100000000000001" customHeight="1" x14ac:dyDescent="0.25">
      <c r="A581" s="2">
        <v>782</v>
      </c>
      <c r="B581" s="2" t="str">
        <f>TEXT(Таблица97[[#This Row],[Дата]],"ГГ")&amp;RIGHT("000"&amp;Таблица97[[#This Row],[Номер]],4)</f>
        <v>170782</v>
      </c>
      <c r="C581" s="129">
        <v>42989</v>
      </c>
      <c r="D581" s="2" t="s">
        <v>83</v>
      </c>
      <c r="E581" s="108">
        <v>8951</v>
      </c>
      <c r="F581" s="129">
        <v>42998</v>
      </c>
      <c r="H581" s="129">
        <v>42999</v>
      </c>
      <c r="I581" s="108">
        <f t="shared" si="25"/>
        <v>8951</v>
      </c>
      <c r="J581" s="108" t="str">
        <f>IF(Таблица97[[#This Row],[НК]]=1,Таблица97[[#This Row],[Продажа]],"")</f>
        <v/>
      </c>
      <c r="M581" s="108">
        <v>5914</v>
      </c>
      <c r="N581" s="108">
        <f>Таблица97[[#This Row],[Продажа]]-Таблица97[[#This Row],[Закупка]]</f>
        <v>3037</v>
      </c>
      <c r="O581" s="108" t="str">
        <f>IF(Таблица97[[#This Row],[НК]]=1,Таблица97[[#This Row],[Маржа]],"")</f>
        <v/>
      </c>
    </row>
    <row r="582" spans="1:15" ht="20.100000000000001" customHeight="1" x14ac:dyDescent="0.25">
      <c r="A582" s="2">
        <v>812</v>
      </c>
      <c r="B582" s="2" t="str">
        <f>TEXT(Таблица97[[#This Row],[Дата]],"ГГ")&amp;RIGHT("000"&amp;Таблица97[[#This Row],[Номер]],4)</f>
        <v>170812</v>
      </c>
      <c r="C582" s="129">
        <v>42998</v>
      </c>
      <c r="D582" s="2" t="s">
        <v>294</v>
      </c>
      <c r="E582" s="108">
        <v>57043</v>
      </c>
      <c r="F582" s="129">
        <v>42998</v>
      </c>
      <c r="G582" s="128">
        <v>1</v>
      </c>
      <c r="H582" s="129">
        <v>42998</v>
      </c>
      <c r="I582" s="108">
        <f t="shared" si="25"/>
        <v>57043</v>
      </c>
      <c r="J582" s="108">
        <f>IF(Таблица97[[#This Row],[НК]]=1,Таблица97[[#This Row],[Продажа]],"")</f>
        <v>57043</v>
      </c>
      <c r="M582" s="108">
        <v>40234</v>
      </c>
      <c r="N582" s="108">
        <f>Таблица97[[#This Row],[Продажа]]-Таблица97[[#This Row],[Закупка]]</f>
        <v>16809</v>
      </c>
      <c r="O582" s="108">
        <f>IF(Таблица97[[#This Row],[НК]]=1,Таблица97[[#This Row],[Маржа]],"")</f>
        <v>16809</v>
      </c>
    </row>
    <row r="583" spans="1:15" ht="20.100000000000001" customHeight="1" x14ac:dyDescent="0.25">
      <c r="A583" s="2">
        <v>818</v>
      </c>
      <c r="B583" s="2" t="str">
        <f>TEXT(Таблица97[[#This Row],[Дата]],"ГГ")&amp;RIGHT("000"&amp;Таблица97[[#This Row],[Номер]],4)</f>
        <v>170818</v>
      </c>
      <c r="C583" s="129">
        <v>42998</v>
      </c>
      <c r="D583" s="2" t="s">
        <v>294</v>
      </c>
      <c r="E583" s="108">
        <v>1881</v>
      </c>
      <c r="F583" s="129">
        <v>42999</v>
      </c>
      <c r="G583" s="128">
        <v>1</v>
      </c>
      <c r="H583" s="129">
        <v>42999</v>
      </c>
      <c r="I583" s="108">
        <f t="shared" si="25"/>
        <v>1881</v>
      </c>
      <c r="J583" s="108">
        <f>IF(Таблица97[[#This Row],[НК]]=1,Таблица97[[#This Row],[Продажа]],"")</f>
        <v>1881</v>
      </c>
      <c r="M583" s="108">
        <v>1467</v>
      </c>
      <c r="N583" s="108">
        <f>Таблица97[[#This Row],[Продажа]]-Таблица97[[#This Row],[Закупка]]</f>
        <v>414</v>
      </c>
      <c r="O583" s="108">
        <f>IF(Таблица97[[#This Row],[НК]]=1,Таблица97[[#This Row],[Маржа]],"")</f>
        <v>414</v>
      </c>
    </row>
    <row r="584" spans="1:15" ht="20.100000000000001" customHeight="1" x14ac:dyDescent="0.25">
      <c r="A584" s="2">
        <v>771</v>
      </c>
      <c r="B584" s="2" t="str">
        <f>TEXT(Таблица97[[#This Row],[Дата]],"ГГ")&amp;RIGHT("000"&amp;Таблица97[[#This Row],[Номер]],4)</f>
        <v>170771</v>
      </c>
      <c r="C584" s="129">
        <v>42984</v>
      </c>
      <c r="D584" s="2" t="s">
        <v>14</v>
      </c>
      <c r="E584" s="108">
        <v>821.87</v>
      </c>
      <c r="F584" s="129">
        <v>43003</v>
      </c>
      <c r="H584" s="129">
        <v>43006</v>
      </c>
      <c r="I584" s="108">
        <f t="shared" si="25"/>
        <v>821.87</v>
      </c>
      <c r="J584" s="108" t="str">
        <f>IF(Таблица97[[#This Row],[НК]]=1,Таблица97[[#This Row],[Продажа]],"")</f>
        <v/>
      </c>
      <c r="M584" s="108">
        <v>542</v>
      </c>
      <c r="N584" s="108">
        <f>Таблица97[[#This Row],[Продажа]]-Таблица97[[#This Row],[Закупка]]</f>
        <v>279.87</v>
      </c>
      <c r="O584" s="108" t="str">
        <f>IF(Таблица97[[#This Row],[НК]]=1,Таблица97[[#This Row],[Маржа]],"")</f>
        <v/>
      </c>
    </row>
    <row r="585" spans="1:15" ht="20.100000000000001" customHeight="1" x14ac:dyDescent="0.25">
      <c r="A585" s="2">
        <v>820</v>
      </c>
      <c r="B585" s="2" t="str">
        <f>TEXT(Таблица97[[#This Row],[Дата]],"ГГ")&amp;RIGHT("000"&amp;Таблица97[[#This Row],[Номер]],4)</f>
        <v>170820</v>
      </c>
      <c r="C585" s="129">
        <v>42999</v>
      </c>
      <c r="D585" s="2" t="s">
        <v>147</v>
      </c>
      <c r="E585" s="108">
        <v>13501</v>
      </c>
      <c r="F585" s="129">
        <v>43003</v>
      </c>
      <c r="H585" s="129">
        <v>43017</v>
      </c>
      <c r="I585" s="108">
        <f t="shared" si="25"/>
        <v>13501</v>
      </c>
      <c r="J585" s="108" t="str">
        <f>IF(Таблица97[[#This Row],[НК]]=1,Таблица97[[#This Row],[Продажа]],"")</f>
        <v/>
      </c>
      <c r="M585" s="108">
        <v>10308</v>
      </c>
      <c r="N585" s="108">
        <f>Таблица97[[#This Row],[Продажа]]-Таблица97[[#This Row],[Закупка]]</f>
        <v>3193</v>
      </c>
      <c r="O585" s="108" t="str">
        <f>IF(Таблица97[[#This Row],[НК]]=1,Таблица97[[#This Row],[Маржа]],"")</f>
        <v/>
      </c>
    </row>
    <row r="586" spans="1:15" ht="20.100000000000001" customHeight="1" x14ac:dyDescent="0.25">
      <c r="A586" s="2">
        <v>821</v>
      </c>
      <c r="B586" s="2" t="str">
        <f>TEXT(Таблица97[[#This Row],[Дата]],"ГГ")&amp;RIGHT("000"&amp;Таблица97[[#This Row],[Номер]],4)</f>
        <v>170821</v>
      </c>
      <c r="C586" s="129">
        <v>43000</v>
      </c>
      <c r="D586" s="2" t="s">
        <v>287</v>
      </c>
      <c r="E586" s="108">
        <v>13535</v>
      </c>
      <c r="F586" s="129">
        <v>43003</v>
      </c>
      <c r="H586" s="129">
        <v>43010</v>
      </c>
      <c r="I586" s="108">
        <f t="shared" si="25"/>
        <v>13535</v>
      </c>
      <c r="J586" s="108" t="str">
        <f>IF(Таблица97[[#This Row],[НК]]=1,Таблица97[[#This Row],[Продажа]],"")</f>
        <v/>
      </c>
      <c r="M586" s="108">
        <v>10199</v>
      </c>
      <c r="N586" s="108">
        <f>Таблица97[[#This Row],[Продажа]]-Таблица97[[#This Row],[Закупка]]</f>
        <v>3336</v>
      </c>
      <c r="O586" s="108" t="str">
        <f>IF(Таблица97[[#This Row],[НК]]=1,Таблица97[[#This Row],[Маржа]],"")</f>
        <v/>
      </c>
    </row>
    <row r="587" spans="1:15" ht="20.100000000000001" customHeight="1" x14ac:dyDescent="0.25">
      <c r="A587" s="2">
        <v>824</v>
      </c>
      <c r="B587" s="2" t="str">
        <f>TEXT(Таблица97[[#This Row],[Дата]],"ГГ")&amp;RIGHT("000"&amp;Таблица97[[#This Row],[Номер]],4)</f>
        <v>170824</v>
      </c>
      <c r="C587" s="129">
        <v>43003</v>
      </c>
      <c r="D587" s="2" t="s">
        <v>293</v>
      </c>
      <c r="E587" s="108">
        <v>7954</v>
      </c>
      <c r="F587" s="129">
        <v>43004</v>
      </c>
      <c r="G587" s="128">
        <v>1</v>
      </c>
      <c r="H587" s="129">
        <v>43011</v>
      </c>
      <c r="I587" s="108">
        <f t="shared" si="25"/>
        <v>7954</v>
      </c>
      <c r="J587" s="108">
        <f>IF(Таблица97[[#This Row],[НК]]=1,Таблица97[[#This Row],[Продажа]],"")</f>
        <v>7954</v>
      </c>
      <c r="M587" s="108">
        <v>6204</v>
      </c>
      <c r="N587" s="108">
        <f>Таблица97[[#This Row],[Продажа]]-Таблица97[[#This Row],[Закупка]]</f>
        <v>1750</v>
      </c>
      <c r="O587" s="108">
        <f>IF(Таблица97[[#This Row],[НК]]=1,Таблица97[[#This Row],[Маржа]],"")</f>
        <v>1750</v>
      </c>
    </row>
    <row r="588" spans="1:15" ht="20.100000000000001" customHeight="1" x14ac:dyDescent="0.25">
      <c r="A588" s="2">
        <v>797</v>
      </c>
      <c r="B588" s="2" t="str">
        <f>TEXT(Таблица97[[#This Row],[Дата]],"ГГ")&amp;RIGHT("000"&amp;Таблица97[[#This Row],[Номер]],4)</f>
        <v>170797</v>
      </c>
      <c r="C588" s="129">
        <v>42993</v>
      </c>
      <c r="D588" s="2" t="s">
        <v>11</v>
      </c>
      <c r="E588" s="108">
        <v>30914</v>
      </c>
      <c r="F588" s="129">
        <v>43005</v>
      </c>
      <c r="H588" s="129">
        <v>43042</v>
      </c>
      <c r="I588" s="108">
        <f t="shared" si="25"/>
        <v>30914</v>
      </c>
      <c r="J588" s="108" t="str">
        <f>IF(Таблица97[[#This Row],[НК]]=1,Таблица97[[#This Row],[Продажа]],"")</f>
        <v/>
      </c>
      <c r="M588" s="108">
        <v>20443</v>
      </c>
      <c r="N588" s="108">
        <f>Таблица97[[#This Row],[Продажа]]-Таблица97[[#This Row],[Закупка]]</f>
        <v>10471</v>
      </c>
      <c r="O588" s="108" t="str">
        <f>IF(Таблица97[[#This Row],[НК]]=1,Таблица97[[#This Row],[Маржа]],"")</f>
        <v/>
      </c>
    </row>
    <row r="589" spans="1:15" ht="20.100000000000001" customHeight="1" x14ac:dyDescent="0.25">
      <c r="A589" s="2">
        <v>825</v>
      </c>
      <c r="B589" s="2" t="str">
        <f>TEXT(Таблица97[[#This Row],[Дата]],"ГГ")&amp;RIGHT("000"&amp;Таблица97[[#This Row],[Номер]],4)</f>
        <v>170825</v>
      </c>
      <c r="C589" s="129">
        <v>43003</v>
      </c>
      <c r="D589" s="2" t="s">
        <v>60</v>
      </c>
      <c r="E589" s="108">
        <v>5460</v>
      </c>
      <c r="F589" s="129">
        <v>43010</v>
      </c>
      <c r="H589" s="129">
        <v>43004</v>
      </c>
      <c r="I589" s="108">
        <f t="shared" ref="I589:I602" si="26">E589</f>
        <v>5460</v>
      </c>
      <c r="J589" s="108" t="str">
        <f>IF(Таблица97[[#This Row],[НК]]=1,Таблица97[[#This Row],[Продажа]],"")</f>
        <v/>
      </c>
      <c r="M589" s="108">
        <v>4106</v>
      </c>
      <c r="N589" s="108">
        <f>Таблица97[[#This Row],[Продажа]]-Таблица97[[#This Row],[Закупка]]</f>
        <v>1354</v>
      </c>
      <c r="O589" s="108" t="str">
        <f>IF(Таблица97[[#This Row],[НК]]=1,Таблица97[[#This Row],[Маржа]],"")</f>
        <v/>
      </c>
    </row>
    <row r="590" spans="1:15" ht="20.100000000000001" customHeight="1" x14ac:dyDescent="0.25">
      <c r="A590" s="2">
        <v>836</v>
      </c>
      <c r="B590" s="2" t="str">
        <f>TEXT(Таблица97[[#This Row],[Дата]],"ГГ")&amp;RIGHT("000"&amp;Таблица97[[#This Row],[Номер]],4)</f>
        <v>170836</v>
      </c>
      <c r="C590" s="129">
        <v>43007</v>
      </c>
      <c r="D590" s="2" t="s">
        <v>236</v>
      </c>
      <c r="E590" s="108">
        <v>4990</v>
      </c>
      <c r="F590" s="129">
        <v>43010</v>
      </c>
      <c r="H590" s="129">
        <v>43012</v>
      </c>
      <c r="I590" s="108">
        <f t="shared" si="26"/>
        <v>4990</v>
      </c>
      <c r="J590" s="108" t="str">
        <f>IF(Таблица97[[#This Row],[НК]]=1,Таблица97[[#This Row],[Продажа]],"")</f>
        <v/>
      </c>
      <c r="M590" s="108">
        <v>3374</v>
      </c>
      <c r="N590" s="108">
        <f>Таблица97[[#This Row],[Продажа]]-Таблица97[[#This Row],[Закупка]]</f>
        <v>1616</v>
      </c>
      <c r="O590" s="108" t="str">
        <f>IF(Таблица97[[#This Row],[НК]]=1,Таблица97[[#This Row],[Маржа]],"")</f>
        <v/>
      </c>
    </row>
    <row r="591" spans="1:15" ht="20.100000000000001" customHeight="1" x14ac:dyDescent="0.25">
      <c r="A591" s="2">
        <v>827</v>
      </c>
      <c r="B591" s="2" t="str">
        <f>TEXT(Таблица97[[#This Row],[Дата]],"ГГ")&amp;RIGHT("000"&amp;Таблица97[[#This Row],[Номер]],4)</f>
        <v>170827</v>
      </c>
      <c r="C591" s="129">
        <v>43005</v>
      </c>
      <c r="D591" s="2" t="s">
        <v>66</v>
      </c>
      <c r="E591" s="108">
        <v>7633</v>
      </c>
      <c r="F591" s="129">
        <v>43011</v>
      </c>
      <c r="H591" s="129">
        <v>43012</v>
      </c>
      <c r="I591" s="108">
        <f t="shared" si="26"/>
        <v>7633</v>
      </c>
      <c r="J591" s="108" t="str">
        <f>IF(Таблица97[[#This Row],[НК]]=1,Таблица97[[#This Row],[Продажа]],"")</f>
        <v/>
      </c>
      <c r="M591" s="108">
        <v>5138</v>
      </c>
      <c r="N591" s="108">
        <f>Таблица97[[#This Row],[Продажа]]-Таблица97[[#This Row],[Закупка]]</f>
        <v>2495</v>
      </c>
      <c r="O591" s="108" t="str">
        <f>IF(Таблица97[[#This Row],[НК]]=1,Таблица97[[#This Row],[Маржа]],"")</f>
        <v/>
      </c>
    </row>
    <row r="592" spans="1:15" ht="20.100000000000001" customHeight="1" x14ac:dyDescent="0.25">
      <c r="A592" s="2">
        <v>843</v>
      </c>
      <c r="B592" s="2" t="str">
        <f>TEXT(Таблица97[[#This Row],[Дата]],"ГГ")&amp;RIGHT("000"&amp;Таблица97[[#This Row],[Номер]],4)</f>
        <v>170843</v>
      </c>
      <c r="C592" s="129">
        <v>43010</v>
      </c>
      <c r="D592" s="2" t="s">
        <v>296</v>
      </c>
      <c r="E592" s="108">
        <v>16999</v>
      </c>
      <c r="F592" s="129">
        <v>43011</v>
      </c>
      <c r="G592" s="128">
        <v>1</v>
      </c>
      <c r="H592" s="129">
        <v>43014</v>
      </c>
      <c r="I592" s="108">
        <f t="shared" si="26"/>
        <v>16999</v>
      </c>
      <c r="J592" s="108">
        <f>IF(Таблица97[[#This Row],[НК]]=1,Таблица97[[#This Row],[Продажа]],"")</f>
        <v>16999</v>
      </c>
      <c r="M592" s="108">
        <v>12851</v>
      </c>
      <c r="N592" s="108">
        <f>Таблица97[[#This Row],[Продажа]]-Таблица97[[#This Row],[Закупка]]</f>
        <v>4148</v>
      </c>
      <c r="O592" s="108">
        <f>IF(Таблица97[[#This Row],[НК]]=1,Таблица97[[#This Row],[Маржа]],"")</f>
        <v>4148</v>
      </c>
    </row>
    <row r="593" spans="1:15" ht="20.100000000000001" customHeight="1" x14ac:dyDescent="0.25">
      <c r="A593" s="2">
        <v>814</v>
      </c>
      <c r="B593" s="2" t="str">
        <f>TEXT(Таблица97[[#This Row],[Дата]],"ГГ")&amp;RIGHT("000"&amp;Таблица97[[#This Row],[Номер]],4)</f>
        <v>170814</v>
      </c>
      <c r="C593" s="129">
        <v>42998</v>
      </c>
      <c r="D593" s="2" t="s">
        <v>50</v>
      </c>
      <c r="E593" s="108">
        <v>4843</v>
      </c>
      <c r="F593" s="129">
        <v>43011</v>
      </c>
      <c r="H593" s="129">
        <v>43026</v>
      </c>
      <c r="I593" s="108">
        <f t="shared" si="26"/>
        <v>4843</v>
      </c>
      <c r="J593" s="108" t="str">
        <f>IF(Таблица97[[#This Row],[НК]]=1,Таблица97[[#This Row],[Продажа]],"")</f>
        <v/>
      </c>
      <c r="M593" s="108">
        <v>3463</v>
      </c>
      <c r="N593" s="108">
        <f>Таблица97[[#This Row],[Продажа]]-Таблица97[[#This Row],[Закупка]]</f>
        <v>1380</v>
      </c>
      <c r="O593" s="108" t="str">
        <f>IF(Таблица97[[#This Row],[НК]]=1,Таблица97[[#This Row],[Маржа]],"")</f>
        <v/>
      </c>
    </row>
    <row r="594" spans="1:15" ht="20.100000000000001" customHeight="1" x14ac:dyDescent="0.25">
      <c r="A594" s="2">
        <v>839</v>
      </c>
      <c r="B594" s="2" t="str">
        <f>TEXT(Таблица97[[#This Row],[Дата]],"ГГ")&amp;RIGHT("000"&amp;Таблица97[[#This Row],[Номер]],4)</f>
        <v>170839</v>
      </c>
      <c r="C594" s="129">
        <v>43010</v>
      </c>
      <c r="D594" s="2" t="s">
        <v>295</v>
      </c>
      <c r="E594" s="108">
        <v>92900</v>
      </c>
      <c r="F594" s="129">
        <v>43011</v>
      </c>
      <c r="H594" s="129">
        <v>43056</v>
      </c>
      <c r="I594" s="108">
        <f t="shared" si="26"/>
        <v>92900</v>
      </c>
      <c r="J594" s="108" t="str">
        <f>IF(Таблица97[[#This Row],[НК]]=1,Таблица97[[#This Row],[Продажа]],"")</f>
        <v/>
      </c>
      <c r="L594" s="108">
        <f>2*600</f>
        <v>1200</v>
      </c>
      <c r="M594" s="108">
        <v>72126</v>
      </c>
      <c r="N594" s="108">
        <f>Таблица97[[#This Row],[Продажа]]-Таблица97[[#This Row],[Закупка]]</f>
        <v>20774</v>
      </c>
      <c r="O594" s="108" t="str">
        <f>IF(Таблица97[[#This Row],[НК]]=1,Таблица97[[#This Row],[Маржа]],"")</f>
        <v/>
      </c>
    </row>
    <row r="595" spans="1:15" ht="20.100000000000001" customHeight="1" x14ac:dyDescent="0.25">
      <c r="A595" s="2">
        <v>838</v>
      </c>
      <c r="B595" s="2" t="str">
        <f>TEXT(Таблица97[[#This Row],[Дата]],"ГГ")&amp;RIGHT("000"&amp;Таблица97[[#This Row],[Номер]],4)</f>
        <v>170838</v>
      </c>
      <c r="C595" s="129">
        <v>43012</v>
      </c>
      <c r="D595" s="2" t="s">
        <v>216</v>
      </c>
      <c r="E595" s="108">
        <v>9972.0499999999993</v>
      </c>
      <c r="F595" s="129">
        <v>43013</v>
      </c>
      <c r="H595" s="129">
        <v>43056</v>
      </c>
      <c r="I595" s="108">
        <f t="shared" si="26"/>
        <v>9972.0499999999993</v>
      </c>
      <c r="J595" s="108" t="str">
        <f>IF(Таблица97[[#This Row],[НК]]=1,Таблица97[[#This Row],[Продажа]],"")</f>
        <v/>
      </c>
      <c r="M595" s="108">
        <v>9010</v>
      </c>
      <c r="N595" s="108">
        <f>Таблица97[[#This Row],[Продажа]]-Таблица97[[#This Row],[Закупка]]</f>
        <v>962.04999999999927</v>
      </c>
      <c r="O595" s="108" t="str">
        <f>IF(Таблица97[[#This Row],[НК]]=1,Таблица97[[#This Row],[Маржа]],"")</f>
        <v/>
      </c>
    </row>
    <row r="596" spans="1:15" ht="20.100000000000001" customHeight="1" x14ac:dyDescent="0.25">
      <c r="A596" s="2">
        <v>835</v>
      </c>
      <c r="B596" s="2" t="str">
        <f>TEXT(Таблица97[[#This Row],[Дата]],"ГГ")&amp;RIGHT("000"&amp;Таблица97[[#This Row],[Номер]],4)</f>
        <v>170835</v>
      </c>
      <c r="C596" s="129">
        <v>43007</v>
      </c>
      <c r="D596" s="2" t="s">
        <v>15</v>
      </c>
      <c r="E596" s="108">
        <v>1530</v>
      </c>
      <c r="F596" s="129">
        <v>43013</v>
      </c>
      <c r="H596" s="129">
        <v>43035</v>
      </c>
      <c r="I596" s="108">
        <f t="shared" si="26"/>
        <v>1530</v>
      </c>
      <c r="J596" s="108" t="str">
        <f>IF(Таблица97[[#This Row],[НК]]=1,Таблица97[[#This Row],[Продажа]],"")</f>
        <v/>
      </c>
      <c r="M596" s="108">
        <v>1193</v>
      </c>
      <c r="N596" s="108">
        <f>Таблица97[[#This Row],[Продажа]]-Таблица97[[#This Row],[Закупка]]</f>
        <v>337</v>
      </c>
      <c r="O596" s="108" t="str">
        <f>IF(Таблица97[[#This Row],[НК]]=1,Таблица97[[#This Row],[Маржа]],"")</f>
        <v/>
      </c>
    </row>
    <row r="597" spans="1:15" ht="20.100000000000001" customHeight="1" x14ac:dyDescent="0.25">
      <c r="A597" s="2">
        <v>864</v>
      </c>
      <c r="B597" s="2" t="str">
        <f>TEXT(Таблица97[[#This Row],[Дата]],"ГГ")&amp;RIGHT("000"&amp;Таблица97[[#This Row],[Номер]],4)</f>
        <v>170864</v>
      </c>
      <c r="C597" s="129">
        <v>43014</v>
      </c>
      <c r="D597" s="2" t="s">
        <v>296</v>
      </c>
      <c r="E597" s="108">
        <v>553</v>
      </c>
      <c r="F597" s="129">
        <v>43014</v>
      </c>
      <c r="G597" s="128">
        <v>1</v>
      </c>
      <c r="H597" s="129">
        <v>43014</v>
      </c>
      <c r="I597" s="108">
        <f t="shared" si="26"/>
        <v>553</v>
      </c>
      <c r="J597" s="108">
        <f>IF(Таблица97[[#This Row],[НК]]=1,Таблица97[[#This Row],[Продажа]],"")</f>
        <v>553</v>
      </c>
      <c r="M597" s="108">
        <v>431</v>
      </c>
      <c r="N597" s="108">
        <f>Таблица97[[#This Row],[Продажа]]-Таблица97[[#This Row],[Закупка]]</f>
        <v>122</v>
      </c>
      <c r="O597" s="108">
        <f>IF(Таблица97[[#This Row],[НК]]=1,Таблица97[[#This Row],[Маржа]],"")</f>
        <v>122</v>
      </c>
    </row>
    <row r="598" spans="1:15" ht="20.100000000000001" customHeight="1" x14ac:dyDescent="0.25">
      <c r="A598" s="2">
        <v>840</v>
      </c>
      <c r="B598" s="2" t="str">
        <f>TEXT(Таблица97[[#This Row],[Дата]],"ГГ")&amp;RIGHT("000"&amp;Таблица97[[#This Row],[Номер]],4)</f>
        <v>170840</v>
      </c>
      <c r="C598" s="129">
        <v>43010</v>
      </c>
      <c r="D598" s="2" t="s">
        <v>139</v>
      </c>
      <c r="E598" s="108">
        <v>17528</v>
      </c>
      <c r="F598" s="129">
        <v>43014</v>
      </c>
      <c r="H598" s="129">
        <v>43027</v>
      </c>
      <c r="I598" s="108">
        <f t="shared" si="26"/>
        <v>17528</v>
      </c>
      <c r="J598" s="108" t="str">
        <f>IF(Таблица97[[#This Row],[НК]]=1,Таблица97[[#This Row],[Продажа]],"")</f>
        <v/>
      </c>
      <c r="M598" s="108">
        <v>13044</v>
      </c>
      <c r="N598" s="108">
        <f>Таблица97[[#This Row],[Продажа]]-Таблица97[[#This Row],[Закупка]]</f>
        <v>4484</v>
      </c>
      <c r="O598" s="108" t="str">
        <f>IF(Таблица97[[#This Row],[НК]]=1,Таблица97[[#This Row],[Маржа]],"")</f>
        <v/>
      </c>
    </row>
    <row r="599" spans="1:15" ht="20.100000000000001" customHeight="1" x14ac:dyDescent="0.25">
      <c r="A599" s="2">
        <v>776</v>
      </c>
      <c r="B599" s="2" t="str">
        <f>TEXT(Таблица97[[#This Row],[Дата]],"ГГ")&amp;RIGHT("000"&amp;Таблица97[[#This Row],[Номер]],4)</f>
        <v>170776</v>
      </c>
      <c r="C599" s="129">
        <v>42985</v>
      </c>
      <c r="D599" s="2" t="s">
        <v>56</v>
      </c>
      <c r="E599" s="108">
        <v>5200</v>
      </c>
      <c r="F599" s="129">
        <v>43018</v>
      </c>
      <c r="H599" s="129">
        <v>42986</v>
      </c>
      <c r="I599" s="108">
        <f t="shared" si="26"/>
        <v>5200</v>
      </c>
      <c r="J599" s="108" t="str">
        <f>IF(Таблица97[[#This Row],[НК]]=1,Таблица97[[#This Row],[Продажа]],"")</f>
        <v/>
      </c>
      <c r="M599" s="108">
        <v>3233</v>
      </c>
      <c r="N599" s="108">
        <f>Таблица97[[#This Row],[Продажа]]-Таблица97[[#This Row],[Закупка]]</f>
        <v>1967</v>
      </c>
      <c r="O599" s="108" t="str">
        <f>IF(Таблица97[[#This Row],[НК]]=1,Таблица97[[#This Row],[Маржа]],"")</f>
        <v/>
      </c>
    </row>
    <row r="600" spans="1:15" ht="20.100000000000001" customHeight="1" x14ac:dyDescent="0.25">
      <c r="A600" s="2">
        <v>867</v>
      </c>
      <c r="B600" s="2" t="str">
        <f>TEXT(Таблица97[[#This Row],[Дата]],"ГГ")&amp;RIGHT("000"&amp;Таблица97[[#This Row],[Номер]],4)</f>
        <v>170867</v>
      </c>
      <c r="C600" s="129">
        <v>43017</v>
      </c>
      <c r="D600" s="2" t="s">
        <v>101</v>
      </c>
      <c r="E600" s="108">
        <v>8102</v>
      </c>
      <c r="F600" s="129">
        <v>43018</v>
      </c>
      <c r="H600" s="129">
        <v>43028</v>
      </c>
      <c r="I600" s="108">
        <f t="shared" si="26"/>
        <v>8102</v>
      </c>
      <c r="J600" s="108" t="str">
        <f>IF(Таблица97[[#This Row],[НК]]=1,Таблица97[[#This Row],[Продажа]],"")</f>
        <v/>
      </c>
      <c r="M600" s="108">
        <v>5347</v>
      </c>
      <c r="N600" s="108">
        <f>Таблица97[[#This Row],[Продажа]]-Таблица97[[#This Row],[Закупка]]</f>
        <v>2755</v>
      </c>
      <c r="O600" s="108" t="str">
        <f>IF(Таблица97[[#This Row],[НК]]=1,Таблица97[[#This Row],[Маржа]],"")</f>
        <v/>
      </c>
    </row>
    <row r="601" spans="1:15" ht="20.100000000000001" customHeight="1" x14ac:dyDescent="0.25">
      <c r="A601" s="2">
        <v>874</v>
      </c>
      <c r="B601" s="2" t="str">
        <f>TEXT(Таблица97[[#This Row],[Дата]],"ГГ")&amp;RIGHT("000"&amp;Таблица97[[#This Row],[Номер]],4)</f>
        <v>170874</v>
      </c>
      <c r="C601" s="129">
        <v>43018</v>
      </c>
      <c r="D601" s="2" t="s">
        <v>209</v>
      </c>
      <c r="E601" s="108">
        <v>5914.3</v>
      </c>
      <c r="F601" s="129">
        <v>43019</v>
      </c>
      <c r="H601" s="129">
        <v>43018</v>
      </c>
      <c r="I601" s="108">
        <f t="shared" si="26"/>
        <v>5914.3</v>
      </c>
      <c r="J601" s="108" t="str">
        <f>IF(Таблица97[[#This Row],[НК]]=1,Таблица97[[#This Row],[Продажа]],"")</f>
        <v/>
      </c>
      <c r="M601" s="108">
        <v>5358</v>
      </c>
      <c r="N601" s="108">
        <f>Таблица97[[#This Row],[Продажа]]-Таблица97[[#This Row],[Закупка]]</f>
        <v>556.30000000000018</v>
      </c>
      <c r="O601" s="108" t="str">
        <f>IF(Таблица97[[#This Row],[НК]]=1,Таблица97[[#This Row],[Маржа]],"")</f>
        <v/>
      </c>
    </row>
    <row r="602" spans="1:15" ht="20.100000000000001" customHeight="1" x14ac:dyDescent="0.25">
      <c r="A602" s="2">
        <v>825</v>
      </c>
      <c r="B602" s="2" t="str">
        <f>TEXT(Таблица97[[#This Row],[Дата]],"ГГ")&amp;RIGHT("000"&amp;Таблица97[[#This Row],[Номер]],4)</f>
        <v>170825</v>
      </c>
      <c r="C602" s="129">
        <v>43003</v>
      </c>
      <c r="D602" s="2" t="s">
        <v>60</v>
      </c>
      <c r="E602" s="108">
        <v>1365</v>
      </c>
      <c r="F602" s="129">
        <v>43019</v>
      </c>
      <c r="H602" s="129">
        <v>43013</v>
      </c>
      <c r="I602" s="108">
        <f t="shared" si="26"/>
        <v>1365</v>
      </c>
      <c r="J602" s="108" t="str">
        <f>IF(Таблица97[[#This Row],[НК]]=1,Таблица97[[#This Row],[Продажа]],"")</f>
        <v/>
      </c>
      <c r="M602" s="108">
        <v>1064</v>
      </c>
      <c r="N602" s="108">
        <f>Таблица97[[#This Row],[Продажа]]-Таблица97[[#This Row],[Закупка]]</f>
        <v>301</v>
      </c>
      <c r="O602" s="108" t="str">
        <f>IF(Таблица97[[#This Row],[НК]]=1,Таблица97[[#This Row],[Маржа]],"")</f>
        <v/>
      </c>
    </row>
    <row r="603" spans="1:15" ht="20.100000000000001" customHeight="1" x14ac:dyDescent="0.25">
      <c r="A603" s="2">
        <v>871</v>
      </c>
      <c r="B603" s="2" t="str">
        <f>TEXT(Таблица97[[#This Row],[Дата]],"ГГ")&amp;RIGHT("000"&amp;Таблица97[[#This Row],[Номер]],4)</f>
        <v>170871</v>
      </c>
      <c r="C603" s="129">
        <v>43018</v>
      </c>
      <c r="D603" s="2" t="s">
        <v>147</v>
      </c>
      <c r="E603" s="108">
        <v>105076</v>
      </c>
      <c r="F603" s="129">
        <v>43020</v>
      </c>
      <c r="H603" s="129">
        <v>43021</v>
      </c>
      <c r="I603" s="108">
        <f>E603/2</f>
        <v>52538</v>
      </c>
      <c r="J603" s="108" t="str">
        <f>IF(Таблица97[[#This Row],[НК]]=1,Таблица97[[#This Row],[Продажа]],"")</f>
        <v/>
      </c>
      <c r="M603" s="108">
        <v>40146</v>
      </c>
      <c r="N603" s="108">
        <f>Таблица97[[#This Row],[Продажа]]-Таблица97[[#This Row],[Закупка]]</f>
        <v>12392</v>
      </c>
      <c r="O603" s="108" t="str">
        <f>IF(Таблица97[[#This Row],[НК]]=1,Таблица97[[#This Row],[Маржа]],"")</f>
        <v/>
      </c>
    </row>
    <row r="604" spans="1:15" ht="20.100000000000001" customHeight="1" x14ac:dyDescent="0.25">
      <c r="A604" s="2">
        <v>854</v>
      </c>
      <c r="B604" s="2" t="str">
        <f>TEXT(Таблица97[[#This Row],[Дата]],"ГГ")&amp;RIGHT("000"&amp;Таблица97[[#This Row],[Номер]],4)</f>
        <v>170854</v>
      </c>
      <c r="C604" s="129">
        <v>43012</v>
      </c>
      <c r="D604" s="2" t="s">
        <v>186</v>
      </c>
      <c r="E604" s="108">
        <v>30790</v>
      </c>
      <c r="F604" s="129">
        <v>43020</v>
      </c>
      <c r="H604" s="129">
        <v>43024</v>
      </c>
      <c r="I604" s="108">
        <f>E604</f>
        <v>30790</v>
      </c>
      <c r="J604" s="108" t="str">
        <f>IF(Таблица97[[#This Row],[НК]]=1,Таблица97[[#This Row],[Продажа]],"")</f>
        <v/>
      </c>
      <c r="M604" s="108">
        <v>23277</v>
      </c>
      <c r="N604" s="108">
        <f>Таблица97[[#This Row],[Продажа]]-Таблица97[[#This Row],[Закупка]]</f>
        <v>7513</v>
      </c>
      <c r="O604" s="108" t="str">
        <f>IF(Таблица97[[#This Row],[НК]]=1,Таблица97[[#This Row],[Маржа]],"")</f>
        <v/>
      </c>
    </row>
    <row r="605" spans="1:15" ht="20.100000000000001" customHeight="1" x14ac:dyDescent="0.25">
      <c r="A605" s="2">
        <v>881</v>
      </c>
      <c r="B605" s="2" t="str">
        <f>TEXT(Таблица97[[#This Row],[Дата]],"ГГ")&amp;RIGHT("000"&amp;Таблица97[[#This Row],[Номер]],4)</f>
        <v>170881</v>
      </c>
      <c r="C605" s="129">
        <v>43020</v>
      </c>
      <c r="D605" s="2" t="s">
        <v>276</v>
      </c>
      <c r="E605" s="108">
        <v>4812</v>
      </c>
      <c r="F605" s="129">
        <v>43020</v>
      </c>
      <c r="H605" s="129">
        <v>43021</v>
      </c>
      <c r="I605" s="108">
        <f>E605</f>
        <v>4812</v>
      </c>
      <c r="J605" s="108" t="str">
        <f>IF(Таблица97[[#This Row],[НК]]=1,Таблица97[[#This Row],[Продажа]],"")</f>
        <v/>
      </c>
      <c r="M605" s="108">
        <v>3485</v>
      </c>
      <c r="N605" s="108">
        <f>Таблица97[[#This Row],[Продажа]]-Таблица97[[#This Row],[Закупка]]</f>
        <v>1327</v>
      </c>
      <c r="O605" s="108" t="str">
        <f>IF(Таблица97[[#This Row],[НК]]=1,Таблица97[[#This Row],[Маржа]],"")</f>
        <v/>
      </c>
    </row>
    <row r="606" spans="1:15" ht="20.100000000000001" customHeight="1" x14ac:dyDescent="0.25">
      <c r="A606" s="2">
        <v>878</v>
      </c>
      <c r="B606" s="2" t="str">
        <f>TEXT(Таблица97[[#This Row],[Дата]],"ГГ")&amp;RIGHT("000"&amp;Таблица97[[#This Row],[Номер]],4)</f>
        <v>170878</v>
      </c>
      <c r="C606" s="129">
        <v>43019</v>
      </c>
      <c r="D606" s="2" t="s">
        <v>16</v>
      </c>
      <c r="E606" s="108">
        <v>18299.2</v>
      </c>
      <c r="F606" s="129">
        <v>43021</v>
      </c>
      <c r="H606" s="129">
        <v>43031</v>
      </c>
      <c r="I606" s="108">
        <f>E606</f>
        <v>18299.2</v>
      </c>
      <c r="J606" s="108" t="str">
        <f>IF(Таблица97[[#This Row],[НК]]=1,Таблица97[[#This Row],[Продажа]],"")</f>
        <v/>
      </c>
      <c r="M606" s="108">
        <v>12872</v>
      </c>
      <c r="N606" s="108">
        <f>Таблица97[[#This Row],[Продажа]]-Таблица97[[#This Row],[Закупка]]</f>
        <v>5427.2000000000007</v>
      </c>
      <c r="O606" s="108" t="str">
        <f>IF(Таблица97[[#This Row],[НК]]=1,Таблица97[[#This Row],[Маржа]],"")</f>
        <v/>
      </c>
    </row>
    <row r="607" spans="1:15" ht="20.100000000000001" customHeight="1" x14ac:dyDescent="0.25">
      <c r="A607" s="2">
        <v>885</v>
      </c>
      <c r="B607" s="2" t="str">
        <f>TEXT(Таблица97[[#This Row],[Дата]],"ГГ")&amp;RIGHT("000"&amp;Таблица97[[#This Row],[Номер]],4)</f>
        <v>170885</v>
      </c>
      <c r="C607" s="129">
        <v>43024</v>
      </c>
      <c r="D607" s="2" t="s">
        <v>297</v>
      </c>
      <c r="E607" s="108">
        <v>82637</v>
      </c>
      <c r="F607" s="129">
        <v>43024</v>
      </c>
      <c r="G607" s="128">
        <v>1</v>
      </c>
      <c r="H607" s="129">
        <v>43024</v>
      </c>
      <c r="I607" s="108">
        <f>E607</f>
        <v>82637</v>
      </c>
      <c r="J607" s="108">
        <f>IF(Таблица97[[#This Row],[НК]]=1,Таблица97[[#This Row],[Продажа]],"")</f>
        <v>82637</v>
      </c>
      <c r="M607" s="108">
        <v>62585</v>
      </c>
      <c r="N607" s="108">
        <f>Таблица97[[#This Row],[Продажа]]-Таблица97[[#This Row],[Закупка]]</f>
        <v>20052</v>
      </c>
      <c r="O607" s="108">
        <f>IF(Таблица97[[#This Row],[НК]]=1,Таблица97[[#This Row],[Маржа]],"")</f>
        <v>20052</v>
      </c>
    </row>
    <row r="608" spans="1:15" ht="20.100000000000001" customHeight="1" x14ac:dyDescent="0.25">
      <c r="A608" s="2">
        <v>871</v>
      </c>
      <c r="B608" s="2" t="str">
        <f>TEXT(Таблица97[[#This Row],[Дата]],"ГГ")&amp;RIGHT("000"&amp;Таблица97[[#This Row],[Номер]],4)</f>
        <v>170871</v>
      </c>
      <c r="C608" s="129">
        <v>43018</v>
      </c>
      <c r="D608" s="2" t="s">
        <v>147</v>
      </c>
      <c r="E608" s="108">
        <v>105076</v>
      </c>
      <c r="F608" s="129">
        <v>43025</v>
      </c>
      <c r="H608" s="129">
        <v>43039</v>
      </c>
      <c r="I608" s="108">
        <f>E608/2</f>
        <v>52538</v>
      </c>
      <c r="J608" s="108" t="str">
        <f>IF(Таблица97[[#This Row],[НК]]=1,Таблица97[[#This Row],[Продажа]],"")</f>
        <v/>
      </c>
      <c r="M608" s="108">
        <v>40146</v>
      </c>
      <c r="N608" s="108">
        <f>Таблица97[[#This Row],[Продажа]]-Таблица97[[#This Row],[Закупка]]</f>
        <v>12392</v>
      </c>
      <c r="O608" s="108" t="str">
        <f>IF(Таблица97[[#This Row],[НК]]=1,Таблица97[[#This Row],[Маржа]],"")</f>
        <v/>
      </c>
    </row>
    <row r="609" spans="1:15" ht="20.100000000000001" customHeight="1" x14ac:dyDescent="0.25">
      <c r="A609" s="2">
        <v>896</v>
      </c>
      <c r="B609" s="2" t="str">
        <f>TEXT(Таблица97[[#This Row],[Дата]],"ГГ")&amp;RIGHT("000"&amp;Таблица97[[#This Row],[Номер]],4)</f>
        <v>170896</v>
      </c>
      <c r="C609" s="129">
        <v>43025</v>
      </c>
      <c r="D609" s="2" t="s">
        <v>295</v>
      </c>
      <c r="E609" s="108">
        <v>1949</v>
      </c>
      <c r="F609" s="129">
        <v>43027</v>
      </c>
      <c r="H609" s="129">
        <v>43056</v>
      </c>
      <c r="I609" s="108">
        <f t="shared" ref="I609:I628" si="27">E609</f>
        <v>1949</v>
      </c>
      <c r="J609" s="108" t="str">
        <f>IF(Таблица97[[#This Row],[НК]]=1,Таблица97[[#This Row],[Продажа]],"")</f>
        <v/>
      </c>
      <c r="M609" s="108">
        <v>1521</v>
      </c>
      <c r="N609" s="108">
        <f>Таблица97[[#This Row],[Продажа]]-Таблица97[[#This Row],[Закупка]]</f>
        <v>428</v>
      </c>
      <c r="O609" s="108" t="str">
        <f>IF(Таблица97[[#This Row],[НК]]=1,Таблица97[[#This Row],[Маржа]],"")</f>
        <v/>
      </c>
    </row>
    <row r="610" spans="1:15" ht="20.100000000000001" customHeight="1" x14ac:dyDescent="0.25">
      <c r="A610" s="2">
        <v>892</v>
      </c>
      <c r="B610" s="2" t="str">
        <f>TEXT(Таблица97[[#This Row],[Дата]],"ГГ")&amp;RIGHT("000"&amp;Таблица97[[#This Row],[Номер]],4)</f>
        <v>170892</v>
      </c>
      <c r="C610" s="129">
        <v>43025</v>
      </c>
      <c r="D610" s="2" t="s">
        <v>118</v>
      </c>
      <c r="E610" s="108">
        <v>1769.7</v>
      </c>
      <c r="F610" s="129">
        <v>43027</v>
      </c>
      <c r="H610" s="129">
        <v>43062</v>
      </c>
      <c r="I610" s="108">
        <f t="shared" si="27"/>
        <v>1769.7</v>
      </c>
      <c r="J610" s="108" t="str">
        <f>IF(Таблица97[[#This Row],[НК]]=1,Таблица97[[#This Row],[Продажа]],"")</f>
        <v/>
      </c>
      <c r="M610" s="108">
        <v>1624</v>
      </c>
      <c r="N610" s="108">
        <f>Таблица97[[#This Row],[Продажа]]-Таблица97[[#This Row],[Закупка]]</f>
        <v>145.70000000000005</v>
      </c>
      <c r="O610" s="108" t="str">
        <f>IF(Таблица97[[#This Row],[НК]]=1,Таблица97[[#This Row],[Маржа]],"")</f>
        <v/>
      </c>
    </row>
    <row r="611" spans="1:15" ht="20.100000000000001" customHeight="1" x14ac:dyDescent="0.25">
      <c r="A611" s="2">
        <v>876</v>
      </c>
      <c r="B611" s="2" t="str">
        <f>TEXT(Таблица97[[#This Row],[Дата]],"ГГ")&amp;RIGHT("000"&amp;Таблица97[[#This Row],[Номер]],4)</f>
        <v>170876</v>
      </c>
      <c r="C611" s="129">
        <v>43018</v>
      </c>
      <c r="D611" s="2" t="s">
        <v>11</v>
      </c>
      <c r="E611" s="108">
        <v>3242</v>
      </c>
      <c r="F611" s="129">
        <v>43028</v>
      </c>
      <c r="H611" s="129">
        <v>43028</v>
      </c>
      <c r="I611" s="108">
        <f t="shared" si="27"/>
        <v>3242</v>
      </c>
      <c r="J611" s="108" t="str">
        <f>IF(Таблица97[[#This Row],[НК]]=1,Таблица97[[#This Row],[Продажа]],"")</f>
        <v/>
      </c>
      <c r="M611" s="108">
        <v>2438</v>
      </c>
      <c r="N611" s="108">
        <f>Таблица97[[#This Row],[Продажа]]-Таблица97[[#This Row],[Закупка]]</f>
        <v>804</v>
      </c>
      <c r="O611" s="108" t="str">
        <f>IF(Таблица97[[#This Row],[НК]]=1,Таблица97[[#This Row],[Маржа]],"")</f>
        <v/>
      </c>
    </row>
    <row r="612" spans="1:15" ht="20.100000000000001" customHeight="1" x14ac:dyDescent="0.25">
      <c r="A612" s="2">
        <v>904</v>
      </c>
      <c r="B612" s="2" t="str">
        <f>TEXT(Таблица97[[#This Row],[Дата]],"ГГ")&amp;RIGHT("000"&amp;Таблица97[[#This Row],[Номер]],4)</f>
        <v>170904</v>
      </c>
      <c r="C612" s="129">
        <v>43027</v>
      </c>
      <c r="D612" s="2" t="s">
        <v>298</v>
      </c>
      <c r="E612" s="108">
        <v>5863</v>
      </c>
      <c r="F612" s="129">
        <v>43028</v>
      </c>
      <c r="H612" s="129">
        <v>43032</v>
      </c>
      <c r="I612" s="108">
        <f t="shared" si="27"/>
        <v>5863</v>
      </c>
      <c r="J612" s="108" t="str">
        <f>IF(Таблица97[[#This Row],[НК]]=1,Таблица97[[#This Row],[Продажа]],"")</f>
        <v/>
      </c>
      <c r="M612" s="108">
        <v>4573</v>
      </c>
      <c r="N612" s="108">
        <f>Таблица97[[#This Row],[Продажа]]-Таблица97[[#This Row],[Закупка]]</f>
        <v>1290</v>
      </c>
      <c r="O612" s="108" t="str">
        <f>IF(Таблица97[[#This Row],[НК]]=1,Таблица97[[#This Row],[Маржа]],"")</f>
        <v/>
      </c>
    </row>
    <row r="613" spans="1:15" ht="20.100000000000001" customHeight="1" x14ac:dyDescent="0.25">
      <c r="A613" s="2">
        <v>862</v>
      </c>
      <c r="B613" s="2" t="str">
        <f>TEXT(Таблица97[[#This Row],[Дата]],"ГГ")&amp;RIGHT("000"&amp;Таблица97[[#This Row],[Номер]],4)</f>
        <v>170862</v>
      </c>
      <c r="C613" s="129">
        <v>43013</v>
      </c>
      <c r="D613" s="2" t="s">
        <v>56</v>
      </c>
      <c r="E613" s="108">
        <v>17696</v>
      </c>
      <c r="F613" s="129">
        <v>43031</v>
      </c>
      <c r="H613" s="129">
        <v>43019</v>
      </c>
      <c r="I613" s="108">
        <f t="shared" si="27"/>
        <v>17696</v>
      </c>
      <c r="J613" s="108" t="str">
        <f>IF(Таблица97[[#This Row],[НК]]=1,Таблица97[[#This Row],[Продажа]],"")</f>
        <v/>
      </c>
      <c r="M613" s="108">
        <v>13804</v>
      </c>
      <c r="N613" s="108">
        <f>Таблица97[[#This Row],[Продажа]]-Таблица97[[#This Row],[Закупка]]</f>
        <v>3892</v>
      </c>
      <c r="O613" s="108" t="str">
        <f>IF(Таблица97[[#This Row],[НК]]=1,Таблица97[[#This Row],[Маржа]],"")</f>
        <v/>
      </c>
    </row>
    <row r="614" spans="1:15" ht="20.100000000000001" customHeight="1" x14ac:dyDescent="0.25">
      <c r="A614" s="2">
        <v>888</v>
      </c>
      <c r="B614" s="2" t="str">
        <f>TEXT(Таблица97[[#This Row],[Дата]],"ГГ")&amp;RIGHT("000"&amp;Таблица97[[#This Row],[Номер]],4)</f>
        <v>170888</v>
      </c>
      <c r="C614" s="129">
        <v>43024</v>
      </c>
      <c r="D614" s="2" t="s">
        <v>202</v>
      </c>
      <c r="E614" s="108">
        <v>9630</v>
      </c>
      <c r="F614" s="129">
        <v>43031</v>
      </c>
      <c r="H614" s="129">
        <v>43055</v>
      </c>
      <c r="I614" s="108">
        <f t="shared" si="27"/>
        <v>9630</v>
      </c>
      <c r="J614" s="108" t="str">
        <f>IF(Таблица97[[#This Row],[НК]]=1,Таблица97[[#This Row],[Продажа]],"")</f>
        <v/>
      </c>
      <c r="M614" s="108">
        <v>8894</v>
      </c>
      <c r="N614" s="108">
        <f>Таблица97[[#This Row],[Продажа]]-Таблица97[[#This Row],[Закупка]]</f>
        <v>736</v>
      </c>
      <c r="O614" s="108" t="str">
        <f>IF(Таблица97[[#This Row],[НК]]=1,Таблица97[[#This Row],[Маржа]],"")</f>
        <v/>
      </c>
    </row>
    <row r="615" spans="1:15" ht="20.100000000000001" customHeight="1" x14ac:dyDescent="0.25">
      <c r="A615" s="2">
        <v>907</v>
      </c>
      <c r="B615" s="2" t="str">
        <f>TEXT(Таблица97[[#This Row],[Дата]],"ГГ")&amp;RIGHT("000"&amp;Таблица97[[#This Row],[Номер]],4)</f>
        <v>170907</v>
      </c>
      <c r="C615" s="129">
        <v>43028</v>
      </c>
      <c r="D615" s="2" t="s">
        <v>299</v>
      </c>
      <c r="E615" s="108">
        <v>30790</v>
      </c>
      <c r="F615" s="129">
        <v>43032</v>
      </c>
      <c r="G615" s="128">
        <v>1</v>
      </c>
      <c r="H615" s="129">
        <v>43042</v>
      </c>
      <c r="I615" s="108">
        <f t="shared" si="27"/>
        <v>30790</v>
      </c>
      <c r="J615" s="108">
        <f>IF(Таблица97[[#This Row],[НК]]=1,Таблица97[[#This Row],[Продажа]],"")</f>
        <v>30790</v>
      </c>
      <c r="M615" s="108">
        <v>23277</v>
      </c>
      <c r="N615" s="108">
        <f>Таблица97[[#This Row],[Продажа]]-Таблица97[[#This Row],[Закупка]]</f>
        <v>7513</v>
      </c>
      <c r="O615" s="108">
        <f>IF(Таблица97[[#This Row],[НК]]=1,Таблица97[[#This Row],[Маржа]],"")</f>
        <v>7513</v>
      </c>
    </row>
    <row r="616" spans="1:15" ht="20.100000000000001" customHeight="1" x14ac:dyDescent="0.25">
      <c r="A616" s="2">
        <v>910</v>
      </c>
      <c r="B616" s="2" t="str">
        <f>TEXT(Таблица97[[#This Row],[Дата]],"ГГ")&amp;RIGHT("000"&amp;Таблица97[[#This Row],[Номер]],4)</f>
        <v>170910</v>
      </c>
      <c r="C616" s="129">
        <v>43031</v>
      </c>
      <c r="D616" s="2" t="s">
        <v>257</v>
      </c>
      <c r="E616" s="108">
        <v>4499</v>
      </c>
      <c r="F616" s="129">
        <v>43032</v>
      </c>
      <c r="H616" s="129">
        <v>43033</v>
      </c>
      <c r="I616" s="108">
        <f t="shared" si="27"/>
        <v>4499</v>
      </c>
      <c r="J616" s="108" t="str">
        <f>IF(Таблица97[[#This Row],[НК]]=1,Таблица97[[#This Row],[Продажа]],"")</f>
        <v/>
      </c>
      <c r="M616" s="108">
        <v>1500</v>
      </c>
      <c r="N616" s="108">
        <f>Таблица97[[#This Row],[Продажа]]-Таблица97[[#This Row],[Закупка]]</f>
        <v>2999</v>
      </c>
      <c r="O616" s="108" t="str">
        <f>IF(Таблица97[[#This Row],[НК]]=1,Таблица97[[#This Row],[Маржа]],"")</f>
        <v/>
      </c>
    </row>
    <row r="617" spans="1:15" ht="20.100000000000001" customHeight="1" x14ac:dyDescent="0.25">
      <c r="A617" s="2">
        <v>618</v>
      </c>
      <c r="B617" s="2" t="str">
        <f>TEXT(Таблица97[[#This Row],[Дата]],"ГГ")&amp;RIGHT("000"&amp;Таблица97[[#This Row],[Номер]],4)</f>
        <v>170618</v>
      </c>
      <c r="C617" s="129">
        <v>42950</v>
      </c>
      <c r="D617" s="2" t="s">
        <v>99</v>
      </c>
      <c r="E617" s="108">
        <v>3436</v>
      </c>
      <c r="F617" s="129">
        <v>43033</v>
      </c>
      <c r="H617" s="129">
        <v>42950</v>
      </c>
      <c r="I617" s="108">
        <f t="shared" si="27"/>
        <v>3436</v>
      </c>
      <c r="J617" s="108" t="str">
        <f>IF(Таблица97[[#This Row],[НК]]=1,Таблица97[[#This Row],[Продажа]],"")</f>
        <v/>
      </c>
      <c r="M617" s="108">
        <v>2488</v>
      </c>
      <c r="N617" s="108">
        <f>Таблица97[[#This Row],[Продажа]]-Таблица97[[#This Row],[Закупка]]</f>
        <v>948</v>
      </c>
      <c r="O617" s="108" t="str">
        <f>IF(Таблица97[[#This Row],[НК]]=1,Таблица97[[#This Row],[Маржа]],"")</f>
        <v/>
      </c>
    </row>
    <row r="618" spans="1:15" ht="20.100000000000001" customHeight="1" x14ac:dyDescent="0.25">
      <c r="A618" s="2">
        <v>625</v>
      </c>
      <c r="B618" s="2" t="str">
        <f>TEXT(Таблица97[[#This Row],[Дата]],"ГГ")&amp;RIGHT("000"&amp;Таблица97[[#This Row],[Номер]],4)</f>
        <v>170625</v>
      </c>
      <c r="C618" s="129">
        <v>42951</v>
      </c>
      <c r="D618" s="2" t="s">
        <v>99</v>
      </c>
      <c r="E618" s="108">
        <v>8590</v>
      </c>
      <c r="F618" s="129">
        <v>43033</v>
      </c>
      <c r="H618" s="129">
        <v>42954</v>
      </c>
      <c r="I618" s="108">
        <f t="shared" si="27"/>
        <v>8590</v>
      </c>
      <c r="J618" s="108" t="str">
        <f>IF(Таблица97[[#This Row],[НК]]=1,Таблица97[[#This Row],[Продажа]],"")</f>
        <v/>
      </c>
      <c r="M618" s="108">
        <v>6220</v>
      </c>
      <c r="N618" s="108">
        <f>Таблица97[[#This Row],[Продажа]]-Таблица97[[#This Row],[Закупка]]</f>
        <v>2370</v>
      </c>
      <c r="O618" s="108" t="str">
        <f>IF(Таблица97[[#This Row],[НК]]=1,Таблица97[[#This Row],[Маржа]],"")</f>
        <v/>
      </c>
    </row>
    <row r="619" spans="1:15" ht="20.100000000000001" customHeight="1" x14ac:dyDescent="0.25">
      <c r="A619" s="2">
        <v>761</v>
      </c>
      <c r="B619" s="2" t="str">
        <f>TEXT(Таблица97[[#This Row],[Дата]],"ГГ")&amp;RIGHT("000"&amp;Таблица97[[#This Row],[Номер]],4)</f>
        <v>170761</v>
      </c>
      <c r="C619" s="129">
        <v>42982</v>
      </c>
      <c r="D619" s="2" t="s">
        <v>99</v>
      </c>
      <c r="E619" s="108">
        <v>93779</v>
      </c>
      <c r="F619" s="129">
        <v>43033</v>
      </c>
      <c r="H619" s="129">
        <v>42984</v>
      </c>
      <c r="I619" s="108">
        <f t="shared" si="27"/>
        <v>93779</v>
      </c>
      <c r="J619" s="108" t="str">
        <f>IF(Таблица97[[#This Row],[НК]]=1,Таблица97[[#This Row],[Продажа]],"")</f>
        <v/>
      </c>
      <c r="M619" s="108">
        <v>67750</v>
      </c>
      <c r="N619" s="108">
        <f>Таблица97[[#This Row],[Продажа]]-Таблица97[[#This Row],[Закупка]]</f>
        <v>26029</v>
      </c>
      <c r="O619" s="108" t="str">
        <f>IF(Таблица97[[#This Row],[НК]]=1,Таблица97[[#This Row],[Маржа]],"")</f>
        <v/>
      </c>
    </row>
    <row r="620" spans="1:15" ht="20.100000000000001" customHeight="1" x14ac:dyDescent="0.25">
      <c r="A620" s="2">
        <v>761</v>
      </c>
      <c r="B620" s="2" t="str">
        <f>TEXT(Таблица97[[#This Row],[Дата]],"ГГ")&amp;RIGHT("000"&amp;Таблица97[[#This Row],[Номер]],4)</f>
        <v>170761</v>
      </c>
      <c r="C620" s="129">
        <v>42982</v>
      </c>
      <c r="D620" s="2" t="s">
        <v>99</v>
      </c>
      <c r="E620" s="108">
        <v>70992</v>
      </c>
      <c r="F620" s="129">
        <v>43033</v>
      </c>
      <c r="H620" s="129">
        <v>42996</v>
      </c>
      <c r="I620" s="108">
        <f t="shared" si="27"/>
        <v>70992</v>
      </c>
      <c r="J620" s="108" t="str">
        <f>IF(Таблица97[[#This Row],[НК]]=1,Таблица97[[#This Row],[Продажа]],"")</f>
        <v/>
      </c>
      <c r="K620" s="108">
        <v>18000</v>
      </c>
      <c r="L620" s="108">
        <f>600*12</f>
        <v>7200</v>
      </c>
      <c r="M620" s="108">
        <v>7368</v>
      </c>
      <c r="N620" s="108">
        <f>Таблица97[[#This Row],[Продажа]]-Таблица97[[#This Row],[Закупка]]</f>
        <v>63624</v>
      </c>
      <c r="O620" s="108" t="str">
        <f>IF(Таблица97[[#This Row],[НК]]=1,Таблица97[[#This Row],[Маржа]],"")</f>
        <v/>
      </c>
    </row>
    <row r="621" spans="1:15" ht="20.100000000000001" customHeight="1" x14ac:dyDescent="0.25">
      <c r="A621" s="2">
        <v>826</v>
      </c>
      <c r="B621" s="2" t="str">
        <f>TEXT(Таблица97[[#This Row],[Дата]],"ГГ")&amp;RIGHT("000"&amp;Таблица97[[#This Row],[Номер]],4)</f>
        <v>170826</v>
      </c>
      <c r="C621" s="129">
        <v>43004</v>
      </c>
      <c r="D621" s="2" t="s">
        <v>99</v>
      </c>
      <c r="E621" s="108">
        <v>19708</v>
      </c>
      <c r="F621" s="129">
        <v>43033</v>
      </c>
      <c r="H621" s="129">
        <v>43004</v>
      </c>
      <c r="I621" s="108">
        <f t="shared" si="27"/>
        <v>19708</v>
      </c>
      <c r="J621" s="108" t="str">
        <f>IF(Таблица97[[#This Row],[НК]]=1,Таблица97[[#This Row],[Продажа]],"")</f>
        <v/>
      </c>
      <c r="M621" s="108">
        <v>15349</v>
      </c>
      <c r="N621" s="108">
        <f>Таблица97[[#This Row],[Продажа]]-Таблица97[[#This Row],[Закупка]]</f>
        <v>4359</v>
      </c>
      <c r="O621" s="108" t="str">
        <f>IF(Таблица97[[#This Row],[НК]]=1,Таблица97[[#This Row],[Маржа]],"")</f>
        <v/>
      </c>
    </row>
    <row r="622" spans="1:15" ht="20.100000000000001" customHeight="1" x14ac:dyDescent="0.25">
      <c r="A622" s="2">
        <v>796</v>
      </c>
      <c r="B622" s="2" t="str">
        <f>TEXT(Таблица97[[#This Row],[Дата]],"ГГ")&amp;RIGHT("000"&amp;Таблица97[[#This Row],[Номер]],4)</f>
        <v>170796</v>
      </c>
      <c r="C622" s="129">
        <v>42975</v>
      </c>
      <c r="D622" s="2" t="s">
        <v>99</v>
      </c>
      <c r="E622" s="108">
        <v>394710</v>
      </c>
      <c r="F622" s="129">
        <v>43033</v>
      </c>
      <c r="H622" s="129">
        <v>43006</v>
      </c>
      <c r="I622" s="108">
        <f t="shared" si="27"/>
        <v>394710</v>
      </c>
      <c r="J622" s="108" t="str">
        <f>IF(Таблица97[[#This Row],[НК]]=1,Таблица97[[#This Row],[Продажа]],"")</f>
        <v/>
      </c>
      <c r="K622" s="108">
        <v>5000</v>
      </c>
      <c r="M622" s="108">
        <v>304590</v>
      </c>
      <c r="N622" s="108">
        <f>Таблица97[[#This Row],[Продажа]]-Таблица97[[#This Row],[Закупка]]</f>
        <v>90120</v>
      </c>
      <c r="O622" s="108" t="str">
        <f>IF(Таблица97[[#This Row],[НК]]=1,Таблица97[[#This Row],[Маржа]],"")</f>
        <v/>
      </c>
    </row>
    <row r="623" spans="1:15" ht="20.100000000000001" customHeight="1" x14ac:dyDescent="0.25">
      <c r="A623" s="2">
        <v>832</v>
      </c>
      <c r="B623" s="2" t="str">
        <f>TEXT(Таблица97[[#This Row],[Дата]],"ГГ")&amp;RIGHT("000"&amp;Таблица97[[#This Row],[Номер]],4)</f>
        <v>170832</v>
      </c>
      <c r="C623" s="129">
        <v>43006</v>
      </c>
      <c r="D623" s="2" t="s">
        <v>99</v>
      </c>
      <c r="E623" s="108">
        <v>11832</v>
      </c>
      <c r="F623" s="129">
        <v>43033</v>
      </c>
      <c r="H623" s="129">
        <v>43006</v>
      </c>
      <c r="I623" s="108">
        <f t="shared" si="27"/>
        <v>11832</v>
      </c>
      <c r="J623" s="108" t="str">
        <f>IF(Таблица97[[#This Row],[НК]]=1,Таблица97[[#This Row],[Продажа]],"")</f>
        <v/>
      </c>
      <c r="K623" s="108">
        <v>3000</v>
      </c>
      <c r="M623" s="108">
        <v>1301</v>
      </c>
      <c r="N623" s="108">
        <f>Таблица97[[#This Row],[Продажа]]-Таблица97[[#This Row],[Закупка]]</f>
        <v>10531</v>
      </c>
      <c r="O623" s="108" t="str">
        <f>IF(Таблица97[[#This Row],[НК]]=1,Таблица97[[#This Row],[Маржа]],"")</f>
        <v/>
      </c>
    </row>
    <row r="624" spans="1:15" ht="20.100000000000001" customHeight="1" x14ac:dyDescent="0.25">
      <c r="A624" s="2">
        <v>872</v>
      </c>
      <c r="B624" s="2" t="str">
        <f>TEXT(Таблица97[[#This Row],[Дата]],"ГГ")&amp;RIGHT("000"&amp;Таблица97[[#This Row],[Номер]],4)</f>
        <v>170872</v>
      </c>
      <c r="C624" s="129">
        <v>43018</v>
      </c>
      <c r="D624" s="2" t="s">
        <v>270</v>
      </c>
      <c r="E624" s="108">
        <v>12499</v>
      </c>
      <c r="F624" s="129">
        <v>43033</v>
      </c>
      <c r="H624" s="129">
        <v>43034</v>
      </c>
      <c r="I624" s="108">
        <f t="shared" si="27"/>
        <v>12499</v>
      </c>
      <c r="J624" s="108" t="str">
        <f>IF(Таблица97[[#This Row],[НК]]=1,Таблица97[[#This Row],[Продажа]],"")</f>
        <v/>
      </c>
      <c r="M624" s="108">
        <v>9449</v>
      </c>
      <c r="N624" s="108">
        <f>Таблица97[[#This Row],[Продажа]]-Таблица97[[#This Row],[Закупка]]</f>
        <v>3050</v>
      </c>
      <c r="O624" s="108" t="str">
        <f>IF(Таблица97[[#This Row],[НК]]=1,Таблица97[[#This Row],[Маржа]],"")</f>
        <v/>
      </c>
    </row>
    <row r="625" spans="1:15" ht="20.100000000000001" customHeight="1" x14ac:dyDescent="0.25">
      <c r="A625" s="2">
        <v>937</v>
      </c>
      <c r="B625" s="2" t="str">
        <f>TEXT(Таблица97[[#This Row],[Дата]],"ГГ")&amp;RIGHT("000"&amp;Таблица97[[#This Row],[Номер]],4)</f>
        <v>170937</v>
      </c>
      <c r="C625" s="129">
        <v>43038</v>
      </c>
      <c r="D625" s="2" t="s">
        <v>281</v>
      </c>
      <c r="E625" s="108">
        <v>1036</v>
      </c>
      <c r="F625" s="129">
        <v>43038</v>
      </c>
      <c r="H625" s="129">
        <v>43038</v>
      </c>
      <c r="I625" s="108">
        <f t="shared" si="27"/>
        <v>1036</v>
      </c>
      <c r="J625" s="108" t="str">
        <f>IF(Таблица97[[#This Row],[НК]]=1,Таблица97[[#This Row],[Продажа]],"")</f>
        <v/>
      </c>
      <c r="M625" s="108">
        <v>750</v>
      </c>
      <c r="N625" s="108">
        <f>Таблица97[[#This Row],[Продажа]]-Таблица97[[#This Row],[Закупка]]</f>
        <v>286</v>
      </c>
      <c r="O625" s="108" t="str">
        <f>IF(Таблица97[[#This Row],[НК]]=1,Таблица97[[#This Row],[Маржа]],"")</f>
        <v/>
      </c>
    </row>
    <row r="626" spans="1:15" ht="20.100000000000001" customHeight="1" x14ac:dyDescent="0.25">
      <c r="A626" s="2">
        <v>886</v>
      </c>
      <c r="B626" s="2" t="str">
        <f>TEXT(Таблица97[[#This Row],[Дата]],"ГГ")&amp;RIGHT("000"&amp;Таблица97[[#This Row],[Номер]],4)</f>
        <v>170886</v>
      </c>
      <c r="C626" s="129">
        <v>43024</v>
      </c>
      <c r="D626" s="2" t="s">
        <v>60</v>
      </c>
      <c r="E626" s="108">
        <v>9420</v>
      </c>
      <c r="F626" s="129">
        <v>43038</v>
      </c>
      <c r="H626" s="129">
        <v>43035</v>
      </c>
      <c r="I626" s="108">
        <f t="shared" si="27"/>
        <v>9420</v>
      </c>
      <c r="J626" s="108" t="str">
        <f>IF(Таблица97[[#This Row],[НК]]=1,Таблица97[[#This Row],[Продажа]],"")</f>
        <v/>
      </c>
      <c r="M626" s="108">
        <v>7275</v>
      </c>
      <c r="N626" s="108">
        <f>Таблица97[[#This Row],[Продажа]]-Таблица97[[#This Row],[Закупка]]</f>
        <v>2145</v>
      </c>
      <c r="O626" s="108" t="str">
        <f>IF(Таблица97[[#This Row],[НК]]=1,Таблица97[[#This Row],[Маржа]],"")</f>
        <v/>
      </c>
    </row>
    <row r="627" spans="1:15" ht="20.100000000000001" customHeight="1" x14ac:dyDescent="0.25">
      <c r="A627" s="2">
        <v>934</v>
      </c>
      <c r="B627" s="2" t="str">
        <f>TEXT(Таблица97[[#This Row],[Дата]],"ГГ")&amp;RIGHT("000"&amp;Таблица97[[#This Row],[Номер]],4)</f>
        <v>170934</v>
      </c>
      <c r="C627" s="129">
        <v>43038</v>
      </c>
      <c r="D627" s="2" t="s">
        <v>293</v>
      </c>
      <c r="E627" s="108">
        <v>34890</v>
      </c>
      <c r="F627" s="129">
        <v>43038</v>
      </c>
      <c r="H627" s="129">
        <v>43054</v>
      </c>
      <c r="I627" s="108">
        <f t="shared" si="27"/>
        <v>34890</v>
      </c>
      <c r="J627" s="108" t="str">
        <f>IF(Таблица97[[#This Row],[НК]]=1,Таблица97[[#This Row],[Продажа]],"")</f>
        <v/>
      </c>
      <c r="M627" s="108">
        <v>25644</v>
      </c>
      <c r="N627" s="108">
        <f>Таблица97[[#This Row],[Продажа]]-Таблица97[[#This Row],[Закупка]]</f>
        <v>9246</v>
      </c>
      <c r="O627" s="108" t="str">
        <f>IF(Таблица97[[#This Row],[НК]]=1,Таблица97[[#This Row],[Маржа]],"")</f>
        <v/>
      </c>
    </row>
    <row r="628" spans="1:15" ht="20.100000000000001" customHeight="1" x14ac:dyDescent="0.25">
      <c r="A628" s="2">
        <v>900</v>
      </c>
      <c r="B628" s="2" t="str">
        <f>TEXT(Таблица97[[#This Row],[Дата]],"ГГ")&amp;RIGHT("000"&amp;Таблица97[[#This Row],[Номер]],4)</f>
        <v>170900</v>
      </c>
      <c r="C628" s="129">
        <v>43026</v>
      </c>
      <c r="D628" s="2" t="s">
        <v>11</v>
      </c>
      <c r="E628" s="108">
        <v>9290</v>
      </c>
      <c r="F628" s="129">
        <v>43039</v>
      </c>
      <c r="H628" s="129">
        <v>43054</v>
      </c>
      <c r="I628" s="108">
        <f t="shared" si="27"/>
        <v>9290</v>
      </c>
      <c r="J628" s="108" t="str">
        <f>IF(Таблица97[[#This Row],[НК]]=1,Таблица97[[#This Row],[Продажа]],"")</f>
        <v/>
      </c>
      <c r="M628" s="108">
        <v>7023</v>
      </c>
      <c r="N628" s="108">
        <f>Таблица97[[#This Row],[Продажа]]-Таблица97[[#This Row],[Закупка]]</f>
        <v>2267</v>
      </c>
      <c r="O628" s="108" t="str">
        <f>IF(Таблица97[[#This Row],[НК]]=1,Таблица97[[#This Row],[Маржа]],"")</f>
        <v/>
      </c>
    </row>
    <row r="629" spans="1:15" ht="20.100000000000001" customHeight="1" x14ac:dyDescent="0.25">
      <c r="A629" s="2">
        <v>823</v>
      </c>
      <c r="B629" s="2" t="str">
        <f>TEXT(Таблица97[[#This Row],[Дата]],"ГГ")&amp;RIGHT("000"&amp;Таблица97[[#This Row],[Номер]],4)</f>
        <v>170823</v>
      </c>
      <c r="C629" s="129">
        <v>43020</v>
      </c>
      <c r="D629" s="2" t="s">
        <v>13</v>
      </c>
      <c r="E629" s="108">
        <v>27967</v>
      </c>
      <c r="F629" s="129">
        <v>43040</v>
      </c>
      <c r="H629" s="129">
        <v>43026</v>
      </c>
      <c r="I629" s="108">
        <f t="shared" ref="I629:I660" si="28">E629</f>
        <v>27967</v>
      </c>
      <c r="J629" s="108" t="str">
        <f>IF(Таблица97[[#This Row],[НК]]=1,Таблица97[[#This Row],[Продажа]],"")</f>
        <v/>
      </c>
      <c r="M629" s="108">
        <v>21622</v>
      </c>
      <c r="N629" s="108">
        <f>Таблица97[[#This Row],[Продажа]]-Таблица97[[#This Row],[Закупка]]</f>
        <v>6345</v>
      </c>
      <c r="O629" s="108" t="str">
        <f>IF(Таблица97[[#This Row],[НК]]=1,Таблица97[[#This Row],[Маржа]],"")</f>
        <v/>
      </c>
    </row>
    <row r="630" spans="1:15" ht="20.100000000000001" customHeight="1" x14ac:dyDescent="0.25">
      <c r="A630" s="2">
        <v>924</v>
      </c>
      <c r="B630" s="2" t="str">
        <f>TEXT(Таблица97[[#This Row],[Дата]],"ГГ")&amp;RIGHT("000"&amp;Таблица97[[#This Row],[Номер]],4)</f>
        <v>170924</v>
      </c>
      <c r="C630" s="129">
        <v>43034</v>
      </c>
      <c r="D630" s="2" t="s">
        <v>301</v>
      </c>
      <c r="E630" s="108">
        <v>259208</v>
      </c>
      <c r="F630" s="129">
        <v>43040</v>
      </c>
      <c r="H630" s="129">
        <v>43041</v>
      </c>
      <c r="I630" s="108">
        <f t="shared" si="28"/>
        <v>259208</v>
      </c>
      <c r="J630" s="108" t="str">
        <f>IF(Таблица97[[#This Row],[НК]]=1,Таблица97[[#This Row],[Продажа]],"")</f>
        <v/>
      </c>
      <c r="L630" s="108">
        <v>600</v>
      </c>
      <c r="M630" s="108">
        <v>166728</v>
      </c>
      <c r="N630" s="108">
        <f>Таблица97[[#This Row],[Продажа]]-Таблица97[[#This Row],[Закупка]]</f>
        <v>92480</v>
      </c>
      <c r="O630" s="108" t="str">
        <f>IF(Таблица97[[#This Row],[НК]]=1,Таблица97[[#This Row],[Маржа]],"")</f>
        <v/>
      </c>
    </row>
    <row r="631" spans="1:15" ht="20.100000000000001" customHeight="1" x14ac:dyDescent="0.25">
      <c r="A631" s="2">
        <v>801</v>
      </c>
      <c r="B631" s="2" t="str">
        <f>TEXT(Таблица97[[#This Row],[Дата]],"ГГ")&amp;RIGHT("000"&amp;Таблица97[[#This Row],[Номер]],4)</f>
        <v>170801</v>
      </c>
      <c r="C631" s="129">
        <v>43024</v>
      </c>
      <c r="D631" s="2" t="s">
        <v>300</v>
      </c>
      <c r="E631" s="108">
        <v>134047</v>
      </c>
      <c r="F631" s="129">
        <v>43041</v>
      </c>
      <c r="G631" s="128">
        <v>1</v>
      </c>
      <c r="H631" s="129">
        <v>43056</v>
      </c>
      <c r="I631" s="108">
        <f t="shared" si="28"/>
        <v>134047</v>
      </c>
      <c r="J631" s="108">
        <f>IF(Таблица97[[#This Row],[НК]]=1,Таблица97[[#This Row],[Продажа]],"")</f>
        <v>134047</v>
      </c>
      <c r="M631" s="108">
        <v>101854</v>
      </c>
      <c r="N631" s="108">
        <f>Таблица97[[#This Row],[Продажа]]-Таблица97[[#This Row],[Закупка]]</f>
        <v>32193</v>
      </c>
      <c r="O631" s="108">
        <f>IF(Таблица97[[#This Row],[НК]]=1,Таблица97[[#This Row],[Маржа]],"")</f>
        <v>32193</v>
      </c>
    </row>
    <row r="632" spans="1:15" ht="20.100000000000001" customHeight="1" x14ac:dyDescent="0.25">
      <c r="A632" s="2">
        <v>951</v>
      </c>
      <c r="B632" s="2" t="str">
        <f>TEXT(Таблица97[[#This Row],[Дата]],"ГГ")&amp;RIGHT("000"&amp;Таблица97[[#This Row],[Номер]],4)</f>
        <v>170951</v>
      </c>
      <c r="C632" s="129">
        <v>43046</v>
      </c>
      <c r="D632" s="2" t="s">
        <v>51</v>
      </c>
      <c r="E632" s="108">
        <v>4812</v>
      </c>
      <c r="F632" s="129">
        <v>43046</v>
      </c>
      <c r="H632" s="129">
        <v>43047</v>
      </c>
      <c r="I632" s="108">
        <f t="shared" si="28"/>
        <v>4812</v>
      </c>
      <c r="J632" s="108" t="str">
        <f>IF(Таблица97[[#This Row],[НК]]=1,Таблица97[[#This Row],[Продажа]],"")</f>
        <v/>
      </c>
      <c r="M632" s="108">
        <v>3485</v>
      </c>
      <c r="N632" s="108">
        <f>Таблица97[[#This Row],[Продажа]]-Таблица97[[#This Row],[Закупка]]</f>
        <v>1327</v>
      </c>
      <c r="O632" s="108" t="str">
        <f>IF(Таблица97[[#This Row],[НК]]=1,Таблица97[[#This Row],[Маржа]],"")</f>
        <v/>
      </c>
    </row>
    <row r="633" spans="1:15" ht="20.100000000000001" customHeight="1" x14ac:dyDescent="0.25">
      <c r="A633" s="2">
        <v>955</v>
      </c>
      <c r="B633" s="2" t="str">
        <f>TEXT(Таблица97[[#This Row],[Дата]],"ГГ")&amp;RIGHT("000"&amp;Таблица97[[#This Row],[Номер]],4)</f>
        <v>170955</v>
      </c>
      <c r="C633" s="129">
        <v>43046</v>
      </c>
      <c r="D633" s="2" t="s">
        <v>207</v>
      </c>
      <c r="E633" s="108">
        <v>1286</v>
      </c>
      <c r="F633" s="129">
        <v>43046</v>
      </c>
      <c r="H633" s="129">
        <v>43048</v>
      </c>
      <c r="I633" s="108">
        <f t="shared" si="28"/>
        <v>1286</v>
      </c>
      <c r="J633" s="108" t="str">
        <f>IF(Таблица97[[#This Row],[НК]]=1,Таблица97[[#This Row],[Продажа]],"")</f>
        <v/>
      </c>
      <c r="M633" s="108">
        <v>1002</v>
      </c>
      <c r="N633" s="108">
        <f>Таблица97[[#This Row],[Продажа]]-Таблица97[[#This Row],[Закупка]]</f>
        <v>284</v>
      </c>
      <c r="O633" s="108" t="str">
        <f>IF(Таблица97[[#This Row],[НК]]=1,Таблица97[[#This Row],[Маржа]],"")</f>
        <v/>
      </c>
    </row>
    <row r="634" spans="1:15" ht="20.100000000000001" customHeight="1" x14ac:dyDescent="0.25">
      <c r="A634" s="2">
        <v>936</v>
      </c>
      <c r="B634" s="2" t="str">
        <f>TEXT(Таблица97[[#This Row],[Дата]],"ГГ")&amp;RIGHT("000"&amp;Таблица97[[#This Row],[Номер]],4)</f>
        <v>170936</v>
      </c>
      <c r="C634" s="129">
        <v>43038</v>
      </c>
      <c r="D634" s="2" t="s">
        <v>216</v>
      </c>
      <c r="E634" s="108">
        <v>2676</v>
      </c>
      <c r="F634" s="129">
        <v>43047</v>
      </c>
      <c r="H634" s="129">
        <v>43062</v>
      </c>
      <c r="I634" s="108">
        <f t="shared" si="28"/>
        <v>2676</v>
      </c>
      <c r="J634" s="108" t="str">
        <f>IF(Таблица97[[#This Row],[НК]]=1,Таблица97[[#This Row],[Продажа]],"")</f>
        <v/>
      </c>
      <c r="M634" s="108">
        <v>1767</v>
      </c>
      <c r="N634" s="108">
        <f>Таблица97[[#This Row],[Продажа]]-Таблица97[[#This Row],[Закупка]]</f>
        <v>909</v>
      </c>
      <c r="O634" s="108" t="str">
        <f>IF(Таблица97[[#This Row],[НК]]=1,Таблица97[[#This Row],[Маржа]],"")</f>
        <v/>
      </c>
    </row>
    <row r="635" spans="1:15" ht="20.100000000000001" customHeight="1" x14ac:dyDescent="0.25">
      <c r="A635" s="2">
        <v>965</v>
      </c>
      <c r="B635" s="2" t="str">
        <f>TEXT(Таблица97[[#This Row],[Дата]],"ГГ")&amp;RIGHT("000"&amp;Таблица97[[#This Row],[Номер]],4)</f>
        <v>170965</v>
      </c>
      <c r="C635" s="129">
        <v>43047</v>
      </c>
      <c r="D635" s="2" t="s">
        <v>176</v>
      </c>
      <c r="E635" s="108">
        <v>5863</v>
      </c>
      <c r="F635" s="129">
        <v>43047</v>
      </c>
      <c r="H635" s="129">
        <v>43047</v>
      </c>
      <c r="I635" s="108">
        <f t="shared" si="28"/>
        <v>5863</v>
      </c>
      <c r="J635" s="108" t="str">
        <f>IF(Таблица97[[#This Row],[НК]]=1,Таблица97[[#This Row],[Продажа]],"")</f>
        <v/>
      </c>
      <c r="M635" s="108">
        <v>4573</v>
      </c>
      <c r="N635" s="108">
        <f>Таблица97[[#This Row],[Продажа]]-Таблица97[[#This Row],[Закупка]]</f>
        <v>1290</v>
      </c>
      <c r="O635" s="108" t="str">
        <f>IF(Таблица97[[#This Row],[НК]]=1,Таблица97[[#This Row],[Маржа]],"")</f>
        <v/>
      </c>
    </row>
    <row r="636" spans="1:15" ht="20.100000000000001" customHeight="1" x14ac:dyDescent="0.25">
      <c r="A636" s="2">
        <v>949</v>
      </c>
      <c r="B636" s="2" t="str">
        <f>TEXT(Таблица97[[#This Row],[Дата]],"ГГ")&amp;RIGHT("000"&amp;Таблица97[[#This Row],[Номер]],4)</f>
        <v>170949</v>
      </c>
      <c r="C636" s="129">
        <v>43042</v>
      </c>
      <c r="D636" s="2" t="s">
        <v>200</v>
      </c>
      <c r="E636" s="108">
        <v>22690</v>
      </c>
      <c r="F636" s="129">
        <v>43048</v>
      </c>
      <c r="H636" s="129">
        <v>43055</v>
      </c>
      <c r="I636" s="108">
        <f t="shared" si="28"/>
        <v>22690</v>
      </c>
      <c r="J636" s="108" t="str">
        <f>IF(Таблица97[[#This Row],[НК]]=1,Таблица97[[#This Row],[Продажа]],"")</f>
        <v/>
      </c>
      <c r="M636" s="108">
        <v>17154</v>
      </c>
      <c r="N636" s="108">
        <f>Таблица97[[#This Row],[Продажа]]-Таблица97[[#This Row],[Закупка]]</f>
        <v>5536</v>
      </c>
      <c r="O636" s="108" t="str">
        <f>IF(Таблица97[[#This Row],[НК]]=1,Таблица97[[#This Row],[Маржа]],"")</f>
        <v/>
      </c>
    </row>
    <row r="637" spans="1:15" ht="20.100000000000001" customHeight="1" x14ac:dyDescent="0.25">
      <c r="A637" s="2">
        <v>952</v>
      </c>
      <c r="B637" s="2" t="str">
        <f>TEXT(Таблица97[[#This Row],[Дата]],"ГГ")&amp;RIGHT("000"&amp;Таблица97[[#This Row],[Номер]],4)</f>
        <v>170952</v>
      </c>
      <c r="C637" s="129">
        <v>43046</v>
      </c>
      <c r="D637" s="2" t="s">
        <v>162</v>
      </c>
      <c r="E637" s="108">
        <v>2061</v>
      </c>
      <c r="F637" s="129">
        <v>43049</v>
      </c>
      <c r="H637" s="129">
        <v>43050</v>
      </c>
      <c r="I637" s="108">
        <f t="shared" si="28"/>
        <v>2061</v>
      </c>
      <c r="J637" s="108" t="str">
        <f>IF(Таблица97[[#This Row],[НК]]=1,Таблица97[[#This Row],[Продажа]],"")</f>
        <v/>
      </c>
      <c r="M637" s="108">
        <v>1360</v>
      </c>
      <c r="N637" s="108">
        <f>Таблица97[[#This Row],[Продажа]]-Таблица97[[#This Row],[Закупка]]</f>
        <v>701</v>
      </c>
      <c r="O637" s="108" t="str">
        <f>IF(Таблица97[[#This Row],[НК]]=1,Таблица97[[#This Row],[Маржа]],"")</f>
        <v/>
      </c>
    </row>
    <row r="638" spans="1:15" ht="20.100000000000001" customHeight="1" x14ac:dyDescent="0.25">
      <c r="A638" s="2">
        <v>975</v>
      </c>
      <c r="B638" s="2" t="str">
        <f>TEXT(Таблица97[[#This Row],[Дата]],"ГГ")&amp;RIGHT("000"&amp;Таблица97[[#This Row],[Номер]],4)</f>
        <v>170975</v>
      </c>
      <c r="C638" s="129">
        <v>43049</v>
      </c>
      <c r="D638" s="2" t="s">
        <v>270</v>
      </c>
      <c r="E638" s="108">
        <v>1036</v>
      </c>
      <c r="F638" s="129">
        <v>43052</v>
      </c>
      <c r="H638" s="129">
        <v>43053</v>
      </c>
      <c r="I638" s="108">
        <f t="shared" si="28"/>
        <v>1036</v>
      </c>
      <c r="J638" s="108" t="str">
        <f>IF(Таблица97[[#This Row],[НК]]=1,Таблица97[[#This Row],[Продажа]],"")</f>
        <v/>
      </c>
      <c r="M638" s="108">
        <v>750</v>
      </c>
      <c r="N638" s="108">
        <f>Таблица97[[#This Row],[Продажа]]-Таблица97[[#This Row],[Закупка]]</f>
        <v>286</v>
      </c>
      <c r="O638" s="108" t="str">
        <f>IF(Таблица97[[#This Row],[НК]]=1,Таблица97[[#This Row],[Маржа]],"")</f>
        <v/>
      </c>
    </row>
    <row r="639" spans="1:15" ht="20.100000000000001" customHeight="1" x14ac:dyDescent="0.25">
      <c r="A639" s="2">
        <v>974</v>
      </c>
      <c r="B639" s="2" t="str">
        <f>TEXT(Таблица97[[#This Row],[Дата]],"ГГ")&amp;RIGHT("000"&amp;Таблица97[[#This Row],[Номер]],4)</f>
        <v>170974</v>
      </c>
      <c r="C639" s="129">
        <v>43049</v>
      </c>
      <c r="D639" s="2" t="s">
        <v>270</v>
      </c>
      <c r="E639" s="108">
        <v>12499</v>
      </c>
      <c r="F639" s="129">
        <v>43052</v>
      </c>
      <c r="H639" s="129">
        <v>43062</v>
      </c>
      <c r="I639" s="108">
        <f t="shared" si="28"/>
        <v>12499</v>
      </c>
      <c r="J639" s="108" t="str">
        <f>IF(Таблица97[[#This Row],[НК]]=1,Таблица97[[#This Row],[Продажа]],"")</f>
        <v/>
      </c>
      <c r="M639" s="108">
        <v>9449</v>
      </c>
      <c r="N639" s="108">
        <f>Таблица97[[#This Row],[Продажа]]-Таблица97[[#This Row],[Закупка]]</f>
        <v>3050</v>
      </c>
      <c r="O639" s="108" t="str">
        <f>IF(Таблица97[[#This Row],[НК]]=1,Таблица97[[#This Row],[Маржа]],"")</f>
        <v/>
      </c>
    </row>
    <row r="640" spans="1:15" ht="20.100000000000001" customHeight="1" x14ac:dyDescent="0.25">
      <c r="A640" s="2">
        <v>853</v>
      </c>
      <c r="B640" s="2" t="str">
        <f>TEXT(Таблица97[[#This Row],[Дата]],"ГГ")&amp;RIGHT("000"&amp;Таблица97[[#This Row],[Номер]],4)</f>
        <v>170853</v>
      </c>
      <c r="C640" s="129">
        <v>43026</v>
      </c>
      <c r="D640" s="2" t="s">
        <v>99</v>
      </c>
      <c r="E640" s="108">
        <v>268598.68</v>
      </c>
      <c r="F640" s="129">
        <v>43053</v>
      </c>
      <c r="H640" s="129">
        <v>43035</v>
      </c>
      <c r="I640" s="108">
        <f t="shared" si="28"/>
        <v>268598.68</v>
      </c>
      <c r="J640" s="108" t="str">
        <f>IF(Таблица97[[#This Row],[НК]]=1,Таблица97[[#This Row],[Продажа]],"")</f>
        <v/>
      </c>
      <c r="K640" s="108">
        <v>3500</v>
      </c>
      <c r="L640" s="108">
        <f>17*600</f>
        <v>10200</v>
      </c>
      <c r="M640" s="108">
        <v>203060</v>
      </c>
      <c r="N640" s="108">
        <f>Таблица97[[#This Row],[Продажа]]-Таблица97[[#This Row],[Закупка]]</f>
        <v>65538.679999999993</v>
      </c>
      <c r="O640" s="108" t="str">
        <f>IF(Таблица97[[#This Row],[НК]]=1,Таблица97[[#This Row],[Маржа]],"")</f>
        <v/>
      </c>
    </row>
    <row r="641" spans="1:15" ht="20.100000000000001" customHeight="1" x14ac:dyDescent="0.25">
      <c r="A641" s="2">
        <v>959</v>
      </c>
      <c r="B641" s="2" t="str">
        <f>TEXT(Таблица97[[#This Row],[Дата]],"ГГ")&amp;RIGHT("000"&amp;Таблица97[[#This Row],[Номер]],4)</f>
        <v>170959</v>
      </c>
      <c r="C641" s="129">
        <v>43047</v>
      </c>
      <c r="D641" s="2" t="s">
        <v>228</v>
      </c>
      <c r="E641" s="108">
        <v>2445</v>
      </c>
      <c r="F641" s="129">
        <v>43053</v>
      </c>
      <c r="H641" s="129">
        <v>43098</v>
      </c>
      <c r="I641" s="108">
        <f t="shared" si="28"/>
        <v>2445</v>
      </c>
      <c r="J641" s="108" t="str">
        <f>IF(Таблица97[[#This Row],[НК]]=1,Таблица97[[#This Row],[Продажа]],"")</f>
        <v/>
      </c>
      <c r="M641" s="108">
        <v>1500</v>
      </c>
      <c r="N641" s="108">
        <f>Таблица97[[#This Row],[Продажа]]-Таблица97[[#This Row],[Закупка]]</f>
        <v>945</v>
      </c>
      <c r="O641" s="108" t="str">
        <f>IF(Таблица97[[#This Row],[НК]]=1,Таблица97[[#This Row],[Маржа]],"")</f>
        <v/>
      </c>
    </row>
    <row r="642" spans="1:15" ht="20.100000000000001" customHeight="1" x14ac:dyDescent="0.25">
      <c r="A642" s="2">
        <v>989</v>
      </c>
      <c r="B642" s="2" t="str">
        <f>TEXT(Таблица97[[#This Row],[Дата]],"ГГ")&amp;RIGHT("000"&amp;Таблица97[[#This Row],[Номер]],4)</f>
        <v>170989</v>
      </c>
      <c r="C642" s="129">
        <v>43054</v>
      </c>
      <c r="D642" s="2" t="s">
        <v>303</v>
      </c>
      <c r="E642" s="108">
        <v>37221.5</v>
      </c>
      <c r="F642" s="129">
        <v>43054</v>
      </c>
      <c r="G642" s="128">
        <v>1</v>
      </c>
      <c r="H642" s="129">
        <v>43054</v>
      </c>
      <c r="I642" s="108">
        <f t="shared" si="28"/>
        <v>37221.5</v>
      </c>
      <c r="J642" s="108">
        <f>IF(Таблица97[[#This Row],[НК]]=1,Таблица97[[#This Row],[Продажа]],"")</f>
        <v>37221.5</v>
      </c>
      <c r="M642" s="108">
        <v>30913</v>
      </c>
      <c r="N642" s="108">
        <f>Таблица97[[#This Row],[Продажа]]-Таблица97[[#This Row],[Закупка]]</f>
        <v>6308.5</v>
      </c>
      <c r="O642" s="108">
        <f>IF(Таблица97[[#This Row],[НК]]=1,Таблица97[[#This Row],[Маржа]],"")</f>
        <v>6308.5</v>
      </c>
    </row>
    <row r="643" spans="1:15" ht="20.100000000000001" customHeight="1" x14ac:dyDescent="0.25">
      <c r="A643" s="2">
        <v>957</v>
      </c>
      <c r="B643" s="2" t="str">
        <f>TEXT(Таблица97[[#This Row],[Дата]],"ГГ")&amp;RIGHT("000"&amp;Таблица97[[#This Row],[Номер]],4)</f>
        <v>170957</v>
      </c>
      <c r="C643" s="129">
        <v>43047</v>
      </c>
      <c r="D643" s="2" t="s">
        <v>175</v>
      </c>
      <c r="E643" s="108">
        <v>18156.400000000001</v>
      </c>
      <c r="F643" s="129">
        <v>43055</v>
      </c>
      <c r="H643" s="129">
        <v>43060</v>
      </c>
      <c r="I643" s="108">
        <f t="shared" si="28"/>
        <v>18156.400000000001</v>
      </c>
      <c r="J643" s="108" t="str">
        <f>IF(Таблица97[[#This Row],[НК]]=1,Таблица97[[#This Row],[Продажа]],"")</f>
        <v/>
      </c>
      <c r="M643" s="108">
        <v>14816</v>
      </c>
      <c r="N643" s="108">
        <f>Таблица97[[#This Row],[Продажа]]-Таблица97[[#This Row],[Закупка]]</f>
        <v>3340.4000000000015</v>
      </c>
      <c r="O643" s="108" t="str">
        <f>IF(Таблица97[[#This Row],[НК]]=1,Таблица97[[#This Row],[Маржа]],"")</f>
        <v/>
      </c>
    </row>
    <row r="644" spans="1:15" ht="20.100000000000001" customHeight="1" x14ac:dyDescent="0.25">
      <c r="A644" s="2">
        <v>794</v>
      </c>
      <c r="B644" s="2" t="str">
        <f>TEXT(Таблица97[[#This Row],[Дата]],"ГГ")&amp;RIGHT("000"&amp;Таблица97[[#This Row],[Номер]],4)</f>
        <v>170794</v>
      </c>
      <c r="C644" s="129">
        <v>43031</v>
      </c>
      <c r="D644" s="2" t="s">
        <v>65</v>
      </c>
      <c r="E644" s="108">
        <v>62895.5</v>
      </c>
      <c r="F644" s="129">
        <v>43055</v>
      </c>
      <c r="H644" s="129">
        <v>43076</v>
      </c>
      <c r="I644" s="108">
        <f t="shared" si="28"/>
        <v>62895.5</v>
      </c>
      <c r="J644" s="108" t="str">
        <f>IF(Таблица97[[#This Row],[НК]]=1,Таблица97[[#This Row],[Продажа]],"")</f>
        <v/>
      </c>
      <c r="M644" s="108">
        <v>49383</v>
      </c>
      <c r="N644" s="108">
        <f>Таблица97[[#This Row],[Продажа]]-Таблица97[[#This Row],[Закупка]]</f>
        <v>13512.5</v>
      </c>
      <c r="O644" s="108" t="str">
        <f>IF(Таблица97[[#This Row],[НК]]=1,Таблица97[[#This Row],[Маржа]],"")</f>
        <v/>
      </c>
    </row>
    <row r="645" spans="1:15" ht="20.100000000000001" customHeight="1" x14ac:dyDescent="0.25">
      <c r="A645" s="2">
        <v>969</v>
      </c>
      <c r="B645" s="2" t="str">
        <f>TEXT(Таблица97[[#This Row],[Дата]],"ГГ")&amp;RIGHT("000"&amp;Таблица97[[#This Row],[Номер]],4)</f>
        <v>170969</v>
      </c>
      <c r="C645" s="129">
        <v>43048</v>
      </c>
      <c r="D645" s="2" t="s">
        <v>301</v>
      </c>
      <c r="E645" s="108">
        <v>1036</v>
      </c>
      <c r="F645" s="129">
        <v>43055</v>
      </c>
      <c r="H645" s="129">
        <v>43056</v>
      </c>
      <c r="I645" s="108">
        <f t="shared" si="28"/>
        <v>1036</v>
      </c>
      <c r="J645" s="108" t="str">
        <f>IF(Таблица97[[#This Row],[НК]]=1,Таблица97[[#This Row],[Продажа]],"")</f>
        <v/>
      </c>
      <c r="M645" s="108">
        <v>742</v>
      </c>
      <c r="N645" s="108">
        <f>Таблица97[[#This Row],[Продажа]]-Таблица97[[#This Row],[Закупка]]</f>
        <v>294</v>
      </c>
      <c r="O645" s="108" t="str">
        <f>IF(Таблица97[[#This Row],[НК]]=1,Таблица97[[#This Row],[Маржа]],"")</f>
        <v/>
      </c>
    </row>
    <row r="646" spans="1:15" ht="20.100000000000001" customHeight="1" x14ac:dyDescent="0.25">
      <c r="A646" s="2">
        <v>962</v>
      </c>
      <c r="B646" s="2" t="str">
        <f>TEXT(Таблица97[[#This Row],[Дата]],"ГГ")&amp;RIGHT("000"&amp;Таблица97[[#This Row],[Номер]],4)</f>
        <v>170962</v>
      </c>
      <c r="C646" s="129">
        <v>43047</v>
      </c>
      <c r="D646" s="2" t="s">
        <v>66</v>
      </c>
      <c r="E646" s="108">
        <v>2450</v>
      </c>
      <c r="F646" s="129">
        <v>43055</v>
      </c>
      <c r="H646" s="129">
        <v>43063</v>
      </c>
      <c r="I646" s="108">
        <f t="shared" si="28"/>
        <v>2450</v>
      </c>
      <c r="J646" s="108" t="str">
        <f>IF(Таблица97[[#This Row],[НК]]=1,Таблица97[[#This Row],[Продажа]],"")</f>
        <v/>
      </c>
      <c r="M646" s="108">
        <v>2183</v>
      </c>
      <c r="N646" s="108">
        <f>Таблица97[[#This Row],[Продажа]]-Таблица97[[#This Row],[Закупка]]</f>
        <v>267</v>
      </c>
      <c r="O646" s="108" t="str">
        <f>IF(Таблица97[[#This Row],[НК]]=1,Таблица97[[#This Row],[Маржа]],"")</f>
        <v/>
      </c>
    </row>
    <row r="647" spans="1:15" ht="20.100000000000001" customHeight="1" x14ac:dyDescent="0.25">
      <c r="A647" s="2">
        <v>973</v>
      </c>
      <c r="B647" s="2" t="str">
        <f>TEXT(Таблица97[[#This Row],[Дата]],"ГГ")&amp;RIGHT("000"&amp;Таблица97[[#This Row],[Номер]],4)</f>
        <v>170973</v>
      </c>
      <c r="C647" s="129">
        <v>43049</v>
      </c>
      <c r="D647" s="2" t="s">
        <v>45</v>
      </c>
      <c r="E647" s="108">
        <v>1445</v>
      </c>
      <c r="F647" s="129">
        <v>43056</v>
      </c>
      <c r="H647" s="129">
        <v>43059</v>
      </c>
      <c r="I647" s="108">
        <f t="shared" si="28"/>
        <v>1445</v>
      </c>
      <c r="J647" s="108" t="str">
        <f>IF(Таблица97[[#This Row],[НК]]=1,Таблица97[[#This Row],[Продажа]],"")</f>
        <v/>
      </c>
      <c r="M647" s="108">
        <v>991</v>
      </c>
      <c r="N647" s="108">
        <f>Таблица97[[#This Row],[Продажа]]-Таблица97[[#This Row],[Закупка]]</f>
        <v>454</v>
      </c>
      <c r="O647" s="108" t="str">
        <f>IF(Таблица97[[#This Row],[НК]]=1,Таблица97[[#This Row],[Маржа]],"")</f>
        <v/>
      </c>
    </row>
    <row r="648" spans="1:15" ht="20.100000000000001" customHeight="1" x14ac:dyDescent="0.25">
      <c r="A648" s="2">
        <v>996</v>
      </c>
      <c r="B648" s="2" t="str">
        <f>TEXT(Таблица97[[#This Row],[Дата]],"ГГ")&amp;RIGHT("000"&amp;Таблица97[[#This Row],[Номер]],4)</f>
        <v>170996</v>
      </c>
      <c r="C648" s="129">
        <v>43056</v>
      </c>
      <c r="D648" s="2" t="s">
        <v>91</v>
      </c>
      <c r="E648" s="108">
        <v>4748</v>
      </c>
      <c r="F648" s="129">
        <v>43059</v>
      </c>
      <c r="H648" s="129">
        <v>43066</v>
      </c>
      <c r="I648" s="108">
        <f t="shared" si="28"/>
        <v>4748</v>
      </c>
      <c r="J648" s="108" t="str">
        <f>IF(Таблица97[[#This Row],[НК]]=1,Таблица97[[#This Row],[Продажа]],"")</f>
        <v/>
      </c>
      <c r="M648" s="108">
        <v>3704</v>
      </c>
      <c r="N648" s="108">
        <f>Таблица97[[#This Row],[Продажа]]-Таблица97[[#This Row],[Закупка]]</f>
        <v>1044</v>
      </c>
      <c r="O648" s="108" t="str">
        <f>IF(Таблица97[[#This Row],[НК]]=1,Таблица97[[#This Row],[Маржа]],"")</f>
        <v/>
      </c>
    </row>
    <row r="649" spans="1:15" ht="20.100000000000001" customHeight="1" x14ac:dyDescent="0.25">
      <c r="A649" s="2">
        <v>998</v>
      </c>
      <c r="B649" s="2" t="str">
        <f>TEXT(Таблица97[[#This Row],[Дата]],"ГГ")&amp;RIGHT("000"&amp;Таблица97[[#This Row],[Номер]],4)</f>
        <v>170998</v>
      </c>
      <c r="C649" s="129">
        <v>43056</v>
      </c>
      <c r="D649" s="2" t="s">
        <v>77</v>
      </c>
      <c r="E649" s="108">
        <v>1002</v>
      </c>
      <c r="F649" s="129">
        <v>43060</v>
      </c>
      <c r="H649" s="129">
        <v>43075</v>
      </c>
      <c r="I649" s="108">
        <f t="shared" si="28"/>
        <v>1002</v>
      </c>
      <c r="J649" s="108" t="str">
        <f>IF(Таблица97[[#This Row],[НК]]=1,Таблица97[[#This Row],[Продажа]],"")</f>
        <v/>
      </c>
      <c r="M649" s="108">
        <v>684</v>
      </c>
      <c r="N649" s="108">
        <f>Таблица97[[#This Row],[Продажа]]-Таблица97[[#This Row],[Закупка]]</f>
        <v>318</v>
      </c>
      <c r="O649" s="108" t="str">
        <f>IF(Таблица97[[#This Row],[НК]]=1,Таблица97[[#This Row],[Маржа]],"")</f>
        <v/>
      </c>
    </row>
    <row r="650" spans="1:15" ht="20.100000000000001" customHeight="1" x14ac:dyDescent="0.25">
      <c r="A650" s="2">
        <v>1004</v>
      </c>
      <c r="B650" s="2" t="str">
        <f>TEXT(Таблица97[[#This Row],[Дата]],"ГГ")&amp;RIGHT("000"&amp;Таблица97[[#This Row],[Номер]],4)</f>
        <v>171004</v>
      </c>
      <c r="C650" s="129">
        <v>43060</v>
      </c>
      <c r="D650" s="2" t="s">
        <v>216</v>
      </c>
      <c r="E650" s="108">
        <v>1399.95</v>
      </c>
      <c r="F650" s="129">
        <v>43061</v>
      </c>
      <c r="H650" s="129">
        <v>43062</v>
      </c>
      <c r="I650" s="108">
        <f t="shared" si="28"/>
        <v>1399.95</v>
      </c>
      <c r="J650" s="108" t="str">
        <f>IF(Таблица97[[#This Row],[НК]]=1,Таблица97[[#This Row],[Продажа]],"")</f>
        <v/>
      </c>
      <c r="M650" s="108">
        <v>1193</v>
      </c>
      <c r="N650" s="108">
        <f>Таблица97[[#This Row],[Продажа]]-Таблица97[[#This Row],[Закупка]]</f>
        <v>206.95000000000005</v>
      </c>
      <c r="O650" s="108" t="str">
        <f>IF(Таблица97[[#This Row],[НК]]=1,Таблица97[[#This Row],[Маржа]],"")</f>
        <v/>
      </c>
    </row>
    <row r="651" spans="1:15" ht="20.100000000000001" customHeight="1" x14ac:dyDescent="0.25">
      <c r="A651" s="2">
        <v>1003</v>
      </c>
      <c r="B651" s="2" t="str">
        <f>TEXT(Таблица97[[#This Row],[Дата]],"ГГ")&amp;RIGHT("000"&amp;Таблица97[[#This Row],[Номер]],4)</f>
        <v>171003</v>
      </c>
      <c r="C651" s="129">
        <v>43060</v>
      </c>
      <c r="D651" s="2" t="s">
        <v>209</v>
      </c>
      <c r="E651" s="108">
        <v>3701.75</v>
      </c>
      <c r="F651" s="129">
        <v>43061</v>
      </c>
      <c r="H651" s="129">
        <v>43061</v>
      </c>
      <c r="I651" s="108">
        <f t="shared" si="28"/>
        <v>3701.75</v>
      </c>
      <c r="J651" s="108" t="str">
        <f>IF(Таблица97[[#This Row],[НК]]=1,Таблица97[[#This Row],[Продажа]],"")</f>
        <v/>
      </c>
      <c r="M651" s="108">
        <v>3314</v>
      </c>
      <c r="N651" s="108">
        <f>Таблица97[[#This Row],[Продажа]]-Таблица97[[#This Row],[Закупка]]</f>
        <v>387.75</v>
      </c>
      <c r="O651" s="108" t="str">
        <f>IF(Таблица97[[#This Row],[НК]]=1,Таблица97[[#This Row],[Маржа]],"")</f>
        <v/>
      </c>
    </row>
    <row r="652" spans="1:15" ht="20.100000000000001" customHeight="1" x14ac:dyDescent="0.25">
      <c r="A652" s="2">
        <v>995</v>
      </c>
      <c r="B652" s="2" t="str">
        <f>TEXT(Таблица97[[#This Row],[Дата]],"ГГ")&amp;RIGHT("000"&amp;Таблица97[[#This Row],[Номер]],4)</f>
        <v>170995</v>
      </c>
      <c r="C652" s="129">
        <v>43055</v>
      </c>
      <c r="D652" s="2" t="s">
        <v>209</v>
      </c>
      <c r="E652" s="108">
        <v>1769.7</v>
      </c>
      <c r="F652" s="129">
        <v>43061</v>
      </c>
      <c r="H652" s="129">
        <v>43061</v>
      </c>
      <c r="I652" s="108">
        <f t="shared" si="28"/>
        <v>1769.7</v>
      </c>
      <c r="J652" s="108" t="str">
        <f>IF(Таблица97[[#This Row],[НК]]=1,Таблица97[[#This Row],[Продажа]],"")</f>
        <v/>
      </c>
      <c r="M652" s="108">
        <v>1624</v>
      </c>
      <c r="N652" s="108">
        <f>Таблица97[[#This Row],[Продажа]]-Таблица97[[#This Row],[Закупка]]</f>
        <v>145.70000000000005</v>
      </c>
      <c r="O652" s="108" t="str">
        <f>IF(Таблица97[[#This Row],[НК]]=1,Таблица97[[#This Row],[Маржа]],"")</f>
        <v/>
      </c>
    </row>
    <row r="653" spans="1:15" ht="20.100000000000001" customHeight="1" x14ac:dyDescent="0.25">
      <c r="A653" s="2">
        <v>1009</v>
      </c>
      <c r="B653" s="2" t="str">
        <f>TEXT(Таблица97[[#This Row],[Дата]],"ГГ")&amp;RIGHT("000"&amp;Таблица97[[#This Row],[Номер]],4)</f>
        <v>171009</v>
      </c>
      <c r="C653" s="129">
        <v>43061</v>
      </c>
      <c r="D653" s="2" t="s">
        <v>209</v>
      </c>
      <c r="E653" s="108">
        <v>6274.7</v>
      </c>
      <c r="F653" s="129">
        <v>43061</v>
      </c>
      <c r="H653" s="129">
        <v>43061</v>
      </c>
      <c r="I653" s="108">
        <f t="shared" si="28"/>
        <v>6274.7</v>
      </c>
      <c r="J653" s="108" t="str">
        <f>IF(Таблица97[[#This Row],[НК]]=1,Таблица97[[#This Row],[Продажа]],"")</f>
        <v/>
      </c>
      <c r="M653" s="108">
        <v>5615</v>
      </c>
      <c r="N653" s="108">
        <f>Таблица97[[#This Row],[Продажа]]-Таблица97[[#This Row],[Закупка]]</f>
        <v>659.69999999999982</v>
      </c>
      <c r="O653" s="108" t="str">
        <f>IF(Таблица97[[#This Row],[НК]]=1,Таблица97[[#This Row],[Маржа]],"")</f>
        <v/>
      </c>
    </row>
    <row r="654" spans="1:15" ht="20.100000000000001" customHeight="1" x14ac:dyDescent="0.25">
      <c r="A654" s="2">
        <v>982</v>
      </c>
      <c r="B654" s="2" t="str">
        <f>TEXT(Таблица97[[#This Row],[Дата]],"ГГ")&amp;RIGHT("000"&amp;Таблица97[[#This Row],[Номер]],4)</f>
        <v>170982</v>
      </c>
      <c r="C654" s="129">
        <v>43054</v>
      </c>
      <c r="D654" s="2" t="s">
        <v>66</v>
      </c>
      <c r="E654" s="108">
        <v>71056</v>
      </c>
      <c r="F654" s="129">
        <v>43061</v>
      </c>
      <c r="H654" s="129">
        <v>43084</v>
      </c>
      <c r="I654" s="108">
        <f t="shared" si="28"/>
        <v>71056</v>
      </c>
      <c r="J654" s="108" t="str">
        <f>IF(Таблица97[[#This Row],[НК]]=1,Таблица97[[#This Row],[Продажа]],"")</f>
        <v/>
      </c>
      <c r="M654" s="108">
        <v>46897</v>
      </c>
      <c r="N654" s="108">
        <f>Таблица97[[#This Row],[Продажа]]-Таблица97[[#This Row],[Закупка]]</f>
        <v>24159</v>
      </c>
      <c r="O654" s="108" t="str">
        <f>IF(Таблица97[[#This Row],[НК]]=1,Таблица97[[#This Row],[Маржа]],"")</f>
        <v/>
      </c>
    </row>
    <row r="655" spans="1:15" ht="20.100000000000001" customHeight="1" x14ac:dyDescent="0.25">
      <c r="A655" s="2">
        <v>960</v>
      </c>
      <c r="B655" s="2" t="str">
        <f>TEXT(Таблица97[[#This Row],[Дата]],"ГГ")&amp;RIGHT("000"&amp;Таблица97[[#This Row],[Номер]],4)</f>
        <v>170960</v>
      </c>
      <c r="C655" s="129">
        <v>43061</v>
      </c>
      <c r="D655" s="2" t="s">
        <v>302</v>
      </c>
      <c r="E655" s="108">
        <v>30882</v>
      </c>
      <c r="F655" s="129">
        <v>43062</v>
      </c>
      <c r="H655" s="129">
        <v>43061</v>
      </c>
      <c r="I655" s="108">
        <f t="shared" si="28"/>
        <v>30882</v>
      </c>
      <c r="J655" s="108" t="str">
        <f>IF(Таблица97[[#This Row],[НК]]=1,Таблица97[[#This Row],[Продажа]],"")</f>
        <v/>
      </c>
      <c r="M655" s="108">
        <v>23160</v>
      </c>
      <c r="N655" s="108">
        <f>Таблица97[[#This Row],[Продажа]]-Таблица97[[#This Row],[Закупка]]</f>
        <v>7722</v>
      </c>
      <c r="O655" s="108" t="str">
        <f>IF(Таблица97[[#This Row],[НК]]=1,Таблица97[[#This Row],[Маржа]],"")</f>
        <v/>
      </c>
    </row>
    <row r="656" spans="1:15" ht="20.100000000000001" customHeight="1" x14ac:dyDescent="0.25">
      <c r="A656" s="2">
        <v>978</v>
      </c>
      <c r="B656" s="2" t="str">
        <f>TEXT(Таблица97[[#This Row],[Дата]],"ГГ")&amp;RIGHT("000"&amp;Таблица97[[#This Row],[Номер]],4)</f>
        <v>170978</v>
      </c>
      <c r="C656" s="129">
        <v>43053</v>
      </c>
      <c r="D656" s="2" t="s">
        <v>175</v>
      </c>
      <c r="E656" s="108">
        <v>19399</v>
      </c>
      <c r="F656" s="129">
        <v>43067</v>
      </c>
      <c r="H656" s="129">
        <v>43069</v>
      </c>
      <c r="I656" s="108">
        <f t="shared" si="28"/>
        <v>19399</v>
      </c>
      <c r="J656" s="108" t="str">
        <f>IF(Таблица97[[#This Row],[НК]]=1,Таблица97[[#This Row],[Продажа]],"")</f>
        <v/>
      </c>
      <c r="M656" s="108">
        <v>12753</v>
      </c>
      <c r="N656" s="108">
        <f>Таблица97[[#This Row],[Продажа]]-Таблица97[[#This Row],[Закупка]]</f>
        <v>6646</v>
      </c>
      <c r="O656" s="108" t="str">
        <f>IF(Таблица97[[#This Row],[НК]]=1,Таблица97[[#This Row],[Маржа]],"")</f>
        <v/>
      </c>
    </row>
    <row r="657" spans="1:15" ht="20.100000000000001" customHeight="1" x14ac:dyDescent="0.25">
      <c r="A657" s="2">
        <v>1020</v>
      </c>
      <c r="B657" s="2" t="str">
        <f>TEXT(Таблица97[[#This Row],[Дата]],"ГГ")&amp;RIGHT("000"&amp;Таблица97[[#This Row],[Номер]],4)</f>
        <v>171020</v>
      </c>
      <c r="C657" s="129">
        <v>43066</v>
      </c>
      <c r="D657" s="2" t="s">
        <v>216</v>
      </c>
      <c r="E657" s="108">
        <v>1246.0999999999999</v>
      </c>
      <c r="F657" s="129">
        <v>43067</v>
      </c>
      <c r="H657" s="129">
        <v>43069</v>
      </c>
      <c r="I657" s="108">
        <f t="shared" si="28"/>
        <v>1246.0999999999999</v>
      </c>
      <c r="J657" s="108" t="str">
        <f>IF(Таблица97[[#This Row],[НК]]=1,Таблица97[[#This Row],[Продажа]],"")</f>
        <v/>
      </c>
      <c r="M657" s="108">
        <v>1062</v>
      </c>
      <c r="N657" s="108">
        <f>Таблица97[[#This Row],[Продажа]]-Таблица97[[#This Row],[Закупка]]</f>
        <v>184.09999999999991</v>
      </c>
      <c r="O657" s="108" t="str">
        <f>IF(Таблица97[[#This Row],[НК]]=1,Таблица97[[#This Row],[Маржа]],"")</f>
        <v/>
      </c>
    </row>
    <row r="658" spans="1:15" ht="20.100000000000001" customHeight="1" x14ac:dyDescent="0.25">
      <c r="A658" s="2">
        <v>897</v>
      </c>
      <c r="B658" s="2" t="str">
        <f>TEXT(Таблица97[[#This Row],[Дата]],"ГГ")&amp;RIGHT("000"&amp;Таблица97[[#This Row],[Номер]],4)</f>
        <v>170897</v>
      </c>
      <c r="C658" s="129">
        <v>43054</v>
      </c>
      <c r="D658" s="2" t="s">
        <v>13</v>
      </c>
      <c r="E658" s="108">
        <v>9847</v>
      </c>
      <c r="F658" s="129">
        <v>43068</v>
      </c>
      <c r="H658" s="129">
        <v>43055</v>
      </c>
      <c r="I658" s="108">
        <f t="shared" si="28"/>
        <v>9847</v>
      </c>
      <c r="J658" s="108" t="str">
        <f>IF(Таблица97[[#This Row],[НК]]=1,Таблица97[[#This Row],[Продажа]],"")</f>
        <v/>
      </c>
      <c r="M658" s="108">
        <v>7682</v>
      </c>
      <c r="N658" s="108">
        <f>Таблица97[[#This Row],[Продажа]]-Таблица97[[#This Row],[Закупка]]</f>
        <v>2165</v>
      </c>
      <c r="O658" s="108" t="str">
        <f>IF(Таблица97[[#This Row],[НК]]=1,Таблица97[[#This Row],[Маржа]],"")</f>
        <v/>
      </c>
    </row>
    <row r="659" spans="1:15" ht="20.100000000000001" customHeight="1" x14ac:dyDescent="0.25">
      <c r="A659" s="2">
        <v>1016</v>
      </c>
      <c r="B659" s="2" t="str">
        <f>TEXT(Таблица97[[#This Row],[Дата]],"ГГ")&amp;RIGHT("000"&amp;Таблица97[[#This Row],[Номер]],4)</f>
        <v>171016</v>
      </c>
      <c r="C659" s="129">
        <v>43066</v>
      </c>
      <c r="D659" s="2" t="s">
        <v>91</v>
      </c>
      <c r="E659" s="108">
        <v>6172</v>
      </c>
      <c r="F659" s="129">
        <v>43068</v>
      </c>
      <c r="H659" s="129">
        <v>43083</v>
      </c>
      <c r="I659" s="108">
        <f t="shared" si="28"/>
        <v>6172</v>
      </c>
      <c r="J659" s="108" t="str">
        <f>IF(Таблица97[[#This Row],[НК]]=1,Таблица97[[#This Row],[Продажа]],"")</f>
        <v/>
      </c>
      <c r="M659" s="108">
        <v>4315</v>
      </c>
      <c r="N659" s="108">
        <f>Таблица97[[#This Row],[Продажа]]-Таблица97[[#This Row],[Закупка]]</f>
        <v>1857</v>
      </c>
      <c r="O659" s="108" t="str">
        <f>IF(Таблица97[[#This Row],[НК]]=1,Таблица97[[#This Row],[Маржа]],"")</f>
        <v/>
      </c>
    </row>
    <row r="660" spans="1:15" ht="20.100000000000001" customHeight="1" x14ac:dyDescent="0.25">
      <c r="A660" s="2">
        <v>1023</v>
      </c>
      <c r="B660" s="2" t="str">
        <f>TEXT(Таблица97[[#This Row],[Дата]],"ГГ")&amp;RIGHT("000"&amp;Таблица97[[#This Row],[Номер]],4)</f>
        <v>171023</v>
      </c>
      <c r="C660" s="129">
        <v>43068</v>
      </c>
      <c r="D660" s="2" t="s">
        <v>58</v>
      </c>
      <c r="E660" s="108">
        <v>4842.84</v>
      </c>
      <c r="F660" s="129">
        <v>43069</v>
      </c>
      <c r="H660" s="129">
        <v>43077</v>
      </c>
      <c r="I660" s="108">
        <f t="shared" si="28"/>
        <v>4842.84</v>
      </c>
      <c r="J660" s="108" t="str">
        <f>IF(Таблица97[[#This Row],[НК]]=1,Таблица97[[#This Row],[Продажа]],"")</f>
        <v/>
      </c>
      <c r="M660" s="108">
        <v>3463</v>
      </c>
      <c r="N660" s="108">
        <f>Таблица97[[#This Row],[Продажа]]-Таблица97[[#This Row],[Закупка]]</f>
        <v>1379.8400000000001</v>
      </c>
      <c r="O660" s="108" t="str">
        <f>IF(Таблица97[[#This Row],[НК]]=1,Таблица97[[#This Row],[Маржа]],"")</f>
        <v/>
      </c>
    </row>
    <row r="661" spans="1:15" ht="20.100000000000001" customHeight="1" x14ac:dyDescent="0.25">
      <c r="A661" s="2">
        <v>1014</v>
      </c>
      <c r="B661" s="2" t="str">
        <f>TEXT(Таблица97[[#This Row],[Дата]],"ГГ")&amp;RIGHT("000"&amp;Таблица97[[#This Row],[Номер]],4)</f>
        <v>171014</v>
      </c>
      <c r="C661" s="129">
        <v>43063</v>
      </c>
      <c r="D661" s="2" t="s">
        <v>60</v>
      </c>
      <c r="E661" s="108">
        <v>28091.64</v>
      </c>
      <c r="F661" s="129">
        <v>43070</v>
      </c>
      <c r="H661" s="129">
        <v>43066</v>
      </c>
      <c r="I661" s="108">
        <f t="shared" ref="I661:I706" si="29">E661</f>
        <v>28091.64</v>
      </c>
      <c r="J661" s="108" t="str">
        <f>IF(Таблица97[[#This Row],[НК]]=1,Таблица97[[#This Row],[Продажа]],"")</f>
        <v/>
      </c>
      <c r="M661" s="108">
        <v>12890</v>
      </c>
      <c r="N661" s="108">
        <f>Таблица97[[#This Row],[Продажа]]-Таблица97[[#This Row],[Закупка]]</f>
        <v>15201.64</v>
      </c>
      <c r="O661" s="108" t="str">
        <f>IF(Таблица97[[#This Row],[НК]]=1,Таблица97[[#This Row],[Маржа]],"")</f>
        <v/>
      </c>
    </row>
    <row r="662" spans="1:15" ht="20.100000000000001" customHeight="1" x14ac:dyDescent="0.25">
      <c r="A662" s="2">
        <v>761</v>
      </c>
      <c r="B662" s="2" t="str">
        <f>TEXT(Таблица97[[#This Row],[Дата]],"ГГ")&amp;RIGHT("000"&amp;Таблица97[[#This Row],[Номер]],4)</f>
        <v>170761</v>
      </c>
      <c r="C662" s="129">
        <v>43013</v>
      </c>
      <c r="D662" s="2" t="s">
        <v>99</v>
      </c>
      <c r="E662" s="108">
        <v>71886</v>
      </c>
      <c r="F662" s="129">
        <v>43073</v>
      </c>
      <c r="H662" s="129">
        <v>43013</v>
      </c>
      <c r="I662" s="108">
        <f t="shared" si="29"/>
        <v>71886</v>
      </c>
      <c r="J662" s="108" t="str">
        <f>IF(Таблица97[[#This Row],[НК]]=1,Таблица97[[#This Row],[Продажа]],"")</f>
        <v/>
      </c>
      <c r="M662" s="108">
        <v>55264</v>
      </c>
      <c r="N662" s="108">
        <f>Таблица97[[#This Row],[Продажа]]-Таблица97[[#This Row],[Закупка]]</f>
        <v>16622</v>
      </c>
      <c r="O662" s="108" t="str">
        <f>IF(Таблица97[[#This Row],[НК]]=1,Таблица97[[#This Row],[Маржа]],"")</f>
        <v/>
      </c>
    </row>
    <row r="663" spans="1:15" ht="20.100000000000001" customHeight="1" x14ac:dyDescent="0.25">
      <c r="A663" s="2">
        <v>841</v>
      </c>
      <c r="B663" s="2" t="str">
        <f>TEXT(Таблица97[[#This Row],[Дата]],"ГГ")&amp;RIGHT("000"&amp;Таблица97[[#This Row],[Номер]],4)</f>
        <v>170841</v>
      </c>
      <c r="C663" s="129">
        <v>43010</v>
      </c>
      <c r="D663" s="2" t="s">
        <v>99</v>
      </c>
      <c r="E663" s="108">
        <v>42547</v>
      </c>
      <c r="F663" s="129">
        <v>43073</v>
      </c>
      <c r="H663" s="129">
        <v>43013</v>
      </c>
      <c r="I663" s="108">
        <f t="shared" si="29"/>
        <v>42547</v>
      </c>
      <c r="J663" s="108" t="str">
        <f>IF(Таблица97[[#This Row],[НК]]=1,Таблица97[[#This Row],[Продажа]],"")</f>
        <v/>
      </c>
      <c r="M663" s="108">
        <v>31031</v>
      </c>
      <c r="N663" s="108">
        <f>Таблица97[[#This Row],[Продажа]]-Таблица97[[#This Row],[Закупка]]</f>
        <v>11516</v>
      </c>
      <c r="O663" s="108" t="str">
        <f>IF(Таблица97[[#This Row],[НК]]=1,Таблица97[[#This Row],[Маржа]],"")</f>
        <v/>
      </c>
    </row>
    <row r="664" spans="1:15" ht="20.100000000000001" customHeight="1" x14ac:dyDescent="0.25">
      <c r="A664" s="2">
        <v>859</v>
      </c>
      <c r="B664" s="2" t="str">
        <f>TEXT(Таблица97[[#This Row],[Дата]],"ГГ")&amp;RIGHT("000"&amp;Таблица97[[#This Row],[Номер]],4)</f>
        <v>170859</v>
      </c>
      <c r="C664" s="129">
        <v>43013</v>
      </c>
      <c r="D664" s="2" t="s">
        <v>99</v>
      </c>
      <c r="E664" s="108">
        <v>2500</v>
      </c>
      <c r="F664" s="129">
        <v>43073</v>
      </c>
      <c r="H664" s="129">
        <v>43013</v>
      </c>
      <c r="I664" s="108">
        <f t="shared" si="29"/>
        <v>2500</v>
      </c>
      <c r="J664" s="108" t="str">
        <f>IF(Таблица97[[#This Row],[НК]]=1,Таблица97[[#This Row],[Продажа]],"")</f>
        <v/>
      </c>
      <c r="M664" s="108">
        <v>1250</v>
      </c>
      <c r="N664" s="108">
        <f>Таблица97[[#This Row],[Продажа]]-Таблица97[[#This Row],[Закупка]]</f>
        <v>1250</v>
      </c>
      <c r="O664" s="108" t="str">
        <f>IF(Таблица97[[#This Row],[НК]]=1,Таблица97[[#This Row],[Маржа]],"")</f>
        <v/>
      </c>
    </row>
    <row r="665" spans="1:15" ht="19.5" customHeight="1" x14ac:dyDescent="0.25">
      <c r="A665" s="2">
        <v>841</v>
      </c>
      <c r="B665" s="2" t="str">
        <f>TEXT(Таблица97[[#This Row],[Дата]],"ГГ")&amp;RIGHT("000"&amp;Таблица97[[#This Row],[Номер]],4)</f>
        <v>170841</v>
      </c>
      <c r="C665" s="129">
        <v>43010</v>
      </c>
      <c r="D665" s="2" t="s">
        <v>99</v>
      </c>
      <c r="E665" s="108">
        <v>229537</v>
      </c>
      <c r="F665" s="129">
        <v>43073</v>
      </c>
      <c r="H665" s="129">
        <v>43026</v>
      </c>
      <c r="I665" s="108">
        <f t="shared" si="29"/>
        <v>229537</v>
      </c>
      <c r="J665" s="108" t="str">
        <f>IF(Таблица97[[#This Row],[НК]]=1,Таблица97[[#This Row],[Продажа]],"")</f>
        <v/>
      </c>
      <c r="K665" s="108">
        <v>36000</v>
      </c>
      <c r="M665" s="108">
        <v>83476</v>
      </c>
      <c r="N665" s="108">
        <f>Таблица97[[#This Row],[Продажа]]-Таблица97[[#This Row],[Закупка]]</f>
        <v>146061</v>
      </c>
      <c r="O665" s="108" t="str">
        <f>IF(Таблица97[[#This Row],[НК]]=1,Таблица97[[#This Row],[Маржа]],"")</f>
        <v/>
      </c>
    </row>
    <row r="666" spans="1:15" ht="20.100000000000001" customHeight="1" x14ac:dyDescent="0.25">
      <c r="A666" s="2">
        <v>1030</v>
      </c>
      <c r="B666" s="2" t="str">
        <f>TEXT(Таблица97[[#This Row],[Дата]],"ГГ")&amp;RIGHT("000"&amp;Таблица97[[#This Row],[Номер]],4)</f>
        <v>171030</v>
      </c>
      <c r="C666" s="129">
        <v>43070</v>
      </c>
      <c r="D666" s="2" t="s">
        <v>278</v>
      </c>
      <c r="E666" s="108">
        <v>6193</v>
      </c>
      <c r="F666" s="129">
        <v>43073</v>
      </c>
      <c r="H666" s="129">
        <v>43074</v>
      </c>
      <c r="I666" s="108">
        <f t="shared" si="29"/>
        <v>6193</v>
      </c>
      <c r="J666" s="108" t="str">
        <f>IF(Таблица97[[#This Row],[НК]]=1,Таблица97[[#This Row],[Продажа]],"")</f>
        <v/>
      </c>
      <c r="M666" s="108">
        <v>4023</v>
      </c>
      <c r="N666" s="108">
        <f>Таблица97[[#This Row],[Продажа]]-Таблица97[[#This Row],[Закупка]]</f>
        <v>2170</v>
      </c>
      <c r="O666" s="108" t="str">
        <f>IF(Таблица97[[#This Row],[НК]]=1,Таблица97[[#This Row],[Маржа]],"")</f>
        <v/>
      </c>
    </row>
    <row r="667" spans="1:15" ht="20.100000000000001" customHeight="1" x14ac:dyDescent="0.25">
      <c r="A667" s="2">
        <v>1032</v>
      </c>
      <c r="B667" s="2" t="str">
        <f>TEXT(Таблица97[[#This Row],[Дата]],"ГГ")&amp;RIGHT("000"&amp;Таблица97[[#This Row],[Номер]],4)</f>
        <v>171032</v>
      </c>
      <c r="C667" s="129">
        <v>43073</v>
      </c>
      <c r="D667" s="2" t="s">
        <v>209</v>
      </c>
      <c r="E667" s="108">
        <v>5915</v>
      </c>
      <c r="F667" s="129">
        <v>43074</v>
      </c>
      <c r="H667" s="129">
        <v>43073</v>
      </c>
      <c r="I667" s="108">
        <f t="shared" si="29"/>
        <v>5915</v>
      </c>
      <c r="J667" s="108" t="str">
        <f>IF(Таблица97[[#This Row],[НК]]=1,Таблица97[[#This Row],[Продажа]],"")</f>
        <v/>
      </c>
      <c r="M667" s="108">
        <v>5358</v>
      </c>
      <c r="N667" s="108">
        <f>Таблица97[[#This Row],[Продажа]]-Таблица97[[#This Row],[Закупка]]</f>
        <v>557</v>
      </c>
      <c r="O667" s="108" t="str">
        <f>IF(Таблица97[[#This Row],[НК]]=1,Таблица97[[#This Row],[Маржа]],"")</f>
        <v/>
      </c>
    </row>
    <row r="668" spans="1:15" ht="20.100000000000001" customHeight="1" x14ac:dyDescent="0.25">
      <c r="A668" s="2">
        <v>1034</v>
      </c>
      <c r="B668" s="2" t="str">
        <f>TEXT(Таблица97[[#This Row],[Дата]],"ГГ")&amp;RIGHT("000"&amp;Таблица97[[#This Row],[Номер]],4)</f>
        <v>171034</v>
      </c>
      <c r="C668" s="129">
        <v>43073</v>
      </c>
      <c r="D668" s="2" t="s">
        <v>101</v>
      </c>
      <c r="E668" s="108">
        <v>8290</v>
      </c>
      <c r="F668" s="129">
        <v>43074</v>
      </c>
      <c r="H668" s="129">
        <v>43075</v>
      </c>
      <c r="I668" s="108">
        <f t="shared" si="29"/>
        <v>8290</v>
      </c>
      <c r="J668" s="108" t="str">
        <f>IF(Таблица97[[#This Row],[НК]]=1,Таблица97[[#This Row],[Продажа]],"")</f>
        <v/>
      </c>
      <c r="M668" s="108">
        <v>6093</v>
      </c>
      <c r="N668" s="108">
        <f>Таблица97[[#This Row],[Продажа]]-Таблица97[[#This Row],[Закупка]]</f>
        <v>2197</v>
      </c>
      <c r="O668" s="108" t="str">
        <f>IF(Таблица97[[#This Row],[НК]]=1,Таблица97[[#This Row],[Маржа]],"")</f>
        <v/>
      </c>
    </row>
    <row r="669" spans="1:15" ht="20.100000000000001" customHeight="1" x14ac:dyDescent="0.25">
      <c r="A669" s="2">
        <v>1007</v>
      </c>
      <c r="B669" s="2" t="str">
        <f>TEXT(Таблица97[[#This Row],[Дата]],"ГГ")&amp;RIGHT("000"&amp;Таблица97[[#This Row],[Номер]],4)</f>
        <v>171007</v>
      </c>
      <c r="C669" s="129">
        <v>43061</v>
      </c>
      <c r="D669" s="2" t="s">
        <v>11</v>
      </c>
      <c r="E669" s="108">
        <v>7095</v>
      </c>
      <c r="F669" s="129">
        <v>43074</v>
      </c>
      <c r="H669" s="129">
        <v>43076</v>
      </c>
      <c r="I669" s="108">
        <f t="shared" si="29"/>
        <v>7095</v>
      </c>
      <c r="J669" s="108" t="str">
        <f>IF(Таблица97[[#This Row],[НК]]=1,Таблица97[[#This Row],[Продажа]],"")</f>
        <v/>
      </c>
      <c r="M669" s="108">
        <v>4311</v>
      </c>
      <c r="N669" s="108">
        <f>Таблица97[[#This Row],[Продажа]]-Таблица97[[#This Row],[Закупка]]</f>
        <v>2784</v>
      </c>
      <c r="O669" s="108" t="str">
        <f>IF(Таблица97[[#This Row],[НК]]=1,Таблица97[[#This Row],[Маржа]],"")</f>
        <v/>
      </c>
    </row>
    <row r="670" spans="1:15" ht="20.100000000000001" customHeight="1" x14ac:dyDescent="0.25">
      <c r="A670" s="2">
        <v>1046</v>
      </c>
      <c r="B670" s="2" t="str">
        <f>TEXT(Таблица97[[#This Row],[Дата]],"ГГ")&amp;RIGHT("000"&amp;Таблица97[[#This Row],[Номер]],4)</f>
        <v>171046</v>
      </c>
      <c r="C670" s="129">
        <v>43075</v>
      </c>
      <c r="D670" s="2" t="s">
        <v>101</v>
      </c>
      <c r="E670" s="108">
        <v>1266</v>
      </c>
      <c r="F670" s="129">
        <v>43075</v>
      </c>
      <c r="H670" s="129">
        <v>43075</v>
      </c>
      <c r="I670" s="108">
        <f t="shared" si="29"/>
        <v>1266</v>
      </c>
      <c r="J670" s="108" t="str">
        <f>IF(Таблица97[[#This Row],[НК]]=1,Таблица97[[#This Row],[Продажа]],"")</f>
        <v/>
      </c>
      <c r="M670" s="108">
        <v>952</v>
      </c>
      <c r="N670" s="108">
        <f>Таблица97[[#This Row],[Продажа]]-Таблица97[[#This Row],[Закупка]]</f>
        <v>314</v>
      </c>
      <c r="O670" s="108" t="str">
        <f>IF(Таблица97[[#This Row],[НК]]=1,Таблица97[[#This Row],[Маржа]],"")</f>
        <v/>
      </c>
    </row>
    <row r="671" spans="1:15" ht="20.100000000000001" customHeight="1" x14ac:dyDescent="0.25">
      <c r="A671" s="2">
        <v>1041</v>
      </c>
      <c r="B671" s="2" t="str">
        <f>TEXT(Таблица97[[#This Row],[Дата]],"ГГ")&amp;RIGHT("000"&amp;Таблица97[[#This Row],[Номер]],4)</f>
        <v>171041</v>
      </c>
      <c r="C671" s="129">
        <v>43074</v>
      </c>
      <c r="D671" s="2" t="s">
        <v>304</v>
      </c>
      <c r="E671" s="108">
        <v>47790</v>
      </c>
      <c r="F671" s="129">
        <v>43075</v>
      </c>
      <c r="G671" s="128">
        <v>1</v>
      </c>
      <c r="H671" s="129">
        <v>43076</v>
      </c>
      <c r="I671" s="108">
        <f t="shared" si="29"/>
        <v>47790</v>
      </c>
      <c r="J671" s="108">
        <f>IF(Таблица97[[#This Row],[НК]]=1,Таблица97[[#This Row],[Продажа]],"")</f>
        <v>47790</v>
      </c>
      <c r="M671" s="108">
        <v>36129</v>
      </c>
      <c r="N671" s="108">
        <f>Таблица97[[#This Row],[Продажа]]-Таблица97[[#This Row],[Закупка]]</f>
        <v>11661</v>
      </c>
      <c r="O671" s="108">
        <f>IF(Таблица97[[#This Row],[НК]]=1,Таблица97[[#This Row],[Маржа]],"")</f>
        <v>11661</v>
      </c>
    </row>
    <row r="672" spans="1:15" ht="20.100000000000001" customHeight="1" x14ac:dyDescent="0.25">
      <c r="A672" s="2">
        <v>1057</v>
      </c>
      <c r="B672" s="2" t="str">
        <f>TEXT(Таблица97[[#This Row],[Дата]],"ГГ")&amp;RIGHT("000"&amp;Таблица97[[#This Row],[Номер]],4)</f>
        <v>171057</v>
      </c>
      <c r="C672" s="129">
        <v>43077</v>
      </c>
      <c r="D672" s="2" t="s">
        <v>305</v>
      </c>
      <c r="E672" s="108">
        <v>14990</v>
      </c>
      <c r="F672" s="129">
        <v>43077</v>
      </c>
      <c r="G672" s="128">
        <v>1</v>
      </c>
      <c r="H672" s="129">
        <v>43080</v>
      </c>
      <c r="I672" s="108">
        <f t="shared" si="29"/>
        <v>14990</v>
      </c>
      <c r="J672" s="108">
        <f>IF(Таблица97[[#This Row],[НК]]=1,Таблица97[[#This Row],[Продажа]],"")</f>
        <v>14990</v>
      </c>
      <c r="M672" s="108">
        <v>14483</v>
      </c>
      <c r="N672" s="108">
        <f>Таблица97[[#This Row],[Продажа]]-Таблица97[[#This Row],[Закупка]]</f>
        <v>507</v>
      </c>
      <c r="O672" s="108">
        <f>IF(Таблица97[[#This Row],[НК]]=1,Таблица97[[#This Row],[Маржа]],"")</f>
        <v>507</v>
      </c>
    </row>
    <row r="673" spans="1:15" ht="20.100000000000001" customHeight="1" x14ac:dyDescent="0.25">
      <c r="A673" s="2">
        <v>845</v>
      </c>
      <c r="B673" s="2" t="str">
        <f>TEXT(Таблица97[[#This Row],[Дата]],"ГГ")&amp;RIGHT("000"&amp;Таблица97[[#This Row],[Номер]],4)</f>
        <v>170845</v>
      </c>
      <c r="C673" s="129">
        <v>43074</v>
      </c>
      <c r="D673" s="2" t="s">
        <v>30</v>
      </c>
      <c r="E673" s="108">
        <v>4398</v>
      </c>
      <c r="F673" s="129">
        <v>43077</v>
      </c>
      <c r="H673" s="129">
        <v>43080</v>
      </c>
      <c r="I673" s="108">
        <f t="shared" si="29"/>
        <v>4398</v>
      </c>
      <c r="J673" s="108" t="str">
        <f>IF(Таблица97[[#This Row],[НК]]=1,Таблица97[[#This Row],[Продажа]],"")</f>
        <v/>
      </c>
      <c r="M673" s="108">
        <v>3186</v>
      </c>
      <c r="N673" s="108">
        <f>Таблица97[[#This Row],[Продажа]]-Таблица97[[#This Row],[Закупка]]</f>
        <v>1212</v>
      </c>
      <c r="O673" s="108" t="str">
        <f>IF(Таблица97[[#This Row],[НК]]=1,Таблица97[[#This Row],[Маржа]],"")</f>
        <v/>
      </c>
    </row>
    <row r="674" spans="1:15" ht="20.100000000000001" customHeight="1" x14ac:dyDescent="0.25">
      <c r="A674" s="2">
        <v>1027</v>
      </c>
      <c r="B674" s="2" t="str">
        <f>TEXT(Таблица97[[#This Row],[Дата]],"ГГ")&amp;RIGHT("000"&amp;Таблица97[[#This Row],[Номер]],4)</f>
        <v>171027</v>
      </c>
      <c r="C674" s="129">
        <v>43069</v>
      </c>
      <c r="D674" s="2" t="s">
        <v>15</v>
      </c>
      <c r="E674" s="108">
        <v>4163.04</v>
      </c>
      <c r="F674" s="129">
        <v>43077</v>
      </c>
      <c r="H674" s="129">
        <v>43084</v>
      </c>
      <c r="I674" s="108">
        <f t="shared" si="29"/>
        <v>4163.04</v>
      </c>
      <c r="J674" s="108" t="str">
        <f>IF(Таблица97[[#This Row],[НК]]=1,Таблица97[[#This Row],[Продажа]],"")</f>
        <v/>
      </c>
      <c r="M674" s="108">
        <v>3248</v>
      </c>
      <c r="N674" s="108">
        <f>Таблица97[[#This Row],[Продажа]]-Таблица97[[#This Row],[Закупка]]</f>
        <v>915.04</v>
      </c>
      <c r="O674" s="108" t="str">
        <f>IF(Таблица97[[#This Row],[НК]]=1,Таблица97[[#This Row],[Маржа]],"")</f>
        <v/>
      </c>
    </row>
    <row r="675" spans="1:15" ht="20.100000000000001" customHeight="1" x14ac:dyDescent="0.25">
      <c r="A675" s="2">
        <v>1061</v>
      </c>
      <c r="B675" s="2" t="str">
        <f>TEXT(Таблица97[[#This Row],[Дата]],"ГГ")&amp;RIGHT("000"&amp;Таблица97[[#This Row],[Номер]],4)</f>
        <v>171061</v>
      </c>
      <c r="C675" s="129">
        <v>43080</v>
      </c>
      <c r="D675" s="2" t="s">
        <v>305</v>
      </c>
      <c r="E675" s="108">
        <v>14990</v>
      </c>
      <c r="F675" s="129">
        <v>43080</v>
      </c>
      <c r="G675" s="128">
        <v>1</v>
      </c>
      <c r="H675" s="129">
        <v>43081</v>
      </c>
      <c r="I675" s="108">
        <f t="shared" si="29"/>
        <v>14990</v>
      </c>
      <c r="J675" s="108">
        <f>IF(Таблица97[[#This Row],[НК]]=1,Таблица97[[#This Row],[Продажа]],"")</f>
        <v>14990</v>
      </c>
      <c r="M675" s="108">
        <v>12592</v>
      </c>
      <c r="N675" s="108">
        <f>Таблица97[[#This Row],[Продажа]]-Таблица97[[#This Row],[Закупка]]</f>
        <v>2398</v>
      </c>
      <c r="O675" s="108">
        <f>IF(Таблица97[[#This Row],[НК]]=1,Таблица97[[#This Row],[Маржа]],"")</f>
        <v>2398</v>
      </c>
    </row>
    <row r="676" spans="1:15" ht="20.100000000000001" customHeight="1" x14ac:dyDescent="0.25">
      <c r="A676" s="2">
        <v>1012</v>
      </c>
      <c r="B676" s="2" t="str">
        <f>TEXT(Таблица97[[#This Row],[Дата]],"ГГ")&amp;RIGHT("000"&amp;Таблица97[[#This Row],[Номер]],4)</f>
        <v>171012</v>
      </c>
      <c r="C676" s="129">
        <v>43062</v>
      </c>
      <c r="D676" s="2" t="s">
        <v>209</v>
      </c>
      <c r="E676" s="108">
        <v>7701</v>
      </c>
      <c r="F676" s="129">
        <v>43080</v>
      </c>
      <c r="H676" s="129">
        <v>43075</v>
      </c>
      <c r="I676" s="108">
        <f t="shared" si="29"/>
        <v>7701</v>
      </c>
      <c r="J676" s="108" t="str">
        <f>IF(Таблица97[[#This Row],[НК]]=1,Таблица97[[#This Row],[Продажа]],"")</f>
        <v/>
      </c>
      <c r="M676" s="108">
        <v>3100</v>
      </c>
      <c r="N676" s="108">
        <f>Таблица97[[#This Row],[Продажа]]-Таблица97[[#This Row],[Закупка]]</f>
        <v>4601</v>
      </c>
      <c r="O676" s="108" t="str">
        <f>IF(Таблица97[[#This Row],[НК]]=1,Таблица97[[#This Row],[Маржа]],"")</f>
        <v/>
      </c>
    </row>
    <row r="677" spans="1:15" ht="20.100000000000001" customHeight="1" x14ac:dyDescent="0.25">
      <c r="A677" s="2">
        <v>1033</v>
      </c>
      <c r="B677" s="2" t="str">
        <f>TEXT(Таблица97[[#This Row],[Дата]],"ГГ")&amp;RIGHT("000"&amp;Таблица97[[#This Row],[Номер]],4)</f>
        <v>171033</v>
      </c>
      <c r="C677" s="129">
        <v>43073</v>
      </c>
      <c r="D677" s="2" t="s">
        <v>209</v>
      </c>
      <c r="E677" s="108">
        <v>1575</v>
      </c>
      <c r="F677" s="129">
        <v>43080</v>
      </c>
      <c r="H677" s="129">
        <v>43087</v>
      </c>
      <c r="I677" s="108">
        <f t="shared" si="29"/>
        <v>1575</v>
      </c>
      <c r="J677" s="108" t="str">
        <f>IF(Таблица97[[#This Row],[НК]]=1,Таблица97[[#This Row],[Продажа]],"")</f>
        <v/>
      </c>
      <c r="M677" s="108">
        <v>1446</v>
      </c>
      <c r="N677" s="108">
        <f>Таблица97[[#This Row],[Продажа]]-Таблица97[[#This Row],[Закупка]]</f>
        <v>129</v>
      </c>
      <c r="O677" s="108" t="str">
        <f>IF(Таблица97[[#This Row],[НК]]=1,Таблица97[[#This Row],[Маржа]],"")</f>
        <v/>
      </c>
    </row>
    <row r="678" spans="1:15" ht="20.100000000000001" customHeight="1" x14ac:dyDescent="0.25">
      <c r="A678" s="2">
        <v>1040</v>
      </c>
      <c r="B678" s="2" t="str">
        <f>TEXT(Таблица97[[#This Row],[Дата]],"ГГ")&amp;RIGHT("000"&amp;Таблица97[[#This Row],[Номер]],4)</f>
        <v>171040</v>
      </c>
      <c r="C678" s="129">
        <v>43074</v>
      </c>
      <c r="D678" s="2" t="s">
        <v>175</v>
      </c>
      <c r="E678" s="108">
        <v>7307.4</v>
      </c>
      <c r="F678" s="129">
        <v>43081</v>
      </c>
      <c r="H678" s="129">
        <v>43087</v>
      </c>
      <c r="I678" s="108">
        <f t="shared" si="29"/>
        <v>7307.4</v>
      </c>
      <c r="J678" s="108" t="str">
        <f>IF(Таблица97[[#This Row],[НК]]=1,Таблица97[[#This Row],[Продажа]],"")</f>
        <v/>
      </c>
      <c r="M678" s="108">
        <v>5786</v>
      </c>
      <c r="N678" s="108">
        <f>Таблица97[[#This Row],[Продажа]]-Таблица97[[#This Row],[Закупка]]</f>
        <v>1521.3999999999996</v>
      </c>
      <c r="O678" s="108" t="str">
        <f>IF(Таблица97[[#This Row],[НК]]=1,Таблица97[[#This Row],[Маржа]],"")</f>
        <v/>
      </c>
    </row>
    <row r="679" spans="1:15" ht="20.100000000000001" customHeight="1" x14ac:dyDescent="0.25">
      <c r="A679" s="2">
        <v>1051</v>
      </c>
      <c r="B679" s="2" t="str">
        <f>TEXT(Таблица97[[#This Row],[Дата]],"ГГ")&amp;RIGHT("000"&amp;Таблица97[[#This Row],[Номер]],4)</f>
        <v>171051</v>
      </c>
      <c r="C679" s="129">
        <v>43076</v>
      </c>
      <c r="D679" s="2" t="s">
        <v>77</v>
      </c>
      <c r="E679" s="108">
        <v>1466</v>
      </c>
      <c r="F679" s="129">
        <v>43081</v>
      </c>
      <c r="H679" s="129">
        <v>43081</v>
      </c>
      <c r="I679" s="108">
        <f t="shared" si="29"/>
        <v>1466</v>
      </c>
      <c r="J679" s="108" t="str">
        <f>IF(Таблица97[[#This Row],[НК]]=1,Таблица97[[#This Row],[Продажа]],"")</f>
        <v/>
      </c>
      <c r="M679" s="108">
        <v>1193</v>
      </c>
      <c r="N679" s="108">
        <f>Таблица97[[#This Row],[Продажа]]-Таблица97[[#This Row],[Закупка]]</f>
        <v>273</v>
      </c>
      <c r="O679" s="108" t="str">
        <f>IF(Таблица97[[#This Row],[НК]]=1,Таблица97[[#This Row],[Маржа]],"")</f>
        <v/>
      </c>
    </row>
    <row r="680" spans="1:15" ht="20.100000000000001" customHeight="1" x14ac:dyDescent="0.25">
      <c r="A680" s="2">
        <v>1064</v>
      </c>
      <c r="B680" s="2" t="str">
        <f>TEXT(Таблица97[[#This Row],[Дата]],"ГГ")&amp;RIGHT("000"&amp;Таблица97[[#This Row],[Номер]],4)</f>
        <v>171064</v>
      </c>
      <c r="C680" s="129">
        <v>43080</v>
      </c>
      <c r="D680" s="2" t="s">
        <v>77</v>
      </c>
      <c r="E680" s="108">
        <v>1647</v>
      </c>
      <c r="F680" s="129">
        <v>43081</v>
      </c>
      <c r="H680" s="129">
        <v>43082</v>
      </c>
      <c r="I680" s="108">
        <f t="shared" si="29"/>
        <v>1647</v>
      </c>
      <c r="J680" s="108" t="str">
        <f>IF(Таблица97[[#This Row],[НК]]=1,Таблица97[[#This Row],[Продажа]],"")</f>
        <v/>
      </c>
      <c r="M680" s="108">
        <v>1062</v>
      </c>
      <c r="N680" s="108">
        <f>Таблица97[[#This Row],[Продажа]]-Таблица97[[#This Row],[Закупка]]</f>
        <v>585</v>
      </c>
      <c r="O680" s="108" t="str">
        <f>IF(Таблица97[[#This Row],[НК]]=1,Таблица97[[#This Row],[Маржа]],"")</f>
        <v/>
      </c>
    </row>
    <row r="681" spans="1:15" ht="20.100000000000001" customHeight="1" x14ac:dyDescent="0.25">
      <c r="A681" s="2">
        <v>1029</v>
      </c>
      <c r="B681" s="2" t="str">
        <f>TEXT(Таблица97[[#This Row],[Дата]],"ГГ")&amp;RIGHT("000"&amp;Таблица97[[#This Row],[Номер]],4)</f>
        <v>171029</v>
      </c>
      <c r="C681" s="129">
        <v>43070</v>
      </c>
      <c r="D681" s="2" t="s">
        <v>228</v>
      </c>
      <c r="E681" s="108">
        <v>4552.92</v>
      </c>
      <c r="F681" s="129">
        <v>43081</v>
      </c>
      <c r="H681" s="129">
        <v>43098</v>
      </c>
      <c r="I681" s="108">
        <f t="shared" si="29"/>
        <v>4552.92</v>
      </c>
      <c r="J681" s="108" t="str">
        <f>IF(Таблица97[[#This Row],[НК]]=1,Таблица97[[#This Row],[Продажа]],"")</f>
        <v/>
      </c>
      <c r="M681" s="108">
        <v>3004</v>
      </c>
      <c r="N681" s="108">
        <f>Таблица97[[#This Row],[Продажа]]-Таблица97[[#This Row],[Закупка]]</f>
        <v>1548.92</v>
      </c>
      <c r="O681" s="108" t="str">
        <f>IF(Таблица97[[#This Row],[НК]]=1,Таблица97[[#This Row],[Маржа]],"")</f>
        <v/>
      </c>
    </row>
    <row r="682" spans="1:15" ht="20.100000000000001" customHeight="1" x14ac:dyDescent="0.25">
      <c r="A682" s="2">
        <v>1039</v>
      </c>
      <c r="B682" s="2" t="str">
        <f>TEXT(Таблица97[[#This Row],[Дата]],"ГГ")&amp;RIGHT("000"&amp;Таблица97[[#This Row],[Номер]],4)</f>
        <v>171039</v>
      </c>
      <c r="C682" s="129">
        <v>43074</v>
      </c>
      <c r="D682" s="2" t="s">
        <v>175</v>
      </c>
      <c r="E682" s="108">
        <v>16497.7</v>
      </c>
      <c r="F682" s="129">
        <v>43082</v>
      </c>
      <c r="H682" s="129">
        <v>43087</v>
      </c>
      <c r="I682" s="108">
        <f t="shared" si="29"/>
        <v>16497.7</v>
      </c>
      <c r="J682" s="108" t="str">
        <f>IF(Таблица97[[#This Row],[НК]]=1,Таблица97[[#This Row],[Продажа]],"")</f>
        <v/>
      </c>
      <c r="M682" s="108">
        <v>13488</v>
      </c>
      <c r="N682" s="108">
        <f>Таблица97[[#This Row],[Продажа]]-Таблица97[[#This Row],[Закупка]]</f>
        <v>3009.7000000000007</v>
      </c>
      <c r="O682" s="108" t="str">
        <f>IF(Таблица97[[#This Row],[НК]]=1,Таблица97[[#This Row],[Маржа]],"")</f>
        <v/>
      </c>
    </row>
    <row r="683" spans="1:15" ht="20.100000000000001" customHeight="1" x14ac:dyDescent="0.25">
      <c r="A683" s="2">
        <v>1065</v>
      </c>
      <c r="B683" s="2" t="str">
        <f>TEXT(Таблица97[[#This Row],[Дата]],"ГГ")&amp;RIGHT("000"&amp;Таблица97[[#This Row],[Номер]],4)</f>
        <v>171065</v>
      </c>
      <c r="C683" s="129">
        <v>43080</v>
      </c>
      <c r="D683" s="2" t="s">
        <v>307</v>
      </c>
      <c r="E683" s="108">
        <v>19232</v>
      </c>
      <c r="F683" s="129">
        <v>43082</v>
      </c>
      <c r="G683" s="128">
        <v>1</v>
      </c>
      <c r="H683" s="129">
        <v>43083</v>
      </c>
      <c r="I683" s="108">
        <f t="shared" si="29"/>
        <v>19232</v>
      </c>
      <c r="J683" s="108">
        <f>IF(Таблица97[[#This Row],[НК]]=1,Таблица97[[#This Row],[Продажа]],"")</f>
        <v>19232</v>
      </c>
      <c r="M683" s="108">
        <v>14223</v>
      </c>
      <c r="N683" s="108">
        <f>Таблица97[[#This Row],[Продажа]]-Таблица97[[#This Row],[Закупка]]</f>
        <v>5009</v>
      </c>
      <c r="O683" s="108">
        <f>IF(Таблица97[[#This Row],[НК]]=1,Таблица97[[#This Row],[Маржа]],"")</f>
        <v>5009</v>
      </c>
    </row>
    <row r="684" spans="1:15" ht="20.100000000000001" customHeight="1" x14ac:dyDescent="0.25">
      <c r="A684" s="2">
        <v>1083</v>
      </c>
      <c r="B684" s="2" t="str">
        <f>TEXT(Таблица97[[#This Row],[Дата]],"ГГ")&amp;RIGHT("000"&amp;Таблица97[[#This Row],[Номер]],4)</f>
        <v>171083</v>
      </c>
      <c r="C684" s="129">
        <v>43083</v>
      </c>
      <c r="D684" s="2" t="s">
        <v>303</v>
      </c>
      <c r="E684" s="108">
        <v>25330</v>
      </c>
      <c r="F684" s="129">
        <v>43083</v>
      </c>
      <c r="H684" s="129">
        <v>43083</v>
      </c>
      <c r="I684" s="108">
        <f t="shared" si="29"/>
        <v>25330</v>
      </c>
      <c r="J684" s="108" t="str">
        <f>IF(Таблица97[[#This Row],[НК]]=1,Таблица97[[#This Row],[Продажа]],"")</f>
        <v/>
      </c>
      <c r="M684" s="108">
        <v>14800</v>
      </c>
      <c r="N684" s="108">
        <f>Таблица97[[#This Row],[Продажа]]-Таблица97[[#This Row],[Закупка]]</f>
        <v>10530</v>
      </c>
      <c r="O684" s="108" t="str">
        <f>IF(Таблица97[[#This Row],[НК]]=1,Таблица97[[#This Row],[Маржа]],"")</f>
        <v/>
      </c>
    </row>
    <row r="685" spans="1:15" ht="20.100000000000001" customHeight="1" x14ac:dyDescent="0.25">
      <c r="A685" s="2">
        <v>1050</v>
      </c>
      <c r="B685" s="2" t="str">
        <f>TEXT(Таблица97[[#This Row],[Дата]],"ГГ")&amp;RIGHT("000"&amp;Таблица97[[#This Row],[Номер]],4)</f>
        <v>171050</v>
      </c>
      <c r="C685" s="129">
        <v>43076</v>
      </c>
      <c r="D685" s="2" t="s">
        <v>180</v>
      </c>
      <c r="E685" s="108">
        <v>40646</v>
      </c>
      <c r="F685" s="129">
        <v>43083</v>
      </c>
      <c r="H685" s="129">
        <v>43098</v>
      </c>
      <c r="I685" s="108">
        <f t="shared" si="29"/>
        <v>40646</v>
      </c>
      <c r="J685" s="108" t="str">
        <f>IF(Таблица97[[#This Row],[НК]]=1,Таблица97[[#This Row],[Продажа]],"")</f>
        <v/>
      </c>
      <c r="L685" s="108">
        <f>2*1200</f>
        <v>2400</v>
      </c>
      <c r="M685" s="108">
        <v>20468</v>
      </c>
      <c r="N685" s="108">
        <f>Таблица97[[#This Row],[Продажа]]-Таблица97[[#This Row],[Закупка]]</f>
        <v>20178</v>
      </c>
      <c r="O685" s="108" t="str">
        <f>IF(Таблица97[[#This Row],[НК]]=1,Таблица97[[#This Row],[Маржа]],"")</f>
        <v/>
      </c>
    </row>
    <row r="686" spans="1:15" ht="20.100000000000001" customHeight="1" x14ac:dyDescent="0.25">
      <c r="A686" s="2">
        <v>1024</v>
      </c>
      <c r="B686" s="2" t="str">
        <f>TEXT(Таблица97[[#This Row],[Дата]],"ГГ")&amp;RIGHT("000"&amp;Таблица97[[#This Row],[Номер]],4)</f>
        <v>171024</v>
      </c>
      <c r="C686" s="129">
        <v>43077</v>
      </c>
      <c r="D686" s="2" t="s">
        <v>65</v>
      </c>
      <c r="E686" s="108">
        <v>95140</v>
      </c>
      <c r="F686" s="129">
        <v>43083</v>
      </c>
      <c r="H686" s="129">
        <v>43151</v>
      </c>
      <c r="I686" s="108">
        <f t="shared" si="29"/>
        <v>95140</v>
      </c>
      <c r="J686" s="108" t="str">
        <f>IF(Таблица97[[#This Row],[НК]]=1,Таблица97[[#This Row],[Продажа]],"")</f>
        <v/>
      </c>
      <c r="L686" s="108">
        <f>16*1200</f>
        <v>19200</v>
      </c>
      <c r="M686" s="108">
        <v>37174</v>
      </c>
      <c r="N686" s="108">
        <f>Таблица97[[#This Row],[Продажа]]-Таблица97[[#This Row],[Закупка]]</f>
        <v>57966</v>
      </c>
      <c r="O686" s="108" t="str">
        <f>IF(Таблица97[[#This Row],[НК]]=1,Таблица97[[#This Row],[Маржа]],"")</f>
        <v/>
      </c>
    </row>
    <row r="687" spans="1:15" ht="20.100000000000001" customHeight="1" x14ac:dyDescent="0.25">
      <c r="A687" s="2">
        <v>1090</v>
      </c>
      <c r="B687" s="2" t="str">
        <f>TEXT(Таблица97[[#This Row],[Дата]],"ГГ")&amp;RIGHT("000"&amp;Таблица97[[#This Row],[Номер]],4)</f>
        <v>171090</v>
      </c>
      <c r="C687" s="129">
        <v>43084</v>
      </c>
      <c r="D687" s="2" t="s">
        <v>308</v>
      </c>
      <c r="E687" s="108">
        <v>2215</v>
      </c>
      <c r="F687" s="129">
        <v>43087</v>
      </c>
      <c r="G687" s="128">
        <v>1</v>
      </c>
      <c r="H687" s="129">
        <v>43089</v>
      </c>
      <c r="I687" s="108">
        <f t="shared" si="29"/>
        <v>2215</v>
      </c>
      <c r="J687" s="108">
        <f>IF(Таблица97[[#This Row],[НК]]=1,Таблица97[[#This Row],[Продажа]],"")</f>
        <v>2215</v>
      </c>
      <c r="M687" s="108">
        <v>1728</v>
      </c>
      <c r="N687" s="108">
        <f>Таблица97[[#This Row],[Продажа]]-Таблица97[[#This Row],[Закупка]]</f>
        <v>487</v>
      </c>
      <c r="O687" s="108">
        <f>IF(Таблица97[[#This Row],[НК]]=1,Таблица97[[#This Row],[Маржа]],"")</f>
        <v>487</v>
      </c>
    </row>
    <row r="688" spans="1:15" ht="20.100000000000001" customHeight="1" x14ac:dyDescent="0.25">
      <c r="A688" s="2">
        <v>926</v>
      </c>
      <c r="B688" s="2" t="str">
        <f>TEXT(Таблица97[[#This Row],[Дата]],"ГГ")&amp;RIGHT("000"&amp;Таблица97[[#This Row],[Номер]],4)</f>
        <v>170926</v>
      </c>
      <c r="C688" s="129">
        <v>43034</v>
      </c>
      <c r="D688" s="2" t="s">
        <v>56</v>
      </c>
      <c r="E688" s="108">
        <v>155542.17000000001</v>
      </c>
      <c r="F688" s="129">
        <v>43088</v>
      </c>
      <c r="H688" s="129">
        <v>43074</v>
      </c>
      <c r="I688" s="108">
        <f t="shared" si="29"/>
        <v>155542.17000000001</v>
      </c>
      <c r="J688" s="108" t="str">
        <f>IF(Таблица97[[#This Row],[НК]]=1,Таблица97[[#This Row],[Продажа]],"")</f>
        <v/>
      </c>
      <c r="M688" s="108">
        <v>114399</v>
      </c>
      <c r="N688" s="108">
        <f>Таблица97[[#This Row],[Продажа]]-Таблица97[[#This Row],[Закупка]]</f>
        <v>41143.170000000013</v>
      </c>
      <c r="O688" s="108" t="str">
        <f>IF(Таблица97[[#This Row],[НК]]=1,Таблица97[[#This Row],[Маржа]],"")</f>
        <v/>
      </c>
    </row>
    <row r="689" spans="1:15" ht="20.100000000000001" customHeight="1" x14ac:dyDescent="0.25">
      <c r="A689" s="2">
        <v>1089</v>
      </c>
      <c r="B689" s="2" t="str">
        <f>TEXT(Таблица97[[#This Row],[Дата]],"ГГ")&amp;RIGHT("000"&amp;Таблица97[[#This Row],[Номер]],4)</f>
        <v>171089</v>
      </c>
      <c r="C689" s="129">
        <v>43084</v>
      </c>
      <c r="D689" s="2" t="s">
        <v>30</v>
      </c>
      <c r="E689" s="108">
        <v>2072</v>
      </c>
      <c r="F689" s="129">
        <v>43088</v>
      </c>
      <c r="H689" s="129">
        <v>43089</v>
      </c>
      <c r="I689" s="108">
        <f t="shared" si="29"/>
        <v>2072</v>
      </c>
      <c r="J689" s="108" t="str">
        <f>IF(Таблица97[[#This Row],[НК]]=1,Таблица97[[#This Row],[Продажа]],"")</f>
        <v/>
      </c>
      <c r="M689" s="108">
        <v>1500</v>
      </c>
      <c r="N689" s="108">
        <f>Таблица97[[#This Row],[Продажа]]-Таблица97[[#This Row],[Закупка]]</f>
        <v>572</v>
      </c>
      <c r="O689" s="108" t="str">
        <f>IF(Таблица97[[#This Row],[НК]]=1,Таблица97[[#This Row],[Маржа]],"")</f>
        <v/>
      </c>
    </row>
    <row r="690" spans="1:15" ht="20.100000000000001" customHeight="1" x14ac:dyDescent="0.25">
      <c r="A690" s="2">
        <v>1066</v>
      </c>
      <c r="B690" s="2" t="str">
        <f>TEXT(Таблица97[[#This Row],[Дата]],"ГГ")&amp;RIGHT("000"&amp;Таблица97[[#This Row],[Номер]],4)</f>
        <v>171066</v>
      </c>
      <c r="C690" s="129">
        <v>43080</v>
      </c>
      <c r="D690" s="2" t="s">
        <v>50</v>
      </c>
      <c r="E690" s="108">
        <v>14246</v>
      </c>
      <c r="F690" s="129">
        <v>43089</v>
      </c>
      <c r="H690" s="129">
        <v>43186</v>
      </c>
      <c r="I690" s="108">
        <f t="shared" si="29"/>
        <v>14246</v>
      </c>
      <c r="J690" s="108" t="str">
        <f>IF(Таблица97[[#This Row],[НК]]=1,Таблица97[[#This Row],[Продажа]],"")</f>
        <v/>
      </c>
      <c r="M690" s="108">
        <v>11112</v>
      </c>
      <c r="N690" s="108">
        <f>Таблица97[[#This Row],[Продажа]]-Таблица97[[#This Row],[Закупка]]</f>
        <v>3134</v>
      </c>
      <c r="O690" s="108" t="str">
        <f>IF(Таблица97[[#This Row],[НК]]=1,Таблица97[[#This Row],[Маржа]],"")</f>
        <v/>
      </c>
    </row>
    <row r="691" spans="1:15" ht="20.100000000000001" customHeight="1" x14ac:dyDescent="0.25">
      <c r="A691" s="2">
        <v>1098</v>
      </c>
      <c r="B691" s="2" t="str">
        <f>TEXT(Таблица97[[#This Row],[Дата]],"ГГ")&amp;RIGHT("000"&amp;Таблица97[[#This Row],[Номер]],4)</f>
        <v>171098</v>
      </c>
      <c r="C691" s="129">
        <v>43088</v>
      </c>
      <c r="D691" s="2" t="s">
        <v>278</v>
      </c>
      <c r="E691" s="108">
        <v>3083</v>
      </c>
      <c r="F691" s="129">
        <v>43089</v>
      </c>
      <c r="H691" s="129">
        <v>43123</v>
      </c>
      <c r="I691" s="108">
        <f t="shared" si="29"/>
        <v>3083</v>
      </c>
      <c r="J691" s="108" t="str">
        <f>IF(Таблица97[[#This Row],[НК]]=1,Таблица97[[#This Row],[Продажа]],"")</f>
        <v/>
      </c>
      <c r="M691" s="108">
        <v>2035</v>
      </c>
      <c r="N691" s="108">
        <f>Таблица97[[#This Row],[Продажа]]-Таблица97[[#This Row],[Закупка]]</f>
        <v>1048</v>
      </c>
      <c r="O691" s="108" t="str">
        <f>IF(Таблица97[[#This Row],[НК]]=1,Таблица97[[#This Row],[Маржа]],"")</f>
        <v/>
      </c>
    </row>
    <row r="692" spans="1:15" ht="20.100000000000001" customHeight="1" x14ac:dyDescent="0.25">
      <c r="A692" s="2">
        <v>1091</v>
      </c>
      <c r="B692" s="2" t="str">
        <f>TEXT(Таблица97[[#This Row],[Дата]],"ГГ")&amp;RIGHT("000"&amp;Таблица97[[#This Row],[Номер]],4)</f>
        <v>171091</v>
      </c>
      <c r="C692" s="129">
        <v>43087</v>
      </c>
      <c r="D692" s="2" t="s">
        <v>216</v>
      </c>
      <c r="E692" s="108">
        <v>1197.6600000000001</v>
      </c>
      <c r="F692" s="129">
        <v>43089</v>
      </c>
      <c r="H692" s="129">
        <v>43189</v>
      </c>
      <c r="I692" s="108">
        <f t="shared" si="29"/>
        <v>1197.6600000000001</v>
      </c>
      <c r="J692" s="108" t="str">
        <f>IF(Таблица97[[#This Row],[НК]]=1,Таблица97[[#This Row],[Продажа]],"")</f>
        <v/>
      </c>
      <c r="M692" s="108">
        <v>930</v>
      </c>
      <c r="N692" s="108">
        <f>Таблица97[[#This Row],[Продажа]]-Таблица97[[#This Row],[Закупка]]</f>
        <v>267.66000000000008</v>
      </c>
      <c r="O692" s="108" t="str">
        <f>IF(Таблица97[[#This Row],[НК]]=1,Таблица97[[#This Row],[Маржа]],"")</f>
        <v/>
      </c>
    </row>
    <row r="693" spans="1:15" ht="20.100000000000001" customHeight="1" x14ac:dyDescent="0.25">
      <c r="A693" s="2">
        <v>911</v>
      </c>
      <c r="B693" s="2" t="str">
        <f>TEXT(Таблица97[[#This Row],[Дата]],"ГГ")&amp;RIGHT("000"&amp;Таблица97[[#This Row],[Номер]],4)</f>
        <v>170911</v>
      </c>
      <c r="C693" s="129">
        <v>43031</v>
      </c>
      <c r="D693" s="2" t="s">
        <v>309</v>
      </c>
      <c r="E693" s="108">
        <v>5686</v>
      </c>
      <c r="F693" s="129">
        <v>43090</v>
      </c>
      <c r="G693" s="128">
        <v>1</v>
      </c>
      <c r="H693" s="129">
        <v>43091</v>
      </c>
      <c r="I693" s="108">
        <f t="shared" si="29"/>
        <v>5686</v>
      </c>
      <c r="J693" s="108">
        <f>IF(Таблица97[[#This Row],[НК]]=1,Таблица97[[#This Row],[Продажа]],"")</f>
        <v>5686</v>
      </c>
      <c r="M693" s="108">
        <v>4302</v>
      </c>
      <c r="N693" s="108">
        <f>Таблица97[[#This Row],[Продажа]]-Таблица97[[#This Row],[Закупка]]</f>
        <v>1384</v>
      </c>
      <c r="O693" s="108">
        <f>IF(Таблица97[[#This Row],[НК]]=1,Таблица97[[#This Row],[Маржа]],"")</f>
        <v>1384</v>
      </c>
    </row>
    <row r="694" spans="1:15" ht="20.100000000000001" customHeight="1" x14ac:dyDescent="0.25">
      <c r="A694" s="2">
        <v>1076</v>
      </c>
      <c r="B694" s="2" t="str">
        <f>TEXT(Таблица97[[#This Row],[Дата]],"ГГ")&amp;RIGHT("000"&amp;Таблица97[[#This Row],[Номер]],4)</f>
        <v>171076</v>
      </c>
      <c r="C694" s="129">
        <v>43082</v>
      </c>
      <c r="D694" s="2" t="s">
        <v>301</v>
      </c>
      <c r="E694" s="108">
        <v>1036</v>
      </c>
      <c r="F694" s="129">
        <v>43090</v>
      </c>
      <c r="H694" s="129">
        <v>43091</v>
      </c>
      <c r="I694" s="108">
        <f t="shared" si="29"/>
        <v>1036</v>
      </c>
      <c r="J694" s="108" t="str">
        <f>IF(Таблица97[[#This Row],[НК]]=1,Таблица97[[#This Row],[Продажа]],"")</f>
        <v/>
      </c>
      <c r="M694" s="108">
        <v>742</v>
      </c>
      <c r="N694" s="108">
        <f>Таблица97[[#This Row],[Продажа]]-Таблица97[[#This Row],[Закупка]]</f>
        <v>294</v>
      </c>
      <c r="O694" s="108" t="str">
        <f>IF(Таблица97[[#This Row],[НК]]=1,Таблица97[[#This Row],[Маржа]],"")</f>
        <v/>
      </c>
    </row>
    <row r="695" spans="1:15" ht="20.100000000000001" customHeight="1" x14ac:dyDescent="0.25">
      <c r="A695" s="2">
        <v>1099</v>
      </c>
      <c r="B695" s="2" t="str">
        <f>TEXT(Таблица97[[#This Row],[Дата]],"ГГ")&amp;RIGHT("000"&amp;Таблица97[[#This Row],[Номер]],4)</f>
        <v>171099</v>
      </c>
      <c r="C695" s="129">
        <v>43089</v>
      </c>
      <c r="D695" s="2" t="s">
        <v>255</v>
      </c>
      <c r="E695" s="108">
        <v>2230</v>
      </c>
      <c r="F695" s="129">
        <v>43091</v>
      </c>
      <c r="H695" s="129">
        <v>43095</v>
      </c>
      <c r="I695" s="108">
        <f t="shared" si="29"/>
        <v>2230</v>
      </c>
      <c r="J695" s="108" t="str">
        <f>IF(Таблица97[[#This Row],[НК]]=1,Таблица97[[#This Row],[Продажа]],"")</f>
        <v/>
      </c>
      <c r="M695" s="108">
        <v>1615</v>
      </c>
      <c r="N695" s="108">
        <f>Таблица97[[#This Row],[Продажа]]-Таблица97[[#This Row],[Закупка]]</f>
        <v>615</v>
      </c>
      <c r="O695" s="108" t="str">
        <f>IF(Таблица97[[#This Row],[НК]]=1,Таблица97[[#This Row],[Маржа]],"")</f>
        <v/>
      </c>
    </row>
    <row r="696" spans="1:15" ht="20.100000000000001" customHeight="1" x14ac:dyDescent="0.25">
      <c r="A696" s="2">
        <v>841</v>
      </c>
      <c r="B696" s="2" t="str">
        <f>TEXT(Таблица97[[#This Row],[Дата]],"ГГ")&amp;RIGHT("000"&amp;Таблица97[[#This Row],[Номер]],4)</f>
        <v>170841</v>
      </c>
      <c r="C696" s="129">
        <v>43026</v>
      </c>
      <c r="D696" s="2" t="s">
        <v>99</v>
      </c>
      <c r="E696" s="108">
        <v>13401</v>
      </c>
      <c r="F696" s="129">
        <v>43094</v>
      </c>
      <c r="H696" s="129">
        <v>43047</v>
      </c>
      <c r="I696" s="108">
        <f t="shared" si="29"/>
        <v>13401</v>
      </c>
      <c r="J696" s="108" t="str">
        <f>IF(Таблица97[[#This Row],[НК]]=1,Таблица97[[#This Row],[Продажа]],"")</f>
        <v/>
      </c>
      <c r="M696" s="108">
        <v>10452</v>
      </c>
      <c r="N696" s="108">
        <f>Таблица97[[#This Row],[Продажа]]-Таблица97[[#This Row],[Закупка]]</f>
        <v>2949</v>
      </c>
      <c r="O696" s="108" t="str">
        <f>IF(Таблица97[[#This Row],[НК]]=1,Таблица97[[#This Row],[Маржа]],"")</f>
        <v/>
      </c>
    </row>
    <row r="697" spans="1:15" ht="20.100000000000001" customHeight="1" x14ac:dyDescent="0.25">
      <c r="A697" s="2">
        <v>953</v>
      </c>
      <c r="B697" s="2" t="str">
        <f>TEXT(Таблица97[[#This Row],[Дата]],"ГГ")&amp;RIGHT("000"&amp;Таблица97[[#This Row],[Номер]],4)</f>
        <v>170953</v>
      </c>
      <c r="C697" s="129">
        <v>43046</v>
      </c>
      <c r="D697" s="2" t="s">
        <v>99</v>
      </c>
      <c r="E697" s="108">
        <v>124562</v>
      </c>
      <c r="F697" s="129">
        <v>43094</v>
      </c>
      <c r="H697" s="129">
        <v>43047</v>
      </c>
      <c r="I697" s="108">
        <f t="shared" si="29"/>
        <v>124562</v>
      </c>
      <c r="J697" s="108" t="str">
        <f>IF(Таблица97[[#This Row],[НК]]=1,Таблица97[[#This Row],[Продажа]],"")</f>
        <v/>
      </c>
      <c r="M697" s="108">
        <v>93833</v>
      </c>
      <c r="N697" s="108">
        <f>Таблица97[[#This Row],[Продажа]]-Таблица97[[#This Row],[Закупка]]</f>
        <v>30729</v>
      </c>
      <c r="O697" s="108" t="str">
        <f>IF(Таблица97[[#This Row],[НК]]=1,Таблица97[[#This Row],[Маржа]],"")</f>
        <v/>
      </c>
    </row>
    <row r="698" spans="1:15" ht="20.100000000000001" customHeight="1" x14ac:dyDescent="0.25">
      <c r="A698" s="2">
        <v>848</v>
      </c>
      <c r="B698" s="2" t="str">
        <f>TEXT(Таблица97[[#This Row],[Дата]],"ГГ")&amp;RIGHT("000"&amp;Таблица97[[#This Row],[Номер]],4)</f>
        <v>170848</v>
      </c>
      <c r="C698" s="129">
        <v>43011</v>
      </c>
      <c r="D698" s="2" t="s">
        <v>99</v>
      </c>
      <c r="E698" s="108">
        <v>20044</v>
      </c>
      <c r="F698" s="129">
        <v>43094</v>
      </c>
      <c r="H698" s="129">
        <v>43056</v>
      </c>
      <c r="I698" s="108">
        <f t="shared" si="29"/>
        <v>20044</v>
      </c>
      <c r="J698" s="108" t="str">
        <f>IF(Таблица97[[#This Row],[НК]]=1,Таблица97[[#This Row],[Продажа]],"")</f>
        <v/>
      </c>
      <c r="M698" s="108">
        <v>15634</v>
      </c>
      <c r="N698" s="108">
        <f>Таблица97[[#This Row],[Продажа]]-Таблица97[[#This Row],[Закупка]]</f>
        <v>4410</v>
      </c>
      <c r="O698" s="108" t="str">
        <f>IF(Таблица97[[#This Row],[НК]]=1,Таблица97[[#This Row],[Маржа]],"")</f>
        <v/>
      </c>
    </row>
    <row r="699" spans="1:15" ht="20.100000000000001" customHeight="1" x14ac:dyDescent="0.25">
      <c r="A699" s="2">
        <v>953</v>
      </c>
      <c r="B699" s="2" t="str">
        <f>TEXT(Таблица97[[#This Row],[Дата]],"ГГ")&amp;RIGHT("000"&amp;Таблица97[[#This Row],[Номер]],4)</f>
        <v>170953</v>
      </c>
      <c r="C699" s="129">
        <v>43046</v>
      </c>
      <c r="D699" s="2" t="s">
        <v>99</v>
      </c>
      <c r="E699" s="108">
        <v>102898</v>
      </c>
      <c r="F699" s="129">
        <v>43094</v>
      </c>
      <c r="H699" s="129">
        <v>43059</v>
      </c>
      <c r="I699" s="108">
        <f t="shared" si="29"/>
        <v>102898</v>
      </c>
      <c r="J699" s="108" t="str">
        <f>IF(Таблица97[[#This Row],[НК]]=1,Таблица97[[#This Row],[Продажа]],"")</f>
        <v/>
      </c>
      <c r="M699" s="108">
        <v>80212</v>
      </c>
      <c r="N699" s="108">
        <f>Таблица97[[#This Row],[Продажа]]-Таблица97[[#This Row],[Закупка]]</f>
        <v>22686</v>
      </c>
      <c r="O699" s="108" t="str">
        <f>IF(Таблица97[[#This Row],[НК]]=1,Таблица97[[#This Row],[Маржа]],"")</f>
        <v/>
      </c>
    </row>
    <row r="700" spans="1:15" ht="20.100000000000001" customHeight="1" x14ac:dyDescent="0.25">
      <c r="A700" s="2">
        <v>953</v>
      </c>
      <c r="B700" s="2" t="str">
        <f>TEXT(Таблица97[[#This Row],[Дата]],"ГГ")&amp;RIGHT("000"&amp;Таблица97[[#This Row],[Номер]],4)</f>
        <v>170953</v>
      </c>
      <c r="C700" s="129">
        <v>43046</v>
      </c>
      <c r="D700" s="2" t="s">
        <v>99</v>
      </c>
      <c r="E700" s="108">
        <v>201144</v>
      </c>
      <c r="F700" s="129">
        <v>43094</v>
      </c>
      <c r="H700" s="129">
        <v>43067</v>
      </c>
      <c r="I700" s="108">
        <f t="shared" si="29"/>
        <v>201144</v>
      </c>
      <c r="J700" s="108" t="str">
        <f>IF(Таблица97[[#This Row],[НК]]=1,Таблица97[[#This Row],[Продажа]],"")</f>
        <v/>
      </c>
      <c r="K700" s="108">
        <f>17*3000</f>
        <v>51000</v>
      </c>
      <c r="M700" s="108">
        <v>21456.799999999999</v>
      </c>
      <c r="N700" s="108">
        <f>Таблица97[[#This Row],[Продажа]]-Таблица97[[#This Row],[Закупка]]</f>
        <v>179687.2</v>
      </c>
      <c r="O700" s="108" t="str">
        <f>IF(Таблица97[[#This Row],[НК]]=1,Таблица97[[#This Row],[Маржа]],"")</f>
        <v/>
      </c>
    </row>
    <row r="701" spans="1:15" ht="20.100000000000001" customHeight="1" x14ac:dyDescent="0.25">
      <c r="A701" s="2">
        <v>1062</v>
      </c>
      <c r="B701" s="2" t="str">
        <f>TEXT(Таблица97[[#This Row],[Дата]],"ГГ")&amp;RIGHT("000"&amp;Таблица97[[#This Row],[Номер]],4)</f>
        <v>171062</v>
      </c>
      <c r="C701" s="129">
        <v>43080</v>
      </c>
      <c r="D701" s="2" t="s">
        <v>11</v>
      </c>
      <c r="E701" s="108">
        <v>1906</v>
      </c>
      <c r="F701" s="129">
        <v>43095</v>
      </c>
      <c r="H701" s="129">
        <v>43097</v>
      </c>
      <c r="I701" s="108">
        <f t="shared" si="29"/>
        <v>1906</v>
      </c>
      <c r="J701" s="108" t="str">
        <f>IF(Таблица97[[#This Row],[НК]]=1,Таблица97[[#This Row],[Продажа]],"")</f>
        <v/>
      </c>
      <c r="M701" s="108">
        <v>1156</v>
      </c>
      <c r="N701" s="108">
        <f>Таблица97[[#This Row],[Продажа]]-Таблица97[[#This Row],[Закупка]]</f>
        <v>750</v>
      </c>
      <c r="O701" s="108" t="str">
        <f>IF(Таблица97[[#This Row],[НК]]=1,Таблица97[[#This Row],[Маржа]],"")</f>
        <v/>
      </c>
    </row>
    <row r="702" spans="1:15" ht="20.100000000000001" customHeight="1" x14ac:dyDescent="0.25">
      <c r="A702" s="2">
        <v>1108</v>
      </c>
      <c r="B702" s="2" t="str">
        <f>TEXT(Таблица97[[#This Row],[Дата]],"ГГ")&amp;RIGHT("000"&amp;Таблица97[[#This Row],[Номер]],4)</f>
        <v>171108</v>
      </c>
      <c r="C702" s="129">
        <v>43095</v>
      </c>
      <c r="D702" s="2" t="s">
        <v>211</v>
      </c>
      <c r="E702" s="108">
        <v>14571</v>
      </c>
      <c r="F702" s="129">
        <v>43095</v>
      </c>
      <c r="H702" s="129">
        <v>43096</v>
      </c>
      <c r="I702" s="108">
        <f t="shared" si="29"/>
        <v>14571</v>
      </c>
      <c r="J702" s="108" t="str">
        <f>IF(Таблица97[[#This Row],[НК]]=1,Таблица97[[#This Row],[Продажа]],"")</f>
        <v/>
      </c>
      <c r="M702" s="108">
        <v>11065</v>
      </c>
      <c r="N702" s="108">
        <f>Таблица97[[#This Row],[Продажа]]-Таблица97[[#This Row],[Закупка]]</f>
        <v>3506</v>
      </c>
      <c r="O702" s="108" t="str">
        <f>IF(Таблица97[[#This Row],[НК]]=1,Таблица97[[#This Row],[Маржа]],"")</f>
        <v/>
      </c>
    </row>
    <row r="703" spans="1:15" ht="20.100000000000001" customHeight="1" x14ac:dyDescent="0.25">
      <c r="A703" s="2">
        <v>945</v>
      </c>
      <c r="B703" s="2" t="str">
        <f>TEXT(Таблица97[[#This Row],[Дата]],"ГГ")&amp;RIGHT("000"&amp;Таблица97[[#This Row],[Номер]],4)</f>
        <v>170945</v>
      </c>
      <c r="C703" s="129">
        <v>43040</v>
      </c>
      <c r="D703" s="2" t="s">
        <v>13</v>
      </c>
      <c r="E703" s="108">
        <v>10210</v>
      </c>
      <c r="F703" s="129">
        <v>43095</v>
      </c>
      <c r="H703" s="129">
        <v>43084</v>
      </c>
      <c r="I703" s="108">
        <f t="shared" si="29"/>
        <v>10210</v>
      </c>
      <c r="J703" s="108" t="str">
        <f>IF(Таблица97[[#This Row],[НК]]=1,Таблица97[[#This Row],[Продажа]],"")</f>
        <v/>
      </c>
      <c r="M703" s="108">
        <v>6738</v>
      </c>
      <c r="N703" s="108">
        <f>Таблица97[[#This Row],[Продажа]]-Таблица97[[#This Row],[Закупка]]</f>
        <v>3472</v>
      </c>
      <c r="O703" s="108" t="str">
        <f>IF(Таблица97[[#This Row],[НК]]=1,Таблица97[[#This Row],[Маржа]],"")</f>
        <v/>
      </c>
    </row>
    <row r="704" spans="1:15" ht="20.100000000000001" customHeight="1" x14ac:dyDescent="0.25">
      <c r="A704" s="2">
        <v>1059</v>
      </c>
      <c r="B704" s="2" t="str">
        <f>TEXT(Таблица97[[#This Row],[Дата]],"ГГ")&amp;RIGHT("000"&amp;Таблица97[[#This Row],[Номер]],4)</f>
        <v>171059</v>
      </c>
      <c r="C704" s="129">
        <v>43077</v>
      </c>
      <c r="D704" s="2" t="s">
        <v>213</v>
      </c>
      <c r="E704" s="108">
        <v>12999</v>
      </c>
      <c r="F704" s="129">
        <v>43096</v>
      </c>
      <c r="H704" s="129">
        <v>43111</v>
      </c>
      <c r="I704" s="108">
        <f t="shared" si="29"/>
        <v>12999</v>
      </c>
      <c r="J704" s="108" t="str">
        <f>IF(Таблица97[[#This Row],[НК]]=1,Таблица97[[#This Row],[Продажа]],"")</f>
        <v/>
      </c>
      <c r="M704" s="108">
        <v>8813</v>
      </c>
      <c r="N704" s="108">
        <f>Таблица97[[#This Row],[Продажа]]-Таблица97[[#This Row],[Закупка]]</f>
        <v>4186</v>
      </c>
      <c r="O704" s="108" t="str">
        <f>IF(Таблица97[[#This Row],[НК]]=1,Таблица97[[#This Row],[Маржа]],"")</f>
        <v/>
      </c>
    </row>
    <row r="705" spans="1:15" ht="20.100000000000001" customHeight="1" x14ac:dyDescent="0.25">
      <c r="A705" s="2">
        <v>1100</v>
      </c>
      <c r="B705" s="2" t="str">
        <f>TEXT(Таблица97[[#This Row],[Дата]],"ГГ")&amp;RIGHT("000"&amp;Таблица97[[#This Row],[Номер]],4)</f>
        <v>171100</v>
      </c>
      <c r="C705" s="129">
        <v>43089</v>
      </c>
      <c r="D705" s="2" t="s">
        <v>228</v>
      </c>
      <c r="E705" s="108">
        <v>35913</v>
      </c>
      <c r="F705" s="129">
        <v>43096</v>
      </c>
      <c r="H705" s="129">
        <v>43133</v>
      </c>
      <c r="I705" s="108">
        <f t="shared" si="29"/>
        <v>35913</v>
      </c>
      <c r="J705" s="108" t="str">
        <f>IF(Таблица97[[#This Row],[НК]]=1,Таблица97[[#This Row],[Продажа]],"")</f>
        <v/>
      </c>
      <c r="L705" s="108">
        <v>1200</v>
      </c>
      <c r="M705" s="108">
        <v>23732</v>
      </c>
      <c r="N705" s="108">
        <f>Таблица97[[#This Row],[Продажа]]-Таблица97[[#This Row],[Закупка]]</f>
        <v>12181</v>
      </c>
      <c r="O705" s="108" t="str">
        <f>IF(Таблица97[[#This Row],[НК]]=1,Таблица97[[#This Row],[Маржа]],"")</f>
        <v/>
      </c>
    </row>
    <row r="706" spans="1:15" ht="20.100000000000001" customHeight="1" x14ac:dyDescent="0.25">
      <c r="A706" s="2">
        <v>1087</v>
      </c>
      <c r="B706" s="2" t="str">
        <f>TEXT(Таблица97[[#This Row],[Дата]],"ГГ")&amp;RIGHT("000"&amp;Таблица97[[#This Row],[Номер]],4)</f>
        <v>171087</v>
      </c>
      <c r="C706" s="129">
        <v>43084</v>
      </c>
      <c r="D706" s="2" t="s">
        <v>65</v>
      </c>
      <c r="E706" s="108">
        <v>25250</v>
      </c>
      <c r="F706" s="129">
        <v>43097</v>
      </c>
      <c r="H706" s="129">
        <v>43151</v>
      </c>
      <c r="I706" s="108">
        <f t="shared" si="29"/>
        <v>25250</v>
      </c>
      <c r="J706" s="108" t="str">
        <f>IF(Таблица97[[#This Row],[НК]]=1,Таблица97[[#This Row],[Продажа]],"")</f>
        <v/>
      </c>
      <c r="L706" s="108">
        <f>5*1200</f>
        <v>6000</v>
      </c>
      <c r="M706" s="108">
        <v>8740</v>
      </c>
      <c r="N706" s="108">
        <f>Таблица97[[#This Row],[Продажа]]-Таблица97[[#This Row],[Закупка]]</f>
        <v>16510</v>
      </c>
      <c r="O706" s="108" t="str">
        <f>IF(Таблица97[[#This Row],[НК]]=1,Таблица97[[#This Row],[Маржа]],"")</f>
        <v/>
      </c>
    </row>
    <row r="707" spans="1:15" ht="20.100000000000001" customHeight="1" x14ac:dyDescent="0.25">
      <c r="A707" s="2">
        <v>1014</v>
      </c>
      <c r="B707" s="2" t="str">
        <f>TEXT(Таблица97[[#This Row],[Дата]],"ГГ")&amp;RIGHT("000"&amp;Таблица97[[#This Row],[Номер]],4)</f>
        <v>171014</v>
      </c>
      <c r="C707" s="129">
        <v>43063</v>
      </c>
      <c r="D707" s="2" t="s">
        <v>60</v>
      </c>
      <c r="E707" s="108">
        <v>4095</v>
      </c>
      <c r="F707" s="129">
        <v>43109</v>
      </c>
      <c r="H707" s="129">
        <v>43084</v>
      </c>
      <c r="I707" s="108">
        <f t="shared" ref="I707:I713" si="30">E707</f>
        <v>4095</v>
      </c>
      <c r="J707" s="108" t="str">
        <f>IF(Таблица97[[#This Row],[НК]]=1,Таблица97[[#This Row],[Продажа]],"")</f>
        <v/>
      </c>
      <c r="M707" s="108">
        <v>3192</v>
      </c>
      <c r="N707" s="108">
        <f>Таблица97[[#This Row],[Продажа]]-Таблица97[[#This Row],[Закупка]]</f>
        <v>903</v>
      </c>
      <c r="O707" s="108" t="str">
        <f>IF(Таблица97[[#This Row],[НК]]=1,Таблица97[[#This Row],[Маржа]],"")</f>
        <v/>
      </c>
    </row>
    <row r="708" spans="1:15" ht="20.100000000000001" customHeight="1" x14ac:dyDescent="0.25">
      <c r="A708" s="2">
        <v>4</v>
      </c>
      <c r="B708" s="2" t="str">
        <f>TEXT(Таблица97[[#This Row],[Дата]],"ГГ")&amp;RIGHT("000"&amp;Таблица97[[#This Row],[Номер]],4)</f>
        <v>180004</v>
      </c>
      <c r="C708" s="129">
        <v>43110</v>
      </c>
      <c r="D708" s="2" t="s">
        <v>175</v>
      </c>
      <c r="E708" s="108">
        <v>25463.8</v>
      </c>
      <c r="F708" s="129">
        <v>43115</v>
      </c>
      <c r="H708" s="129">
        <v>43115</v>
      </c>
      <c r="I708" s="108">
        <f t="shared" si="30"/>
        <v>25463.8</v>
      </c>
      <c r="J708" s="108" t="str">
        <f>IF(Таблица97[[#This Row],[НК]]=1,Таблица97[[#This Row],[Продажа]],"")</f>
        <v/>
      </c>
      <c r="M708" s="108">
        <v>20816</v>
      </c>
      <c r="N708" s="108">
        <f>Таблица97[[#This Row],[Продажа]]-Таблица97[[#This Row],[Закупка]]</f>
        <v>4647.7999999999993</v>
      </c>
      <c r="O708" s="108" t="str">
        <f>IF(Таблица97[[#This Row],[НК]]=1,Таблица97[[#This Row],[Маржа]],"")</f>
        <v/>
      </c>
    </row>
    <row r="709" spans="1:15" ht="20.100000000000001" customHeight="1" x14ac:dyDescent="0.25">
      <c r="A709" s="2">
        <v>16</v>
      </c>
      <c r="B709" s="2" t="str">
        <f>TEXT(Таблица97[[#This Row],[Дата]],"ГГ")&amp;RIGHT("000"&amp;Таблица97[[#This Row],[Номер]],4)</f>
        <v>180016</v>
      </c>
      <c r="C709" s="129">
        <v>43112</v>
      </c>
      <c r="D709" s="2" t="s">
        <v>236</v>
      </c>
      <c r="E709" s="108">
        <v>12250</v>
      </c>
      <c r="F709" s="129">
        <v>43115</v>
      </c>
      <c r="H709" s="129">
        <v>43129</v>
      </c>
      <c r="I709" s="108">
        <f t="shared" si="30"/>
        <v>12250</v>
      </c>
      <c r="J709" s="108" t="str">
        <f>IF(Таблица97[[#This Row],[НК]]=1,Таблица97[[#This Row],[Продажа]],"")</f>
        <v/>
      </c>
      <c r="M709" s="108">
        <v>10915</v>
      </c>
      <c r="N709" s="108">
        <f>Таблица97[[#This Row],[Продажа]]-Таблица97[[#This Row],[Закупка]]</f>
        <v>1335</v>
      </c>
      <c r="O709" s="108" t="str">
        <f>IF(Таблица97[[#This Row],[НК]]=1,Таблица97[[#This Row],[Маржа]],"")</f>
        <v/>
      </c>
    </row>
    <row r="710" spans="1:15" ht="20.100000000000001" customHeight="1" x14ac:dyDescent="0.25">
      <c r="A710" s="2">
        <v>10</v>
      </c>
      <c r="B710" s="2" t="str">
        <f>TEXT(Таблица97[[#This Row],[Дата]],"ГГ")&amp;RIGHT("000"&amp;Таблица97[[#This Row],[Номер]],4)</f>
        <v>180010</v>
      </c>
      <c r="C710" s="129">
        <v>43111</v>
      </c>
      <c r="D710" s="2" t="s">
        <v>275</v>
      </c>
      <c r="E710" s="108">
        <v>13047</v>
      </c>
      <c r="F710" s="129">
        <v>43116</v>
      </c>
      <c r="H710" s="129">
        <v>43131</v>
      </c>
      <c r="I710" s="108">
        <f t="shared" si="30"/>
        <v>13047</v>
      </c>
      <c r="J710" s="108" t="str">
        <f>IF(Таблица97[[#This Row],[НК]]=1,Таблица97[[#This Row],[Продажа]],"")</f>
        <v/>
      </c>
      <c r="M710" s="108">
        <v>6884</v>
      </c>
      <c r="N710" s="108">
        <f>Таблица97[[#This Row],[Продажа]]-Таблица97[[#This Row],[Закупка]]</f>
        <v>6163</v>
      </c>
      <c r="O710" s="108" t="str">
        <f>IF(Таблица97[[#This Row],[НК]]=1,Таблица97[[#This Row],[Маржа]],"")</f>
        <v/>
      </c>
    </row>
    <row r="711" spans="1:15" ht="20.100000000000001" customHeight="1" x14ac:dyDescent="0.25">
      <c r="A711" s="2">
        <v>1082</v>
      </c>
      <c r="B711" s="2" t="str">
        <f>TEXT(Таблица97[[#This Row],[Дата]],"ГГ")&amp;RIGHT("000"&amp;Таблица97[[#This Row],[Номер]],4)</f>
        <v>171082</v>
      </c>
      <c r="C711" s="129">
        <v>43082</v>
      </c>
      <c r="D711" s="2" t="s">
        <v>304</v>
      </c>
      <c r="E711" s="108">
        <v>24371</v>
      </c>
      <c r="F711" s="129">
        <v>43116</v>
      </c>
      <c r="H711" s="129">
        <v>43186</v>
      </c>
      <c r="I711" s="108">
        <f t="shared" si="30"/>
        <v>24371</v>
      </c>
      <c r="J711" s="108" t="str">
        <f>IF(Таблица97[[#This Row],[НК]]=1,Таблица97[[#This Row],[Продажа]],"")</f>
        <v/>
      </c>
      <c r="M711" s="108">
        <v>16757.3</v>
      </c>
      <c r="N711" s="108">
        <f>Таблица97[[#This Row],[Продажа]]-Таблица97[[#This Row],[Закупка]]</f>
        <v>7613.7000000000007</v>
      </c>
      <c r="O711" s="108" t="str">
        <f>IF(Таблица97[[#This Row],[НК]]=1,Таблица97[[#This Row],[Маржа]],"")</f>
        <v/>
      </c>
    </row>
    <row r="712" spans="1:15" ht="20.100000000000001" customHeight="1" x14ac:dyDescent="0.25">
      <c r="A712" s="2">
        <v>1086</v>
      </c>
      <c r="B712" s="2" t="str">
        <f>TEXT(Таблица97[[#This Row],[Дата]],"ГГ")&amp;RIGHT("000"&amp;Таблица97[[#This Row],[Номер]],4)</f>
        <v>171086</v>
      </c>
      <c r="C712" s="129">
        <v>43083</v>
      </c>
      <c r="D712" s="2" t="s">
        <v>56</v>
      </c>
      <c r="E712" s="108">
        <v>5049</v>
      </c>
      <c r="F712" s="129">
        <v>43117</v>
      </c>
      <c r="H712" s="129">
        <v>43094</v>
      </c>
      <c r="I712" s="108">
        <f t="shared" si="30"/>
        <v>5049</v>
      </c>
      <c r="J712" s="108" t="str">
        <f>IF(Таблица97[[#This Row],[НК]]=1,Таблица97[[#This Row],[Продажа]],"")</f>
        <v/>
      </c>
      <c r="M712" s="108">
        <v>3332</v>
      </c>
      <c r="N712" s="108">
        <f>Таблица97[[#This Row],[Продажа]]-Таблица97[[#This Row],[Закупка]]</f>
        <v>1717</v>
      </c>
      <c r="O712" s="108" t="str">
        <f>IF(Таблица97[[#This Row],[НК]]=1,Таблица97[[#This Row],[Маржа]],"")</f>
        <v/>
      </c>
    </row>
    <row r="713" spans="1:15" ht="20.100000000000001" customHeight="1" x14ac:dyDescent="0.25">
      <c r="A713" s="2">
        <v>1107</v>
      </c>
      <c r="B713" s="2" t="str">
        <f>TEXT(Таблица97[[#This Row],[Дата]],"ГГ")&amp;RIGHT("000"&amp;Таблица97[[#This Row],[Номер]],4)</f>
        <v>171107</v>
      </c>
      <c r="C713" s="129">
        <v>43097</v>
      </c>
      <c r="D713" s="2" t="s">
        <v>56</v>
      </c>
      <c r="E713" s="108">
        <v>10012</v>
      </c>
      <c r="F713" s="129">
        <v>43117</v>
      </c>
      <c r="H713" s="129">
        <v>43097</v>
      </c>
      <c r="I713" s="108">
        <f t="shared" si="30"/>
        <v>10012</v>
      </c>
      <c r="J713" s="108" t="str">
        <f>IF(Таблица97[[#This Row],[НК]]=1,Таблица97[[#This Row],[Продажа]],"")</f>
        <v/>
      </c>
      <c r="M713" s="108">
        <v>6987</v>
      </c>
      <c r="N713" s="108">
        <f>Таблица97[[#This Row],[Продажа]]-Таблица97[[#This Row],[Закупка]]</f>
        <v>3025</v>
      </c>
      <c r="O713" s="108" t="str">
        <f>IF(Таблица97[[#This Row],[НК]]=1,Таблица97[[#This Row],[Маржа]],"")</f>
        <v/>
      </c>
    </row>
    <row r="714" spans="1:15" ht="20.100000000000001" customHeight="1" x14ac:dyDescent="0.25">
      <c r="A714" s="2">
        <v>45</v>
      </c>
      <c r="B714" s="2" t="str">
        <f>TEXT(Таблица97[[#This Row],[Дата]],"ГГ")&amp;RIGHT("000"&amp;Таблица97[[#This Row],[Номер]],4)</f>
        <v>180045</v>
      </c>
      <c r="C714" s="129">
        <v>43119</v>
      </c>
      <c r="D714" s="2" t="s">
        <v>312</v>
      </c>
      <c r="E714" s="108">
        <v>24752</v>
      </c>
      <c r="F714" s="129">
        <v>43117</v>
      </c>
      <c r="G714" s="128">
        <v>1</v>
      </c>
      <c r="H714" s="129">
        <v>43126</v>
      </c>
      <c r="I714" s="108">
        <v>20664</v>
      </c>
      <c r="J714" s="108">
        <f>IF(Таблица97[[#This Row],[НК]]=1,Таблица97[[#This Row],[Продажа]],"")</f>
        <v>20664</v>
      </c>
      <c r="M714" s="108">
        <v>12777</v>
      </c>
      <c r="N714" s="108">
        <f>Таблица97[[#This Row],[Продажа]]-Таблица97[[#This Row],[Закупка]]</f>
        <v>7887</v>
      </c>
      <c r="O714" s="108">
        <f>IF(Таблица97[[#This Row],[НК]]=1,Таблица97[[#This Row],[Маржа]],"")</f>
        <v>7887</v>
      </c>
    </row>
    <row r="715" spans="1:15" ht="20.100000000000001" customHeight="1" x14ac:dyDescent="0.25">
      <c r="A715" s="2">
        <v>36</v>
      </c>
      <c r="B715" s="2" t="str">
        <f>TEXT(Таблица97[[#This Row],[Дата]],"ГГ")&amp;RIGHT("000"&amp;Таблица97[[#This Row],[Номер]],4)</f>
        <v>180036</v>
      </c>
      <c r="C715" s="129">
        <v>43117</v>
      </c>
      <c r="D715" s="2" t="s">
        <v>216</v>
      </c>
      <c r="E715" s="108">
        <v>2492.1999999999998</v>
      </c>
      <c r="F715" s="129">
        <v>43118</v>
      </c>
      <c r="H715" s="129">
        <v>43122</v>
      </c>
      <c r="I715" s="108">
        <f t="shared" ref="I715:I721" si="31">E715</f>
        <v>2492.1999999999998</v>
      </c>
      <c r="J715" s="108" t="str">
        <f>IF(Таблица97[[#This Row],[НК]]=1,Таблица97[[#This Row],[Продажа]],"")</f>
        <v/>
      </c>
      <c r="M715" s="108">
        <v>2124</v>
      </c>
      <c r="N715" s="108">
        <f>Таблица97[[#This Row],[Продажа]]-Таблица97[[#This Row],[Закупка]]</f>
        <v>368.19999999999982</v>
      </c>
      <c r="O715" s="108" t="str">
        <f>IF(Таблица97[[#This Row],[НК]]=1,Таблица97[[#This Row],[Маржа]],"")</f>
        <v/>
      </c>
    </row>
    <row r="716" spans="1:15" ht="20.100000000000001" customHeight="1" x14ac:dyDescent="0.25">
      <c r="A716" s="2">
        <v>42</v>
      </c>
      <c r="B716" s="2" t="str">
        <f>TEXT(Таблица97[[#This Row],[Дата]],"ГГ")&amp;RIGHT("000"&amp;Таблица97[[#This Row],[Номер]],4)</f>
        <v>180042</v>
      </c>
      <c r="C716" s="129">
        <v>43117</v>
      </c>
      <c r="D716" s="2" t="s">
        <v>16</v>
      </c>
      <c r="E716" s="108">
        <v>24460</v>
      </c>
      <c r="F716" s="129">
        <v>43119</v>
      </c>
      <c r="H716" s="129">
        <v>43123</v>
      </c>
      <c r="I716" s="108">
        <f t="shared" si="31"/>
        <v>24460</v>
      </c>
      <c r="J716" s="108" t="str">
        <f>IF(Таблица97[[#This Row],[НК]]=1,Таблица97[[#This Row],[Продажа]],"")</f>
        <v/>
      </c>
      <c r="M716" s="108">
        <v>17847</v>
      </c>
      <c r="N716" s="108">
        <f>Таблица97[[#This Row],[Продажа]]-Таблица97[[#This Row],[Закупка]]</f>
        <v>6613</v>
      </c>
      <c r="O716" s="108" t="str">
        <f>IF(Таблица97[[#This Row],[НК]]=1,Таблица97[[#This Row],[Маржа]],"")</f>
        <v/>
      </c>
    </row>
    <row r="717" spans="1:15" ht="20.100000000000001" customHeight="1" x14ac:dyDescent="0.25">
      <c r="A717" s="2">
        <v>46</v>
      </c>
      <c r="B717" s="2" t="str">
        <f>TEXT(Таблица97[[#This Row],[Дата]],"ГГ")&amp;RIGHT("000"&amp;Таблица97[[#This Row],[Номер]],4)</f>
        <v>180046</v>
      </c>
      <c r="C717" s="129">
        <v>43119</v>
      </c>
      <c r="D717" s="2" t="s">
        <v>313</v>
      </c>
      <c r="E717" s="108">
        <v>110000</v>
      </c>
      <c r="F717" s="129">
        <v>43122</v>
      </c>
      <c r="G717" s="128">
        <v>1</v>
      </c>
      <c r="H717" s="129">
        <v>43122</v>
      </c>
      <c r="I717" s="108">
        <f t="shared" si="31"/>
        <v>110000</v>
      </c>
      <c r="J717" s="108">
        <f>IF(Таблица97[[#This Row],[НК]]=1,Таблица97[[#This Row],[Продажа]],"")</f>
        <v>110000</v>
      </c>
      <c r="M717" s="108">
        <v>80000</v>
      </c>
      <c r="N717" s="108">
        <f>Таблица97[[#This Row],[Продажа]]-Таблица97[[#This Row],[Закупка]]</f>
        <v>30000</v>
      </c>
      <c r="O717" s="108">
        <f>IF(Таблица97[[#This Row],[НК]]=1,Таблица97[[#This Row],[Маржа]],"")</f>
        <v>30000</v>
      </c>
    </row>
    <row r="718" spans="1:15" ht="20.100000000000001" customHeight="1" x14ac:dyDescent="0.25">
      <c r="A718" s="2">
        <v>52</v>
      </c>
      <c r="B718" s="2" t="str">
        <f>TEXT(Таблица97[[#This Row],[Дата]],"ГГ")&amp;RIGHT("000"&amp;Таблица97[[#This Row],[Номер]],4)</f>
        <v>180052</v>
      </c>
      <c r="C718" s="129">
        <v>43122</v>
      </c>
      <c r="D718" s="2" t="s">
        <v>301</v>
      </c>
      <c r="E718" s="108">
        <v>5180</v>
      </c>
      <c r="F718" s="129">
        <v>43123</v>
      </c>
      <c r="H718" s="129">
        <v>43186</v>
      </c>
      <c r="I718" s="108">
        <f t="shared" si="31"/>
        <v>5180</v>
      </c>
      <c r="J718" s="108" t="str">
        <f>IF(Таблица97[[#This Row],[НК]]=1,Таблица97[[#This Row],[Продажа]],"")</f>
        <v/>
      </c>
      <c r="M718" s="108">
        <v>3710</v>
      </c>
      <c r="N718" s="108">
        <f>Таблица97[[#This Row],[Продажа]]-Таблица97[[#This Row],[Закупка]]</f>
        <v>1470</v>
      </c>
      <c r="O718" s="108" t="str">
        <f>IF(Таблица97[[#This Row],[НК]]=1,Таблица97[[#This Row],[Маржа]],"")</f>
        <v/>
      </c>
    </row>
    <row r="719" spans="1:15" ht="20.100000000000001" customHeight="1" x14ac:dyDescent="0.25">
      <c r="A719" s="2">
        <v>1073</v>
      </c>
      <c r="B719" s="2" t="str">
        <f>TEXT(Таблица97[[#This Row],[Дата]],"ГГ")&amp;RIGHT("000"&amp;Таблица97[[#This Row],[Номер]],4)</f>
        <v>171073</v>
      </c>
      <c r="C719" s="129">
        <v>43081</v>
      </c>
      <c r="D719" s="2" t="s">
        <v>66</v>
      </c>
      <c r="E719" s="108">
        <v>240815.5</v>
      </c>
      <c r="F719" s="129">
        <v>43123</v>
      </c>
      <c r="H719" s="129">
        <v>43124</v>
      </c>
      <c r="I719" s="108">
        <f t="shared" si="31"/>
        <v>240815.5</v>
      </c>
      <c r="J719" s="108" t="str">
        <f>IF(Таблица97[[#This Row],[НК]]=1,Таблица97[[#This Row],[Продажа]],"")</f>
        <v/>
      </c>
      <c r="M719" s="108">
        <v>191638</v>
      </c>
      <c r="N719" s="108">
        <f>Таблица97[[#This Row],[Продажа]]-Таблица97[[#This Row],[Закупка]]</f>
        <v>49177.5</v>
      </c>
      <c r="O719" s="108" t="str">
        <f>IF(Таблица97[[#This Row],[НК]]=1,Таблица97[[#This Row],[Маржа]],"")</f>
        <v/>
      </c>
    </row>
    <row r="720" spans="1:15" ht="20.100000000000001" customHeight="1" x14ac:dyDescent="0.25">
      <c r="A720" s="2">
        <v>35</v>
      </c>
      <c r="B720" s="2" t="str">
        <f>TEXT(Таблица97[[#This Row],[Дата]],"ГГ")&amp;RIGHT("000"&amp;Таблица97[[#This Row],[Номер]],4)</f>
        <v>180035</v>
      </c>
      <c r="C720" s="129">
        <v>43117</v>
      </c>
      <c r="D720" s="2" t="s">
        <v>13</v>
      </c>
      <c r="E720" s="108">
        <v>7125</v>
      </c>
      <c r="F720" s="129">
        <v>43123</v>
      </c>
      <c r="H720" s="129">
        <v>43118</v>
      </c>
      <c r="I720" s="108">
        <f t="shared" si="31"/>
        <v>7125</v>
      </c>
      <c r="J720" s="108" t="str">
        <f>IF(Таблица97[[#This Row],[НК]]=1,Таблица97[[#This Row],[Продажа]],"")</f>
        <v/>
      </c>
      <c r="M720" s="108">
        <v>5556</v>
      </c>
      <c r="N720" s="108">
        <f>Таблица97[[#This Row],[Продажа]]-Таблица97[[#This Row],[Закупка]]</f>
        <v>1569</v>
      </c>
      <c r="O720" s="108" t="str">
        <f>IF(Таблица97[[#This Row],[НК]]=1,Таблица97[[#This Row],[Маржа]],"")</f>
        <v/>
      </c>
    </row>
    <row r="721" spans="1:15" ht="20.100000000000001" customHeight="1" x14ac:dyDescent="0.25">
      <c r="A721" s="2">
        <v>39</v>
      </c>
      <c r="B721" s="2" t="str">
        <f>TEXT(Таблица97[[#This Row],[Дата]],"ГГ")&amp;RIGHT("000"&amp;Таблица97[[#This Row],[Номер]],4)</f>
        <v>180039</v>
      </c>
      <c r="C721" s="129">
        <v>43117</v>
      </c>
      <c r="D721" s="2" t="s">
        <v>217</v>
      </c>
      <c r="E721" s="108">
        <v>26212</v>
      </c>
      <c r="F721" s="129">
        <v>43124</v>
      </c>
      <c r="H721" s="129">
        <v>43186</v>
      </c>
      <c r="I721" s="108">
        <f t="shared" si="31"/>
        <v>26212</v>
      </c>
      <c r="J721" s="108" t="str">
        <f>IF(Таблица97[[#This Row],[НК]]=1,Таблица97[[#This Row],[Продажа]],"")</f>
        <v/>
      </c>
      <c r="M721" s="108">
        <v>20445.28</v>
      </c>
      <c r="N721" s="108">
        <f>Таблица97[[#This Row],[Продажа]]-Таблица97[[#This Row],[Закупка]]</f>
        <v>5766.7200000000012</v>
      </c>
      <c r="O721" s="108" t="str">
        <f>IF(Таблица97[[#This Row],[НК]]=1,Таблица97[[#This Row],[Маржа]],"")</f>
        <v/>
      </c>
    </row>
    <row r="722" spans="1:15" ht="20.100000000000001" customHeight="1" x14ac:dyDescent="0.25">
      <c r="A722" s="2">
        <v>45</v>
      </c>
      <c r="B722" s="2" t="str">
        <f>TEXT(Таблица97[[#This Row],[Дата]],"ГГ")&amp;RIGHT("000"&amp;Таблица97[[#This Row],[Номер]],4)</f>
        <v>180045</v>
      </c>
      <c r="C722" s="129">
        <v>43119</v>
      </c>
      <c r="D722" s="2" t="s">
        <v>312</v>
      </c>
      <c r="E722" s="108">
        <v>24752</v>
      </c>
      <c r="F722" s="129">
        <v>43125</v>
      </c>
      <c r="G722" s="128">
        <v>1</v>
      </c>
      <c r="H722" s="129">
        <v>43126</v>
      </c>
      <c r="I722" s="108">
        <v>4088</v>
      </c>
      <c r="J722" s="108">
        <f>IF(Таблица97[[#This Row],[НК]]=1,Таблица97[[#This Row],[Продажа]],"")</f>
        <v>4088</v>
      </c>
      <c r="L722" s="108">
        <v>600</v>
      </c>
      <c r="M722" s="108">
        <v>1249</v>
      </c>
      <c r="N722" s="108">
        <f>Таблица97[[#This Row],[Продажа]]-Таблица97[[#This Row],[Закупка]]</f>
        <v>2839</v>
      </c>
      <c r="O722" s="108">
        <f>IF(Таблица97[[#This Row],[НК]]=1,Таблица97[[#This Row],[Маржа]],"")</f>
        <v>2839</v>
      </c>
    </row>
    <row r="723" spans="1:15" ht="20.100000000000001" customHeight="1" x14ac:dyDescent="0.25">
      <c r="A723" s="2">
        <v>997</v>
      </c>
      <c r="B723" s="2" t="str">
        <f>TEXT(Таблица97[[#This Row],[Дата]],"ГГ")&amp;RIGHT("000"&amp;Таблица97[[#This Row],[Номер]],4)</f>
        <v>170997</v>
      </c>
      <c r="C723" s="129">
        <v>43055</v>
      </c>
      <c r="D723" s="2" t="s">
        <v>312</v>
      </c>
      <c r="E723" s="108">
        <v>777</v>
      </c>
      <c r="F723" s="129">
        <v>43125</v>
      </c>
      <c r="G723" s="128">
        <v>1</v>
      </c>
      <c r="H723" s="129">
        <v>43126</v>
      </c>
      <c r="I723" s="108">
        <f>E723</f>
        <v>777</v>
      </c>
      <c r="J723" s="108">
        <f>IF(Таблица97[[#This Row],[НК]]=1,Таблица97[[#This Row],[Продажа]],"")</f>
        <v>777</v>
      </c>
      <c r="M723" s="108">
        <v>475</v>
      </c>
      <c r="N723" s="108">
        <f>Таблица97[[#This Row],[Продажа]]-Таблица97[[#This Row],[Закупка]]</f>
        <v>302</v>
      </c>
      <c r="O723" s="108">
        <f>IF(Таблица97[[#This Row],[НК]]=1,Таблица97[[#This Row],[Маржа]],"")</f>
        <v>302</v>
      </c>
    </row>
    <row r="724" spans="1:15" ht="20.100000000000001" customHeight="1" x14ac:dyDescent="0.25">
      <c r="A724" s="2">
        <v>9</v>
      </c>
      <c r="B724" s="2" t="str">
        <f>TEXT(Таблица97[[#This Row],[Дата]],"ГГ")&amp;RIGHT("000"&amp;Таблица97[[#This Row],[Номер]],4)</f>
        <v>180009</v>
      </c>
      <c r="C724" s="129">
        <v>43111</v>
      </c>
      <c r="D724" s="2" t="s">
        <v>175</v>
      </c>
      <c r="E724" s="108">
        <v>26908</v>
      </c>
      <c r="F724" s="129">
        <v>43126</v>
      </c>
      <c r="H724" s="129">
        <v>43186</v>
      </c>
      <c r="I724" s="108">
        <f>E724</f>
        <v>26908</v>
      </c>
      <c r="J724" s="108" t="str">
        <f>IF(Таблица97[[#This Row],[НК]]=1,Таблица97[[#This Row],[Продажа]],"")</f>
        <v/>
      </c>
      <c r="M724" s="108">
        <v>17722.7</v>
      </c>
      <c r="N724" s="108">
        <f>Таблица97[[#This Row],[Продажа]]-Таблица97[[#This Row],[Закупка]]</f>
        <v>9185.2999999999993</v>
      </c>
      <c r="O724" s="108" t="str">
        <f>IF(Таблица97[[#This Row],[НК]]=1,Таблица97[[#This Row],[Маржа]],"")</f>
        <v/>
      </c>
    </row>
    <row r="725" spans="1:15" ht="20.100000000000001" customHeight="1" x14ac:dyDescent="0.25">
      <c r="A725" s="2">
        <v>54</v>
      </c>
      <c r="B725" s="2" t="str">
        <f>TEXT(Таблица97[[#This Row],[Дата]],"ГГ")&amp;RIGHT("000"&amp;Таблица97[[#This Row],[Номер]],4)</f>
        <v>180054</v>
      </c>
      <c r="C725" s="129">
        <v>43126</v>
      </c>
      <c r="D725" s="2" t="s">
        <v>71</v>
      </c>
      <c r="E725" s="108">
        <v>19968</v>
      </c>
      <c r="F725" s="129">
        <v>43130</v>
      </c>
      <c r="H725" s="129">
        <v>43132</v>
      </c>
      <c r="I725" s="108">
        <f>E725</f>
        <v>19968</v>
      </c>
      <c r="J725" s="108" t="str">
        <f>IF(Таблица97[[#This Row],[НК]]=1,Таблица97[[#This Row],[Продажа]],"")</f>
        <v/>
      </c>
      <c r="M725" s="108">
        <v>14509</v>
      </c>
      <c r="N725" s="108">
        <f>Таблица97[[#This Row],[Продажа]]-Таблица97[[#This Row],[Закупка]]</f>
        <v>5459</v>
      </c>
      <c r="O725" s="108" t="str">
        <f>IF(Таблица97[[#This Row],[НК]]=1,Таблица97[[#This Row],[Маржа]],"")</f>
        <v/>
      </c>
    </row>
    <row r="726" spans="1:15" ht="20.100000000000001" customHeight="1" x14ac:dyDescent="0.25">
      <c r="A726" s="2">
        <v>67</v>
      </c>
      <c r="B726" s="2" t="str">
        <f>TEXT(Таблица97[[#This Row],[Дата]],"ГГ")&amp;RIGHT("000"&amp;Таблица97[[#This Row],[Номер]],4)</f>
        <v>180067</v>
      </c>
      <c r="C726" s="129">
        <v>43130</v>
      </c>
      <c r="D726" s="2" t="s">
        <v>236</v>
      </c>
      <c r="E726" s="108">
        <v>5643</v>
      </c>
      <c r="F726" s="129">
        <v>43130</v>
      </c>
      <c r="H726" s="129">
        <v>43152</v>
      </c>
      <c r="I726" s="108">
        <f>E726</f>
        <v>5643</v>
      </c>
      <c r="J726" s="108" t="str">
        <f>IF(Таблица97[[#This Row],[НК]]=1,Таблица97[[#This Row],[Продажа]],"")</f>
        <v/>
      </c>
      <c r="M726" s="108">
        <v>4402</v>
      </c>
      <c r="N726" s="108">
        <f>Таблица97[[#This Row],[Продажа]]-Таблица97[[#This Row],[Закупка]]</f>
        <v>1241</v>
      </c>
      <c r="O726" s="108" t="str">
        <f>IF(Таблица97[[#This Row],[НК]]=1,Таблица97[[#This Row],[Маржа]],"")</f>
        <v/>
      </c>
    </row>
    <row r="727" spans="1:15" ht="20.100000000000001" customHeight="1" x14ac:dyDescent="0.25">
      <c r="A727" s="2">
        <v>887</v>
      </c>
      <c r="B727" s="2" t="str">
        <f>TEXT(Таблица97[[#This Row],[Дата]],"ГГ")&amp;RIGHT("000"&amp;Таблица97[[#This Row],[Номер]],4)</f>
        <v>170887</v>
      </c>
      <c r="C727" s="129">
        <v>43077</v>
      </c>
      <c r="D727" s="2" t="s">
        <v>38</v>
      </c>
      <c r="E727" s="108">
        <v>134299</v>
      </c>
      <c r="F727" s="129">
        <v>43131</v>
      </c>
      <c r="H727" s="129">
        <v>43094</v>
      </c>
      <c r="I727" s="108">
        <f>E727</f>
        <v>134299</v>
      </c>
      <c r="J727" s="108" t="str">
        <f>IF(Таблица97[[#This Row],[НК]]=1,Таблица97[[#This Row],[Продажа]],"")</f>
        <v/>
      </c>
      <c r="M727" s="108">
        <v>101530</v>
      </c>
      <c r="N727" s="108">
        <f>Таблица97[[#This Row],[Продажа]]-Таблица97[[#This Row],[Закупка]]</f>
        <v>32769</v>
      </c>
      <c r="O727" s="108" t="str">
        <f>IF(Таблица97[[#This Row],[НК]]=1,Таблица97[[#This Row],[Маржа]],"")</f>
        <v/>
      </c>
    </row>
    <row r="728" spans="1:15" ht="20.100000000000001" customHeight="1" x14ac:dyDescent="0.25">
      <c r="A728" s="2">
        <v>80</v>
      </c>
      <c r="B728" s="2" t="str">
        <f>TEXT(Таблица97[[#This Row],[Дата]],"ГГ")&amp;RIGHT("000"&amp;Таблица97[[#This Row],[Номер]],4)</f>
        <v>180080</v>
      </c>
      <c r="C728" s="129">
        <v>43132</v>
      </c>
      <c r="D728" s="2" t="s">
        <v>314</v>
      </c>
      <c r="E728" s="108">
        <v>12000</v>
      </c>
      <c r="F728" s="129">
        <v>43132</v>
      </c>
      <c r="H728" s="129">
        <v>43133</v>
      </c>
      <c r="I728" s="108">
        <f t="shared" ref="I728:I756" si="32">E728</f>
        <v>12000</v>
      </c>
      <c r="J728" s="108" t="str">
        <f>IF(Таблица97[[#This Row],[НК]]=1,Таблица97[[#This Row],[Продажа]],"")</f>
        <v/>
      </c>
      <c r="L728" s="108">
        <f>600*3</f>
        <v>1800</v>
      </c>
      <c r="M728" s="108">
        <v>3921</v>
      </c>
      <c r="N728" s="108">
        <f>Таблица97[[#This Row],[Продажа]]-Таблица97[[#This Row],[Закупка]]</f>
        <v>8079</v>
      </c>
      <c r="O728" s="108" t="str">
        <f>IF(Таблица97[[#This Row],[НК]]=1,Таблица97[[#This Row],[Маржа]],"")</f>
        <v/>
      </c>
    </row>
    <row r="729" spans="1:15" ht="20.100000000000001" customHeight="1" x14ac:dyDescent="0.25">
      <c r="A729" s="2">
        <v>7</v>
      </c>
      <c r="B729" s="2" t="str">
        <f>TEXT(Таблица97[[#This Row],[Дата]],"ГГ")&amp;RIGHT("000"&amp;Таблица97[[#This Row],[Номер]],4)</f>
        <v>180007</v>
      </c>
      <c r="C729" s="129">
        <v>43115</v>
      </c>
      <c r="D729" s="2" t="s">
        <v>56</v>
      </c>
      <c r="E729" s="108">
        <v>8848</v>
      </c>
      <c r="F729" s="129">
        <v>43136</v>
      </c>
      <c r="H729" s="129">
        <v>43123</v>
      </c>
      <c r="I729" s="108">
        <f t="shared" si="32"/>
        <v>8848</v>
      </c>
      <c r="J729" s="108" t="str">
        <f>IF(Таблица97[[#This Row],[НК]]=1,Таблица97[[#This Row],[Продажа]],"")</f>
        <v/>
      </c>
      <c r="M729" s="108">
        <v>6902</v>
      </c>
      <c r="N729" s="108">
        <f>Таблица97[[#This Row],[Продажа]]-Таблица97[[#This Row],[Закупка]]</f>
        <v>1946</v>
      </c>
      <c r="O729" s="108" t="str">
        <f>IF(Таблица97[[#This Row],[НК]]=1,Таблица97[[#This Row],[Маржа]],"")</f>
        <v/>
      </c>
    </row>
    <row r="730" spans="1:15" ht="20.100000000000001" customHeight="1" x14ac:dyDescent="0.25">
      <c r="A730" s="2">
        <v>89</v>
      </c>
      <c r="B730" s="2" t="str">
        <f>TEXT(Таблица97[[#This Row],[Дата]],"ГГ")&amp;RIGHT("000"&amp;Таблица97[[#This Row],[Номер]],4)</f>
        <v>180089</v>
      </c>
      <c r="C730" s="129">
        <v>43136</v>
      </c>
      <c r="D730" s="2" t="s">
        <v>216</v>
      </c>
      <c r="E730" s="108">
        <v>112.2</v>
      </c>
      <c r="F730" s="129">
        <v>43138</v>
      </c>
      <c r="H730" s="129">
        <v>43206</v>
      </c>
      <c r="I730" s="108">
        <f t="shared" si="32"/>
        <v>112.2</v>
      </c>
      <c r="J730" s="108" t="str">
        <f>IF(Таблица97[[#This Row],[НК]]=1,Таблица97[[#This Row],[Продажа]],"")</f>
        <v/>
      </c>
      <c r="M730" s="108">
        <v>88</v>
      </c>
      <c r="N730" s="108">
        <f>Таблица97[[#This Row],[Продажа]]-Таблица97[[#This Row],[Закупка]]</f>
        <v>24.200000000000003</v>
      </c>
      <c r="O730" s="108" t="str">
        <f>IF(Таблица97[[#This Row],[НК]]=1,Таблица97[[#This Row],[Маржа]],"")</f>
        <v/>
      </c>
    </row>
    <row r="731" spans="1:15" ht="20.100000000000001" customHeight="1" x14ac:dyDescent="0.25">
      <c r="A731" s="2">
        <v>77</v>
      </c>
      <c r="B731" s="2" t="str">
        <f>TEXT(Таблица97[[#This Row],[Дата]],"ГГ")&amp;RIGHT("000"&amp;Таблица97[[#This Row],[Номер]],4)</f>
        <v>180077</v>
      </c>
      <c r="C731" s="129">
        <v>43131</v>
      </c>
      <c r="D731" s="2" t="s">
        <v>66</v>
      </c>
      <c r="E731" s="108">
        <v>3890</v>
      </c>
      <c r="F731" s="129">
        <v>43139</v>
      </c>
      <c r="H731" s="129">
        <v>43186</v>
      </c>
      <c r="I731" s="108">
        <f t="shared" si="32"/>
        <v>3890</v>
      </c>
      <c r="J731" s="108" t="str">
        <f>IF(Таблица97[[#This Row],[НК]]=1,Таблица97[[#This Row],[Продажа]],"")</f>
        <v/>
      </c>
      <c r="M731" s="108">
        <v>2859</v>
      </c>
      <c r="N731" s="108">
        <f>Таблица97[[#This Row],[Продажа]]-Таблица97[[#This Row],[Закупка]]</f>
        <v>1031</v>
      </c>
      <c r="O731" s="108" t="str">
        <f>IF(Таблица97[[#This Row],[НК]]=1,Таблица97[[#This Row],[Маржа]],"")</f>
        <v/>
      </c>
    </row>
    <row r="732" spans="1:15" ht="20.100000000000001" customHeight="1" x14ac:dyDescent="0.25">
      <c r="A732" s="2">
        <v>21</v>
      </c>
      <c r="B732" s="2" t="str">
        <f>TEXT(Таблица97[[#This Row],[Дата]],"ГГ")&amp;RIGHT("000"&amp;Таблица97[[#This Row],[Номер]],4)</f>
        <v>180021</v>
      </c>
      <c r="C732" s="129">
        <v>43112</v>
      </c>
      <c r="D732" s="2" t="s">
        <v>311</v>
      </c>
      <c r="E732" s="108">
        <v>23106</v>
      </c>
      <c r="F732" s="129">
        <v>43140</v>
      </c>
      <c r="G732" s="128">
        <v>1</v>
      </c>
      <c r="H732" s="129">
        <v>43129</v>
      </c>
      <c r="I732" s="108">
        <f t="shared" si="32"/>
        <v>23106</v>
      </c>
      <c r="J732" s="108">
        <f>IF(Таблица97[[#This Row],[НК]]=1,Таблица97[[#This Row],[Продажа]],"")</f>
        <v>23106</v>
      </c>
      <c r="M732" s="108">
        <v>18364</v>
      </c>
      <c r="N732" s="108">
        <f>Таблица97[[#This Row],[Продажа]]-Таблица97[[#This Row],[Закупка]]</f>
        <v>4742</v>
      </c>
      <c r="O732" s="108">
        <f>IF(Таблица97[[#This Row],[НК]]=1,Таблица97[[#This Row],[Маржа]],"")</f>
        <v>4742</v>
      </c>
    </row>
    <row r="733" spans="1:15" ht="20.100000000000001" customHeight="1" x14ac:dyDescent="0.25">
      <c r="A733" s="2">
        <v>109</v>
      </c>
      <c r="B733" s="2" t="str">
        <f>TEXT(Таблица97[[#This Row],[Дата]],"ГГ")&amp;RIGHT("000"&amp;Таблица97[[#This Row],[Номер]],4)</f>
        <v>180109</v>
      </c>
      <c r="C733" s="129">
        <v>43143</v>
      </c>
      <c r="D733" s="2" t="s">
        <v>118</v>
      </c>
      <c r="E733" s="108">
        <v>3170.5</v>
      </c>
      <c r="F733" s="129">
        <v>43143</v>
      </c>
      <c r="H733" s="129">
        <v>43144</v>
      </c>
      <c r="I733" s="108">
        <f t="shared" si="32"/>
        <v>3170.5</v>
      </c>
      <c r="J733" s="108" t="str">
        <f>IF(Таблица97[[#This Row],[НК]]=1,Таблица97[[#This Row],[Продажа]],"")</f>
        <v/>
      </c>
      <c r="M733" s="108">
        <v>2872</v>
      </c>
      <c r="N733" s="108">
        <f>Таблица97[[#This Row],[Продажа]]-Таблица97[[#This Row],[Закупка]]</f>
        <v>298.5</v>
      </c>
      <c r="O733" s="108" t="str">
        <f>IF(Таблица97[[#This Row],[НК]]=1,Таблица97[[#This Row],[Маржа]],"")</f>
        <v/>
      </c>
    </row>
    <row r="734" spans="1:15" ht="20.100000000000001" customHeight="1" x14ac:dyDescent="0.25">
      <c r="A734" s="2">
        <v>106</v>
      </c>
      <c r="B734" s="2" t="str">
        <f>TEXT(Таблица97[[#This Row],[Дата]],"ГГ")&amp;RIGHT("000"&amp;Таблица97[[#This Row],[Номер]],4)</f>
        <v>180106</v>
      </c>
      <c r="C734" s="129">
        <v>43143</v>
      </c>
      <c r="D734" s="2" t="s">
        <v>220</v>
      </c>
      <c r="E734" s="108">
        <v>2072</v>
      </c>
      <c r="F734" s="129">
        <v>43143</v>
      </c>
      <c r="H734" s="129">
        <v>43186</v>
      </c>
      <c r="I734" s="108">
        <f t="shared" si="32"/>
        <v>2072</v>
      </c>
      <c r="J734" s="108" t="str">
        <f>IF(Таблица97[[#This Row],[НК]]=1,Таблица97[[#This Row],[Продажа]],"")</f>
        <v/>
      </c>
      <c r="M734" s="108">
        <v>1596</v>
      </c>
      <c r="N734" s="108">
        <f>Таблица97[[#This Row],[Продажа]]-Таблица97[[#This Row],[Закупка]]</f>
        <v>476</v>
      </c>
      <c r="O734" s="108" t="str">
        <f>IF(Таблица97[[#This Row],[НК]]=1,Таблица97[[#This Row],[Маржа]],"")</f>
        <v/>
      </c>
    </row>
    <row r="735" spans="1:15" ht="20.100000000000001" customHeight="1" x14ac:dyDescent="0.25">
      <c r="A735" s="2">
        <v>93</v>
      </c>
      <c r="B735" s="2" t="str">
        <f>TEXT(Таблица97[[#This Row],[Дата]],"ГГ")&amp;RIGHT("000"&amp;Таблица97[[#This Row],[Номер]],4)</f>
        <v>180093</v>
      </c>
      <c r="C735" s="129">
        <v>43138</v>
      </c>
      <c r="D735" s="2" t="s">
        <v>306</v>
      </c>
      <c r="E735" s="108">
        <v>5513</v>
      </c>
      <c r="F735" s="129">
        <v>43144</v>
      </c>
      <c r="G735" s="128">
        <v>1</v>
      </c>
      <c r="H735" s="129">
        <v>43138</v>
      </c>
      <c r="I735" s="108">
        <f t="shared" si="32"/>
        <v>5513</v>
      </c>
      <c r="J735" s="108">
        <f>IF(Таблица97[[#This Row],[НК]]=1,Таблица97[[#This Row],[Продажа]],"")</f>
        <v>5513</v>
      </c>
      <c r="M735" s="108">
        <v>3133</v>
      </c>
      <c r="N735" s="108">
        <f>Таблица97[[#This Row],[Продажа]]-Таблица97[[#This Row],[Закупка]]</f>
        <v>2380</v>
      </c>
      <c r="O735" s="108">
        <f>IF(Таблица97[[#This Row],[НК]]=1,Таблица97[[#This Row],[Маржа]],"")</f>
        <v>2380</v>
      </c>
    </row>
    <row r="736" spans="1:15" ht="20.100000000000001" customHeight="1" x14ac:dyDescent="0.25">
      <c r="A736" s="2">
        <v>17</v>
      </c>
      <c r="B736" s="2" t="str">
        <f>TEXT(Таблица97[[#This Row],[Дата]],"ГГ")&amp;RIGHT("000"&amp;Таблица97[[#This Row],[Номер]],4)</f>
        <v>180017</v>
      </c>
      <c r="C736" s="129">
        <v>43112</v>
      </c>
      <c r="D736" s="2" t="s">
        <v>60</v>
      </c>
      <c r="E736" s="108">
        <v>4440</v>
      </c>
      <c r="F736" s="129">
        <v>43144</v>
      </c>
      <c r="H736" s="129">
        <v>43131</v>
      </c>
      <c r="I736" s="108">
        <f t="shared" si="32"/>
        <v>4440</v>
      </c>
      <c r="J736" s="108" t="str">
        <f>IF(Таблица97[[#This Row],[НК]]=1,Таблица97[[#This Row],[Продажа]],"")</f>
        <v/>
      </c>
      <c r="M736" s="108">
        <v>2930</v>
      </c>
      <c r="N736" s="108">
        <f>Таблица97[[#This Row],[Продажа]]-Таблица97[[#This Row],[Закупка]]</f>
        <v>1510</v>
      </c>
      <c r="O736" s="108" t="str">
        <f>IF(Таблица97[[#This Row],[НК]]=1,Таблица97[[#This Row],[Маржа]],"")</f>
        <v/>
      </c>
    </row>
    <row r="737" spans="1:15" ht="20.100000000000001" customHeight="1" x14ac:dyDescent="0.25">
      <c r="A737" s="2">
        <v>83</v>
      </c>
      <c r="B737" s="2" t="str">
        <f>TEXT(Таблица97[[#This Row],[Дата]],"ГГ")&amp;RIGHT("000"&amp;Таблица97[[#This Row],[Номер]],4)</f>
        <v>180083</v>
      </c>
      <c r="C737" s="129">
        <v>43145</v>
      </c>
      <c r="D737" s="2" t="s">
        <v>315</v>
      </c>
      <c r="E737" s="108">
        <v>11035</v>
      </c>
      <c r="F737" s="129">
        <v>43145</v>
      </c>
      <c r="G737" s="128">
        <v>1</v>
      </c>
      <c r="H737" s="129">
        <v>43147</v>
      </c>
      <c r="I737" s="108">
        <f t="shared" si="32"/>
        <v>11035</v>
      </c>
      <c r="J737" s="108">
        <f>IF(Таблица97[[#This Row],[НК]]=1,Таблица97[[#This Row],[Продажа]],"")</f>
        <v>11035</v>
      </c>
      <c r="M737" s="108">
        <v>7504</v>
      </c>
      <c r="N737" s="108">
        <f>Таблица97[[#This Row],[Продажа]]-Таблица97[[#This Row],[Закупка]]</f>
        <v>3531</v>
      </c>
      <c r="O737" s="108">
        <f>IF(Таблица97[[#This Row],[НК]]=1,Таблица97[[#This Row],[Маржа]],"")</f>
        <v>3531</v>
      </c>
    </row>
    <row r="738" spans="1:15" ht="20.100000000000001" customHeight="1" x14ac:dyDescent="0.25">
      <c r="A738" s="2">
        <v>87</v>
      </c>
      <c r="B738" s="2" t="str">
        <f>TEXT(Таблица97[[#This Row],[Дата]],"ГГ")&amp;RIGHT("000"&amp;Таблица97[[#This Row],[Номер]],4)</f>
        <v>180087</v>
      </c>
      <c r="C738" s="129">
        <v>43136</v>
      </c>
      <c r="D738" s="2" t="s">
        <v>65</v>
      </c>
      <c r="E738" s="108">
        <v>4900</v>
      </c>
      <c r="F738" s="129">
        <v>43146</v>
      </c>
      <c r="H738" s="129">
        <v>43151</v>
      </c>
      <c r="I738" s="108">
        <f t="shared" si="32"/>
        <v>4900</v>
      </c>
      <c r="J738" s="108" t="str">
        <f>IF(Таблица97[[#This Row],[НК]]=1,Таблица97[[#This Row],[Продажа]],"")</f>
        <v/>
      </c>
      <c r="M738" s="108">
        <v>4364</v>
      </c>
      <c r="N738" s="108">
        <f>Таблица97[[#This Row],[Продажа]]-Таблица97[[#This Row],[Закупка]]</f>
        <v>536</v>
      </c>
      <c r="O738" s="108" t="str">
        <f>IF(Таблица97[[#This Row],[НК]]=1,Таблица97[[#This Row],[Маржа]],"")</f>
        <v/>
      </c>
    </row>
    <row r="739" spans="1:15" ht="20.100000000000001" customHeight="1" x14ac:dyDescent="0.25">
      <c r="A739" s="2">
        <v>94</v>
      </c>
      <c r="B739" s="2" t="str">
        <f>TEXT(Таблица97[[#This Row],[Дата]],"ГГ")&amp;RIGHT("000"&amp;Таблица97[[#This Row],[Номер]],4)</f>
        <v>180094</v>
      </c>
      <c r="C739" s="129">
        <v>43137</v>
      </c>
      <c r="D739" s="2" t="s">
        <v>65</v>
      </c>
      <c r="E739" s="108">
        <v>2450</v>
      </c>
      <c r="F739" s="129">
        <v>43146</v>
      </c>
      <c r="H739" s="129">
        <v>43151</v>
      </c>
      <c r="I739" s="108">
        <f t="shared" si="32"/>
        <v>2450</v>
      </c>
      <c r="J739" s="108" t="str">
        <f>IF(Таблица97[[#This Row],[НК]]=1,Таблица97[[#This Row],[Продажа]],"")</f>
        <v/>
      </c>
      <c r="M739" s="108">
        <v>2182</v>
      </c>
      <c r="N739" s="108">
        <f>Таблица97[[#This Row],[Продажа]]-Таблица97[[#This Row],[Закупка]]</f>
        <v>268</v>
      </c>
      <c r="O739" s="108" t="str">
        <f>IF(Таблица97[[#This Row],[НК]]=1,Таблица97[[#This Row],[Маржа]],"")</f>
        <v/>
      </c>
    </row>
    <row r="740" spans="1:15" ht="20.100000000000001" customHeight="1" x14ac:dyDescent="0.25">
      <c r="A740" s="2">
        <v>81</v>
      </c>
      <c r="B740" s="2" t="str">
        <f>TEXT(Таблица97[[#This Row],[Дата]],"ГГ")&amp;RIGHT("000"&amp;Таблица97[[#This Row],[Номер]],4)</f>
        <v>180081</v>
      </c>
      <c r="C740" s="129">
        <v>43132</v>
      </c>
      <c r="D740" s="2" t="s">
        <v>66</v>
      </c>
      <c r="E740" s="108">
        <v>12340</v>
      </c>
      <c r="F740" s="129">
        <v>43147</v>
      </c>
      <c r="H740" s="129">
        <v>43150</v>
      </c>
      <c r="I740" s="108">
        <f t="shared" si="32"/>
        <v>12340</v>
      </c>
      <c r="J740" s="108" t="str">
        <f>IF(Таблица97[[#This Row],[НК]]=1,Таблица97[[#This Row],[Продажа]],"")</f>
        <v/>
      </c>
      <c r="M740" s="108">
        <v>8650</v>
      </c>
      <c r="N740" s="108">
        <f>Таблица97[[#This Row],[Продажа]]-Таблица97[[#This Row],[Закупка]]</f>
        <v>3690</v>
      </c>
      <c r="O740" s="108" t="str">
        <f>IF(Таблица97[[#This Row],[НК]]=1,Таблица97[[#This Row],[Маржа]],"")</f>
        <v/>
      </c>
    </row>
    <row r="741" spans="1:15" ht="20.100000000000001" customHeight="1" x14ac:dyDescent="0.25">
      <c r="A741" s="2">
        <v>114</v>
      </c>
      <c r="B741" s="2" t="str">
        <f>TEXT(Таблица97[[#This Row],[Дата]],"ГГ")&amp;RIGHT("000"&amp;Таблица97[[#This Row],[Номер]],4)</f>
        <v>180114</v>
      </c>
      <c r="C741" s="129">
        <v>43144</v>
      </c>
      <c r="D741" s="2" t="s">
        <v>109</v>
      </c>
      <c r="E741" s="108">
        <v>4900</v>
      </c>
      <c r="F741" s="129">
        <v>43150</v>
      </c>
      <c r="H741" s="129">
        <v>43144</v>
      </c>
      <c r="I741" s="108">
        <f t="shared" si="32"/>
        <v>4900</v>
      </c>
      <c r="J741" s="108" t="str">
        <f>IF(Таблица97[[#This Row],[НК]]=1,Таблица97[[#This Row],[Продажа]],"")</f>
        <v/>
      </c>
      <c r="M741" s="108">
        <v>4364</v>
      </c>
      <c r="N741" s="108">
        <f>Таблица97[[#This Row],[Продажа]]-Таблица97[[#This Row],[Закупка]]</f>
        <v>536</v>
      </c>
      <c r="O741" s="108" t="str">
        <f>IF(Таблица97[[#This Row],[НК]]=1,Таблица97[[#This Row],[Маржа]],"")</f>
        <v/>
      </c>
    </row>
    <row r="742" spans="1:15" ht="20.100000000000001" customHeight="1" x14ac:dyDescent="0.25">
      <c r="A742" s="2">
        <v>1116</v>
      </c>
      <c r="B742" s="2" t="str">
        <f>TEXT(Таблица97[[#This Row],[Дата]],"ГГ")&amp;RIGHT("000"&amp;Таблица97[[#This Row],[Номер]],4)</f>
        <v>171116</v>
      </c>
      <c r="C742" s="129">
        <v>43096</v>
      </c>
      <c r="D742" s="2" t="s">
        <v>310</v>
      </c>
      <c r="E742" s="108">
        <v>10000</v>
      </c>
      <c r="F742" s="129">
        <v>43150</v>
      </c>
      <c r="G742" s="128">
        <v>1</v>
      </c>
      <c r="H742" s="129">
        <v>43098</v>
      </c>
      <c r="I742" s="108">
        <f t="shared" si="32"/>
        <v>10000</v>
      </c>
      <c r="J742" s="108">
        <f>IF(Таблица97[[#This Row],[НК]]=1,Таблица97[[#This Row],[Продажа]],"")</f>
        <v>10000</v>
      </c>
      <c r="M742" s="108">
        <v>2287</v>
      </c>
      <c r="N742" s="108">
        <f>Таблица97[[#This Row],[Продажа]]-Таблица97[[#This Row],[Закупка]]</f>
        <v>7713</v>
      </c>
      <c r="O742" s="108">
        <f>IF(Таблица97[[#This Row],[НК]]=1,Таблица97[[#This Row],[Маржа]],"")</f>
        <v>7713</v>
      </c>
    </row>
    <row r="743" spans="1:15" ht="20.100000000000001" customHeight="1" x14ac:dyDescent="0.25">
      <c r="A743" s="2">
        <v>100</v>
      </c>
      <c r="B743" s="2" t="str">
        <f>TEXT(Таблица97[[#This Row],[Дата]],"ГГ")&amp;RIGHT("000"&amp;Таблица97[[#This Row],[Номер]],4)</f>
        <v>180100</v>
      </c>
      <c r="C743" s="129">
        <v>43140</v>
      </c>
      <c r="D743" s="2" t="s">
        <v>175</v>
      </c>
      <c r="E743" s="108">
        <v>16780.8</v>
      </c>
      <c r="F743" s="129">
        <v>43150</v>
      </c>
      <c r="H743" s="129">
        <v>43186</v>
      </c>
      <c r="I743" s="108">
        <f t="shared" si="32"/>
        <v>16780.8</v>
      </c>
      <c r="J743" s="108" t="str">
        <f>IF(Таблица97[[#This Row],[НК]]=1,Таблица97[[#This Row],[Продажа]],"")</f>
        <v/>
      </c>
      <c r="M743" s="108">
        <v>13584</v>
      </c>
      <c r="N743" s="108">
        <f>Таблица97[[#This Row],[Продажа]]-Таблица97[[#This Row],[Закупка]]</f>
        <v>3196.7999999999993</v>
      </c>
      <c r="O743" s="108" t="str">
        <f>IF(Таблица97[[#This Row],[НК]]=1,Таблица97[[#This Row],[Маржа]],"")</f>
        <v/>
      </c>
    </row>
    <row r="744" spans="1:15" ht="20.100000000000001" customHeight="1" x14ac:dyDescent="0.25">
      <c r="A744" s="2">
        <v>99</v>
      </c>
      <c r="B744" s="2" t="str">
        <f>TEXT(Таблица97[[#This Row],[Дата]],"ГГ")&amp;RIGHT("000"&amp;Таблица97[[#This Row],[Номер]],4)</f>
        <v>180099</v>
      </c>
      <c r="C744" s="129">
        <v>43140</v>
      </c>
      <c r="D744" s="2" t="s">
        <v>175</v>
      </c>
      <c r="E744" s="108">
        <v>19984.2</v>
      </c>
      <c r="F744" s="129">
        <v>43152</v>
      </c>
      <c r="H744" s="129">
        <v>43153</v>
      </c>
      <c r="I744" s="108">
        <f t="shared" si="32"/>
        <v>19984.2</v>
      </c>
      <c r="J744" s="108" t="str">
        <f>IF(Таблица97[[#This Row],[НК]]=1,Таблица97[[#This Row],[Продажа]],"")</f>
        <v/>
      </c>
      <c r="M744" s="108">
        <v>13476</v>
      </c>
      <c r="N744" s="108">
        <f>Таблица97[[#This Row],[Продажа]]-Таблица97[[#This Row],[Закупка]]</f>
        <v>6508.2000000000007</v>
      </c>
      <c r="O744" s="108" t="str">
        <f>IF(Таблица97[[#This Row],[НК]]=1,Таблица97[[#This Row],[Маржа]],"")</f>
        <v/>
      </c>
    </row>
    <row r="745" spans="1:15" ht="20.100000000000001" customHeight="1" x14ac:dyDescent="0.25">
      <c r="A745" s="2">
        <v>63</v>
      </c>
      <c r="B745" s="2" t="str">
        <f>TEXT(Таблица97[[#This Row],[Дата]],"ГГ")&amp;RIGHT("000"&amp;Таблица97[[#This Row],[Номер]],4)</f>
        <v>180063</v>
      </c>
      <c r="C745" s="129">
        <v>43129</v>
      </c>
      <c r="D745" s="2" t="s">
        <v>248</v>
      </c>
      <c r="E745" s="108">
        <v>10032</v>
      </c>
      <c r="F745" s="129">
        <v>43152</v>
      </c>
      <c r="H745" s="129">
        <v>43129</v>
      </c>
      <c r="I745" s="108">
        <f t="shared" si="32"/>
        <v>10032</v>
      </c>
      <c r="J745" s="108" t="str">
        <f>IF(Таблица97[[#This Row],[НК]]=1,Таблица97[[#This Row],[Продажа]],"")</f>
        <v/>
      </c>
      <c r="M745" s="108">
        <v>7769</v>
      </c>
      <c r="N745" s="108">
        <f>Таблица97[[#This Row],[Продажа]]-Таблица97[[#This Row],[Закупка]]</f>
        <v>2263</v>
      </c>
      <c r="O745" s="108" t="str">
        <f>IF(Таблица97[[#This Row],[НК]]=1,Таблица97[[#This Row],[Маржа]],"")</f>
        <v/>
      </c>
    </row>
    <row r="746" spans="1:15" ht="20.100000000000001" customHeight="1" x14ac:dyDescent="0.25">
      <c r="A746" s="2">
        <v>122</v>
      </c>
      <c r="B746" s="2" t="str">
        <f>TEXT(Таблица97[[#This Row],[Дата]],"ГГ")&amp;RIGHT("000"&amp;Таблица97[[#This Row],[Номер]],4)</f>
        <v>180122</v>
      </c>
      <c r="C746" s="129">
        <v>43147</v>
      </c>
      <c r="D746" s="2" t="s">
        <v>275</v>
      </c>
      <c r="E746" s="108">
        <v>6881</v>
      </c>
      <c r="F746" s="129">
        <v>43152</v>
      </c>
      <c r="H746" s="129">
        <v>43165</v>
      </c>
      <c r="I746" s="108">
        <f t="shared" si="32"/>
        <v>6881</v>
      </c>
      <c r="J746" s="108" t="str">
        <f>IF(Таблица97[[#This Row],[НК]]=1,Таблица97[[#This Row],[Продажа]],"")</f>
        <v/>
      </c>
      <c r="M746" s="108">
        <v>4984</v>
      </c>
      <c r="N746" s="108">
        <f>Таблица97[[#This Row],[Продажа]]-Таблица97[[#This Row],[Закупка]]</f>
        <v>1897</v>
      </c>
      <c r="O746" s="108" t="str">
        <f>IF(Таблица97[[#This Row],[НК]]=1,Таблица97[[#This Row],[Маржа]],"")</f>
        <v/>
      </c>
    </row>
    <row r="747" spans="1:15" ht="20.100000000000001" customHeight="1" x14ac:dyDescent="0.25">
      <c r="A747" s="2">
        <v>125</v>
      </c>
      <c r="B747" s="2" t="str">
        <f>TEXT(Таблица97[[#This Row],[Дата]],"ГГ")&amp;RIGHT("000"&amp;Таблица97[[#This Row],[Номер]],4)</f>
        <v>180125</v>
      </c>
      <c r="C747" s="129">
        <v>43150</v>
      </c>
      <c r="D747" s="2" t="s">
        <v>139</v>
      </c>
      <c r="E747" s="108">
        <v>18532</v>
      </c>
      <c r="F747" s="129">
        <v>43152</v>
      </c>
      <c r="H747" s="129">
        <v>43187</v>
      </c>
      <c r="I747" s="108">
        <f t="shared" si="32"/>
        <v>18532</v>
      </c>
      <c r="J747" s="108" t="str">
        <f>IF(Таблица97[[#This Row],[НК]]=1,Таблица97[[#This Row],[Продажа]],"")</f>
        <v/>
      </c>
      <c r="M747" s="108">
        <v>13778</v>
      </c>
      <c r="N747" s="108">
        <f>Таблица97[[#This Row],[Продажа]]-Таблица97[[#This Row],[Закупка]]</f>
        <v>4754</v>
      </c>
      <c r="O747" s="108" t="str">
        <f>IF(Таблица97[[#This Row],[НК]]=1,Таблица97[[#This Row],[Маржа]],"")</f>
        <v/>
      </c>
    </row>
    <row r="748" spans="1:15" ht="20.100000000000001" customHeight="1" x14ac:dyDescent="0.25">
      <c r="A748" s="2">
        <v>132</v>
      </c>
      <c r="B748" s="2" t="str">
        <f>TEXT(Таблица97[[#This Row],[Дата]],"ГГ")&amp;RIGHT("000"&amp;Таблица97[[#This Row],[Номер]],4)</f>
        <v>180132</v>
      </c>
      <c r="C748" s="129">
        <v>43152</v>
      </c>
      <c r="D748" s="2" t="s">
        <v>16</v>
      </c>
      <c r="E748" s="108">
        <v>2728</v>
      </c>
      <c r="F748" s="129">
        <v>43152</v>
      </c>
      <c r="H748" s="129">
        <v>43158</v>
      </c>
      <c r="I748" s="108">
        <f t="shared" si="32"/>
        <v>2728</v>
      </c>
      <c r="J748" s="108" t="str">
        <f>IF(Таблица97[[#This Row],[НК]]=1,Таблица97[[#This Row],[Продажа]],"")</f>
        <v/>
      </c>
      <c r="M748" s="108">
        <v>1678</v>
      </c>
      <c r="N748" s="108">
        <f>Таблица97[[#This Row],[Продажа]]-Таблица97[[#This Row],[Закупка]]</f>
        <v>1050</v>
      </c>
      <c r="O748" s="108" t="str">
        <f>IF(Таблица97[[#This Row],[НК]]=1,Таблица97[[#This Row],[Маржа]],"")</f>
        <v/>
      </c>
    </row>
    <row r="749" spans="1:15" ht="20.100000000000001" customHeight="1" x14ac:dyDescent="0.25">
      <c r="A749" s="2">
        <v>129</v>
      </c>
      <c r="B749" s="2" t="str">
        <f>TEXT(Таблица97[[#This Row],[Дата]],"ГГ")&amp;RIGHT("000"&amp;Таблица97[[#This Row],[Номер]],4)</f>
        <v>180129</v>
      </c>
      <c r="C749" s="129">
        <v>43151</v>
      </c>
      <c r="D749" s="2" t="s">
        <v>287</v>
      </c>
      <c r="E749" s="108">
        <v>3209</v>
      </c>
      <c r="F749" s="129">
        <v>43152</v>
      </c>
      <c r="H749" s="129">
        <v>43186</v>
      </c>
      <c r="I749" s="108">
        <f t="shared" si="32"/>
        <v>3209</v>
      </c>
      <c r="J749" s="108" t="str">
        <f>IF(Таблица97[[#This Row],[НК]]=1,Таблица97[[#This Row],[Продажа]],"")</f>
        <v/>
      </c>
      <c r="M749" s="108">
        <v>2503</v>
      </c>
      <c r="N749" s="108">
        <f>Таблица97[[#This Row],[Продажа]]-Таблица97[[#This Row],[Закупка]]</f>
        <v>706</v>
      </c>
      <c r="O749" s="108" t="str">
        <f>IF(Таблица97[[#This Row],[НК]]=1,Таблица97[[#This Row],[Маржа]],"")</f>
        <v/>
      </c>
    </row>
    <row r="750" spans="1:15" ht="20.100000000000001" customHeight="1" x14ac:dyDescent="0.25">
      <c r="A750" s="2">
        <v>101</v>
      </c>
      <c r="B750" s="2" t="str">
        <f>TEXT(Таблица97[[#This Row],[Дата]],"ГГ")&amp;RIGHT("000"&amp;Таблица97[[#This Row],[Номер]],4)</f>
        <v>180101</v>
      </c>
      <c r="C750" s="129">
        <v>43140</v>
      </c>
      <c r="D750" s="2" t="s">
        <v>175</v>
      </c>
      <c r="E750" s="108">
        <v>29117.5</v>
      </c>
      <c r="F750" s="129">
        <v>43153</v>
      </c>
      <c r="H750" s="129">
        <v>43186</v>
      </c>
      <c r="I750" s="108">
        <f t="shared" si="32"/>
        <v>29117.5</v>
      </c>
      <c r="J750" s="108" t="str">
        <f>IF(Таблица97[[#This Row],[НК]]=1,Таблица97[[#This Row],[Продажа]],"")</f>
        <v/>
      </c>
      <c r="M750" s="108">
        <v>23816</v>
      </c>
      <c r="N750" s="108">
        <f>Таблица97[[#This Row],[Продажа]]-Таблица97[[#This Row],[Закупка]]</f>
        <v>5301.5</v>
      </c>
      <c r="O750" s="108" t="str">
        <f>IF(Таблица97[[#This Row],[НК]]=1,Таблица97[[#This Row],[Маржа]],"")</f>
        <v/>
      </c>
    </row>
    <row r="751" spans="1:15" ht="20.100000000000001" customHeight="1" x14ac:dyDescent="0.25">
      <c r="A751" s="2">
        <v>131</v>
      </c>
      <c r="B751" s="2" t="str">
        <f>TEXT(Таблица97[[#This Row],[Дата]],"ГГ")&amp;RIGHT("000"&amp;Таблица97[[#This Row],[Номер]],4)</f>
        <v>180131</v>
      </c>
      <c r="C751" s="129">
        <v>43152</v>
      </c>
      <c r="D751" s="2" t="s">
        <v>177</v>
      </c>
      <c r="E751" s="108">
        <v>4090</v>
      </c>
      <c r="F751" s="129">
        <v>43153</v>
      </c>
      <c r="H751" s="129">
        <v>43158</v>
      </c>
      <c r="I751" s="108">
        <f t="shared" si="32"/>
        <v>4090</v>
      </c>
      <c r="J751" s="108" t="str">
        <f>IF(Таблица97[[#This Row],[НК]]=1,Таблица97[[#This Row],[Продажа]],"")</f>
        <v/>
      </c>
      <c r="M751" s="108">
        <v>2808</v>
      </c>
      <c r="N751" s="108">
        <f>Таблица97[[#This Row],[Продажа]]-Таблица97[[#This Row],[Закупка]]</f>
        <v>1282</v>
      </c>
      <c r="O751" s="108" t="str">
        <f>IF(Таблица97[[#This Row],[НК]]=1,Таблица97[[#This Row],[Маржа]],"")</f>
        <v/>
      </c>
    </row>
    <row r="752" spans="1:15" ht="20.100000000000001" customHeight="1" x14ac:dyDescent="0.25">
      <c r="A752" s="2">
        <v>120</v>
      </c>
      <c r="B752" s="2" t="str">
        <f>TEXT(Таблица97[[#This Row],[Дата]],"ГГ")&amp;RIGHT("000"&amp;Таблица97[[#This Row],[Номер]],4)</f>
        <v>180120</v>
      </c>
      <c r="C752" s="129">
        <v>43147</v>
      </c>
      <c r="D752" s="2" t="s">
        <v>65</v>
      </c>
      <c r="E752" s="108">
        <v>65650</v>
      </c>
      <c r="F752" s="129">
        <v>43153</v>
      </c>
      <c r="H752" s="129">
        <v>43186</v>
      </c>
      <c r="I752" s="108">
        <f t="shared" si="32"/>
        <v>65650</v>
      </c>
      <c r="J752" s="108" t="str">
        <f>IF(Таблица97[[#This Row],[НК]]=1,Таблица97[[#This Row],[Продажа]],"")</f>
        <v/>
      </c>
      <c r="L752" s="108">
        <v>15600</v>
      </c>
      <c r="M752" s="108">
        <v>22724</v>
      </c>
      <c r="N752" s="108">
        <f>Таблица97[[#This Row],[Продажа]]-Таблица97[[#This Row],[Закупка]]</f>
        <v>42926</v>
      </c>
      <c r="O752" s="108" t="str">
        <f>IF(Таблица97[[#This Row],[НК]]=1,Таблица97[[#This Row],[Маржа]],"")</f>
        <v/>
      </c>
    </row>
    <row r="753" spans="1:15" ht="20.100000000000001" customHeight="1" x14ac:dyDescent="0.25">
      <c r="A753" s="2">
        <v>124</v>
      </c>
      <c r="B753" s="2" t="str">
        <f>TEXT(Таблица97[[#This Row],[Дата]],"ГГ")&amp;RIGHT("000"&amp;Таблица97[[#This Row],[Номер]],4)</f>
        <v>180124</v>
      </c>
      <c r="C753" s="129">
        <v>43150</v>
      </c>
      <c r="D753" s="2" t="s">
        <v>284</v>
      </c>
      <c r="E753" s="108">
        <v>5650</v>
      </c>
      <c r="F753" s="129">
        <v>43153</v>
      </c>
      <c r="H753" s="129">
        <v>43165</v>
      </c>
      <c r="I753" s="108">
        <f t="shared" si="32"/>
        <v>5650</v>
      </c>
      <c r="J753" s="108" t="str">
        <f>IF(Таблица97[[#This Row],[НК]]=1,Таблица97[[#This Row],[Продажа]],"")</f>
        <v/>
      </c>
      <c r="M753" s="108">
        <v>3630</v>
      </c>
      <c r="N753" s="108">
        <f>Таблица97[[#This Row],[Продажа]]-Таблица97[[#This Row],[Закупка]]</f>
        <v>2020</v>
      </c>
      <c r="O753" s="108" t="str">
        <f>IF(Таблица97[[#This Row],[НК]]=1,Таблица97[[#This Row],[Маржа]],"")</f>
        <v/>
      </c>
    </row>
    <row r="754" spans="1:15" ht="20.100000000000001" customHeight="1" x14ac:dyDescent="0.25">
      <c r="A754" s="2">
        <v>119</v>
      </c>
      <c r="B754" s="2" t="str">
        <f>TEXT(Таблица97[[#This Row],[Дата]],"ГГ")&amp;RIGHT("000"&amp;Таблица97[[#This Row],[Номер]],4)</f>
        <v>180119</v>
      </c>
      <c r="C754" s="129">
        <v>43147</v>
      </c>
      <c r="D754" s="2" t="s">
        <v>11</v>
      </c>
      <c r="E754" s="108">
        <v>4847</v>
      </c>
      <c r="F754" s="129">
        <v>43157</v>
      </c>
      <c r="H754" s="129">
        <v>43160</v>
      </c>
      <c r="I754" s="108">
        <f t="shared" si="32"/>
        <v>4847</v>
      </c>
      <c r="J754" s="108" t="str">
        <f>IF(Таблица97[[#This Row],[НК]]=1,Таблица97[[#This Row],[Продажа]],"")</f>
        <v/>
      </c>
      <c r="M754" s="108">
        <v>2790</v>
      </c>
      <c r="N754" s="108">
        <f>Таблица97[[#This Row],[Продажа]]-Таблица97[[#This Row],[Закупка]]</f>
        <v>2057</v>
      </c>
      <c r="O754" s="108" t="str">
        <f>IF(Таблица97[[#This Row],[НК]]=1,Таблица97[[#This Row],[Маржа]],"")</f>
        <v/>
      </c>
    </row>
    <row r="755" spans="1:15" ht="20.100000000000001" customHeight="1" x14ac:dyDescent="0.25">
      <c r="A755" s="2">
        <v>60</v>
      </c>
      <c r="B755" s="2" t="str">
        <f>TEXT(Таблица97[[#This Row],[Дата]],"ГГ")&amp;RIGHT("000"&amp;Таблица97[[#This Row],[Номер]],4)</f>
        <v>180060</v>
      </c>
      <c r="C755" s="129">
        <v>43132</v>
      </c>
      <c r="D755" s="2" t="s">
        <v>56</v>
      </c>
      <c r="E755" s="108">
        <v>10179</v>
      </c>
      <c r="F755" s="129">
        <v>43157</v>
      </c>
      <c r="H755" s="129">
        <v>43146</v>
      </c>
      <c r="I755" s="108">
        <f t="shared" si="32"/>
        <v>10179</v>
      </c>
      <c r="J755" s="108" t="str">
        <f>IF(Таблица97[[#This Row],[НК]]=1,Таблица97[[#This Row],[Продажа]],"")</f>
        <v/>
      </c>
      <c r="M755" s="108">
        <v>6926</v>
      </c>
      <c r="N755" s="108">
        <f>Таблица97[[#This Row],[Продажа]]-Таблица97[[#This Row],[Закупка]]</f>
        <v>3253</v>
      </c>
      <c r="O755" s="108" t="str">
        <f>IF(Таблица97[[#This Row],[НК]]=1,Таблица97[[#This Row],[Маржа]],"")</f>
        <v/>
      </c>
    </row>
    <row r="756" spans="1:15" ht="20.100000000000001" customHeight="1" x14ac:dyDescent="0.25">
      <c r="A756" s="2">
        <v>133</v>
      </c>
      <c r="B756" s="2" t="str">
        <f>TEXT(Таблица97[[#This Row],[Дата]],"ГГ")&amp;RIGHT("000"&amp;Таблица97[[#This Row],[Номер]],4)</f>
        <v>180133</v>
      </c>
      <c r="C756" s="129">
        <v>43153</v>
      </c>
      <c r="D756" s="2" t="s">
        <v>91</v>
      </c>
      <c r="E756" s="108">
        <v>4750</v>
      </c>
      <c r="F756" s="129">
        <v>43158</v>
      </c>
      <c r="H756" s="129">
        <v>43161</v>
      </c>
      <c r="I756" s="108">
        <f t="shared" si="32"/>
        <v>4750</v>
      </c>
      <c r="J756" s="108" t="str">
        <f>IF(Таблица97[[#This Row],[НК]]=1,Таблица97[[#This Row],[Продажа]],"")</f>
        <v/>
      </c>
      <c r="M756" s="108">
        <v>3704</v>
      </c>
      <c r="N756" s="108">
        <f>Таблица97[[#This Row],[Продажа]]-Таблица97[[#This Row],[Закупка]]</f>
        <v>1046</v>
      </c>
      <c r="O756" s="108" t="str">
        <f>IF(Таблица97[[#This Row],[НК]]=1,Таблица97[[#This Row],[Маржа]],"")</f>
        <v/>
      </c>
    </row>
    <row r="757" spans="1:15" ht="20.100000000000001" customHeight="1" x14ac:dyDescent="0.25">
      <c r="A757" s="2">
        <v>146</v>
      </c>
      <c r="B757" s="2" t="str">
        <f>TEXT(Таблица97[[#This Row],[Дата]],"ГГ")&amp;RIGHT("000"&amp;Таблица97[[#This Row],[Номер]],4)</f>
        <v>180146</v>
      </c>
      <c r="C757" s="129">
        <v>43160</v>
      </c>
      <c r="D757" s="2" t="s">
        <v>281</v>
      </c>
      <c r="E757" s="108">
        <v>1036</v>
      </c>
      <c r="F757" s="129">
        <v>43160</v>
      </c>
      <c r="H757" s="129">
        <v>43160</v>
      </c>
      <c r="I757" s="108">
        <f t="shared" ref="I757:I776" si="33">E757</f>
        <v>1036</v>
      </c>
      <c r="J757" s="108" t="str">
        <f>IF(Таблица97[[#This Row],[НК]]=1,Таблица97[[#This Row],[Продажа]],"")</f>
        <v/>
      </c>
      <c r="M757" s="108">
        <v>808</v>
      </c>
      <c r="N757" s="108">
        <f>Таблица97[[#This Row],[Продажа]]-Таблица97[[#This Row],[Закупка]]</f>
        <v>228</v>
      </c>
      <c r="O757" s="108" t="str">
        <f>IF(Таблица97[[#This Row],[НК]]=1,Таблица97[[#This Row],[Маржа]],"")</f>
        <v/>
      </c>
    </row>
    <row r="758" spans="1:15" ht="20.100000000000001" customHeight="1" x14ac:dyDescent="0.25">
      <c r="A758" s="2">
        <v>118</v>
      </c>
      <c r="B758" s="2" t="str">
        <f>TEXT(Таблица97[[#This Row],[Дата]],"ГГ")&amp;RIGHT("000"&amp;Таблица97[[#This Row],[Номер]],4)</f>
        <v>180118</v>
      </c>
      <c r="C758" s="129">
        <v>43147</v>
      </c>
      <c r="D758" s="2" t="s">
        <v>60</v>
      </c>
      <c r="E758" s="108">
        <v>6749</v>
      </c>
      <c r="F758" s="129">
        <v>43160</v>
      </c>
      <c r="H758" s="129">
        <v>43152</v>
      </c>
      <c r="I758" s="108">
        <f t="shared" si="33"/>
        <v>6749</v>
      </c>
      <c r="J758" s="108" t="str">
        <f>IF(Таблица97[[#This Row],[НК]]=1,Таблица97[[#This Row],[Продажа]],"")</f>
        <v/>
      </c>
      <c r="M758" s="108">
        <v>3452</v>
      </c>
      <c r="N758" s="108">
        <f>Таблица97[[#This Row],[Продажа]]-Таблица97[[#This Row],[Закупка]]</f>
        <v>3297</v>
      </c>
      <c r="O758" s="108" t="str">
        <f>IF(Таблица97[[#This Row],[НК]]=1,Таблица97[[#This Row],[Маржа]],"")</f>
        <v/>
      </c>
    </row>
    <row r="759" spans="1:15" ht="20.100000000000001" customHeight="1" x14ac:dyDescent="0.25">
      <c r="A759" s="2">
        <v>130</v>
      </c>
      <c r="B759" s="2" t="str">
        <f>TEXT(Таблица97[[#This Row],[Дата]],"ГГ")&amp;RIGHT("000"&amp;Таблица97[[#This Row],[Номер]],4)</f>
        <v>180130</v>
      </c>
      <c r="C759" s="129">
        <v>43152</v>
      </c>
      <c r="D759" s="2" t="s">
        <v>91</v>
      </c>
      <c r="E759" s="108">
        <v>10502</v>
      </c>
      <c r="F759" s="129">
        <v>43160</v>
      </c>
      <c r="H759" s="129">
        <v>43161</v>
      </c>
      <c r="I759" s="108">
        <f t="shared" si="33"/>
        <v>10502</v>
      </c>
      <c r="J759" s="108" t="str">
        <f>IF(Таблица97[[#This Row],[НК]]=1,Таблица97[[#This Row],[Продажа]],"")</f>
        <v/>
      </c>
      <c r="M759" s="108">
        <v>5564</v>
      </c>
      <c r="N759" s="108">
        <f>Таблица97[[#This Row],[Продажа]]-Таблица97[[#This Row],[Закупка]]</f>
        <v>4938</v>
      </c>
      <c r="O759" s="108" t="str">
        <f>IF(Таблица97[[#This Row],[НК]]=1,Таблица97[[#This Row],[Маржа]],"")</f>
        <v/>
      </c>
    </row>
    <row r="760" spans="1:15" ht="20.100000000000001" customHeight="1" x14ac:dyDescent="0.25">
      <c r="A760" s="2">
        <v>107</v>
      </c>
      <c r="B760" s="2" t="str">
        <f>TEXT(Таблица97[[#This Row],[Дата]],"ГГ")&amp;RIGHT("000"&amp;Таблица97[[#This Row],[Номер]],4)</f>
        <v>180107</v>
      </c>
      <c r="C760" s="129">
        <v>43143</v>
      </c>
      <c r="D760" s="2" t="s">
        <v>175</v>
      </c>
      <c r="E760" s="108">
        <v>44500</v>
      </c>
      <c r="F760" s="129">
        <v>43161</v>
      </c>
      <c r="H760" s="129">
        <v>43161</v>
      </c>
      <c r="I760" s="108">
        <f t="shared" si="33"/>
        <v>44500</v>
      </c>
      <c r="J760" s="108" t="str">
        <f>IF(Таблица97[[#This Row],[НК]]=1,Таблица97[[#This Row],[Продажа]],"")</f>
        <v/>
      </c>
      <c r="L760" s="108">
        <f>600*10</f>
        <v>6000</v>
      </c>
      <c r="M760" s="108">
        <v>36129</v>
      </c>
      <c r="N760" s="108">
        <f>Таблица97[[#This Row],[Продажа]]-Таблица97[[#This Row],[Закупка]]</f>
        <v>8371</v>
      </c>
      <c r="O760" s="108" t="str">
        <f>IF(Таблица97[[#This Row],[НК]]=1,Таблица97[[#This Row],[Маржа]],"")</f>
        <v/>
      </c>
    </row>
    <row r="761" spans="1:15" ht="20.100000000000001" customHeight="1" x14ac:dyDescent="0.25">
      <c r="A761" s="2">
        <v>156</v>
      </c>
      <c r="B761" s="2" t="str">
        <f>TEXT(Таблица97[[#This Row],[Дата]],"ГГ")&amp;RIGHT("000"&amp;Таблица97[[#This Row],[Номер]],4)</f>
        <v>180156</v>
      </c>
      <c r="C761" s="129">
        <v>43164</v>
      </c>
      <c r="D761" s="2" t="s">
        <v>144</v>
      </c>
      <c r="E761" s="108">
        <v>12999</v>
      </c>
      <c r="F761" s="129">
        <v>43164</v>
      </c>
      <c r="H761" s="129">
        <v>43165</v>
      </c>
      <c r="I761" s="108">
        <f t="shared" si="33"/>
        <v>12999</v>
      </c>
      <c r="J761" s="108" t="str">
        <f>IF(Таблица97[[#This Row],[НК]]=1,Таблица97[[#This Row],[Продажа]],"")</f>
        <v/>
      </c>
      <c r="M761" s="108">
        <v>9554</v>
      </c>
      <c r="N761" s="108">
        <f>Таблица97[[#This Row],[Продажа]]-Таблица97[[#This Row],[Закупка]]</f>
        <v>3445</v>
      </c>
      <c r="O761" s="108" t="str">
        <f>IF(Таблица97[[#This Row],[НК]]=1,Таблица97[[#This Row],[Маржа]],"")</f>
        <v/>
      </c>
    </row>
    <row r="762" spans="1:15" ht="20.100000000000001" customHeight="1" x14ac:dyDescent="0.25">
      <c r="A762" s="2">
        <v>153</v>
      </c>
      <c r="B762" s="2" t="str">
        <f>TEXT(Таблица97[[#This Row],[Дата]],"ГГ")&amp;RIGHT("000"&amp;Таблица97[[#This Row],[Номер]],4)</f>
        <v>180153</v>
      </c>
      <c r="C762" s="129">
        <v>43161</v>
      </c>
      <c r="D762" s="2" t="s">
        <v>16</v>
      </c>
      <c r="E762" s="108">
        <v>2565</v>
      </c>
      <c r="F762" s="129">
        <v>43164</v>
      </c>
      <c r="H762" s="129">
        <v>43166</v>
      </c>
      <c r="I762" s="108">
        <f t="shared" si="33"/>
        <v>2565</v>
      </c>
      <c r="J762" s="108" t="str">
        <f>IF(Таблица97[[#This Row],[НК]]=1,Таблица97[[#This Row],[Продажа]],"")</f>
        <v/>
      </c>
      <c r="M762" s="108">
        <v>2706</v>
      </c>
      <c r="N762" s="108">
        <f>Таблица97[[#This Row],[Продажа]]-Таблица97[[#This Row],[Закупка]]</f>
        <v>-141</v>
      </c>
      <c r="O762" s="108" t="str">
        <f>IF(Таблица97[[#This Row],[НК]]=1,Таблица97[[#This Row],[Маржа]],"")</f>
        <v/>
      </c>
    </row>
    <row r="763" spans="1:15" ht="20.100000000000001" customHeight="1" x14ac:dyDescent="0.25">
      <c r="A763" s="2">
        <v>91</v>
      </c>
      <c r="B763" s="2" t="str">
        <f>TEXT(Таблица97[[#This Row],[Дата]],"ГГ")&amp;RIGHT("000"&amp;Таблица97[[#This Row],[Номер]],4)</f>
        <v>180091</v>
      </c>
      <c r="C763" s="129">
        <v>43136</v>
      </c>
      <c r="D763" s="2" t="s">
        <v>101</v>
      </c>
      <c r="E763" s="108">
        <v>6461</v>
      </c>
      <c r="F763" s="129">
        <v>43166</v>
      </c>
      <c r="H763" s="129">
        <v>43188</v>
      </c>
      <c r="I763" s="108">
        <f t="shared" si="33"/>
        <v>6461</v>
      </c>
      <c r="J763" s="108" t="str">
        <f>IF(Таблица97[[#This Row],[НК]]=1,Таблица97[[#This Row],[Продажа]],"")</f>
        <v/>
      </c>
      <c r="M763" s="108">
        <v>2558</v>
      </c>
      <c r="N763" s="108">
        <f>Таблица97[[#This Row],[Продажа]]-Таблица97[[#This Row],[Закупка]]</f>
        <v>3903</v>
      </c>
      <c r="O763" s="108" t="str">
        <f>IF(Таблица97[[#This Row],[НК]]=1,Таблица97[[#This Row],[Маржа]],"")</f>
        <v/>
      </c>
    </row>
    <row r="764" spans="1:15" ht="20.100000000000001" customHeight="1" x14ac:dyDescent="0.25">
      <c r="A764" s="2">
        <v>152</v>
      </c>
      <c r="B764" s="2" t="str">
        <f>TEXT(Таблица97[[#This Row],[Дата]],"ГГ")&amp;RIGHT("000"&amp;Таблица97[[#This Row],[Номер]],4)</f>
        <v>180152</v>
      </c>
      <c r="C764" s="129">
        <v>43161</v>
      </c>
      <c r="D764" s="2" t="s">
        <v>209</v>
      </c>
      <c r="E764" s="108">
        <v>4515.5</v>
      </c>
      <c r="F764" s="129">
        <v>43172</v>
      </c>
      <c r="H764" s="129">
        <v>43194</v>
      </c>
      <c r="I764" s="108">
        <f t="shared" si="33"/>
        <v>4515.5</v>
      </c>
      <c r="J764" s="108" t="str">
        <f>IF(Таблица97[[#This Row],[НК]]=1,Таблица97[[#This Row],[Продажа]],"")</f>
        <v/>
      </c>
      <c r="M764" s="108">
        <v>3142</v>
      </c>
      <c r="N764" s="108">
        <f>Таблица97[[#This Row],[Продажа]]-Таблица97[[#This Row],[Закупка]]</f>
        <v>1373.5</v>
      </c>
      <c r="O764" s="108" t="str">
        <f>IF(Таблица97[[#This Row],[НК]]=1,Таблица97[[#This Row],[Маржа]],"")</f>
        <v/>
      </c>
    </row>
    <row r="765" spans="1:15" ht="20.100000000000001" customHeight="1" x14ac:dyDescent="0.25">
      <c r="A765" s="2">
        <v>145</v>
      </c>
      <c r="B765" s="2" t="str">
        <f>TEXT(Таблица97[[#This Row],[Дата]],"ГГ")&amp;RIGHT("000"&amp;Таблица97[[#This Row],[Номер]],4)</f>
        <v>180145</v>
      </c>
      <c r="C765" s="129">
        <v>43159</v>
      </c>
      <c r="D765" s="2" t="s">
        <v>60</v>
      </c>
      <c r="E765" s="108">
        <v>9681</v>
      </c>
      <c r="F765" s="129">
        <v>43174</v>
      </c>
      <c r="H765" s="129">
        <v>43164</v>
      </c>
      <c r="I765" s="108">
        <f t="shared" si="33"/>
        <v>9681</v>
      </c>
      <c r="J765" s="108" t="str">
        <f>IF(Таблица97[[#This Row],[НК]]=1,Таблица97[[#This Row],[Продажа]],"")</f>
        <v/>
      </c>
      <c r="M765" s="108">
        <v>7448</v>
      </c>
      <c r="N765" s="108">
        <f>Таблица97[[#This Row],[Продажа]]-Таблица97[[#This Row],[Закупка]]</f>
        <v>2233</v>
      </c>
      <c r="O765" s="108" t="str">
        <f>IF(Таблица97[[#This Row],[НК]]=1,Таблица97[[#This Row],[Маржа]],"")</f>
        <v/>
      </c>
    </row>
    <row r="766" spans="1:15" ht="20.100000000000001" customHeight="1" x14ac:dyDescent="0.25">
      <c r="A766" s="2">
        <v>166</v>
      </c>
      <c r="B766" s="2" t="str">
        <f>TEXT(Таблица97[[#This Row],[Дата]],"ГГ")&amp;RIGHT("000"&amp;Таблица97[[#This Row],[Номер]],4)</f>
        <v>180166</v>
      </c>
      <c r="C766" s="129">
        <v>43173</v>
      </c>
      <c r="D766" s="2" t="s">
        <v>316</v>
      </c>
      <c r="E766" s="108">
        <v>23790</v>
      </c>
      <c r="F766" s="129">
        <v>43178</v>
      </c>
      <c r="G766" s="128">
        <v>1</v>
      </c>
      <c r="H766" s="129">
        <v>43182</v>
      </c>
      <c r="I766" s="108">
        <f t="shared" si="33"/>
        <v>23790</v>
      </c>
      <c r="J766" s="108">
        <f>IF(Таблица97[[#This Row],[НК]]=1,Таблица97[[#This Row],[Продажа]],"")</f>
        <v>23790</v>
      </c>
      <c r="M766" s="108">
        <v>17154</v>
      </c>
      <c r="N766" s="108">
        <f>Таблица97[[#This Row],[Продажа]]-Таблица97[[#This Row],[Закупка]]</f>
        <v>6636</v>
      </c>
      <c r="O766" s="108">
        <f>IF(Таблица97[[#This Row],[НК]]=1,Таблица97[[#This Row],[Маржа]],"")</f>
        <v>6636</v>
      </c>
    </row>
    <row r="767" spans="1:15" ht="20.100000000000001" customHeight="1" x14ac:dyDescent="0.25">
      <c r="A767" s="2">
        <v>177</v>
      </c>
      <c r="B767" s="2" t="str">
        <f>TEXT(Таблица97[[#This Row],[Дата]],"ГГ")&amp;RIGHT("000"&amp;Таблица97[[#This Row],[Номер]],4)</f>
        <v>180177</v>
      </c>
      <c r="C767" s="129">
        <v>43179</v>
      </c>
      <c r="D767" s="2" t="s">
        <v>317</v>
      </c>
      <c r="E767" s="108">
        <v>13190</v>
      </c>
      <c r="F767" s="129">
        <v>43179</v>
      </c>
      <c r="G767" s="128">
        <v>1</v>
      </c>
      <c r="H767" s="129">
        <v>43185</v>
      </c>
      <c r="I767" s="108">
        <f t="shared" si="33"/>
        <v>13190</v>
      </c>
      <c r="J767" s="108">
        <f>IF(Таблица97[[#This Row],[НК]]=1,Таблица97[[#This Row],[Продажа]],"")</f>
        <v>13190</v>
      </c>
      <c r="M767" s="108">
        <v>9972</v>
      </c>
      <c r="N767" s="108">
        <f>Таблица97[[#This Row],[Продажа]]-Таблица97[[#This Row],[Закупка]]</f>
        <v>3218</v>
      </c>
      <c r="O767" s="108">
        <f>IF(Таблица97[[#This Row],[НК]]=1,Таблица97[[#This Row],[Маржа]],"")</f>
        <v>3218</v>
      </c>
    </row>
    <row r="768" spans="1:15" ht="20.100000000000001" customHeight="1" x14ac:dyDescent="0.25">
      <c r="A768" s="2">
        <v>180</v>
      </c>
      <c r="B768" s="2" t="str">
        <f>TEXT(Таблица97[[#This Row],[Дата]],"ГГ")&amp;RIGHT("000"&amp;Таблица97[[#This Row],[Номер]],4)</f>
        <v>180180</v>
      </c>
      <c r="C768" s="129">
        <v>43179</v>
      </c>
      <c r="D768" s="2" t="s">
        <v>318</v>
      </c>
      <c r="E768" s="108">
        <v>35690</v>
      </c>
      <c r="F768" s="129">
        <v>43180</v>
      </c>
      <c r="G768" s="128">
        <v>1</v>
      </c>
      <c r="H768" s="129">
        <v>43186</v>
      </c>
      <c r="I768" s="108">
        <f t="shared" si="33"/>
        <v>35690</v>
      </c>
      <c r="J768" s="108">
        <f>IF(Таблица97[[#This Row],[НК]]=1,Таблица97[[#This Row],[Продажа]],"")</f>
        <v>35690</v>
      </c>
      <c r="M768" s="108">
        <v>26892</v>
      </c>
      <c r="N768" s="108">
        <f>Таблица97[[#This Row],[Продажа]]-Таблица97[[#This Row],[Закупка]]</f>
        <v>8798</v>
      </c>
      <c r="O768" s="108">
        <f>IF(Таблица97[[#This Row],[НК]]=1,Таблица97[[#This Row],[Маржа]],"")</f>
        <v>8798</v>
      </c>
    </row>
    <row r="769" spans="1:15" ht="20.100000000000001" customHeight="1" x14ac:dyDescent="0.25">
      <c r="A769" s="2">
        <v>182</v>
      </c>
      <c r="B769" s="2" t="str">
        <f>TEXT(Таблица97[[#This Row],[Дата]],"ГГ")&amp;RIGHT("000"&amp;Таблица97[[#This Row],[Номер]],4)</f>
        <v>180182</v>
      </c>
      <c r="C769" s="129">
        <v>43179</v>
      </c>
      <c r="D769" s="2" t="s">
        <v>319</v>
      </c>
      <c r="E769" s="108">
        <v>4936</v>
      </c>
      <c r="F769" s="129">
        <v>43180</v>
      </c>
      <c r="H769" s="129">
        <v>43181</v>
      </c>
      <c r="I769" s="108">
        <f t="shared" si="33"/>
        <v>4936</v>
      </c>
      <c r="J769" s="108" t="str">
        <f>IF(Таблица97[[#This Row],[НК]]=1,Таблица97[[#This Row],[Продажа]],"")</f>
        <v/>
      </c>
      <c r="M769" s="108">
        <v>3446</v>
      </c>
      <c r="N769" s="108">
        <f>Таблица97[[#This Row],[Продажа]]-Таблица97[[#This Row],[Закупка]]</f>
        <v>1490</v>
      </c>
      <c r="O769" s="108" t="str">
        <f>IF(Таблица97[[#This Row],[НК]]=1,Таблица97[[#This Row],[Маржа]],"")</f>
        <v/>
      </c>
    </row>
    <row r="770" spans="1:15" ht="20.100000000000001" customHeight="1" x14ac:dyDescent="0.25">
      <c r="A770" s="2">
        <v>173</v>
      </c>
      <c r="B770" s="2" t="str">
        <f>TEXT(Таблица97[[#This Row],[Дата]],"ГГ")&amp;RIGHT("000"&amp;Таблица97[[#This Row],[Номер]],4)</f>
        <v>180173</v>
      </c>
      <c r="C770" s="129">
        <v>43178</v>
      </c>
      <c r="D770" s="2" t="s">
        <v>94</v>
      </c>
      <c r="E770" s="108">
        <v>2215</v>
      </c>
      <c r="F770" s="129">
        <v>43182</v>
      </c>
      <c r="H770" s="129">
        <v>43178</v>
      </c>
      <c r="I770" s="108">
        <f t="shared" si="33"/>
        <v>2215</v>
      </c>
      <c r="J770" s="108" t="str">
        <f>IF(Таблица97[[#This Row],[НК]]=1,Таблица97[[#This Row],[Продажа]],"")</f>
        <v/>
      </c>
      <c r="M770" s="108">
        <v>1728</v>
      </c>
      <c r="N770" s="108">
        <f>Таблица97[[#This Row],[Продажа]]-Таблица97[[#This Row],[Закупка]]</f>
        <v>487</v>
      </c>
      <c r="O770" s="108" t="str">
        <f>IF(Таблица97[[#This Row],[НК]]=1,Таблица97[[#This Row],[Маржа]],"")</f>
        <v/>
      </c>
    </row>
    <row r="771" spans="1:15" ht="20.100000000000001" customHeight="1" x14ac:dyDescent="0.25">
      <c r="A771" s="2">
        <v>187</v>
      </c>
      <c r="B771" s="2" t="str">
        <f>TEXT(Таблица97[[#This Row],[Дата]],"ГГ")&amp;RIGHT("000"&amp;Таблица97[[#This Row],[Номер]],4)</f>
        <v>180187</v>
      </c>
      <c r="C771" s="129">
        <v>43181</v>
      </c>
      <c r="D771" s="2" t="s">
        <v>109</v>
      </c>
      <c r="E771" s="108">
        <v>4568</v>
      </c>
      <c r="F771" s="129">
        <v>43186</v>
      </c>
      <c r="H771" s="129">
        <v>43181</v>
      </c>
      <c r="I771" s="108">
        <f t="shared" si="33"/>
        <v>4568</v>
      </c>
      <c r="J771" s="108" t="str">
        <f>IF(Таблица97[[#This Row],[НК]]=1,Таблица97[[#This Row],[Продажа]],"")</f>
        <v/>
      </c>
      <c r="L771" s="108">
        <v>600</v>
      </c>
      <c r="M771" s="108">
        <v>1729</v>
      </c>
      <c r="N771" s="108">
        <f>Таблица97[[#This Row],[Продажа]]-Таблица97[[#This Row],[Закупка]]</f>
        <v>2839</v>
      </c>
      <c r="O771" s="108" t="str">
        <f>IF(Таблица97[[#This Row],[НК]]=1,Таблица97[[#This Row],[Маржа]],"")</f>
        <v/>
      </c>
    </row>
    <row r="772" spans="1:15" ht="20.100000000000001" customHeight="1" x14ac:dyDescent="0.25">
      <c r="A772" s="2">
        <v>186</v>
      </c>
      <c r="B772" s="2" t="str">
        <f>TEXT(Таблица97[[#This Row],[Дата]],"ГГ")&amp;RIGHT("000"&amp;Таблица97[[#This Row],[Номер]],4)</f>
        <v>180186</v>
      </c>
      <c r="C772" s="129">
        <v>43181</v>
      </c>
      <c r="D772" s="2" t="s">
        <v>77</v>
      </c>
      <c r="E772" s="108">
        <v>1466</v>
      </c>
      <c r="F772" s="129">
        <v>43186</v>
      </c>
      <c r="H772" s="129">
        <v>43187</v>
      </c>
      <c r="I772" s="108">
        <f t="shared" si="33"/>
        <v>1466</v>
      </c>
      <c r="J772" s="108" t="str">
        <f>IF(Таблица97[[#This Row],[НК]]=1,Таблица97[[#This Row],[Продажа]],"")</f>
        <v/>
      </c>
      <c r="M772" s="108">
        <v>1062</v>
      </c>
      <c r="N772" s="108">
        <f>Таблица97[[#This Row],[Продажа]]-Таблица97[[#This Row],[Закупка]]</f>
        <v>404</v>
      </c>
      <c r="O772" s="108" t="str">
        <f>IF(Таблица97[[#This Row],[НК]]=1,Таблица97[[#This Row],[Маржа]],"")</f>
        <v/>
      </c>
    </row>
    <row r="773" spans="1:15" ht="20.100000000000001" customHeight="1" x14ac:dyDescent="0.25">
      <c r="A773" s="2">
        <v>167</v>
      </c>
      <c r="B773" s="2" t="str">
        <f>TEXT(Таблица97[[#This Row],[Дата]],"ГГ")&amp;RIGHT("000"&amp;Таблица97[[#This Row],[Номер]],4)</f>
        <v>180167</v>
      </c>
      <c r="C773" s="129">
        <v>43175</v>
      </c>
      <c r="D773" s="2" t="s">
        <v>13</v>
      </c>
      <c r="E773" s="108">
        <v>7125</v>
      </c>
      <c r="F773" s="129">
        <v>43187</v>
      </c>
      <c r="H773" s="129">
        <v>43179</v>
      </c>
      <c r="I773" s="108">
        <f t="shared" si="33"/>
        <v>7125</v>
      </c>
      <c r="J773" s="108" t="str">
        <f>IF(Таблица97[[#This Row],[НК]]=1,Таблица97[[#This Row],[Продажа]],"")</f>
        <v/>
      </c>
      <c r="M773" s="108">
        <v>5556</v>
      </c>
      <c r="N773" s="108">
        <f>Таблица97[[#This Row],[Продажа]]-Таблица97[[#This Row],[Закупка]]</f>
        <v>1569</v>
      </c>
      <c r="O773" s="108" t="str">
        <f>IF(Таблица97[[#This Row],[НК]]=1,Таблица97[[#This Row],[Маржа]],"")</f>
        <v/>
      </c>
    </row>
    <row r="774" spans="1:15" ht="20.100000000000001" customHeight="1" x14ac:dyDescent="0.25">
      <c r="A774" s="2">
        <v>181</v>
      </c>
      <c r="B774" s="2" t="str">
        <f>TEXT(Таблица97[[#This Row],[Дата]],"ГГ")&amp;RIGHT("000"&amp;Таблица97[[#This Row],[Номер]],4)</f>
        <v>180181</v>
      </c>
      <c r="C774" s="129">
        <v>43179</v>
      </c>
      <c r="D774" s="2" t="s">
        <v>216</v>
      </c>
      <c r="E774" s="108">
        <v>2230</v>
      </c>
      <c r="F774" s="129">
        <v>43189</v>
      </c>
      <c r="H774" s="129">
        <v>43189</v>
      </c>
      <c r="I774" s="108">
        <f t="shared" si="33"/>
        <v>2230</v>
      </c>
      <c r="J774" s="108" t="str">
        <f>IF(Таблица97[[#This Row],[НК]]=1,Таблица97[[#This Row],[Продажа]],"")</f>
        <v/>
      </c>
      <c r="M774" s="108">
        <v>1740</v>
      </c>
      <c r="N774" s="108">
        <f>Таблица97[[#This Row],[Продажа]]-Таблица97[[#This Row],[Закупка]]</f>
        <v>490</v>
      </c>
      <c r="O774" s="108" t="str">
        <f>IF(Таблица97[[#This Row],[НК]]=1,Таблица97[[#This Row],[Маржа]],"")</f>
        <v/>
      </c>
    </row>
    <row r="775" spans="1:15" ht="20.100000000000001" customHeight="1" x14ac:dyDescent="0.25">
      <c r="A775" s="2">
        <v>40</v>
      </c>
      <c r="B775" s="2" t="str">
        <f>TEXT(Таблица97[[#This Row],[Дата]],"ГГ")&amp;RIGHT("000"&amp;Таблица97[[#This Row],[Номер]],4)</f>
        <v>180040</v>
      </c>
      <c r="C775" s="129">
        <v>43186</v>
      </c>
      <c r="D775" s="2" t="s">
        <v>56</v>
      </c>
      <c r="E775" s="108">
        <v>138060</v>
      </c>
      <c r="F775" s="129">
        <v>43189</v>
      </c>
      <c r="H775" s="129">
        <v>43186</v>
      </c>
      <c r="I775" s="108">
        <f t="shared" si="33"/>
        <v>138060</v>
      </c>
      <c r="J775" s="108" t="str">
        <f>IF(Таблица97[[#This Row],[НК]]=1,Таблица97[[#This Row],[Продажа]],"")</f>
        <v/>
      </c>
      <c r="M775" s="108">
        <v>105832</v>
      </c>
      <c r="N775" s="108">
        <f>Таблица97[[#This Row],[Продажа]]-Таблица97[[#This Row],[Закупка]]</f>
        <v>32228</v>
      </c>
      <c r="O775" s="108" t="str">
        <f>IF(Таблица97[[#This Row],[НК]]=1,Таблица97[[#This Row],[Маржа]],"")</f>
        <v/>
      </c>
    </row>
    <row r="776" spans="1:15" ht="20.100000000000001" customHeight="1" x14ac:dyDescent="0.25">
      <c r="A776" s="2">
        <v>184</v>
      </c>
      <c r="B776" s="2" t="str">
        <f>TEXT(Таблица97[[#This Row],[Дата]],"ГГ")&amp;RIGHT("000"&amp;Таблица97[[#This Row],[Номер]],4)</f>
        <v>180184</v>
      </c>
      <c r="C776" s="129">
        <v>43180</v>
      </c>
      <c r="D776" s="2" t="s">
        <v>66</v>
      </c>
      <c r="E776" s="108">
        <v>48891</v>
      </c>
      <c r="F776" s="129">
        <v>43189</v>
      </c>
      <c r="H776" s="129">
        <v>43207</v>
      </c>
      <c r="I776" s="108">
        <f t="shared" si="33"/>
        <v>48891</v>
      </c>
      <c r="J776" s="108" t="str">
        <f>IF(Таблица97[[#This Row],[НК]]=1,Таблица97[[#This Row],[Продажа]],"")</f>
        <v/>
      </c>
      <c r="L776" s="108">
        <f>3*1200</f>
        <v>3600</v>
      </c>
      <c r="M776" s="108">
        <v>22904.639999999999</v>
      </c>
      <c r="N776" s="108">
        <f>Таблица97[[#This Row],[Продажа]]-Таблица97[[#This Row],[Закупка]]</f>
        <v>25986.36</v>
      </c>
      <c r="O776" s="108" t="str">
        <f>IF(Таблица97[[#This Row],[НК]]=1,Таблица97[[#This Row],[Маржа]],"")</f>
        <v/>
      </c>
    </row>
    <row r="777" spans="1:15" ht="20.100000000000001" customHeight="1" x14ac:dyDescent="0.25">
      <c r="A777" s="2">
        <v>188</v>
      </c>
      <c r="B777" s="2" t="str">
        <f>TEXT(Таблица97[[#This Row],[Дата]],"ГГ")&amp;RIGHT("000"&amp;Таблица97[[#This Row],[Номер]],4)</f>
        <v>180188</v>
      </c>
      <c r="C777" s="129">
        <v>43181</v>
      </c>
      <c r="D777" s="2" t="s">
        <v>186</v>
      </c>
      <c r="E777" s="108">
        <v>31957</v>
      </c>
      <c r="F777" s="129">
        <v>43192</v>
      </c>
      <c r="H777" s="129">
        <v>43236</v>
      </c>
      <c r="I777" s="108">
        <f t="shared" ref="I777:I804" si="34">E777</f>
        <v>31957</v>
      </c>
      <c r="J777" s="108" t="str">
        <f>IF(Таблица97[[#This Row],[НК]]=1,Таблица97[[#This Row],[Продажа]],"")</f>
        <v/>
      </c>
      <c r="M777" s="108">
        <v>24503</v>
      </c>
      <c r="N777" s="108">
        <f>Таблица97[[#This Row],[Продажа]]-Таблица97[[#This Row],[Закупка]]</f>
        <v>7454</v>
      </c>
      <c r="O777" s="108" t="str">
        <f>IF(Таблица97[[#This Row],[НК]]=1,Таблица97[[#This Row],[Маржа]],"")</f>
        <v/>
      </c>
    </row>
    <row r="778" spans="1:15" ht="20.100000000000001" customHeight="1" x14ac:dyDescent="0.25">
      <c r="A778" s="2">
        <v>27</v>
      </c>
      <c r="B778" s="2" t="str">
        <f>TEXT(Таблица97[[#This Row],[Дата]],"ГГ")&amp;RIGHT("000"&amp;Таблица97[[#This Row],[Номер]],4)</f>
        <v>180027</v>
      </c>
      <c r="C778" s="129">
        <v>43116</v>
      </c>
      <c r="D778" s="2" t="s">
        <v>228</v>
      </c>
      <c r="E778" s="108">
        <v>72790</v>
      </c>
      <c r="F778" s="129">
        <v>43193</v>
      </c>
      <c r="H778" s="129">
        <v>43201</v>
      </c>
      <c r="I778" s="108">
        <f t="shared" si="34"/>
        <v>72790</v>
      </c>
      <c r="J778" s="108" t="str">
        <f>IF(Таблица97[[#This Row],[НК]]=1,Таблица97[[#This Row],[Продажа]],"")</f>
        <v/>
      </c>
      <c r="M778" s="108">
        <v>47416</v>
      </c>
      <c r="N778" s="108">
        <f>Таблица97[[#This Row],[Продажа]]-Таблица97[[#This Row],[Закупка]]</f>
        <v>25374</v>
      </c>
      <c r="O778" s="108" t="str">
        <f>IF(Таблица97[[#This Row],[НК]]=1,Таблица97[[#This Row],[Маржа]],"")</f>
        <v/>
      </c>
    </row>
    <row r="779" spans="1:15" ht="20.100000000000001" customHeight="1" x14ac:dyDescent="0.25">
      <c r="A779" s="2">
        <v>175</v>
      </c>
      <c r="B779" s="2" t="str">
        <f>TEXT(Таблица97[[#This Row],[Дата]],"ГГ")&amp;RIGHT("000"&amp;Таблица97[[#This Row],[Номер]],4)</f>
        <v>180175</v>
      </c>
      <c r="C779" s="129">
        <v>43178</v>
      </c>
      <c r="D779" s="2" t="s">
        <v>315</v>
      </c>
      <c r="E779" s="108">
        <v>7910</v>
      </c>
      <c r="F779" s="129">
        <v>43193</v>
      </c>
      <c r="H779" s="129">
        <v>43235</v>
      </c>
      <c r="I779" s="108">
        <f t="shared" si="34"/>
        <v>7910</v>
      </c>
      <c r="J779" s="108" t="str">
        <f>IF(Таблица97[[#This Row],[НК]]=1,Таблица97[[#This Row],[Продажа]],"")</f>
        <v/>
      </c>
      <c r="M779" s="108">
        <v>4862</v>
      </c>
      <c r="N779" s="108">
        <f>Таблица97[[#This Row],[Продажа]]-Таблица97[[#This Row],[Закупка]]</f>
        <v>3048</v>
      </c>
      <c r="O779" s="108" t="str">
        <f>IF(Таблица97[[#This Row],[НК]]=1,Таблица97[[#This Row],[Маржа]],"")</f>
        <v/>
      </c>
    </row>
    <row r="780" spans="1:15" ht="20.100000000000001" customHeight="1" x14ac:dyDescent="0.25">
      <c r="A780" s="2">
        <v>214</v>
      </c>
      <c r="B780" s="2" t="str">
        <f>TEXT(Таблица97[[#This Row],[Дата]],"ГГ")&amp;RIGHT("000"&amp;Таблица97[[#This Row],[Номер]],4)</f>
        <v>180214</v>
      </c>
      <c r="C780" s="129">
        <v>43194</v>
      </c>
      <c r="D780" s="2" t="s">
        <v>320</v>
      </c>
      <c r="E780" s="108">
        <v>15185</v>
      </c>
      <c r="F780" s="129">
        <v>43194</v>
      </c>
      <c r="H780" s="129">
        <v>43206</v>
      </c>
      <c r="I780" s="108">
        <f t="shared" si="34"/>
        <v>15185</v>
      </c>
      <c r="J780" s="108" t="str">
        <f>IF(Таблица97[[#This Row],[НК]]=1,Таблица97[[#This Row],[Продажа]],"")</f>
        <v/>
      </c>
      <c r="M780" s="108">
        <v>10165</v>
      </c>
      <c r="N780" s="108">
        <f>Таблица97[[#This Row],[Продажа]]-Таблица97[[#This Row],[Закупка]]</f>
        <v>5020</v>
      </c>
      <c r="O780" s="108" t="str">
        <f>IF(Таблица97[[#This Row],[НК]]=1,Таблица97[[#This Row],[Маржа]],"")</f>
        <v/>
      </c>
    </row>
    <row r="781" spans="1:15" ht="20.100000000000001" customHeight="1" x14ac:dyDescent="0.25">
      <c r="A781" s="2">
        <v>221</v>
      </c>
      <c r="B781" s="2" t="str">
        <f>TEXT(Таблица97[[#This Row],[Дата]],"ГГ")&amp;RIGHT("000"&amp;Таблица97[[#This Row],[Номер]],4)</f>
        <v>180221</v>
      </c>
      <c r="C781" s="129">
        <v>43192</v>
      </c>
      <c r="D781" s="2" t="s">
        <v>16</v>
      </c>
      <c r="E781" s="108">
        <v>1907</v>
      </c>
      <c r="F781" s="129">
        <v>43194</v>
      </c>
      <c r="H781" s="129">
        <v>43209</v>
      </c>
      <c r="I781" s="108">
        <f t="shared" si="34"/>
        <v>1907</v>
      </c>
      <c r="J781" s="108" t="str">
        <f>IF(Таблица97[[#This Row],[НК]]=1,Таблица97[[#This Row],[Продажа]],"")</f>
        <v/>
      </c>
      <c r="M781" s="108">
        <v>1509</v>
      </c>
      <c r="N781" s="108">
        <f>Таблица97[[#This Row],[Продажа]]-Таблица97[[#This Row],[Закупка]]</f>
        <v>398</v>
      </c>
      <c r="O781" s="108" t="str">
        <f>IF(Таблица97[[#This Row],[НК]]=1,Таблица97[[#This Row],[Маржа]],"")</f>
        <v/>
      </c>
    </row>
    <row r="782" spans="1:15" ht="20.100000000000001" customHeight="1" x14ac:dyDescent="0.25">
      <c r="A782" s="2">
        <v>162</v>
      </c>
      <c r="B782" s="2" t="str">
        <f>TEXT(Таблица97[[#This Row],[Дата]],"ГГ")&amp;RIGHT("000"&amp;Таблица97[[#This Row],[Номер]],4)</f>
        <v>180162</v>
      </c>
      <c r="C782" s="129">
        <v>43172</v>
      </c>
      <c r="D782" s="2" t="s">
        <v>38</v>
      </c>
      <c r="E782" s="108">
        <v>859118</v>
      </c>
      <c r="F782" s="129">
        <v>43195</v>
      </c>
      <c r="H782" s="129">
        <v>43173</v>
      </c>
      <c r="I782" s="108">
        <f t="shared" si="34"/>
        <v>859118</v>
      </c>
      <c r="J782" s="108" t="str">
        <f>IF(Таблица97[[#This Row],[НК]]=1,Таблица97[[#This Row],[Продажа]],"")</f>
        <v/>
      </c>
      <c r="K782" s="108">
        <v>50000</v>
      </c>
      <c r="M782" s="108">
        <v>647823</v>
      </c>
      <c r="N782" s="108">
        <f>Таблица97[[#This Row],[Продажа]]-Таблица97[[#This Row],[Закупка]]</f>
        <v>211295</v>
      </c>
      <c r="O782" s="108" t="str">
        <f>IF(Таблица97[[#This Row],[НК]]=1,Таблица97[[#This Row],[Маржа]],"")</f>
        <v/>
      </c>
    </row>
    <row r="783" spans="1:15" ht="20.100000000000001" customHeight="1" x14ac:dyDescent="0.25">
      <c r="A783" s="2">
        <v>197</v>
      </c>
      <c r="B783" s="2" t="str">
        <f>TEXT(Таблица97[[#This Row],[Дата]],"ГГ")&amp;RIGHT("000"&amp;Таблица97[[#This Row],[Номер]],4)</f>
        <v>180197</v>
      </c>
      <c r="C783" s="129">
        <v>43185</v>
      </c>
      <c r="D783" s="2" t="s">
        <v>216</v>
      </c>
      <c r="E783" s="108">
        <v>5064.3</v>
      </c>
      <c r="F783" s="129">
        <v>43195</v>
      </c>
      <c r="H783" s="129">
        <v>43248</v>
      </c>
      <c r="I783" s="108">
        <f t="shared" si="34"/>
        <v>5064.3</v>
      </c>
      <c r="J783" s="108" t="str">
        <f>IF(Таблица97[[#This Row],[НК]]=1,Таблица97[[#This Row],[Продажа]],"")</f>
        <v/>
      </c>
      <c r="M783" s="108">
        <v>4122</v>
      </c>
      <c r="N783" s="108">
        <f>Таблица97[[#This Row],[Продажа]]-Таблица97[[#This Row],[Закупка]]</f>
        <v>942.30000000000018</v>
      </c>
      <c r="O783" s="108" t="str">
        <f>IF(Таблица97[[#This Row],[НК]]=1,Таблица97[[#This Row],[Маржа]],"")</f>
        <v/>
      </c>
    </row>
    <row r="784" spans="1:15" ht="20.100000000000001" customHeight="1" x14ac:dyDescent="0.25">
      <c r="A784" s="2">
        <v>228</v>
      </c>
      <c r="B784" s="2" t="str">
        <f>TEXT(Таблица97[[#This Row],[Дата]],"ГГ")&amp;RIGHT("000"&amp;Таблица97[[#This Row],[Номер]],4)</f>
        <v>180228</v>
      </c>
      <c r="C784" s="129">
        <v>43195</v>
      </c>
      <c r="D784" s="2" t="s">
        <v>211</v>
      </c>
      <c r="E784" s="108">
        <v>3153</v>
      </c>
      <c r="F784" s="129">
        <v>43196</v>
      </c>
      <c r="H784" s="129">
        <v>43199</v>
      </c>
      <c r="I784" s="108">
        <f t="shared" si="34"/>
        <v>3153</v>
      </c>
      <c r="J784" s="108" t="str">
        <f>IF(Таблица97[[#This Row],[НК]]=1,Таблица97[[#This Row],[Продажа]],"")</f>
        <v/>
      </c>
      <c r="M784" s="108">
        <v>2424</v>
      </c>
      <c r="N784" s="108">
        <f>Таблица97[[#This Row],[Продажа]]-Таблица97[[#This Row],[Закупка]]</f>
        <v>729</v>
      </c>
      <c r="O784" s="108" t="str">
        <f>IF(Таблица97[[#This Row],[НК]]=1,Таблица97[[#This Row],[Маржа]],"")</f>
        <v/>
      </c>
    </row>
    <row r="785" spans="1:15" ht="20.100000000000001" customHeight="1" x14ac:dyDescent="0.25">
      <c r="A785" s="2">
        <v>143</v>
      </c>
      <c r="B785" s="2" t="str">
        <f>TEXT(Таблица97[[#This Row],[Дата]],"ГГ")&amp;RIGHT("000"&amp;Таблица97[[#This Row],[Номер]],4)</f>
        <v>180143</v>
      </c>
      <c r="C785" s="129">
        <v>43186</v>
      </c>
      <c r="D785" s="2" t="s">
        <v>56</v>
      </c>
      <c r="E785" s="108">
        <v>17694</v>
      </c>
      <c r="F785" s="129">
        <v>43199</v>
      </c>
      <c r="H785" s="129">
        <v>43186</v>
      </c>
      <c r="I785" s="108">
        <f t="shared" si="34"/>
        <v>17694</v>
      </c>
      <c r="J785" s="108" t="str">
        <f>IF(Таблица97[[#This Row],[НК]]=1,Таблица97[[#This Row],[Продажа]],"")</f>
        <v/>
      </c>
      <c r="M785" s="108">
        <v>13804</v>
      </c>
      <c r="N785" s="108">
        <f>Таблица97[[#This Row],[Продажа]]-Таблица97[[#This Row],[Закупка]]</f>
        <v>3890</v>
      </c>
      <c r="O785" s="108" t="str">
        <f>IF(Таблица97[[#This Row],[НК]]=1,Таблица97[[#This Row],[Маржа]],"")</f>
        <v/>
      </c>
    </row>
    <row r="786" spans="1:15" ht="20.100000000000001" customHeight="1" x14ac:dyDescent="0.25">
      <c r="A786" s="2">
        <v>149</v>
      </c>
      <c r="B786" s="2" t="str">
        <f>TEXT(Таблица97[[#This Row],[Дата]],"ГГ")&amp;RIGHT("000"&amp;Таблица97[[#This Row],[Номер]],4)</f>
        <v>180149</v>
      </c>
      <c r="C786" s="129">
        <v>43179</v>
      </c>
      <c r="D786" s="2" t="s">
        <v>56</v>
      </c>
      <c r="E786" s="108">
        <v>42939</v>
      </c>
      <c r="F786" s="129">
        <v>43199</v>
      </c>
      <c r="H786" s="129">
        <v>43186</v>
      </c>
      <c r="I786" s="108">
        <f t="shared" si="34"/>
        <v>42939</v>
      </c>
      <c r="J786" s="108" t="str">
        <f>IF(Таблица97[[#This Row],[НК]]=1,Таблица97[[#This Row],[Продажа]],"")</f>
        <v/>
      </c>
      <c r="M786" s="108">
        <v>29529</v>
      </c>
      <c r="N786" s="108">
        <f>Таблица97[[#This Row],[Продажа]]-Таблица97[[#This Row],[Закупка]]</f>
        <v>13410</v>
      </c>
      <c r="O786" s="108" t="str">
        <f>IF(Таблица97[[#This Row],[НК]]=1,Таблица97[[#This Row],[Маржа]],"")</f>
        <v/>
      </c>
    </row>
    <row r="787" spans="1:15" ht="20.100000000000001" customHeight="1" x14ac:dyDescent="0.25">
      <c r="A787" s="2">
        <v>217</v>
      </c>
      <c r="B787" s="2" t="str">
        <f>TEXT(Таблица97[[#This Row],[Дата]],"ГГ")&amp;RIGHT("000"&amp;Таблица97[[#This Row],[Номер]],4)</f>
        <v>180217</v>
      </c>
      <c r="C787" s="129">
        <v>43192</v>
      </c>
      <c r="D787" s="2" t="s">
        <v>294</v>
      </c>
      <c r="E787" s="108">
        <v>2439</v>
      </c>
      <c r="F787" s="129">
        <v>43199</v>
      </c>
      <c r="H787" s="129">
        <v>43203</v>
      </c>
      <c r="I787" s="108">
        <f t="shared" si="34"/>
        <v>2439</v>
      </c>
      <c r="J787" s="108" t="str">
        <f>IF(Таблица97[[#This Row],[НК]]=1,Таблица97[[#This Row],[Продажа]],"")</f>
        <v/>
      </c>
      <c r="M787" s="108">
        <v>1898</v>
      </c>
      <c r="N787" s="108">
        <f>Таблица97[[#This Row],[Продажа]]-Таблица97[[#This Row],[Закупка]]</f>
        <v>541</v>
      </c>
      <c r="O787" s="108" t="str">
        <f>IF(Таблица97[[#This Row],[НК]]=1,Таблица97[[#This Row],[Маржа]],"")</f>
        <v/>
      </c>
    </row>
    <row r="788" spans="1:15" ht="20.100000000000001" customHeight="1" x14ac:dyDescent="0.25">
      <c r="A788" s="2">
        <v>157</v>
      </c>
      <c r="B788" s="2" t="str">
        <f>TEXT(Таблица97[[#This Row],[Дата]],"ГГ")&amp;RIGHT("000"&amp;Таблица97[[#This Row],[Номер]],4)</f>
        <v>180157</v>
      </c>
      <c r="C788" s="129">
        <v>43165</v>
      </c>
      <c r="D788" s="2" t="s">
        <v>238</v>
      </c>
      <c r="E788" s="108">
        <v>12999</v>
      </c>
      <c r="F788" s="129">
        <v>43199</v>
      </c>
      <c r="H788" s="129">
        <v>43201</v>
      </c>
      <c r="I788" s="108">
        <f t="shared" si="34"/>
        <v>12999</v>
      </c>
      <c r="J788" s="108" t="str">
        <f>IF(Таблица97[[#This Row],[НК]]=1,Таблица97[[#This Row],[Продажа]],"")</f>
        <v/>
      </c>
      <c r="M788" s="108">
        <v>9554</v>
      </c>
      <c r="N788" s="108">
        <f>Таблица97[[#This Row],[Продажа]]-Таблица97[[#This Row],[Закупка]]</f>
        <v>3445</v>
      </c>
      <c r="O788" s="108" t="str">
        <f>IF(Таблица97[[#This Row],[НК]]=1,Таблица97[[#This Row],[Маржа]],"")</f>
        <v/>
      </c>
    </row>
    <row r="789" spans="1:15" ht="20.100000000000001" customHeight="1" x14ac:dyDescent="0.25">
      <c r="A789" s="2">
        <v>199</v>
      </c>
      <c r="B789" s="2" t="str">
        <f>TEXT(Таблица97[[#This Row],[Дата]],"ГГ")&amp;RIGHT("000"&amp;Таблица97[[#This Row],[Номер]],4)</f>
        <v>180199</v>
      </c>
      <c r="C789" s="129">
        <v>43186</v>
      </c>
      <c r="D789" s="2" t="s">
        <v>238</v>
      </c>
      <c r="E789" s="108">
        <v>838</v>
      </c>
      <c r="F789" s="129">
        <v>43199</v>
      </c>
      <c r="H789" s="129">
        <v>43201</v>
      </c>
      <c r="I789" s="108">
        <f t="shared" si="34"/>
        <v>838</v>
      </c>
      <c r="J789" s="108" t="str">
        <f>IF(Таблица97[[#This Row],[НК]]=1,Таблица97[[#This Row],[Продажа]],"")</f>
        <v/>
      </c>
      <c r="M789" s="108">
        <v>653</v>
      </c>
      <c r="N789" s="108">
        <f>Таблица97[[#This Row],[Продажа]]-Таблица97[[#This Row],[Закупка]]</f>
        <v>185</v>
      </c>
      <c r="O789" s="108" t="str">
        <f>IF(Таблица97[[#This Row],[НК]]=1,Таблица97[[#This Row],[Маржа]],"")</f>
        <v/>
      </c>
    </row>
    <row r="790" spans="1:15" ht="20.100000000000001" customHeight="1" x14ac:dyDescent="0.25">
      <c r="A790" s="2">
        <v>216</v>
      </c>
      <c r="B790" s="2" t="str">
        <f>TEXT(Таблица97[[#This Row],[Дата]],"ГГ")&amp;RIGHT("000"&amp;Таблица97[[#This Row],[Номер]],4)</f>
        <v>180216</v>
      </c>
      <c r="C790" s="129">
        <v>43189</v>
      </c>
      <c r="D790" s="2" t="s">
        <v>60</v>
      </c>
      <c r="E790" s="108">
        <v>1065</v>
      </c>
      <c r="F790" s="129">
        <v>43201</v>
      </c>
      <c r="H790" s="129">
        <v>43193</v>
      </c>
      <c r="I790" s="108">
        <f t="shared" si="34"/>
        <v>1065</v>
      </c>
      <c r="J790" s="108" t="str">
        <f>IF(Таблица97[[#This Row],[НК]]=1,Таблица97[[#This Row],[Продажа]],"")</f>
        <v/>
      </c>
      <c r="M790" s="108">
        <v>620</v>
      </c>
      <c r="N790" s="108">
        <f>Таблица97[[#This Row],[Продажа]]-Таблица97[[#This Row],[Закупка]]</f>
        <v>445</v>
      </c>
      <c r="O790" s="108" t="str">
        <f>IF(Таблица97[[#This Row],[НК]]=1,Таблица97[[#This Row],[Маржа]],"")</f>
        <v/>
      </c>
    </row>
    <row r="791" spans="1:15" ht="20.100000000000001" customHeight="1" x14ac:dyDescent="0.25">
      <c r="A791" s="2">
        <v>239</v>
      </c>
      <c r="B791" s="2" t="str">
        <f>TEXT(Таблица97[[#This Row],[Дата]],"ГГ")&amp;RIGHT("000"&amp;Таблица97[[#This Row],[Номер]],4)</f>
        <v>180239</v>
      </c>
      <c r="C791" s="129">
        <v>43196</v>
      </c>
      <c r="D791" s="2" t="s">
        <v>318</v>
      </c>
      <c r="E791" s="108">
        <v>22689</v>
      </c>
      <c r="F791" s="129">
        <v>43201</v>
      </c>
      <c r="H791" s="129">
        <v>43211</v>
      </c>
      <c r="I791" s="108">
        <f t="shared" si="34"/>
        <v>22689</v>
      </c>
      <c r="J791" s="108" t="str">
        <f>IF(Таблица97[[#This Row],[НК]]=1,Таблица97[[#This Row],[Продажа]],"")</f>
        <v/>
      </c>
      <c r="M791" s="108">
        <v>15614.11</v>
      </c>
      <c r="N791" s="108">
        <f>Таблица97[[#This Row],[Продажа]]-Таблица97[[#This Row],[Закупка]]</f>
        <v>7074.8899999999994</v>
      </c>
      <c r="O791" s="108" t="str">
        <f>IF(Таблица97[[#This Row],[НК]]=1,Таблица97[[#This Row],[Маржа]],"")</f>
        <v/>
      </c>
    </row>
    <row r="792" spans="1:15" ht="20.100000000000001" customHeight="1" x14ac:dyDescent="0.25">
      <c r="A792" s="2">
        <v>1070</v>
      </c>
      <c r="B792" s="2" t="str">
        <f>TEXT(Таблица97[[#This Row],[Дата]],"ГГ")&amp;RIGHT("000"&amp;Таблица97[[#This Row],[Номер]],4)</f>
        <v>171070</v>
      </c>
      <c r="C792" s="129">
        <v>43081</v>
      </c>
      <c r="D792" s="2" t="s">
        <v>99</v>
      </c>
      <c r="E792" s="108">
        <v>12885</v>
      </c>
      <c r="F792" s="129">
        <v>43446</v>
      </c>
      <c r="H792" s="129">
        <v>43088</v>
      </c>
      <c r="I792" s="108">
        <f t="shared" si="34"/>
        <v>12885</v>
      </c>
      <c r="J792" s="108" t="str">
        <f>IF(Таблица97[[#This Row],[НК]]=1,Таблица97[[#This Row],[Продажа]],"")</f>
        <v/>
      </c>
      <c r="M792" s="108">
        <v>10050</v>
      </c>
      <c r="N792" s="108">
        <f>Таблица97[[#This Row],[Продажа]]-Таблица97[[#This Row],[Закупка]]</f>
        <v>2835</v>
      </c>
      <c r="O792" s="108" t="str">
        <f>IF(Таблица97[[#This Row],[НК]]=1,Таблица97[[#This Row],[Маржа]],"")</f>
        <v/>
      </c>
    </row>
    <row r="793" spans="1:15" ht="20.100000000000001" customHeight="1" x14ac:dyDescent="0.25">
      <c r="A793" s="2">
        <v>148</v>
      </c>
      <c r="B793" s="2" t="str">
        <f>TEXT(Таблица97[[#This Row],[Дата]],"ГГ")&amp;RIGHT("000"&amp;Таблица97[[#This Row],[Номер]],4)</f>
        <v>180148</v>
      </c>
      <c r="C793" s="129">
        <v>43160</v>
      </c>
      <c r="D793" s="2" t="s">
        <v>99</v>
      </c>
      <c r="E793" s="108">
        <v>12396</v>
      </c>
      <c r="F793" s="129">
        <v>43446</v>
      </c>
      <c r="H793" s="129">
        <v>43160</v>
      </c>
      <c r="I793" s="108">
        <f t="shared" si="34"/>
        <v>12396</v>
      </c>
      <c r="J793" s="108" t="str">
        <f>IF(Таблица97[[#This Row],[НК]]=1,Таблица97[[#This Row],[Продажа]],"")</f>
        <v/>
      </c>
      <c r="M793" s="108">
        <v>9214</v>
      </c>
      <c r="N793" s="108">
        <f>Таблица97[[#This Row],[Продажа]]-Таблица97[[#This Row],[Закупка]]</f>
        <v>3182</v>
      </c>
      <c r="O793" s="108" t="str">
        <f>IF(Таблица97[[#This Row],[НК]]=1,Таблица97[[#This Row],[Маржа]],"")</f>
        <v/>
      </c>
    </row>
    <row r="794" spans="1:15" ht="20.100000000000001" customHeight="1" x14ac:dyDescent="0.25">
      <c r="A794" s="2">
        <v>76</v>
      </c>
      <c r="B794" s="2" t="str">
        <f>TEXT(Таблица97[[#This Row],[Дата]],"ГГ")&amp;RIGHT("000"&amp;Таблица97[[#This Row],[Номер]],4)</f>
        <v>180076</v>
      </c>
      <c r="C794" s="129">
        <v>43158</v>
      </c>
      <c r="D794" s="2" t="s">
        <v>99</v>
      </c>
      <c r="E794" s="108">
        <v>123255</v>
      </c>
      <c r="F794" s="129">
        <v>43446</v>
      </c>
      <c r="H794" s="129">
        <v>43158</v>
      </c>
      <c r="I794" s="108">
        <f t="shared" si="34"/>
        <v>123255</v>
      </c>
      <c r="J794" s="108" t="str">
        <f>IF(Таблица97[[#This Row],[НК]]=1,Таблица97[[#This Row],[Продажа]],"")</f>
        <v/>
      </c>
      <c r="L794" s="108">
        <v>12000</v>
      </c>
      <c r="M794" s="108">
        <v>89494</v>
      </c>
      <c r="N794" s="108">
        <f>Таблица97[[#This Row],[Продажа]]-Таблица97[[#This Row],[Закупка]]</f>
        <v>33761</v>
      </c>
      <c r="O794" s="108" t="str">
        <f>IF(Таблица97[[#This Row],[НК]]=1,Таблица97[[#This Row],[Маржа]],"")</f>
        <v/>
      </c>
    </row>
    <row r="795" spans="1:15" ht="20.100000000000001" customHeight="1" x14ac:dyDescent="0.25">
      <c r="A795" s="2">
        <v>172</v>
      </c>
      <c r="B795" s="2" t="str">
        <f>TEXT(Таблица97[[#This Row],[Дата]],"ГГ")&amp;RIGHT("000"&amp;Таблица97[[#This Row],[Номер]],4)</f>
        <v>180172</v>
      </c>
      <c r="C795" s="129">
        <v>43202</v>
      </c>
      <c r="D795" s="2" t="s">
        <v>162</v>
      </c>
      <c r="E795" s="108">
        <v>45990</v>
      </c>
      <c r="F795" s="129">
        <v>43446</v>
      </c>
      <c r="H795" s="129">
        <v>43203</v>
      </c>
      <c r="I795" s="108">
        <f t="shared" si="34"/>
        <v>45990</v>
      </c>
      <c r="J795" s="108" t="str">
        <f>IF(Таблица97[[#This Row],[НК]]=1,Таблица97[[#This Row],[Продажа]],"")</f>
        <v/>
      </c>
      <c r="M795" s="108">
        <v>30006</v>
      </c>
      <c r="N795" s="108">
        <f>Таблица97[[#This Row],[Продажа]]-Таблица97[[#This Row],[Закупка]]</f>
        <v>15984</v>
      </c>
      <c r="O795" s="108" t="str">
        <f>IF(Таблица97[[#This Row],[НК]]=1,Таблица97[[#This Row],[Маржа]],"")</f>
        <v/>
      </c>
    </row>
    <row r="796" spans="1:15" ht="20.100000000000001" customHeight="1" x14ac:dyDescent="0.25">
      <c r="A796" s="2">
        <v>249</v>
      </c>
      <c r="B796" s="2" t="str">
        <f>TEXT(Таблица97[[#This Row],[Дата]],"ГГ")&amp;RIGHT("000"&amp;Таблица97[[#This Row],[Номер]],4)</f>
        <v>180249</v>
      </c>
      <c r="C796" s="129">
        <v>43201</v>
      </c>
      <c r="D796" s="2" t="s">
        <v>321</v>
      </c>
      <c r="E796" s="108">
        <v>95068</v>
      </c>
      <c r="F796" s="129">
        <v>43447</v>
      </c>
      <c r="H796" s="129">
        <v>43231</v>
      </c>
      <c r="I796" s="108">
        <f t="shared" si="34"/>
        <v>95068</v>
      </c>
      <c r="J796" s="108" t="str">
        <f>IF(Таблица97[[#This Row],[НК]]=1,Таблица97[[#This Row],[Продажа]],"")</f>
        <v/>
      </c>
      <c r="M796" s="108">
        <v>65932</v>
      </c>
      <c r="N796" s="108">
        <f>Таблица97[[#This Row],[Продажа]]-Таблица97[[#This Row],[Закупка]]</f>
        <v>29136</v>
      </c>
      <c r="O796" s="108" t="str">
        <f>IF(Таблица97[[#This Row],[НК]]=1,Таблица97[[#This Row],[Маржа]],"")</f>
        <v/>
      </c>
    </row>
    <row r="797" spans="1:15" ht="20.100000000000001" customHeight="1" x14ac:dyDescent="0.25">
      <c r="A797" s="2">
        <v>235</v>
      </c>
      <c r="B797" s="2" t="str">
        <f>TEXT(Таблица97[[#This Row],[Дата]],"ГГ")&amp;RIGHT("000"&amp;Таблица97[[#This Row],[Номер]],4)</f>
        <v>180235</v>
      </c>
      <c r="C797" s="129">
        <v>43195</v>
      </c>
      <c r="D797" s="2" t="s">
        <v>315</v>
      </c>
      <c r="E797" s="108">
        <v>108570</v>
      </c>
      <c r="F797" s="129">
        <v>43206</v>
      </c>
      <c r="H797" s="129">
        <v>43235</v>
      </c>
      <c r="I797" s="108">
        <f t="shared" si="34"/>
        <v>108570</v>
      </c>
      <c r="J797" s="108" t="str">
        <f>IF(Таблица97[[#This Row],[НК]]=1,Таблица97[[#This Row],[Продажа]],"")</f>
        <v/>
      </c>
      <c r="M797" s="108">
        <v>82077</v>
      </c>
      <c r="N797" s="108">
        <f>Таблица97[[#This Row],[Продажа]]-Таблица97[[#This Row],[Закупка]]</f>
        <v>26493</v>
      </c>
      <c r="O797" s="108" t="str">
        <f>IF(Таблица97[[#This Row],[НК]]=1,Таблица97[[#This Row],[Маржа]],"")</f>
        <v/>
      </c>
    </row>
    <row r="798" spans="1:15" ht="20.100000000000001" customHeight="1" x14ac:dyDescent="0.25">
      <c r="A798" s="2">
        <v>215</v>
      </c>
      <c r="B798" s="2" t="str">
        <f>TEXT(Таблица97[[#This Row],[Дата]],"ГГ")&amp;RIGHT("000"&amp;Таблица97[[#This Row],[Номер]],4)</f>
        <v>180215</v>
      </c>
      <c r="C798" s="129">
        <v>43189</v>
      </c>
      <c r="D798" s="2" t="s">
        <v>49</v>
      </c>
      <c r="E798" s="108">
        <v>3176</v>
      </c>
      <c r="F798" s="129">
        <v>43208</v>
      </c>
      <c r="H798" s="129">
        <v>43215</v>
      </c>
      <c r="I798" s="108">
        <f t="shared" si="34"/>
        <v>3176</v>
      </c>
      <c r="J798" s="108" t="str">
        <f>IF(Таблица97[[#This Row],[НК]]=1,Таблица97[[#This Row],[Продажа]],"")</f>
        <v/>
      </c>
      <c r="M798" s="108">
        <v>2341</v>
      </c>
      <c r="N798" s="108">
        <f>Таблица97[[#This Row],[Продажа]]-Таблица97[[#This Row],[Закупка]]</f>
        <v>835</v>
      </c>
      <c r="O798" s="108" t="str">
        <f>IF(Таблица97[[#This Row],[НК]]=1,Таблица97[[#This Row],[Маржа]],"")</f>
        <v/>
      </c>
    </row>
    <row r="799" spans="1:15" ht="20.100000000000001" customHeight="1" x14ac:dyDescent="0.25">
      <c r="A799" s="2">
        <v>222</v>
      </c>
      <c r="B799" s="2" t="str">
        <f>TEXT(Таблица97[[#This Row],[Дата]],"ГГ")&amp;RIGHT("000"&amp;Таблица97[[#This Row],[Номер]],4)</f>
        <v>180222</v>
      </c>
      <c r="C799" s="129">
        <v>43192</v>
      </c>
      <c r="D799" s="2" t="s">
        <v>217</v>
      </c>
      <c r="E799" s="108">
        <v>26212</v>
      </c>
      <c r="F799" s="129">
        <v>43209</v>
      </c>
      <c r="H799" s="129">
        <v>43210</v>
      </c>
      <c r="I799" s="108">
        <f t="shared" si="34"/>
        <v>26212</v>
      </c>
      <c r="J799" s="108" t="str">
        <f>IF(Таблица97[[#This Row],[НК]]=1,Таблица97[[#This Row],[Продажа]],"")</f>
        <v/>
      </c>
      <c r="M799" s="108">
        <v>20736</v>
      </c>
      <c r="N799" s="108">
        <f>Таблица97[[#This Row],[Продажа]]-Таблица97[[#This Row],[Закупка]]</f>
        <v>5476</v>
      </c>
      <c r="O799" s="108" t="str">
        <f>IF(Таблица97[[#This Row],[НК]]=1,Таблица97[[#This Row],[Маржа]],"")</f>
        <v/>
      </c>
    </row>
    <row r="800" spans="1:15" ht="20.100000000000001" customHeight="1" x14ac:dyDescent="0.25">
      <c r="A800" s="2">
        <v>198</v>
      </c>
      <c r="B800" s="2" t="str">
        <f>TEXT(Таблица97[[#This Row],[Дата]],"ГГ")&amp;RIGHT("000"&amp;Таблица97[[#This Row],[Номер]],4)</f>
        <v>180198</v>
      </c>
      <c r="C800" s="129">
        <v>43186</v>
      </c>
      <c r="D800" s="2" t="s">
        <v>176</v>
      </c>
      <c r="E800" s="108">
        <v>17990</v>
      </c>
      <c r="F800" s="129">
        <v>43209</v>
      </c>
      <c r="H800" s="129">
        <v>43193</v>
      </c>
      <c r="I800" s="108">
        <f t="shared" si="34"/>
        <v>17990</v>
      </c>
      <c r="J800" s="108" t="str">
        <f>IF(Таблица97[[#This Row],[НК]]=1,Таблица97[[#This Row],[Продажа]],"")</f>
        <v/>
      </c>
      <c r="M800" s="108">
        <v>13600</v>
      </c>
      <c r="N800" s="108">
        <f>Таблица97[[#This Row],[Продажа]]-Таблица97[[#This Row],[Закупка]]</f>
        <v>4390</v>
      </c>
      <c r="O800" s="108" t="str">
        <f>IF(Таблица97[[#This Row],[НК]]=1,Таблица97[[#This Row],[Маржа]],"")</f>
        <v/>
      </c>
    </row>
    <row r="801" spans="1:15" ht="20.100000000000001" customHeight="1" x14ac:dyDescent="0.25">
      <c r="A801" s="2">
        <v>282</v>
      </c>
      <c r="B801" s="2" t="str">
        <f>TEXT(Таблица97[[#This Row],[Дата]],"ГГ")&amp;RIGHT("000"&amp;Таблица97[[#This Row],[Номер]],4)</f>
        <v>180282</v>
      </c>
      <c r="C801" s="129">
        <v>43209</v>
      </c>
      <c r="D801" s="2" t="s">
        <v>317</v>
      </c>
      <c r="E801" s="108">
        <v>1051</v>
      </c>
      <c r="F801" s="129">
        <v>43209</v>
      </c>
      <c r="H801" s="129">
        <v>43209</v>
      </c>
      <c r="I801" s="108">
        <f t="shared" si="34"/>
        <v>1051</v>
      </c>
      <c r="J801" s="108" t="str">
        <f>IF(Таблица97[[#This Row],[НК]]=1,Таблица97[[#This Row],[Продажа]],"")</f>
        <v/>
      </c>
      <c r="M801" s="108">
        <v>808</v>
      </c>
      <c r="N801" s="108">
        <f>Таблица97[[#This Row],[Продажа]]-Таблица97[[#This Row],[Закупка]]</f>
        <v>243</v>
      </c>
      <c r="O801" s="108" t="str">
        <f>IF(Таблица97[[#This Row],[НК]]=1,Таблица97[[#This Row],[Маржа]],"")</f>
        <v/>
      </c>
    </row>
    <row r="802" spans="1:15" ht="20.100000000000001" customHeight="1" x14ac:dyDescent="0.25">
      <c r="A802" s="2">
        <v>281</v>
      </c>
      <c r="B802" s="2" t="str">
        <f>TEXT(Таблица97[[#This Row],[Дата]],"ГГ")&amp;RIGHT("000"&amp;Таблица97[[#This Row],[Номер]],4)</f>
        <v>180281</v>
      </c>
      <c r="C802" s="129">
        <v>43209</v>
      </c>
      <c r="D802" s="2" t="s">
        <v>322</v>
      </c>
      <c r="E802" s="108">
        <v>2108</v>
      </c>
      <c r="F802" s="129">
        <v>43209</v>
      </c>
      <c r="H802" s="129">
        <v>43210</v>
      </c>
      <c r="I802" s="108">
        <f t="shared" si="34"/>
        <v>2108</v>
      </c>
      <c r="J802" s="108" t="str">
        <f>IF(Таблица97[[#This Row],[НК]]=1,Таблица97[[#This Row],[Продажа]],"")</f>
        <v/>
      </c>
      <c r="M802" s="108">
        <v>1265</v>
      </c>
      <c r="N802" s="108">
        <f>Таблица97[[#This Row],[Продажа]]-Таблица97[[#This Row],[Закупка]]</f>
        <v>843</v>
      </c>
      <c r="O802" s="108" t="str">
        <f>IF(Таблица97[[#This Row],[НК]]=1,Таблица97[[#This Row],[Маржа]],"")</f>
        <v/>
      </c>
    </row>
    <row r="803" spans="1:15" ht="20.100000000000001" customHeight="1" x14ac:dyDescent="0.25">
      <c r="A803" s="2">
        <v>256</v>
      </c>
      <c r="B803" s="2" t="str">
        <f>TEXT(Таблица97[[#This Row],[Дата]],"ГГ")&amp;RIGHT("000"&amp;Таблица97[[#This Row],[Номер]],4)</f>
        <v>180256</v>
      </c>
      <c r="C803" s="129">
        <v>43203</v>
      </c>
      <c r="D803" s="2" t="s">
        <v>147</v>
      </c>
      <c r="E803" s="108">
        <v>11570</v>
      </c>
      <c r="F803" s="129">
        <v>43210</v>
      </c>
      <c r="H803" s="129">
        <v>43217</v>
      </c>
      <c r="I803" s="108">
        <f t="shared" si="34"/>
        <v>11570</v>
      </c>
      <c r="J803" s="108" t="str">
        <f>IF(Таблица97[[#This Row],[НК]]=1,Таблица97[[#This Row],[Продажа]],"")</f>
        <v/>
      </c>
      <c r="M803" s="108">
        <v>6738</v>
      </c>
      <c r="N803" s="108">
        <f>Таблица97[[#This Row],[Продажа]]-Таблица97[[#This Row],[Закупка]]</f>
        <v>4832</v>
      </c>
      <c r="O803" s="108" t="str">
        <f>IF(Таблица97[[#This Row],[НК]]=1,Таблица97[[#This Row],[Маржа]],"")</f>
        <v/>
      </c>
    </row>
    <row r="804" spans="1:15" ht="20.100000000000001" customHeight="1" x14ac:dyDescent="0.25">
      <c r="A804" s="2">
        <v>272</v>
      </c>
      <c r="B804" s="2" t="str">
        <f>TEXT(Таблица97[[#This Row],[Дата]],"ГГ")&amp;RIGHT("000"&amp;Таблица97[[#This Row],[Номер]],4)</f>
        <v>180272</v>
      </c>
      <c r="C804" s="129">
        <v>43209</v>
      </c>
      <c r="D804" s="2" t="s">
        <v>14</v>
      </c>
      <c r="E804" s="108">
        <v>28170</v>
      </c>
      <c r="F804" s="129">
        <v>43213</v>
      </c>
      <c r="H804" s="129">
        <v>43230</v>
      </c>
      <c r="I804" s="108">
        <f t="shared" si="34"/>
        <v>28170</v>
      </c>
      <c r="J804" s="108" t="str">
        <f>IF(Таблица97[[#This Row],[НК]]=1,Таблица97[[#This Row],[Продажа]],"")</f>
        <v/>
      </c>
      <c r="M804" s="108">
        <v>21297</v>
      </c>
      <c r="N804" s="108">
        <f>Таблица97[[#This Row],[Продажа]]-Таблица97[[#This Row],[Закупка]]</f>
        <v>6873</v>
      </c>
      <c r="O804" s="108" t="str">
        <f>IF(Таблица97[[#This Row],[НК]]=1,Таблица97[[#This Row],[Маржа]],"")</f>
        <v/>
      </c>
    </row>
    <row r="805" spans="1:15" ht="20.100000000000001" customHeight="1" x14ac:dyDescent="0.25">
      <c r="A805" s="2">
        <v>155</v>
      </c>
      <c r="B805" s="2" t="str">
        <f>TEXT(Таблица97[[#This Row],[Дата]],"ГГ")&amp;RIGHT("000"&amp;Таблица97[[#This Row],[Номер]],4)</f>
        <v>180155</v>
      </c>
      <c r="C805" s="129">
        <v>43164</v>
      </c>
      <c r="D805" s="2" t="s">
        <v>66</v>
      </c>
      <c r="E805" s="108">
        <v>24680</v>
      </c>
      <c r="F805" s="129">
        <v>43214</v>
      </c>
      <c r="H805" s="129">
        <v>43201</v>
      </c>
      <c r="I805" s="108">
        <f>E805/2</f>
        <v>12340</v>
      </c>
      <c r="J805" s="108" t="str">
        <f>IF(Таблица97[[#This Row],[НК]]=1,Таблица97[[#This Row],[Продажа]],"")</f>
        <v/>
      </c>
      <c r="M805" s="108">
        <v>8650</v>
      </c>
      <c r="N805" s="108">
        <f>Таблица97[[#This Row],[Продажа]]-Таблица97[[#This Row],[Закупка]]</f>
        <v>3690</v>
      </c>
      <c r="O805" s="108" t="str">
        <f>IF(Таблица97[[#This Row],[НК]]=1,Таблица97[[#This Row],[Маржа]],"")</f>
        <v/>
      </c>
    </row>
    <row r="806" spans="1:15" ht="20.100000000000001" customHeight="1" x14ac:dyDescent="0.25">
      <c r="A806" s="2">
        <v>299</v>
      </c>
      <c r="B806" s="2" t="str">
        <f>TEXT(Таблица97[[#This Row],[Дата]],"ГГ")&amp;RIGHT("000"&amp;Таблица97[[#This Row],[Номер]],4)</f>
        <v>180299</v>
      </c>
      <c r="C806" s="129">
        <v>43214</v>
      </c>
      <c r="D806" s="2" t="s">
        <v>270</v>
      </c>
      <c r="E806" s="108">
        <v>1671</v>
      </c>
      <c r="F806" s="129">
        <v>43216</v>
      </c>
      <c r="H806" s="129">
        <v>43217</v>
      </c>
      <c r="I806" s="108">
        <f>E806</f>
        <v>1671</v>
      </c>
      <c r="J806" s="108" t="str">
        <f>IF(Таблица97[[#This Row],[НК]]=1,Таблица97[[#This Row],[Продажа]],"")</f>
        <v/>
      </c>
      <c r="M806" s="108">
        <v>1285</v>
      </c>
      <c r="N806" s="108">
        <f>Таблица97[[#This Row],[Продажа]]-Таблица97[[#This Row],[Закупка]]</f>
        <v>386</v>
      </c>
      <c r="O806" s="108" t="str">
        <f>IF(Таблица97[[#This Row],[НК]]=1,Таблица97[[#This Row],[Маржа]],"")</f>
        <v/>
      </c>
    </row>
    <row r="807" spans="1:15" ht="20.100000000000001" customHeight="1" x14ac:dyDescent="0.25">
      <c r="A807" s="2">
        <v>303</v>
      </c>
      <c r="B807" s="2" t="str">
        <f>TEXT(Таблица97[[#This Row],[Дата]],"ГГ")&amp;RIGHT("000"&amp;Таблица97[[#This Row],[Номер]],4)</f>
        <v>180303</v>
      </c>
      <c r="C807" s="129">
        <v>43215</v>
      </c>
      <c r="D807" s="2" t="s">
        <v>149</v>
      </c>
      <c r="E807" s="108">
        <v>15761</v>
      </c>
      <c r="F807" s="129">
        <v>43218</v>
      </c>
      <c r="H807" s="129">
        <v>43231</v>
      </c>
      <c r="I807" s="108">
        <f>E807</f>
        <v>15761</v>
      </c>
      <c r="J807" s="108" t="str">
        <f>IF(Таблица97[[#This Row],[НК]]=1,Таблица97[[#This Row],[Продажа]],"")</f>
        <v/>
      </c>
      <c r="M807" s="108">
        <v>12150</v>
      </c>
      <c r="N807" s="108">
        <f>Таблица97[[#This Row],[Продажа]]-Таблица97[[#This Row],[Закупка]]</f>
        <v>3611</v>
      </c>
      <c r="O807" s="108" t="str">
        <f>IF(Таблица97[[#This Row],[НК]]=1,Таблица97[[#This Row],[Маржа]],"")</f>
        <v/>
      </c>
    </row>
    <row r="808" spans="1:15" ht="20.100000000000001" customHeight="1" x14ac:dyDescent="0.25">
      <c r="A808" s="2">
        <v>155</v>
      </c>
      <c r="B808" s="2" t="str">
        <f>TEXT(Таблица97[[#This Row],[Дата]],"ГГ")&amp;RIGHT("000"&amp;Таблица97[[#This Row],[Номер]],4)</f>
        <v>180155</v>
      </c>
      <c r="C808" s="129">
        <v>43164</v>
      </c>
      <c r="D808" s="2" t="s">
        <v>66</v>
      </c>
      <c r="E808" s="108">
        <v>24680</v>
      </c>
      <c r="F808" s="129">
        <v>43218</v>
      </c>
      <c r="H808" s="129">
        <v>43207</v>
      </c>
      <c r="I808" s="108">
        <f>E808/2</f>
        <v>12340</v>
      </c>
      <c r="J808" s="108" t="str">
        <f>IF(Таблица97[[#This Row],[НК]]=1,Таблица97[[#This Row],[Продажа]],"")</f>
        <v/>
      </c>
      <c r="M808" s="108">
        <v>9637</v>
      </c>
      <c r="N808" s="108">
        <f>Таблица97[[#This Row],[Продажа]]-Таблица97[[#This Row],[Закупка]]</f>
        <v>2703</v>
      </c>
      <c r="O808" s="108" t="str">
        <f>IF(Таблица97[[#This Row],[НК]]=1,Таблица97[[#This Row],[Маржа]],"")</f>
        <v/>
      </c>
    </row>
    <row r="809" spans="1:15" ht="20.100000000000001" customHeight="1" x14ac:dyDescent="0.25">
      <c r="A809" s="2">
        <v>330</v>
      </c>
      <c r="B809" s="2" t="str">
        <f>TEXT(Таблица97[[#This Row],[Дата]],"ГГ")&amp;RIGHT("000"&amp;Таблица97[[#This Row],[Номер]],4)</f>
        <v>180330</v>
      </c>
      <c r="C809" s="129">
        <v>43223</v>
      </c>
      <c r="D809" s="2" t="s">
        <v>324</v>
      </c>
      <c r="E809" s="108">
        <v>15241</v>
      </c>
      <c r="F809" s="129">
        <v>43223</v>
      </c>
      <c r="G809" s="128">
        <v>1</v>
      </c>
      <c r="H809" s="129">
        <v>43224</v>
      </c>
      <c r="I809" s="108">
        <f t="shared" ref="I809:I833" si="35">E809</f>
        <v>15241</v>
      </c>
      <c r="J809" s="108">
        <f>IF(Таблица97[[#This Row],[НК]]=1,Таблица97[[#This Row],[Продажа]],"")</f>
        <v>15241</v>
      </c>
      <c r="M809" s="108">
        <v>10941</v>
      </c>
      <c r="N809" s="108">
        <f>Таблица97[[#This Row],[Продажа]]-Таблица97[[#This Row],[Закупка]]</f>
        <v>4300</v>
      </c>
      <c r="O809" s="108">
        <f>IF(Таблица97[[#This Row],[НК]]=1,Таблица97[[#This Row],[Маржа]],"")</f>
        <v>4300</v>
      </c>
    </row>
    <row r="810" spans="1:15" ht="20.100000000000001" customHeight="1" x14ac:dyDescent="0.25">
      <c r="A810" s="2">
        <v>321</v>
      </c>
      <c r="B810" s="2" t="str">
        <f>TEXT(Таблица97[[#This Row],[Дата]],"ГГ")&amp;RIGHT("000"&amp;Таблица97[[#This Row],[Номер]],4)</f>
        <v>180321</v>
      </c>
      <c r="C810" s="129">
        <v>43217</v>
      </c>
      <c r="D810" s="2" t="s">
        <v>270</v>
      </c>
      <c r="E810" s="108">
        <v>1051</v>
      </c>
      <c r="F810" s="129">
        <v>43224</v>
      </c>
      <c r="H810" s="129">
        <v>43217</v>
      </c>
      <c r="I810" s="108">
        <f t="shared" si="35"/>
        <v>1051</v>
      </c>
      <c r="J810" s="108" t="str">
        <f>IF(Таблица97[[#This Row],[НК]]=1,Таблица97[[#This Row],[Продажа]],"")</f>
        <v/>
      </c>
      <c r="M810" s="108">
        <v>808</v>
      </c>
      <c r="N810" s="108">
        <f>Таблица97[[#This Row],[Продажа]]-Таблица97[[#This Row],[Закупка]]</f>
        <v>243</v>
      </c>
      <c r="O810" s="108" t="str">
        <f>IF(Таблица97[[#This Row],[НК]]=1,Таблица97[[#This Row],[Маржа]],"")</f>
        <v/>
      </c>
    </row>
    <row r="811" spans="1:15" ht="20.100000000000001" customHeight="1" x14ac:dyDescent="0.25">
      <c r="A811" s="2">
        <v>327</v>
      </c>
      <c r="B811" s="2" t="str">
        <f>TEXT(Таблица97[[#This Row],[Дата]],"ГГ")&amp;RIGHT("000"&amp;Таблица97[[#This Row],[Номер]],4)</f>
        <v>180327</v>
      </c>
      <c r="C811" s="129">
        <v>43218</v>
      </c>
      <c r="D811" s="2" t="s">
        <v>270</v>
      </c>
      <c r="E811" s="108">
        <v>1051</v>
      </c>
      <c r="F811" s="129">
        <v>43224</v>
      </c>
      <c r="H811" s="129">
        <v>43243</v>
      </c>
      <c r="I811" s="108">
        <f t="shared" si="35"/>
        <v>1051</v>
      </c>
      <c r="J811" s="108" t="str">
        <f>IF(Таблица97[[#This Row],[НК]]=1,Таблица97[[#This Row],[Продажа]],"")</f>
        <v/>
      </c>
      <c r="M811" s="108">
        <v>808</v>
      </c>
      <c r="N811" s="108">
        <f>Таблица97[[#This Row],[Продажа]]-Таблица97[[#This Row],[Закупка]]</f>
        <v>243</v>
      </c>
      <c r="O811" s="108" t="str">
        <f>IF(Таблица97[[#This Row],[НК]]=1,Таблица97[[#This Row],[Маржа]],"")</f>
        <v/>
      </c>
    </row>
    <row r="812" spans="1:15" ht="20.100000000000001" customHeight="1" x14ac:dyDescent="0.25">
      <c r="A812" s="2">
        <v>335</v>
      </c>
      <c r="B812" s="2" t="str">
        <f>TEXT(Таблица97[[#This Row],[Дата]],"ГГ")&amp;RIGHT("000"&amp;Таблица97[[#This Row],[Номер]],4)</f>
        <v>180335</v>
      </c>
      <c r="C812" s="129">
        <v>43224</v>
      </c>
      <c r="D812" s="2" t="s">
        <v>325</v>
      </c>
      <c r="E812" s="108">
        <v>15411</v>
      </c>
      <c r="F812" s="129">
        <v>43227</v>
      </c>
      <c r="G812" s="128">
        <v>1</v>
      </c>
      <c r="H812" s="129">
        <v>43248</v>
      </c>
      <c r="I812" s="108">
        <f t="shared" si="35"/>
        <v>15411</v>
      </c>
      <c r="J812" s="108">
        <f>IF(Таблица97[[#This Row],[НК]]=1,Таблица97[[#This Row],[Продажа]],"")</f>
        <v>15411</v>
      </c>
      <c r="M812" s="108">
        <v>11737</v>
      </c>
      <c r="N812" s="108">
        <f>Таблица97[[#This Row],[Продажа]]-Таблица97[[#This Row],[Закупка]]</f>
        <v>3674</v>
      </c>
      <c r="O812" s="108">
        <f>IF(Таблица97[[#This Row],[НК]]=1,Таблица97[[#This Row],[Маржа]],"")</f>
        <v>3674</v>
      </c>
    </row>
    <row r="813" spans="1:15" ht="20.100000000000001" customHeight="1" x14ac:dyDescent="0.25">
      <c r="A813" s="2">
        <v>333</v>
      </c>
      <c r="B813" s="2" t="str">
        <f>TEXT(Таблица97[[#This Row],[Дата]],"ГГ")&amp;RIGHT("000"&amp;Таблица97[[#This Row],[Номер]],4)</f>
        <v>180333</v>
      </c>
      <c r="C813" s="129">
        <v>43224</v>
      </c>
      <c r="D813" s="2" t="s">
        <v>118</v>
      </c>
      <c r="E813" s="108">
        <v>13798.05</v>
      </c>
      <c r="F813" s="129">
        <v>43227</v>
      </c>
      <c r="H813" s="129">
        <v>43224</v>
      </c>
      <c r="I813" s="108">
        <f t="shared" si="35"/>
        <v>13798.05</v>
      </c>
      <c r="J813" s="108" t="str">
        <f>IF(Таблица97[[#This Row],[НК]]=1,Таблица97[[#This Row],[Продажа]],"")</f>
        <v/>
      </c>
      <c r="M813" s="108">
        <v>11420</v>
      </c>
      <c r="N813" s="108">
        <f>Таблица97[[#This Row],[Продажа]]-Таблица97[[#This Row],[Закупка]]</f>
        <v>2378.0499999999993</v>
      </c>
      <c r="O813" s="108" t="str">
        <f>IF(Таблица97[[#This Row],[НК]]=1,Таблица97[[#This Row],[Маржа]],"")</f>
        <v/>
      </c>
    </row>
    <row r="814" spans="1:15" ht="20.100000000000001" customHeight="1" x14ac:dyDescent="0.25">
      <c r="A814" s="2">
        <v>258</v>
      </c>
      <c r="B814" s="2" t="str">
        <f>TEXT(Таблица97[[#This Row],[Дата]],"ГГ")&amp;RIGHT("000"&amp;Таблица97[[#This Row],[Номер]],4)</f>
        <v>180258</v>
      </c>
      <c r="C814" s="129">
        <v>43206</v>
      </c>
      <c r="D814" s="2" t="s">
        <v>13</v>
      </c>
      <c r="E814" s="108">
        <v>7842</v>
      </c>
      <c r="F814" s="129">
        <v>43227</v>
      </c>
      <c r="H814" s="129">
        <v>43208</v>
      </c>
      <c r="I814" s="108">
        <f t="shared" si="35"/>
        <v>7842</v>
      </c>
      <c r="J814" s="108" t="str">
        <f>IF(Таблица97[[#This Row],[НК]]=1,Таблица97[[#This Row],[Продажа]],"")</f>
        <v/>
      </c>
      <c r="M814" s="108">
        <v>5556</v>
      </c>
      <c r="N814" s="108">
        <f>Таблица97[[#This Row],[Продажа]]-Таблица97[[#This Row],[Закупка]]</f>
        <v>2286</v>
      </c>
      <c r="O814" s="108" t="str">
        <f>IF(Таблица97[[#This Row],[НК]]=1,Таблица97[[#This Row],[Маржа]],"")</f>
        <v/>
      </c>
    </row>
    <row r="815" spans="1:15" ht="20.100000000000001" customHeight="1" x14ac:dyDescent="0.25">
      <c r="A815" s="2">
        <v>331</v>
      </c>
      <c r="B815" s="2" t="str">
        <f>TEXT(Таблица97[[#This Row],[Дата]],"ГГ")&amp;RIGHT("000"&amp;Таблица97[[#This Row],[Номер]],4)</f>
        <v>180331</v>
      </c>
      <c r="C815" s="129">
        <v>43223</v>
      </c>
      <c r="D815" s="2" t="s">
        <v>33</v>
      </c>
      <c r="E815" s="108">
        <v>6065</v>
      </c>
      <c r="F815" s="129">
        <v>43228</v>
      </c>
      <c r="H815" s="129">
        <v>43266</v>
      </c>
      <c r="I815" s="108">
        <f t="shared" si="35"/>
        <v>6065</v>
      </c>
      <c r="J815" s="108" t="str">
        <f>IF(Таблица97[[#This Row],[НК]]=1,Таблица97[[#This Row],[Продажа]],"")</f>
        <v/>
      </c>
      <c r="M815" s="108">
        <v>4670</v>
      </c>
      <c r="N815" s="108">
        <f>Таблица97[[#This Row],[Продажа]]-Таблица97[[#This Row],[Закупка]]</f>
        <v>1395</v>
      </c>
      <c r="O815" s="108" t="str">
        <f>IF(Таблица97[[#This Row],[НК]]=1,Таблица97[[#This Row],[Маржа]],"")</f>
        <v/>
      </c>
    </row>
    <row r="816" spans="1:15" ht="20.100000000000001" customHeight="1" x14ac:dyDescent="0.25">
      <c r="A816" s="2">
        <v>154</v>
      </c>
      <c r="B816" s="2" t="str">
        <f>TEXT(Таблица97[[#This Row],[Дата]],"ГГ")&amp;RIGHT("000"&amp;Таблица97[[#This Row],[Номер]],4)</f>
        <v>180154</v>
      </c>
      <c r="C816" s="129">
        <v>43164</v>
      </c>
      <c r="D816" s="2" t="s">
        <v>99</v>
      </c>
      <c r="E816" s="108">
        <v>217556</v>
      </c>
      <c r="F816" s="129">
        <v>43228</v>
      </c>
      <c r="H816" s="129">
        <v>43192</v>
      </c>
      <c r="I816" s="108">
        <f t="shared" si="35"/>
        <v>217556</v>
      </c>
      <c r="J816" s="108" t="str">
        <f>IF(Таблица97[[#This Row],[НК]]=1,Таблица97[[#This Row],[Продажа]],"")</f>
        <v/>
      </c>
      <c r="K816" s="108">
        <v>30000</v>
      </c>
      <c r="M816" s="108">
        <v>84462</v>
      </c>
      <c r="N816" s="108">
        <f>Таблица97[[#This Row],[Продажа]]-Таблица97[[#This Row],[Закупка]]</f>
        <v>133094</v>
      </c>
      <c r="O816" s="108" t="str">
        <f>IF(Таблица97[[#This Row],[НК]]=1,Таблица97[[#This Row],[Маржа]],"")</f>
        <v/>
      </c>
    </row>
    <row r="817" spans="1:15" ht="20.100000000000001" customHeight="1" x14ac:dyDescent="0.25">
      <c r="A817" s="2">
        <v>315</v>
      </c>
      <c r="B817" s="2" t="str">
        <f>TEXT(Таблица97[[#This Row],[Дата]],"ГГ")&amp;RIGHT("000"&amp;Таблица97[[#This Row],[Номер]],4)</f>
        <v>180315</v>
      </c>
      <c r="C817" s="129">
        <v>43228</v>
      </c>
      <c r="D817" s="2" t="s">
        <v>327</v>
      </c>
      <c r="E817" s="108">
        <v>19586</v>
      </c>
      <c r="F817" s="129">
        <v>43230</v>
      </c>
      <c r="G817" s="128">
        <v>1</v>
      </c>
      <c r="H817" s="129">
        <v>43231</v>
      </c>
      <c r="I817" s="108">
        <f t="shared" si="35"/>
        <v>19586</v>
      </c>
      <c r="J817" s="108">
        <f>IF(Таблица97[[#This Row],[НК]]=1,Таблица97[[#This Row],[Продажа]],"")</f>
        <v>19586</v>
      </c>
      <c r="M817" s="108">
        <v>13447</v>
      </c>
      <c r="N817" s="108">
        <f>Таблица97[[#This Row],[Продажа]]-Таблица97[[#This Row],[Закупка]]</f>
        <v>6139</v>
      </c>
      <c r="O817" s="108">
        <f>IF(Таблица97[[#This Row],[НК]]=1,Таблица97[[#This Row],[Маржа]],"")</f>
        <v>6139</v>
      </c>
    </row>
    <row r="818" spans="1:15" ht="20.100000000000001" customHeight="1" x14ac:dyDescent="0.25">
      <c r="A818" s="2">
        <v>134</v>
      </c>
      <c r="B818" s="2" t="str">
        <f>TEXT(Таблица97[[#This Row],[Дата]],"ГГ")&amp;RIGHT("000"&amp;Таблица97[[#This Row],[Номер]],4)</f>
        <v>180134</v>
      </c>
      <c r="C818" s="129">
        <v>43206</v>
      </c>
      <c r="D818" s="2" t="s">
        <v>56</v>
      </c>
      <c r="E818" s="108">
        <v>138500</v>
      </c>
      <c r="F818" s="129">
        <v>43231</v>
      </c>
      <c r="H818" s="129">
        <v>43216</v>
      </c>
      <c r="I818" s="108">
        <f t="shared" si="35"/>
        <v>138500</v>
      </c>
      <c r="J818" s="108" t="str">
        <f>IF(Таблица97[[#This Row],[НК]]=1,Таблица97[[#This Row],[Продажа]],"")</f>
        <v/>
      </c>
      <c r="M818" s="108">
        <v>105832</v>
      </c>
      <c r="N818" s="108">
        <f>Таблица97[[#This Row],[Продажа]]-Таблица97[[#This Row],[Закупка]]</f>
        <v>32668</v>
      </c>
      <c r="O818" s="108" t="str">
        <f>IF(Таблица97[[#This Row],[НК]]=1,Таблица97[[#This Row],[Маржа]],"")</f>
        <v/>
      </c>
    </row>
    <row r="819" spans="1:15" ht="20.100000000000001" customHeight="1" x14ac:dyDescent="0.25">
      <c r="A819" s="2">
        <v>338</v>
      </c>
      <c r="B819" s="2" t="str">
        <f>TEXT(Таблица97[[#This Row],[Дата]],"ГГ")&amp;RIGHT("000"&amp;Таблица97[[#This Row],[Номер]],4)</f>
        <v>180338</v>
      </c>
      <c r="C819" s="129">
        <v>43227</v>
      </c>
      <c r="D819" s="2" t="s">
        <v>326</v>
      </c>
      <c r="E819" s="108">
        <v>1350</v>
      </c>
      <c r="F819" s="129">
        <v>43231</v>
      </c>
      <c r="G819" s="128">
        <v>1</v>
      </c>
      <c r="H819" s="129">
        <v>43238</v>
      </c>
      <c r="I819" s="108">
        <f t="shared" si="35"/>
        <v>1350</v>
      </c>
      <c r="J819" s="108">
        <f>IF(Таблица97[[#This Row],[НК]]=1,Таблица97[[#This Row],[Продажа]],"")</f>
        <v>1350</v>
      </c>
      <c r="M819" s="108">
        <v>1089</v>
      </c>
      <c r="N819" s="108">
        <f>Таблица97[[#This Row],[Продажа]]-Таблица97[[#This Row],[Закупка]]</f>
        <v>261</v>
      </c>
      <c r="O819" s="108">
        <f>IF(Таблица97[[#This Row],[НК]]=1,Таблица97[[#This Row],[Маржа]],"")</f>
        <v>261</v>
      </c>
    </row>
    <row r="820" spans="1:15" ht="20.100000000000001" customHeight="1" x14ac:dyDescent="0.25">
      <c r="A820" s="2">
        <v>224</v>
      </c>
      <c r="B820" s="2" t="str">
        <f>TEXT(Таблица97[[#This Row],[Дата]],"ГГ")&amp;RIGHT("000"&amp;Таблица97[[#This Row],[Номер]],4)</f>
        <v>180224</v>
      </c>
      <c r="C820" s="129">
        <v>43193</v>
      </c>
      <c r="D820" s="2" t="s">
        <v>175</v>
      </c>
      <c r="E820" s="108">
        <v>42484</v>
      </c>
      <c r="F820" s="129">
        <v>43234</v>
      </c>
      <c r="H820" s="129">
        <v>43235</v>
      </c>
      <c r="I820" s="108">
        <f t="shared" si="35"/>
        <v>42484</v>
      </c>
      <c r="J820" s="108" t="str">
        <f>IF(Таблица97[[#This Row],[НК]]=1,Таблица97[[#This Row],[Продажа]],"")</f>
        <v/>
      </c>
      <c r="M820" s="108">
        <v>34525</v>
      </c>
      <c r="N820" s="108">
        <f>Таблица97[[#This Row],[Продажа]]-Таблица97[[#This Row],[Закупка]]</f>
        <v>7959</v>
      </c>
      <c r="O820" s="108" t="str">
        <f>IF(Таблица97[[#This Row],[НК]]=1,Таблица97[[#This Row],[Маржа]],"")</f>
        <v/>
      </c>
    </row>
    <row r="821" spans="1:15" ht="20.100000000000001" customHeight="1" x14ac:dyDescent="0.25">
      <c r="A821" s="2">
        <v>322</v>
      </c>
      <c r="B821" s="2" t="str">
        <f>TEXT(Таблица97[[#This Row],[Дата]],"ГГ")&amp;RIGHT("000"&amp;Таблица97[[#This Row],[Номер]],4)</f>
        <v>180322</v>
      </c>
      <c r="C821" s="129">
        <v>43217</v>
      </c>
      <c r="D821" s="2" t="s">
        <v>323</v>
      </c>
      <c r="E821" s="108">
        <v>3342</v>
      </c>
      <c r="F821" s="129">
        <v>43235</v>
      </c>
      <c r="G821" s="128">
        <v>1</v>
      </c>
      <c r="H821" s="129">
        <v>43217</v>
      </c>
      <c r="I821" s="108">
        <f t="shared" si="35"/>
        <v>3342</v>
      </c>
      <c r="J821" s="108">
        <f>IF(Таблица97[[#This Row],[НК]]=1,Таблица97[[#This Row],[Продажа]],"")</f>
        <v>3342</v>
      </c>
      <c r="M821" s="108">
        <v>2570</v>
      </c>
      <c r="N821" s="108">
        <f>Таблица97[[#This Row],[Продажа]]-Таблица97[[#This Row],[Закупка]]</f>
        <v>772</v>
      </c>
      <c r="O821" s="108">
        <f>IF(Таблица97[[#This Row],[НК]]=1,Таблица97[[#This Row],[Маржа]],"")</f>
        <v>772</v>
      </c>
    </row>
    <row r="822" spans="1:15" ht="20.100000000000001" customHeight="1" x14ac:dyDescent="0.25">
      <c r="A822" s="2">
        <v>279</v>
      </c>
      <c r="B822" s="2" t="str">
        <f>TEXT(Таблица97[[#This Row],[Дата]],"ГГ")&amp;RIGHT("000"&amp;Таблица97[[#This Row],[Номер]],4)</f>
        <v>180279</v>
      </c>
      <c r="C822" s="129">
        <v>43209</v>
      </c>
      <c r="D822" s="2" t="s">
        <v>50</v>
      </c>
      <c r="E822" s="108">
        <v>5946</v>
      </c>
      <c r="F822" s="129">
        <v>43235</v>
      </c>
      <c r="H822" s="129">
        <v>43230</v>
      </c>
      <c r="I822" s="108">
        <f t="shared" si="35"/>
        <v>5946</v>
      </c>
      <c r="J822" s="108" t="str">
        <f>IF(Таблица97[[#This Row],[НК]]=1,Таблица97[[#This Row],[Продажа]],"")</f>
        <v/>
      </c>
      <c r="M822" s="108">
        <v>5524</v>
      </c>
      <c r="N822" s="108">
        <f>Таблица97[[#This Row],[Продажа]]-Таблица97[[#This Row],[Закупка]]</f>
        <v>422</v>
      </c>
      <c r="O822" s="108" t="str">
        <f>IF(Таблица97[[#This Row],[НК]]=1,Таблица97[[#This Row],[Маржа]],"")</f>
        <v/>
      </c>
    </row>
    <row r="823" spans="1:15" ht="20.100000000000001" customHeight="1" x14ac:dyDescent="0.25">
      <c r="A823" s="2">
        <v>351</v>
      </c>
      <c r="B823" s="2" t="str">
        <f>TEXT(Таблица97[[#This Row],[Дата]],"ГГ")&amp;RIGHT("000"&amp;Таблица97[[#This Row],[Номер]],4)</f>
        <v>180351</v>
      </c>
      <c r="C823" s="129">
        <v>43234</v>
      </c>
      <c r="D823" s="2" t="s">
        <v>194</v>
      </c>
      <c r="E823" s="108">
        <v>48190</v>
      </c>
      <c r="F823" s="129">
        <v>43235</v>
      </c>
      <c r="H823" s="129">
        <v>43237</v>
      </c>
      <c r="I823" s="108">
        <f t="shared" si="35"/>
        <v>48190</v>
      </c>
      <c r="J823" s="108" t="str">
        <f>IF(Таблица97[[#This Row],[НК]]=1,Таблица97[[#This Row],[Продажа]],"")</f>
        <v/>
      </c>
      <c r="M823" s="108">
        <v>34466</v>
      </c>
      <c r="N823" s="108">
        <f>Таблица97[[#This Row],[Продажа]]-Таблица97[[#This Row],[Закупка]]</f>
        <v>13724</v>
      </c>
      <c r="O823" s="108" t="str">
        <f>IF(Таблица97[[#This Row],[НК]]=1,Таблица97[[#This Row],[Маржа]],"")</f>
        <v/>
      </c>
    </row>
    <row r="824" spans="1:15" ht="20.100000000000001" customHeight="1" x14ac:dyDescent="0.25">
      <c r="A824" s="2">
        <v>358</v>
      </c>
      <c r="B824" s="2" t="str">
        <f>TEXT(Таблица97[[#This Row],[Дата]],"ГГ")&amp;RIGHT("000"&amp;Таблица97[[#This Row],[Номер]],4)</f>
        <v>180358</v>
      </c>
      <c r="C824" s="129">
        <v>43235</v>
      </c>
      <c r="D824" s="2" t="s">
        <v>328</v>
      </c>
      <c r="E824" s="108">
        <v>669</v>
      </c>
      <c r="F824" s="129">
        <v>43236</v>
      </c>
      <c r="G824" s="128">
        <v>1</v>
      </c>
      <c r="H824" s="129">
        <v>43238</v>
      </c>
      <c r="I824" s="108">
        <f t="shared" si="35"/>
        <v>669</v>
      </c>
      <c r="J824" s="108">
        <f>IF(Таблица97[[#This Row],[НК]]=1,Таблица97[[#This Row],[Продажа]],"")</f>
        <v>669</v>
      </c>
      <c r="M824" s="108">
        <v>439</v>
      </c>
      <c r="N824" s="108">
        <f>Таблица97[[#This Row],[Продажа]]-Таблица97[[#This Row],[Закупка]]</f>
        <v>230</v>
      </c>
      <c r="O824" s="108">
        <f>IF(Таблица97[[#This Row],[НК]]=1,Таблица97[[#This Row],[Маржа]],"")</f>
        <v>230</v>
      </c>
    </row>
    <row r="825" spans="1:15" ht="20.100000000000001" customHeight="1" x14ac:dyDescent="0.25">
      <c r="A825" s="2">
        <v>337</v>
      </c>
      <c r="B825" s="2" t="str">
        <f>TEXT(Таблица97[[#This Row],[Дата]],"ГГ")&amp;RIGHT("000"&amp;Таблица97[[#This Row],[Номер]],4)</f>
        <v>180337</v>
      </c>
      <c r="C825" s="129">
        <v>43227</v>
      </c>
      <c r="D825" s="2" t="s">
        <v>324</v>
      </c>
      <c r="E825" s="108">
        <v>1187</v>
      </c>
      <c r="F825" s="129">
        <v>43236</v>
      </c>
      <c r="G825" s="128">
        <v>1</v>
      </c>
      <c r="H825" s="129">
        <v>43236</v>
      </c>
      <c r="I825" s="108">
        <f t="shared" si="35"/>
        <v>1187</v>
      </c>
      <c r="J825" s="108">
        <f>IF(Таблица97[[#This Row],[НК]]=1,Таблица97[[#This Row],[Продажа]],"")</f>
        <v>1187</v>
      </c>
      <c r="M825" s="108">
        <v>832</v>
      </c>
      <c r="N825" s="108">
        <f>Таблица97[[#This Row],[Продажа]]-Таблица97[[#This Row],[Закупка]]</f>
        <v>355</v>
      </c>
      <c r="O825" s="108">
        <f>IF(Таблица97[[#This Row],[НК]]=1,Таблица97[[#This Row],[Маржа]],"")</f>
        <v>355</v>
      </c>
    </row>
    <row r="826" spans="1:15" ht="20.100000000000001" customHeight="1" x14ac:dyDescent="0.25">
      <c r="A826" s="2">
        <v>344</v>
      </c>
      <c r="B826" s="2" t="str">
        <f>TEXT(Таблица97[[#This Row],[Дата]],"ГГ")&amp;RIGHT("000"&amp;Таблица97[[#This Row],[Номер]],4)</f>
        <v>180344</v>
      </c>
      <c r="C826" s="129">
        <v>43228</v>
      </c>
      <c r="D826" s="2" t="s">
        <v>329</v>
      </c>
      <c r="E826" s="108">
        <v>5289</v>
      </c>
      <c r="F826" s="129">
        <v>43236</v>
      </c>
      <c r="H826" s="129">
        <v>43250</v>
      </c>
      <c r="I826" s="108">
        <f t="shared" si="35"/>
        <v>5289</v>
      </c>
      <c r="J826" s="108" t="str">
        <f>IF(Таблица97[[#This Row],[НК]]=1,Таблица97[[#This Row],[Продажа]],"")</f>
        <v/>
      </c>
      <c r="M826" s="108">
        <v>3490</v>
      </c>
      <c r="N826" s="108">
        <f>Таблица97[[#This Row],[Продажа]]-Таблица97[[#This Row],[Закупка]]</f>
        <v>1799</v>
      </c>
      <c r="O826" s="108" t="str">
        <f>IF(Таблица97[[#This Row],[НК]]=1,Таблица97[[#This Row],[Маржа]],"")</f>
        <v/>
      </c>
    </row>
    <row r="827" spans="1:15" ht="20.100000000000001" customHeight="1" x14ac:dyDescent="0.25">
      <c r="A827" s="2">
        <v>375</v>
      </c>
      <c r="B827" s="2" t="str">
        <f>TEXT(Таблица97[[#This Row],[Дата]],"ГГ")&amp;RIGHT("000"&amp;Таблица97[[#This Row],[Номер]],4)</f>
        <v>180375</v>
      </c>
      <c r="C827" s="129">
        <v>43237</v>
      </c>
      <c r="D827" s="2" t="s">
        <v>216</v>
      </c>
      <c r="E827" s="108">
        <v>2815.2</v>
      </c>
      <c r="F827" s="129">
        <v>43237</v>
      </c>
      <c r="H827" s="129">
        <v>43248</v>
      </c>
      <c r="I827" s="108">
        <f t="shared" si="35"/>
        <v>2815.2</v>
      </c>
      <c r="J827" s="108" t="str">
        <f>IF(Таблица97[[#This Row],[НК]]=1,Таблица97[[#This Row],[Продажа]],"")</f>
        <v/>
      </c>
      <c r="M827" s="108">
        <v>2582</v>
      </c>
      <c r="N827" s="108">
        <f>Таблица97[[#This Row],[Продажа]]-Таблица97[[#This Row],[Закупка]]</f>
        <v>233.19999999999982</v>
      </c>
      <c r="O827" s="108" t="str">
        <f>IF(Таблица97[[#This Row],[НК]]=1,Таблица97[[#This Row],[Маржа]],"")</f>
        <v/>
      </c>
    </row>
    <row r="828" spans="1:15" ht="20.100000000000001" customHeight="1" x14ac:dyDescent="0.25">
      <c r="A828" s="2">
        <v>362</v>
      </c>
      <c r="B828" s="2" t="str">
        <f>TEXT(Таблица97[[#This Row],[Дата]],"ГГ")&amp;RIGHT("000"&amp;Таблица97[[#This Row],[Номер]],4)</f>
        <v>180362</v>
      </c>
      <c r="C828" s="129">
        <v>43235</v>
      </c>
      <c r="D828" s="2" t="s">
        <v>216</v>
      </c>
      <c r="E828" s="108">
        <v>5426.4</v>
      </c>
      <c r="F828" s="129">
        <v>43237</v>
      </c>
      <c r="H828" s="129">
        <v>43248</v>
      </c>
      <c r="I828" s="108">
        <f t="shared" si="35"/>
        <v>5426.4</v>
      </c>
      <c r="J828" s="108" t="str">
        <f>IF(Таблица97[[#This Row],[НК]]=1,Таблица97[[#This Row],[Продажа]],"")</f>
        <v/>
      </c>
      <c r="M828" s="108">
        <v>4213</v>
      </c>
      <c r="N828" s="108">
        <f>Таблица97[[#This Row],[Продажа]]-Таблица97[[#This Row],[Закупка]]</f>
        <v>1213.3999999999996</v>
      </c>
      <c r="O828" s="108" t="str">
        <f>IF(Таблица97[[#This Row],[НК]]=1,Таблица97[[#This Row],[Маржа]],"")</f>
        <v/>
      </c>
    </row>
    <row r="829" spans="1:15" ht="20.100000000000001" customHeight="1" x14ac:dyDescent="0.25">
      <c r="A829" s="2">
        <v>363</v>
      </c>
      <c r="B829" s="2" t="str">
        <f>TEXT(Таблица97[[#This Row],[Дата]],"ГГ")&amp;RIGHT("000"&amp;Таблица97[[#This Row],[Номер]],4)</f>
        <v>180363</v>
      </c>
      <c r="C829" s="129">
        <v>43235</v>
      </c>
      <c r="D829" s="2" t="s">
        <v>327</v>
      </c>
      <c r="E829" s="108">
        <v>5549</v>
      </c>
      <c r="F829" s="129">
        <v>43237</v>
      </c>
      <c r="G829" s="128">
        <v>1</v>
      </c>
      <c r="H829" s="129">
        <v>43252</v>
      </c>
      <c r="I829" s="108">
        <f t="shared" si="35"/>
        <v>5549</v>
      </c>
      <c r="J829" s="108">
        <f>IF(Таблица97[[#This Row],[НК]]=1,Таблица97[[#This Row],[Продажа]],"")</f>
        <v>5549</v>
      </c>
      <c r="M829" s="108">
        <v>3607</v>
      </c>
      <c r="N829" s="108">
        <f>Таблица97[[#This Row],[Продажа]]-Таблица97[[#This Row],[Закупка]]</f>
        <v>1942</v>
      </c>
      <c r="O829" s="108">
        <f>IF(Таблица97[[#This Row],[НК]]=1,Таблица97[[#This Row],[Маржа]],"")</f>
        <v>1942</v>
      </c>
    </row>
    <row r="830" spans="1:15" ht="20.100000000000001" customHeight="1" x14ac:dyDescent="0.25">
      <c r="A830" s="2">
        <v>263</v>
      </c>
      <c r="B830" s="2" t="str">
        <f>TEXT(Таблица97[[#This Row],[Дата]],"ГГ")&amp;RIGHT("000"&amp;Таблица97[[#This Row],[Номер]],4)</f>
        <v>180263</v>
      </c>
      <c r="C830" s="129">
        <v>43207</v>
      </c>
      <c r="D830" s="2" t="s">
        <v>99</v>
      </c>
      <c r="E830" s="108">
        <v>234400</v>
      </c>
      <c r="F830" s="129">
        <v>43242</v>
      </c>
      <c r="H830" s="129">
        <v>43216</v>
      </c>
      <c r="I830" s="108">
        <f t="shared" si="35"/>
        <v>234400</v>
      </c>
      <c r="J830" s="108" t="str">
        <f>IF(Таблица97[[#This Row],[НК]]=1,Таблица97[[#This Row],[Продажа]],"")</f>
        <v/>
      </c>
      <c r="K830" s="108">
        <v>60000</v>
      </c>
      <c r="L830" s="108">
        <f>24*1200</f>
        <v>28800</v>
      </c>
      <c r="M830" s="108">
        <v>29200</v>
      </c>
      <c r="N830" s="108">
        <f>Таблица97[[#This Row],[Продажа]]-Таблица97[[#This Row],[Закупка]]</f>
        <v>205200</v>
      </c>
      <c r="O830" s="108" t="str">
        <f>IF(Таблица97[[#This Row],[НК]]=1,Таблица97[[#This Row],[Маржа]],"")</f>
        <v/>
      </c>
    </row>
    <row r="831" spans="1:15" ht="20.100000000000001" customHeight="1" x14ac:dyDescent="0.25">
      <c r="A831" s="2">
        <v>391</v>
      </c>
      <c r="B831" s="2" t="str">
        <f>TEXT(Таблица97[[#This Row],[Дата]],"ГГ")&amp;RIGHT("000"&amp;Таблица97[[#This Row],[Номер]],4)</f>
        <v>180391</v>
      </c>
      <c r="C831" s="129">
        <v>43241</v>
      </c>
      <c r="D831" s="2" t="s">
        <v>209</v>
      </c>
      <c r="E831" s="108">
        <v>7211.4</v>
      </c>
      <c r="F831" s="129">
        <v>43242</v>
      </c>
      <c r="H831" s="129">
        <v>43241</v>
      </c>
      <c r="I831" s="108">
        <f t="shared" si="35"/>
        <v>7211.4</v>
      </c>
      <c r="J831" s="108" t="str">
        <f>IF(Таблица97[[#This Row],[НК]]=1,Таблица97[[#This Row],[Продажа]],"")</f>
        <v/>
      </c>
      <c r="M831" s="108">
        <v>5358</v>
      </c>
      <c r="N831" s="108">
        <f>Таблица97[[#This Row],[Продажа]]-Таблица97[[#This Row],[Закупка]]</f>
        <v>1853.3999999999996</v>
      </c>
      <c r="O831" s="108" t="str">
        <f>IF(Таблица97[[#This Row],[НК]]=1,Таблица97[[#This Row],[Маржа]],"")</f>
        <v/>
      </c>
    </row>
    <row r="832" spans="1:15" ht="20.100000000000001" customHeight="1" x14ac:dyDescent="0.25">
      <c r="A832" s="2">
        <v>280</v>
      </c>
      <c r="B832" s="2" t="str">
        <f>TEXT(Таблица97[[#This Row],[Дата]],"ГГ")&amp;RIGHT("000"&amp;Таблица97[[#This Row],[Номер]],4)</f>
        <v>180280</v>
      </c>
      <c r="C832" s="129">
        <v>43209</v>
      </c>
      <c r="D832" s="2" t="s">
        <v>56</v>
      </c>
      <c r="E832" s="108">
        <v>14175</v>
      </c>
      <c r="F832" s="129">
        <v>43243</v>
      </c>
      <c r="H832" s="129">
        <v>43237</v>
      </c>
      <c r="I832" s="108">
        <f t="shared" si="35"/>
        <v>14175</v>
      </c>
      <c r="J832" s="108" t="str">
        <f>IF(Таблица97[[#This Row],[НК]]=1,Таблица97[[#This Row],[Продажа]],"")</f>
        <v/>
      </c>
      <c r="M832" s="108">
        <v>8917.9</v>
      </c>
      <c r="N832" s="108">
        <f>Таблица97[[#This Row],[Продажа]]-Таблица97[[#This Row],[Закупка]]</f>
        <v>5257.1</v>
      </c>
      <c r="O832" s="108" t="str">
        <f>IF(Таблица97[[#This Row],[НК]]=1,Таблица97[[#This Row],[Маржа]],"")</f>
        <v/>
      </c>
    </row>
    <row r="833" spans="1:15" ht="20.100000000000001" customHeight="1" x14ac:dyDescent="0.25">
      <c r="A833" s="2">
        <v>121</v>
      </c>
      <c r="B833" s="2" t="str">
        <f>TEXT(Таблица97[[#This Row],[Дата]],"ГГ")&amp;RIGHT("000"&amp;Таблица97[[#This Row],[Номер]],4)</f>
        <v>180121</v>
      </c>
      <c r="C833" s="129">
        <v>43214</v>
      </c>
      <c r="D833" s="2" t="s">
        <v>65</v>
      </c>
      <c r="E833" s="108">
        <v>37199.919999999998</v>
      </c>
      <c r="F833" s="129">
        <v>43244</v>
      </c>
      <c r="H833" s="129">
        <v>43228</v>
      </c>
      <c r="I833" s="108">
        <f t="shared" si="35"/>
        <v>37199.919999999998</v>
      </c>
      <c r="J833" s="108" t="str">
        <f>IF(Таблица97[[#This Row],[НК]]=1,Таблица97[[#This Row],[Продажа]],"")</f>
        <v/>
      </c>
      <c r="M833" s="108">
        <v>30422</v>
      </c>
      <c r="N833" s="108">
        <f>Таблица97[[#This Row],[Продажа]]-Таблица97[[#This Row],[Закупка]]</f>
        <v>6777.9199999999983</v>
      </c>
      <c r="O833" s="108" t="str">
        <f>IF(Таблица97[[#This Row],[НК]]=1,Таблица97[[#This Row],[Маржа]],"")</f>
        <v/>
      </c>
    </row>
    <row r="834" spans="1:15" ht="20.100000000000001" customHeight="1" x14ac:dyDescent="0.25">
      <c r="A834" s="2">
        <v>287</v>
      </c>
      <c r="B834" s="2" t="str">
        <f>TEXT(Таблица97[[#This Row],[Дата]],"ГГ")&amp;RIGHT("000"&amp;Таблица97[[#This Row],[Номер]],4)</f>
        <v>180287</v>
      </c>
      <c r="C834" s="129">
        <v>43213</v>
      </c>
      <c r="D834" s="2" t="s">
        <v>65</v>
      </c>
      <c r="E834" s="108">
        <v>121200</v>
      </c>
      <c r="F834" s="129">
        <v>43244</v>
      </c>
      <c r="H834" s="129">
        <v>43242</v>
      </c>
      <c r="I834" s="108">
        <v>37199.919999999998</v>
      </c>
      <c r="J834" s="108" t="str">
        <f>IF(Таблица97[[#This Row],[НК]]=1,Таблица97[[#This Row],[Продажа]],"")</f>
        <v/>
      </c>
      <c r="M834" s="108">
        <v>15000</v>
      </c>
      <c r="N834" s="108">
        <f>Таблица97[[#This Row],[Продажа]]-Таблица97[[#This Row],[Закупка]]</f>
        <v>22199.919999999998</v>
      </c>
      <c r="O834" s="108" t="str">
        <f>IF(Таблица97[[#This Row],[НК]]=1,Таблица97[[#This Row],[Маржа]],"")</f>
        <v/>
      </c>
    </row>
    <row r="835" spans="1:15" ht="20.100000000000001" customHeight="1" x14ac:dyDescent="0.25">
      <c r="A835" s="2">
        <v>408</v>
      </c>
      <c r="B835" s="2" t="str">
        <f>TEXT(Таблица97[[#This Row],[Дата]],"ГГ")&amp;RIGHT("000"&amp;Таблица97[[#This Row],[Номер]],4)</f>
        <v>180408</v>
      </c>
      <c r="C835" s="129">
        <v>43243</v>
      </c>
      <c r="D835" s="2" t="s">
        <v>169</v>
      </c>
      <c r="E835" s="108">
        <v>99439</v>
      </c>
      <c r="F835" s="129">
        <v>43244</v>
      </c>
      <c r="H835" s="129">
        <v>43257</v>
      </c>
      <c r="I835" s="108">
        <f t="shared" ref="I835:I845" si="36">E835</f>
        <v>99439</v>
      </c>
      <c r="J835" s="108" t="str">
        <f>IF(Таблица97[[#This Row],[НК]]=1,Таблица97[[#This Row],[Продажа]],"")</f>
        <v/>
      </c>
      <c r="L835" s="108">
        <v>600</v>
      </c>
      <c r="M835" s="108">
        <v>73269</v>
      </c>
      <c r="N835" s="108">
        <f>Таблица97[[#This Row],[Продажа]]-Таблица97[[#This Row],[Закупка]]</f>
        <v>26170</v>
      </c>
      <c r="O835" s="108" t="str">
        <f>IF(Таблица97[[#This Row],[НК]]=1,Таблица97[[#This Row],[Маржа]],"")</f>
        <v/>
      </c>
    </row>
    <row r="836" spans="1:15" ht="20.100000000000001" customHeight="1" x14ac:dyDescent="0.25">
      <c r="A836" s="2">
        <v>416</v>
      </c>
      <c r="B836" s="2" t="str">
        <f>TEXT(Таблица97[[#This Row],[Дата]],"ГГ")&amp;RIGHT("000"&amp;Таблица97[[#This Row],[Номер]],4)</f>
        <v>180416</v>
      </c>
      <c r="C836" s="129">
        <v>43244</v>
      </c>
      <c r="D836" s="2" t="s">
        <v>292</v>
      </c>
      <c r="E836" s="108">
        <v>11035</v>
      </c>
      <c r="F836" s="129">
        <v>43245</v>
      </c>
      <c r="H836" s="129">
        <v>43259</v>
      </c>
      <c r="I836" s="108">
        <f t="shared" si="36"/>
        <v>11035</v>
      </c>
      <c r="J836" s="108" t="str">
        <f>IF(Таблица97[[#This Row],[НК]]=1,Таблица97[[#This Row],[Продажа]],"")</f>
        <v/>
      </c>
      <c r="M836" s="108">
        <v>7661</v>
      </c>
      <c r="N836" s="108">
        <f>Таблица97[[#This Row],[Продажа]]-Таблица97[[#This Row],[Закупка]]</f>
        <v>3374</v>
      </c>
      <c r="O836" s="108" t="str">
        <f>IF(Таблица97[[#This Row],[НК]]=1,Таблица97[[#This Row],[Маржа]],"")</f>
        <v/>
      </c>
    </row>
    <row r="837" spans="1:15" ht="20.100000000000001" customHeight="1" x14ac:dyDescent="0.25">
      <c r="A837" s="2">
        <v>247</v>
      </c>
      <c r="B837" s="2" t="str">
        <f>TEXT(Таблица97[[#This Row],[Дата]],"ГГ")&amp;RIGHT("000"&amp;Таблица97[[#This Row],[Номер]],4)</f>
        <v>180247</v>
      </c>
      <c r="C837" s="129">
        <v>43200</v>
      </c>
      <c r="D837" s="2" t="s">
        <v>99</v>
      </c>
      <c r="E837" s="108">
        <v>46230</v>
      </c>
      <c r="F837" s="129">
        <v>43248</v>
      </c>
      <c r="H837" s="129">
        <v>43209</v>
      </c>
      <c r="I837" s="108">
        <f t="shared" si="36"/>
        <v>46230</v>
      </c>
      <c r="J837" s="108" t="str">
        <f>IF(Таблица97[[#This Row],[НК]]=1,Таблица97[[#This Row],[Продажа]],"")</f>
        <v/>
      </c>
      <c r="M837" s="108">
        <v>31157</v>
      </c>
      <c r="N837" s="108">
        <f>Таблица97[[#This Row],[Продажа]]-Таблица97[[#This Row],[Закупка]]</f>
        <v>15073</v>
      </c>
      <c r="O837" s="108" t="str">
        <f>IF(Таблица97[[#This Row],[НК]]=1,Таблица97[[#This Row],[Маржа]],"")</f>
        <v/>
      </c>
    </row>
    <row r="838" spans="1:15" ht="20.100000000000001" customHeight="1" x14ac:dyDescent="0.25">
      <c r="A838" s="2">
        <v>218</v>
      </c>
      <c r="B838" s="2" t="str">
        <f>TEXT(Таблица97[[#This Row],[Дата]],"ГГ")&amp;RIGHT("000"&amp;Таблица97[[#This Row],[Номер]],4)</f>
        <v>180218</v>
      </c>
      <c r="C838" s="129">
        <v>43192</v>
      </c>
      <c r="D838" s="2" t="s">
        <v>99</v>
      </c>
      <c r="E838" s="108">
        <v>123596</v>
      </c>
      <c r="F838" s="129">
        <v>43248</v>
      </c>
      <c r="H838" s="129">
        <v>43209</v>
      </c>
      <c r="I838" s="108">
        <f t="shared" si="36"/>
        <v>123596</v>
      </c>
      <c r="J838" s="108" t="str">
        <f>IF(Таблица97[[#This Row],[НК]]=1,Таблица97[[#This Row],[Продажа]],"")</f>
        <v/>
      </c>
      <c r="M838" s="108">
        <v>92944</v>
      </c>
      <c r="N838" s="108">
        <f>Таблица97[[#This Row],[Продажа]]-Таблица97[[#This Row],[Закупка]]</f>
        <v>30652</v>
      </c>
      <c r="O838" s="108" t="str">
        <f>IF(Таблица97[[#This Row],[НК]]=1,Таблица97[[#This Row],[Маржа]],"")</f>
        <v/>
      </c>
    </row>
    <row r="839" spans="1:15" ht="20.100000000000001" customHeight="1" x14ac:dyDescent="0.25">
      <c r="A839" s="2">
        <v>135</v>
      </c>
      <c r="B839" s="2" t="str">
        <f>TEXT(Таблица97[[#This Row],[Дата]],"ГГ")&amp;RIGHT("000"&amp;Таблица97[[#This Row],[Номер]],4)</f>
        <v>180135</v>
      </c>
      <c r="C839" s="129">
        <v>43217</v>
      </c>
      <c r="D839" s="2" t="s">
        <v>99</v>
      </c>
      <c r="E839" s="108">
        <v>425670</v>
      </c>
      <c r="F839" s="129">
        <v>43248</v>
      </c>
      <c r="H839" s="129">
        <v>43223</v>
      </c>
      <c r="I839" s="108">
        <f t="shared" si="36"/>
        <v>425670</v>
      </c>
      <c r="J839" s="108" t="str">
        <f>IF(Таблица97[[#This Row],[НК]]=1,Таблица97[[#This Row],[Продажа]],"")</f>
        <v/>
      </c>
      <c r="M839" s="108">
        <v>317496</v>
      </c>
      <c r="N839" s="108">
        <f>Таблица97[[#This Row],[Продажа]]-Таблица97[[#This Row],[Закупка]]</f>
        <v>108174</v>
      </c>
      <c r="O839" s="108" t="str">
        <f>IF(Таблица97[[#This Row],[НК]]=1,Таблица97[[#This Row],[Маржа]],"")</f>
        <v/>
      </c>
    </row>
    <row r="840" spans="1:15" ht="20.100000000000001" customHeight="1" x14ac:dyDescent="0.25">
      <c r="A840" s="2">
        <v>429</v>
      </c>
      <c r="B840" s="2" t="str">
        <f>TEXT(Таблица97[[#This Row],[Дата]],"ГГ")&amp;RIGHT("000"&amp;Таблица97[[#This Row],[Номер]],4)</f>
        <v>180429</v>
      </c>
      <c r="C840" s="129">
        <v>43249</v>
      </c>
      <c r="D840" s="2" t="s">
        <v>330</v>
      </c>
      <c r="E840" s="108">
        <v>53490</v>
      </c>
      <c r="F840" s="129">
        <v>43249</v>
      </c>
      <c r="G840" s="128">
        <v>1</v>
      </c>
      <c r="H840" s="129">
        <v>43250</v>
      </c>
      <c r="I840" s="108">
        <f t="shared" si="36"/>
        <v>53490</v>
      </c>
      <c r="J840" s="108">
        <f>IF(Таблица97[[#This Row],[НК]]=1,Таблица97[[#This Row],[Продажа]],"")</f>
        <v>53490</v>
      </c>
      <c r="M840" s="108">
        <v>36129</v>
      </c>
      <c r="N840" s="108">
        <f>Таблица97[[#This Row],[Продажа]]-Таблица97[[#This Row],[Закупка]]</f>
        <v>17361</v>
      </c>
      <c r="O840" s="108">
        <f>IF(Таблица97[[#This Row],[НК]]=1,Таблица97[[#This Row],[Маржа]],"")</f>
        <v>17361</v>
      </c>
    </row>
    <row r="841" spans="1:15" ht="20.100000000000001" customHeight="1" x14ac:dyDescent="0.25">
      <c r="A841" s="2">
        <v>403</v>
      </c>
      <c r="B841" s="2" t="str">
        <f>TEXT(Таблица97[[#This Row],[Дата]],"ГГ")&amp;RIGHT("000"&amp;Таблица97[[#This Row],[Номер]],4)</f>
        <v>180403</v>
      </c>
      <c r="C841" s="129">
        <v>43243</v>
      </c>
      <c r="D841" s="2" t="s">
        <v>186</v>
      </c>
      <c r="E841" s="108">
        <v>9208</v>
      </c>
      <c r="F841" s="129">
        <v>43249</v>
      </c>
      <c r="H841" s="129">
        <v>43250</v>
      </c>
      <c r="I841" s="108">
        <f t="shared" si="36"/>
        <v>9208</v>
      </c>
      <c r="J841" s="108" t="str">
        <f>IF(Таблица97[[#This Row],[НК]]=1,Таблица97[[#This Row],[Продажа]],"")</f>
        <v/>
      </c>
      <c r="M841" s="108">
        <v>6754</v>
      </c>
      <c r="N841" s="108">
        <f>Таблица97[[#This Row],[Продажа]]-Таблица97[[#This Row],[Закупка]]</f>
        <v>2454</v>
      </c>
      <c r="O841" s="108" t="str">
        <f>IF(Таблица97[[#This Row],[НК]]=1,Таблица97[[#This Row],[Маржа]],"")</f>
        <v/>
      </c>
    </row>
    <row r="842" spans="1:15" ht="20.100000000000001" customHeight="1" x14ac:dyDescent="0.25">
      <c r="A842" s="2">
        <v>382</v>
      </c>
      <c r="B842" s="2" t="str">
        <f>TEXT(Таблица97[[#This Row],[Дата]],"ГГ")&amp;RIGHT("000"&amp;Таблица97[[#This Row],[Номер]],4)</f>
        <v>180382</v>
      </c>
      <c r="C842" s="129">
        <v>43238</v>
      </c>
      <c r="D842" s="2" t="s">
        <v>328</v>
      </c>
      <c r="E842" s="108">
        <v>735</v>
      </c>
      <c r="F842" s="129">
        <v>43249</v>
      </c>
      <c r="G842" s="128">
        <v>1</v>
      </c>
      <c r="H842" s="129">
        <v>43256</v>
      </c>
      <c r="I842" s="108">
        <f t="shared" si="36"/>
        <v>735</v>
      </c>
      <c r="J842" s="108">
        <f>IF(Таблица97[[#This Row],[НК]]=1,Таблица97[[#This Row],[Продажа]],"")</f>
        <v>735</v>
      </c>
      <c r="M842" s="108">
        <v>573</v>
      </c>
      <c r="N842" s="108">
        <f>Таблица97[[#This Row],[Продажа]]-Таблица97[[#This Row],[Закупка]]</f>
        <v>162</v>
      </c>
      <c r="O842" s="108">
        <f>IF(Таблица97[[#This Row],[НК]]=1,Таблица97[[#This Row],[Маржа]],"")</f>
        <v>162</v>
      </c>
    </row>
    <row r="843" spans="1:15" ht="20.100000000000001" customHeight="1" x14ac:dyDescent="0.25">
      <c r="A843" s="2">
        <v>301</v>
      </c>
      <c r="B843" s="2" t="str">
        <f>TEXT(Таблица97[[#This Row],[Дата]],"ГГ")&amp;RIGHT("000"&amp;Таблица97[[#This Row],[Номер]],4)</f>
        <v>180301</v>
      </c>
      <c r="C843" s="129">
        <v>43214</v>
      </c>
      <c r="D843" s="2" t="s">
        <v>147</v>
      </c>
      <c r="E843" s="108">
        <v>9640</v>
      </c>
      <c r="F843" s="129">
        <v>43249</v>
      </c>
      <c r="H843" s="129">
        <v>43250</v>
      </c>
      <c r="I843" s="108">
        <f t="shared" si="36"/>
        <v>9640</v>
      </c>
      <c r="J843" s="108" t="str">
        <f>IF(Таблица97[[#This Row],[НК]]=1,Таблица97[[#This Row],[Продажа]],"")</f>
        <v/>
      </c>
      <c r="M843" s="108">
        <v>7512</v>
      </c>
      <c r="N843" s="108">
        <f>Таблица97[[#This Row],[Продажа]]-Таблица97[[#This Row],[Закупка]]</f>
        <v>2128</v>
      </c>
      <c r="O843" s="108" t="str">
        <f>IF(Таблица97[[#This Row],[НК]]=1,Таблица97[[#This Row],[Маржа]],"")</f>
        <v/>
      </c>
    </row>
    <row r="844" spans="1:15" ht="20.100000000000001" customHeight="1" x14ac:dyDescent="0.25">
      <c r="A844" s="2">
        <v>436</v>
      </c>
      <c r="B844" s="2" t="str">
        <f>TEXT(Таблица97[[#This Row],[Дата]],"ГГ")&amp;RIGHT("000"&amp;Таблица97[[#This Row],[Номер]],4)</f>
        <v>180436</v>
      </c>
      <c r="C844" s="129">
        <v>43250</v>
      </c>
      <c r="D844" s="2" t="s">
        <v>330</v>
      </c>
      <c r="E844" s="108">
        <v>2544</v>
      </c>
      <c r="F844" s="129">
        <v>43250</v>
      </c>
      <c r="G844" s="128">
        <v>1</v>
      </c>
      <c r="H844" s="129">
        <v>43250</v>
      </c>
      <c r="I844" s="108">
        <f t="shared" si="36"/>
        <v>2544</v>
      </c>
      <c r="J844" s="108">
        <f>IF(Таблица97[[#This Row],[НК]]=1,Таблица97[[#This Row],[Продажа]],"")</f>
        <v>2544</v>
      </c>
      <c r="M844" s="108">
        <v>1878</v>
      </c>
      <c r="N844" s="108">
        <f>Таблица97[[#This Row],[Продажа]]-Таблица97[[#This Row],[Закупка]]</f>
        <v>666</v>
      </c>
      <c r="O844" s="108">
        <f>IF(Таблица97[[#This Row],[НК]]=1,Таблица97[[#This Row],[Маржа]],"")</f>
        <v>666</v>
      </c>
    </row>
    <row r="845" spans="1:15" ht="20.100000000000001" customHeight="1" x14ac:dyDescent="0.25">
      <c r="A845" s="2">
        <v>417</v>
      </c>
      <c r="B845" s="2" t="str">
        <f>TEXT(Таблица97[[#This Row],[Дата]],"ГГ")&amp;RIGHT("000"&amp;Таблица97[[#This Row],[Номер]],4)</f>
        <v>180417</v>
      </c>
      <c r="C845" s="129">
        <v>43245</v>
      </c>
      <c r="D845" s="2" t="s">
        <v>49</v>
      </c>
      <c r="E845" s="108">
        <v>7245</v>
      </c>
      <c r="F845" s="129">
        <v>43250</v>
      </c>
      <c r="H845" s="129">
        <v>43258</v>
      </c>
      <c r="I845" s="108">
        <f t="shared" si="36"/>
        <v>7245</v>
      </c>
      <c r="J845" s="108" t="str">
        <f>IF(Таблица97[[#This Row],[НК]]=1,Таблица97[[#This Row],[Продажа]],"")</f>
        <v/>
      </c>
      <c r="M845" s="108">
        <v>4705</v>
      </c>
      <c r="N845" s="108">
        <f>Таблица97[[#This Row],[Продажа]]-Таблица97[[#This Row],[Закупка]]</f>
        <v>2540</v>
      </c>
      <c r="O845" s="108" t="str">
        <f>IF(Таблица97[[#This Row],[НК]]=1,Таблица97[[#This Row],[Маржа]],"")</f>
        <v/>
      </c>
    </row>
    <row r="846" spans="1:15" ht="20.100000000000001" customHeight="1" x14ac:dyDescent="0.25">
      <c r="A846" s="2">
        <v>424</v>
      </c>
      <c r="B846" s="2" t="str">
        <f>TEXT(Таблица97[[#This Row],[Дата]],"ГГ")&amp;RIGHT("000"&amp;Таблица97[[#This Row],[Номер]],4)</f>
        <v>180424</v>
      </c>
      <c r="C846" s="129">
        <v>43248</v>
      </c>
      <c r="D846" s="2" t="s">
        <v>216</v>
      </c>
      <c r="E846" s="108">
        <v>4435.3</v>
      </c>
      <c r="F846" s="129">
        <v>43252</v>
      </c>
      <c r="H846" s="129">
        <v>43257</v>
      </c>
      <c r="I846" s="108">
        <f>E846</f>
        <v>4435.3</v>
      </c>
      <c r="J846" s="108" t="str">
        <f>IF(Таблица97[[#This Row],[НК]]=1,Таблица97[[#This Row],[Продажа]],"")</f>
        <v/>
      </c>
      <c r="M846" s="108">
        <v>3839</v>
      </c>
      <c r="N846" s="108">
        <f>Таблица97[[#This Row],[Продажа]]-Таблица97[[#This Row],[Закупка]]</f>
        <v>596.30000000000018</v>
      </c>
      <c r="O846" s="108" t="str">
        <f>IF(Таблица97[[#This Row],[НК]]=1,Таблица97[[#This Row],[Маржа]],"")</f>
        <v/>
      </c>
    </row>
    <row r="847" spans="1:15" ht="20.100000000000001" customHeight="1" x14ac:dyDescent="0.25">
      <c r="A847" s="2">
        <v>446</v>
      </c>
      <c r="B847" s="2" t="str">
        <f>TEXT(Таблица97[[#This Row],[Дата]],"ГГ")&amp;RIGHT("000"&amp;Таблица97[[#This Row],[Номер]],4)</f>
        <v>180446</v>
      </c>
      <c r="C847" s="129">
        <v>43252</v>
      </c>
      <c r="D847" s="2" t="s">
        <v>331</v>
      </c>
      <c r="E847" s="108">
        <v>38540</v>
      </c>
      <c r="F847" s="129">
        <v>43252</v>
      </c>
      <c r="G847" s="128">
        <v>1</v>
      </c>
      <c r="H847" s="129">
        <v>43253</v>
      </c>
      <c r="I847" s="108">
        <f>E847</f>
        <v>38540</v>
      </c>
      <c r="J847" s="108">
        <f>IF(Таблица97[[#This Row],[НК]]=1,Таблица97[[#This Row],[Продажа]],"")</f>
        <v>38540</v>
      </c>
      <c r="M847" s="108">
        <v>29506</v>
      </c>
      <c r="N847" s="108">
        <f>Таблица97[[#This Row],[Продажа]]-Таблица97[[#This Row],[Закупка]]</f>
        <v>9034</v>
      </c>
      <c r="O847" s="108">
        <f>IF(Таблица97[[#This Row],[НК]]=1,Таблица97[[#This Row],[Маржа]],"")</f>
        <v>9034</v>
      </c>
    </row>
    <row r="848" spans="1:15" ht="20.100000000000001" customHeight="1" x14ac:dyDescent="0.25">
      <c r="A848" s="2">
        <v>401</v>
      </c>
      <c r="B848" s="2" t="str">
        <f>TEXT(Таблица97[[#This Row],[Дата]],"ГГ")&amp;RIGHT("000"&amp;Таблица97[[#This Row],[Номер]],4)</f>
        <v>180401</v>
      </c>
      <c r="C848" s="129">
        <v>43243</v>
      </c>
      <c r="D848" s="2" t="s">
        <v>182</v>
      </c>
      <c r="E848" s="108">
        <v>16259</v>
      </c>
      <c r="F848" s="129">
        <v>43255</v>
      </c>
      <c r="H848" s="129">
        <v>43258</v>
      </c>
      <c r="I848" s="108">
        <f>E848</f>
        <v>16259</v>
      </c>
      <c r="J848" s="108" t="str">
        <f>IF(Таблица97[[#This Row],[НК]]=1,Таблица97[[#This Row],[Продажа]],"")</f>
        <v/>
      </c>
      <c r="M848" s="108">
        <v>9465.9</v>
      </c>
      <c r="N848" s="108">
        <f>Таблица97[[#This Row],[Продажа]]-Таблица97[[#This Row],[Закупка]]</f>
        <v>6793.1</v>
      </c>
      <c r="O848" s="108" t="str">
        <f>IF(Таблица97[[#This Row],[НК]]=1,Таблица97[[#This Row],[Маржа]],"")</f>
        <v/>
      </c>
    </row>
    <row r="849" spans="1:15" ht="20.100000000000001" customHeight="1" x14ac:dyDescent="0.25">
      <c r="A849" s="2">
        <v>441</v>
      </c>
      <c r="B849" s="2" t="str">
        <f>TEXT(Таблица97[[#This Row],[Дата]],"ГГ")&amp;RIGHT("000"&amp;Таблица97[[#This Row],[Номер]],4)</f>
        <v>180441</v>
      </c>
      <c r="C849" s="129">
        <v>43250</v>
      </c>
      <c r="D849" s="2" t="s">
        <v>162</v>
      </c>
      <c r="E849" s="108">
        <v>63390</v>
      </c>
      <c r="F849" s="129">
        <v>43255</v>
      </c>
      <c r="H849" s="129">
        <v>43258</v>
      </c>
      <c r="I849" s="108">
        <f>E849</f>
        <v>63390</v>
      </c>
      <c r="J849" s="108" t="str">
        <f>IF(Таблица97[[#This Row],[НК]]=1,Таблица97[[#This Row],[Продажа]],"")</f>
        <v/>
      </c>
      <c r="M849" s="108">
        <v>47922</v>
      </c>
      <c r="N849" s="108">
        <f>Таблица97[[#This Row],[Продажа]]-Таблица97[[#This Row],[Закупка]]</f>
        <v>15468</v>
      </c>
      <c r="O849" s="108" t="str">
        <f>IF(Таблица97[[#This Row],[НК]]=1,Таблица97[[#This Row],[Маржа]],"")</f>
        <v/>
      </c>
    </row>
    <row r="850" spans="1:15" ht="20.100000000000001" customHeight="1" x14ac:dyDescent="0.25">
      <c r="A850" s="2">
        <v>455</v>
      </c>
      <c r="B850" s="2" t="str">
        <f>TEXT(Таблица97[[#This Row],[Дата]],"ГГ")&amp;RIGHT("000"&amp;Таблица97[[#This Row],[Номер]],4)</f>
        <v>180455</v>
      </c>
      <c r="C850" s="129">
        <v>43256</v>
      </c>
      <c r="D850" s="2" t="s">
        <v>281</v>
      </c>
      <c r="E850" s="108">
        <v>2160</v>
      </c>
      <c r="F850" s="129">
        <v>43256</v>
      </c>
      <c r="H850" s="129">
        <v>43256</v>
      </c>
      <c r="I850" s="108">
        <f>E850</f>
        <v>2160</v>
      </c>
      <c r="J850" s="108" t="str">
        <f>IF(Таблица97[[#This Row],[НК]]=1,Таблица97[[#This Row],[Продажа]],"")</f>
        <v/>
      </c>
      <c r="M850" s="108">
        <v>1638</v>
      </c>
      <c r="N850" s="108">
        <f>Таблица97[[#This Row],[Продажа]]-Таблица97[[#This Row],[Закупка]]</f>
        <v>522</v>
      </c>
      <c r="O850" s="108" t="str">
        <f>IF(Таблица97[[#This Row],[НК]]=1,Таблица97[[#This Row],[Маржа]],"")</f>
        <v/>
      </c>
    </row>
    <row r="851" spans="1:15" ht="20.100000000000001" customHeight="1" x14ac:dyDescent="0.25">
      <c r="A851" s="2">
        <v>287</v>
      </c>
      <c r="B851" s="2" t="str">
        <f>TEXT(Таблица97[[#This Row],[Дата]],"ГГ")&amp;RIGHT("000"&amp;Таблица97[[#This Row],[Номер]],4)</f>
        <v>180287</v>
      </c>
      <c r="C851" s="129">
        <v>43213</v>
      </c>
      <c r="D851" s="2" t="s">
        <v>65</v>
      </c>
      <c r="E851" s="108">
        <v>121200</v>
      </c>
      <c r="F851" s="129">
        <v>43256</v>
      </c>
      <c r="H851" s="129">
        <v>43242</v>
      </c>
      <c r="I851" s="108">
        <v>84000.08</v>
      </c>
      <c r="J851" s="108" t="str">
        <f>IF(Таблица97[[#This Row],[НК]]=1,Таблица97[[#This Row],[Продажа]],"")</f>
        <v/>
      </c>
      <c r="L851" s="108">
        <f>600*8</f>
        <v>4800</v>
      </c>
      <c r="M851" s="108">
        <v>31152</v>
      </c>
      <c r="N851" s="108">
        <f>Таблица97[[#This Row],[Продажа]]-Таблица97[[#This Row],[Закупка]]</f>
        <v>52848.08</v>
      </c>
      <c r="O851" s="108" t="str">
        <f>IF(Таблица97[[#This Row],[НК]]=1,Таблица97[[#This Row],[Маржа]],"")</f>
        <v/>
      </c>
    </row>
    <row r="852" spans="1:15" ht="20.100000000000001" customHeight="1" x14ac:dyDescent="0.25">
      <c r="A852" s="2">
        <v>447</v>
      </c>
      <c r="B852" s="2" t="str">
        <f>TEXT(Таблица97[[#This Row],[Дата]],"ГГ")&amp;RIGHT("000"&amp;Таблица97[[#This Row],[Номер]],4)</f>
        <v>180447</v>
      </c>
      <c r="C852" s="129">
        <v>43252</v>
      </c>
      <c r="D852" s="2" t="s">
        <v>216</v>
      </c>
      <c r="E852" s="108">
        <v>2953.75</v>
      </c>
      <c r="F852" s="129">
        <v>43256</v>
      </c>
      <c r="H852" s="129">
        <v>43269</v>
      </c>
      <c r="I852" s="108">
        <f t="shared" ref="I852:I885" si="37">E852</f>
        <v>2953.75</v>
      </c>
      <c r="J852" s="108" t="str">
        <f>IF(Таблица97[[#This Row],[НК]]=1,Таблица97[[#This Row],[Продажа]],"")</f>
        <v/>
      </c>
      <c r="M852" s="108">
        <v>2396</v>
      </c>
      <c r="N852" s="108">
        <f>Таблица97[[#This Row],[Продажа]]-Таблица97[[#This Row],[Закупка]]</f>
        <v>557.75</v>
      </c>
      <c r="O852" s="108" t="str">
        <f>IF(Таблица97[[#This Row],[НК]]=1,Таблица97[[#This Row],[Маржа]],"")</f>
        <v/>
      </c>
    </row>
    <row r="853" spans="1:15" ht="20.100000000000001" customHeight="1" x14ac:dyDescent="0.25">
      <c r="A853" s="2">
        <v>389</v>
      </c>
      <c r="B853" s="2" t="str">
        <f>TEXT(Таблица97[[#This Row],[Дата]],"ГГ")&amp;RIGHT("000"&amp;Таблица97[[#This Row],[Номер]],4)</f>
        <v>180389</v>
      </c>
      <c r="C853" s="129">
        <v>43241</v>
      </c>
      <c r="D853" s="2" t="s">
        <v>33</v>
      </c>
      <c r="E853" s="108">
        <v>9600</v>
      </c>
      <c r="F853" s="129">
        <v>43256</v>
      </c>
      <c r="H853" s="129">
        <v>43266</v>
      </c>
      <c r="I853" s="108">
        <f t="shared" si="37"/>
        <v>9600</v>
      </c>
      <c r="J853" s="108" t="str">
        <f>IF(Таблица97[[#This Row],[НК]]=1,Таблица97[[#This Row],[Продажа]],"")</f>
        <v/>
      </c>
      <c r="L853" s="108">
        <f>600*2</f>
        <v>1200</v>
      </c>
      <c r="M853" s="108">
        <v>2514</v>
      </c>
      <c r="N853" s="108">
        <f>Таблица97[[#This Row],[Продажа]]-Таблица97[[#This Row],[Закупка]]</f>
        <v>7086</v>
      </c>
      <c r="O853" s="108" t="str">
        <f>IF(Таблица97[[#This Row],[НК]]=1,Таблица97[[#This Row],[Маржа]],"")</f>
        <v/>
      </c>
    </row>
    <row r="854" spans="1:15" ht="20.100000000000001" customHeight="1" x14ac:dyDescent="0.25">
      <c r="A854" s="2">
        <v>378</v>
      </c>
      <c r="B854" s="2" t="str">
        <f>TEXT(Таблица97[[#This Row],[Дата]],"ГГ")&amp;RIGHT("000"&amp;Таблица97[[#This Row],[Номер]],4)</f>
        <v>180378</v>
      </c>
      <c r="C854" s="129">
        <v>43237</v>
      </c>
      <c r="D854" s="2" t="s">
        <v>56</v>
      </c>
      <c r="E854" s="108">
        <v>2120</v>
      </c>
      <c r="F854" s="129">
        <v>43257</v>
      </c>
      <c r="H854" s="129">
        <v>43249</v>
      </c>
      <c r="I854" s="108">
        <f t="shared" si="37"/>
        <v>2120</v>
      </c>
      <c r="J854" s="108" t="str">
        <f>IF(Таблица97[[#This Row],[НК]]=1,Таблица97[[#This Row],[Продажа]],"")</f>
        <v/>
      </c>
      <c r="M854" s="108">
        <v>1476</v>
      </c>
      <c r="N854" s="108">
        <f>Таблица97[[#This Row],[Продажа]]-Таблица97[[#This Row],[Закупка]]</f>
        <v>644</v>
      </c>
      <c r="O854" s="108" t="str">
        <f>IF(Таблица97[[#This Row],[НК]]=1,Таблица97[[#This Row],[Маржа]],"")</f>
        <v/>
      </c>
    </row>
    <row r="855" spans="1:15" ht="20.100000000000001" customHeight="1" x14ac:dyDescent="0.25">
      <c r="A855" s="2">
        <v>460</v>
      </c>
      <c r="B855" s="2" t="str">
        <f>TEXT(Таблица97[[#This Row],[Дата]],"ГГ")&amp;RIGHT("000"&amp;Таблица97[[#This Row],[Номер]],4)</f>
        <v>180460</v>
      </c>
      <c r="C855" s="129">
        <v>43257</v>
      </c>
      <c r="D855" s="2" t="s">
        <v>332</v>
      </c>
      <c r="E855" s="108">
        <v>13198</v>
      </c>
      <c r="F855" s="129">
        <v>43258</v>
      </c>
      <c r="G855" s="128">
        <v>1</v>
      </c>
      <c r="H855" s="129">
        <v>43264</v>
      </c>
      <c r="I855" s="108">
        <f t="shared" si="37"/>
        <v>13198</v>
      </c>
      <c r="J855" s="108">
        <f>IF(Таблица97[[#This Row],[НК]]=1,Таблица97[[#This Row],[Продажа]],"")</f>
        <v>13198</v>
      </c>
      <c r="M855" s="108">
        <v>9392</v>
      </c>
      <c r="N855" s="108">
        <f>Таблица97[[#This Row],[Продажа]]-Таблица97[[#This Row],[Закупка]]</f>
        <v>3806</v>
      </c>
      <c r="O855" s="108">
        <f>IF(Таблица97[[#This Row],[НК]]=1,Таблица97[[#This Row],[Маржа]],"")</f>
        <v>3806</v>
      </c>
    </row>
    <row r="856" spans="1:15" ht="19.5" customHeight="1" x14ac:dyDescent="0.25">
      <c r="A856" s="2">
        <v>479</v>
      </c>
      <c r="B856" s="2" t="str">
        <f>TEXT(Таблица97[[#This Row],[Дата]],"ГГ")&amp;RIGHT("000"&amp;Таблица97[[#This Row],[Номер]],4)</f>
        <v>180479</v>
      </c>
      <c r="C856" s="129">
        <v>43259</v>
      </c>
      <c r="D856" s="2" t="s">
        <v>292</v>
      </c>
      <c r="E856" s="108">
        <v>479</v>
      </c>
      <c r="F856" s="129">
        <v>43259</v>
      </c>
      <c r="H856" s="129">
        <v>43259</v>
      </c>
      <c r="I856" s="108">
        <f t="shared" si="37"/>
        <v>479</v>
      </c>
      <c r="J856" s="108" t="str">
        <f>IF(Таблица97[[#This Row],[НК]]=1,Таблица97[[#This Row],[Продажа]],"")</f>
        <v/>
      </c>
      <c r="M856" s="108">
        <v>286</v>
      </c>
      <c r="N856" s="108">
        <f>Таблица97[[#This Row],[Продажа]]-Таблица97[[#This Row],[Закупка]]</f>
        <v>193</v>
      </c>
      <c r="O856" s="108" t="str">
        <f>IF(Таблица97[[#This Row],[НК]]=1,Таблица97[[#This Row],[Маржа]],"")</f>
        <v/>
      </c>
    </row>
    <row r="857" spans="1:15" ht="19.5" customHeight="1" x14ac:dyDescent="0.25">
      <c r="A857" s="2">
        <v>483</v>
      </c>
      <c r="B857" s="2" t="str">
        <f>TEXT(Таблица97[[#This Row],[Дата]],"ГГ")&amp;RIGHT("000"&amp;Таблица97[[#This Row],[Номер]],4)</f>
        <v>180483</v>
      </c>
      <c r="C857" s="129">
        <v>43260</v>
      </c>
      <c r="D857" s="2" t="s">
        <v>15</v>
      </c>
      <c r="E857" s="108">
        <v>25440</v>
      </c>
      <c r="F857" s="129">
        <v>43260</v>
      </c>
      <c r="H857" s="129">
        <v>43266</v>
      </c>
      <c r="I857" s="108">
        <f t="shared" si="37"/>
        <v>25440</v>
      </c>
      <c r="J857" s="108" t="str">
        <f>IF(Таблица97[[#This Row],[НК]]=1,Таблица97[[#This Row],[Продажа]],"")</f>
        <v/>
      </c>
      <c r="M857" s="108">
        <v>18780</v>
      </c>
      <c r="N857" s="108">
        <f>Таблица97[[#This Row],[Продажа]]-Таблица97[[#This Row],[Закупка]]</f>
        <v>6660</v>
      </c>
      <c r="O857" s="108" t="str">
        <f>IF(Таблица97[[#This Row],[НК]]=1,Таблица97[[#This Row],[Маржа]],"")</f>
        <v/>
      </c>
    </row>
    <row r="858" spans="1:15" ht="19.5" customHeight="1" x14ac:dyDescent="0.25">
      <c r="A858" s="2">
        <v>413</v>
      </c>
      <c r="B858" s="2" t="str">
        <f>TEXT(Таблица97[[#This Row],[Дата]],"ГГ")&amp;RIGHT("000"&amp;Таблица97[[#This Row],[Номер]],4)</f>
        <v>180413</v>
      </c>
      <c r="C858" s="129">
        <v>43244</v>
      </c>
      <c r="D858" s="2" t="s">
        <v>333</v>
      </c>
      <c r="E858" s="108">
        <v>19990</v>
      </c>
      <c r="F858" s="129">
        <v>43260</v>
      </c>
      <c r="G858" s="128">
        <v>1</v>
      </c>
      <c r="H858" s="129">
        <v>43265</v>
      </c>
      <c r="I858" s="108">
        <f t="shared" si="37"/>
        <v>19990</v>
      </c>
      <c r="J858" s="108">
        <f>IF(Таблица97[[#This Row],[НК]]=1,Таблица97[[#This Row],[Продажа]],"")</f>
        <v>19990</v>
      </c>
      <c r="M858" s="108">
        <v>15742</v>
      </c>
      <c r="N858" s="108">
        <f>Таблица97[[#This Row],[Продажа]]-Таблица97[[#This Row],[Закупка]]</f>
        <v>4248</v>
      </c>
      <c r="O858" s="108">
        <f>IF(Таблица97[[#This Row],[НК]]=1,Таблица97[[#This Row],[Маржа]],"")</f>
        <v>4248</v>
      </c>
    </row>
    <row r="859" spans="1:15" ht="19.5" customHeight="1" x14ac:dyDescent="0.25">
      <c r="A859" s="2">
        <v>487</v>
      </c>
      <c r="B859" s="2" t="str">
        <f>TEXT(Таблица97[[#This Row],[Дата]],"ГГ")&amp;RIGHT("000"&amp;Таблица97[[#This Row],[Номер]],4)</f>
        <v>180487</v>
      </c>
      <c r="C859" s="129">
        <v>43264</v>
      </c>
      <c r="D859" s="2" t="s">
        <v>292</v>
      </c>
      <c r="E859" s="108">
        <v>6296</v>
      </c>
      <c r="F859" s="129">
        <v>43264</v>
      </c>
      <c r="H859" s="129">
        <v>43277</v>
      </c>
      <c r="I859" s="108">
        <f t="shared" si="37"/>
        <v>6296</v>
      </c>
      <c r="J859" s="108" t="str">
        <f>IF(Таблица97[[#This Row],[НК]]=1,Таблица97[[#This Row],[Продажа]],"")</f>
        <v/>
      </c>
      <c r="M859" s="108">
        <v>4131</v>
      </c>
      <c r="N859" s="108">
        <f>Таблица97[[#This Row],[Продажа]]-Таблица97[[#This Row],[Закупка]]</f>
        <v>2165</v>
      </c>
      <c r="O859" s="108" t="str">
        <f>IF(Таблица97[[#This Row],[НК]]=1,Таблица97[[#This Row],[Маржа]],"")</f>
        <v/>
      </c>
    </row>
    <row r="860" spans="1:15" ht="19.5" customHeight="1" x14ac:dyDescent="0.25">
      <c r="A860" s="2">
        <v>446</v>
      </c>
      <c r="B860" s="2" t="str">
        <f>TEXT(Таблица97[[#This Row],[Дата]],"ГГ")&amp;RIGHT("000"&amp;Таблица97[[#This Row],[Номер]],4)</f>
        <v>180446</v>
      </c>
      <c r="C860" s="129">
        <v>43257</v>
      </c>
      <c r="D860" s="2" t="s">
        <v>334</v>
      </c>
      <c r="E860" s="108">
        <v>1385</v>
      </c>
      <c r="F860" s="129">
        <v>43265</v>
      </c>
      <c r="G860" s="128">
        <v>1</v>
      </c>
      <c r="H860" s="129">
        <v>43276</v>
      </c>
      <c r="I860" s="108">
        <f t="shared" si="37"/>
        <v>1385</v>
      </c>
      <c r="J860" s="108">
        <f>IF(Таблица97[[#This Row],[НК]]=1,Таблица97[[#This Row],[Продажа]],"")</f>
        <v>1385</v>
      </c>
      <c r="M860" s="108">
        <v>1080</v>
      </c>
      <c r="N860" s="108">
        <f>Таблица97[[#This Row],[Продажа]]-Таблица97[[#This Row],[Закупка]]</f>
        <v>305</v>
      </c>
      <c r="O860" s="108">
        <f>IF(Таблица97[[#This Row],[НК]]=1,Таблица97[[#This Row],[Маржа]],"")</f>
        <v>305</v>
      </c>
    </row>
    <row r="861" spans="1:15" ht="20.100000000000001" customHeight="1" x14ac:dyDescent="0.25">
      <c r="A861" s="2">
        <v>415</v>
      </c>
      <c r="B861" s="2" t="str">
        <f>TEXT(Таблица97[[#This Row],[Дата]],"ГГ")&amp;RIGHT("000"&amp;Таблица97[[#This Row],[Номер]],4)</f>
        <v>180415</v>
      </c>
      <c r="C861" s="129">
        <v>43244</v>
      </c>
      <c r="D861" s="2" t="s">
        <v>228</v>
      </c>
      <c r="E861" s="108">
        <v>87407</v>
      </c>
      <c r="F861" s="129">
        <v>43265</v>
      </c>
      <c r="H861" s="129">
        <v>43327</v>
      </c>
      <c r="I861" s="108">
        <f t="shared" si="37"/>
        <v>87407</v>
      </c>
      <c r="J861" s="108" t="str">
        <f>IF(Таблица97[[#This Row],[НК]]=1,Таблица97[[#This Row],[Продажа]],"")</f>
        <v/>
      </c>
      <c r="L861" s="108">
        <f>600*2</f>
        <v>1200</v>
      </c>
      <c r="M861" s="108">
        <v>53116</v>
      </c>
      <c r="N861" s="108">
        <f>Таблица97[[#This Row],[Продажа]]-Таблица97[[#This Row],[Закупка]]</f>
        <v>34291</v>
      </c>
      <c r="O861" s="108" t="str">
        <f>IF(Таблица97[[#This Row],[НК]]=1,Таблица97[[#This Row],[Маржа]],"")</f>
        <v/>
      </c>
    </row>
    <row r="862" spans="1:15" ht="20.100000000000001" customHeight="1" x14ac:dyDescent="0.25">
      <c r="A862" s="2">
        <v>462</v>
      </c>
      <c r="B862" s="2" t="str">
        <f>TEXT(Таблица97[[#This Row],[Дата]],"ГГ")&amp;RIGHT("000"&amp;Таблица97[[#This Row],[Номер]],4)</f>
        <v>180462</v>
      </c>
      <c r="C862" s="129">
        <v>43257</v>
      </c>
      <c r="D862" s="2" t="s">
        <v>228</v>
      </c>
      <c r="E862" s="108">
        <v>9044</v>
      </c>
      <c r="F862" s="129">
        <v>43265</v>
      </c>
      <c r="H862" s="129">
        <v>43285</v>
      </c>
      <c r="I862" s="108">
        <f t="shared" si="37"/>
        <v>9044</v>
      </c>
      <c r="J862" s="108" t="str">
        <f>IF(Таблица97[[#This Row],[НК]]=1,Таблица97[[#This Row],[Продажа]],"")</f>
        <v/>
      </c>
      <c r="M862" s="108">
        <v>5210</v>
      </c>
      <c r="N862" s="108">
        <f>Таблица97[[#This Row],[Продажа]]-Таблица97[[#This Row],[Закупка]]</f>
        <v>3834</v>
      </c>
      <c r="O862" s="108" t="str">
        <f>IF(Таблица97[[#This Row],[НК]]=1,Таблица97[[#This Row],[Маржа]],"")</f>
        <v/>
      </c>
    </row>
    <row r="863" spans="1:15" ht="20.100000000000001" customHeight="1" x14ac:dyDescent="0.25">
      <c r="A863" s="2">
        <v>467</v>
      </c>
      <c r="B863" s="2" t="str">
        <f>TEXT(Таблица97[[#This Row],[Дата]],"ГГ")&amp;RIGHT("000"&amp;Таблица97[[#This Row],[Номер]],4)</f>
        <v>180467</v>
      </c>
      <c r="C863" s="129">
        <v>43258</v>
      </c>
      <c r="D863" s="2" t="s">
        <v>335</v>
      </c>
      <c r="E863" s="108">
        <v>2812</v>
      </c>
      <c r="F863" s="129">
        <v>43265</v>
      </c>
      <c r="H863" s="129">
        <v>43279</v>
      </c>
      <c r="I863" s="108">
        <f t="shared" si="37"/>
        <v>2812</v>
      </c>
      <c r="J863" s="108" t="str">
        <f>IF(Таблица97[[#This Row],[НК]]=1,Таблица97[[#This Row],[Продажа]],"")</f>
        <v/>
      </c>
      <c r="M863" s="108">
        <v>1254</v>
      </c>
      <c r="N863" s="108">
        <f>Таблица97[[#This Row],[Продажа]]-Таблица97[[#This Row],[Закупка]]</f>
        <v>1558</v>
      </c>
      <c r="O863" s="108" t="str">
        <f>IF(Таблица97[[#This Row],[НК]]=1,Таблица97[[#This Row],[Маржа]],"")</f>
        <v/>
      </c>
    </row>
    <row r="864" spans="1:15" ht="20.100000000000001" customHeight="1" x14ac:dyDescent="0.25">
      <c r="A864" s="2">
        <v>275</v>
      </c>
      <c r="B864" s="2" t="str">
        <f>TEXT(Таблица97[[#This Row],[Дата]],"ГГ")&amp;RIGHT("000"&amp;Таблица97[[#This Row],[Номер]],4)</f>
        <v>180275</v>
      </c>
      <c r="C864" s="129">
        <v>43273</v>
      </c>
      <c r="D864" s="2" t="s">
        <v>336</v>
      </c>
      <c r="E864" s="108">
        <v>20305</v>
      </c>
      <c r="F864" s="129">
        <v>43266</v>
      </c>
      <c r="G864" s="128">
        <v>1</v>
      </c>
      <c r="H864" s="129">
        <v>43269</v>
      </c>
      <c r="I864" s="108">
        <f t="shared" si="37"/>
        <v>20305</v>
      </c>
      <c r="J864" s="108">
        <f>IF(Таблица97[[#This Row],[НК]]=1,Таблица97[[#This Row],[Продажа]],"")</f>
        <v>20305</v>
      </c>
      <c r="M864" s="108">
        <v>15398</v>
      </c>
      <c r="N864" s="108">
        <f>Таблица97[[#This Row],[Продажа]]-Таблица97[[#This Row],[Закупка]]</f>
        <v>4907</v>
      </c>
      <c r="O864" s="108">
        <f>IF(Таблица97[[#This Row],[НК]]=1,Таблица97[[#This Row],[Маржа]],"")</f>
        <v>4907</v>
      </c>
    </row>
    <row r="865" spans="1:15" ht="20.100000000000001" customHeight="1" x14ac:dyDescent="0.25">
      <c r="A865" s="2">
        <v>465</v>
      </c>
      <c r="B865" s="2" t="str">
        <f>TEXT(Таблица97[[#This Row],[Дата]],"ГГ")&amp;RIGHT("000"&amp;Таблица97[[#This Row],[Номер]],4)</f>
        <v>180465</v>
      </c>
      <c r="C865" s="129">
        <v>43257</v>
      </c>
      <c r="D865" s="2" t="s">
        <v>337</v>
      </c>
      <c r="E865" s="108">
        <v>33590</v>
      </c>
      <c r="F865" s="129">
        <v>43266</v>
      </c>
      <c r="G865" s="128">
        <v>1</v>
      </c>
      <c r="H865" s="129">
        <v>43269</v>
      </c>
      <c r="I865" s="108">
        <f t="shared" si="37"/>
        <v>33590</v>
      </c>
      <c r="J865" s="108">
        <f>IF(Таблица97[[#This Row],[НК]]=1,Таблица97[[#This Row],[Продажа]],"")</f>
        <v>33590</v>
      </c>
      <c r="M865" s="108">
        <v>26074</v>
      </c>
      <c r="N865" s="108">
        <f>Таблица97[[#This Row],[Продажа]]-Таблица97[[#This Row],[Закупка]]</f>
        <v>7516</v>
      </c>
      <c r="O865" s="108">
        <f>IF(Таблица97[[#This Row],[НК]]=1,Таблица97[[#This Row],[Маржа]],"")</f>
        <v>7516</v>
      </c>
    </row>
    <row r="866" spans="1:15" ht="20.100000000000001" customHeight="1" x14ac:dyDescent="0.25">
      <c r="A866" s="2">
        <v>461</v>
      </c>
      <c r="B866" s="2" t="str">
        <f>TEXT(Таблица97[[#This Row],[Дата]],"ГГ")&amp;RIGHT("000"&amp;Таблица97[[#This Row],[Номер]],4)</f>
        <v>180461</v>
      </c>
      <c r="C866" s="129">
        <v>43258</v>
      </c>
      <c r="D866" s="2" t="s">
        <v>45</v>
      </c>
      <c r="E866" s="108">
        <v>6301</v>
      </c>
      <c r="F866" s="129">
        <v>43266</v>
      </c>
      <c r="H866" s="129">
        <v>43279</v>
      </c>
      <c r="I866" s="108">
        <f t="shared" si="37"/>
        <v>6301</v>
      </c>
      <c r="J866" s="108" t="str">
        <f>IF(Таблица97[[#This Row],[НК]]=1,Таблица97[[#This Row],[Продажа]],"")</f>
        <v/>
      </c>
      <c r="M866" s="108">
        <v>4785</v>
      </c>
      <c r="N866" s="108">
        <f>Таблица97[[#This Row],[Продажа]]-Таблица97[[#This Row],[Закупка]]</f>
        <v>1516</v>
      </c>
      <c r="O866" s="108" t="str">
        <f>IF(Таблица97[[#This Row],[НК]]=1,Таблица97[[#This Row],[Маржа]],"")</f>
        <v/>
      </c>
    </row>
    <row r="867" spans="1:15" ht="20.100000000000001" customHeight="1" x14ac:dyDescent="0.25">
      <c r="A867" s="2">
        <v>502</v>
      </c>
      <c r="B867" s="2" t="str">
        <f>TEXT(Таблица97[[#This Row],[Дата]],"ГГ")&amp;RIGHT("000"&amp;Таблица97[[#This Row],[Номер]],4)</f>
        <v>180502</v>
      </c>
      <c r="C867" s="129">
        <v>43269</v>
      </c>
      <c r="D867" s="2" t="s">
        <v>338</v>
      </c>
      <c r="E867" s="108">
        <v>5200</v>
      </c>
      <c r="F867" s="129">
        <v>43269</v>
      </c>
      <c r="H867" s="129">
        <v>43270</v>
      </c>
      <c r="I867" s="108">
        <f t="shared" si="37"/>
        <v>5200</v>
      </c>
      <c r="J867" s="108" t="str">
        <f>IF(Таблица97[[#This Row],[НК]]=1,Таблица97[[#This Row],[Продажа]],"")</f>
        <v/>
      </c>
      <c r="M867" s="108">
        <v>1524.9</v>
      </c>
      <c r="N867" s="108">
        <f>Таблица97[[#This Row],[Продажа]]-Таблица97[[#This Row],[Закупка]]</f>
        <v>3675.1</v>
      </c>
      <c r="O867" s="108" t="str">
        <f>IF(Таблица97[[#This Row],[НК]]=1,Таблица97[[#This Row],[Маржа]],"")</f>
        <v/>
      </c>
    </row>
    <row r="868" spans="1:15" ht="20.100000000000001" customHeight="1" x14ac:dyDescent="0.25">
      <c r="A868" s="2">
        <v>402</v>
      </c>
      <c r="B868" s="2" t="str">
        <f>TEXT(Таблица97[[#This Row],[Дата]],"ГГ")&amp;RIGHT("000"&amp;Таблица97[[#This Row],[Номер]],4)</f>
        <v>180402</v>
      </c>
      <c r="C868" s="129">
        <v>43243</v>
      </c>
      <c r="D868" s="2" t="s">
        <v>60</v>
      </c>
      <c r="E868" s="108">
        <v>3915</v>
      </c>
      <c r="F868" s="129">
        <v>43270</v>
      </c>
      <c r="H868" s="129">
        <v>43248</v>
      </c>
      <c r="I868" s="108">
        <f t="shared" si="37"/>
        <v>3915</v>
      </c>
      <c r="J868" s="108" t="str">
        <f>IF(Таблица97[[#This Row],[НК]]=1,Таблица97[[#This Row],[Продажа]],"")</f>
        <v/>
      </c>
      <c r="M868" s="108">
        <v>2622</v>
      </c>
      <c r="N868" s="108">
        <f>Таблица97[[#This Row],[Продажа]]-Таблица97[[#This Row],[Закупка]]</f>
        <v>1293</v>
      </c>
      <c r="O868" s="108" t="str">
        <f>IF(Таблица97[[#This Row],[НК]]=1,Таблица97[[#This Row],[Маржа]],"")</f>
        <v/>
      </c>
    </row>
    <row r="869" spans="1:15" ht="20.100000000000001" customHeight="1" x14ac:dyDescent="0.25">
      <c r="A869" s="2">
        <v>422</v>
      </c>
      <c r="B869" s="2" t="str">
        <f>TEXT(Таблица97[[#This Row],[Дата]],"ГГ")&amp;RIGHT("000"&amp;Таблица97[[#This Row],[Номер]],4)</f>
        <v>180422</v>
      </c>
      <c r="C869" s="129">
        <v>43248</v>
      </c>
      <c r="D869" s="2" t="s">
        <v>50</v>
      </c>
      <c r="E869" s="108">
        <v>11010</v>
      </c>
      <c r="F869" s="129">
        <v>43270</v>
      </c>
      <c r="H869" s="129">
        <v>43273</v>
      </c>
      <c r="I869" s="108">
        <f t="shared" si="37"/>
        <v>11010</v>
      </c>
      <c r="J869" s="108" t="str">
        <f>IF(Таблица97[[#This Row],[НК]]=1,Таблица97[[#This Row],[Продажа]],"")</f>
        <v/>
      </c>
      <c r="M869" s="108">
        <v>8080</v>
      </c>
      <c r="N869" s="108">
        <f>Таблица97[[#This Row],[Продажа]]-Таблица97[[#This Row],[Закупка]]</f>
        <v>2930</v>
      </c>
      <c r="O869" s="108" t="str">
        <f>IF(Таблица97[[#This Row],[НК]]=1,Таблица97[[#This Row],[Маржа]],"")</f>
        <v/>
      </c>
    </row>
    <row r="870" spans="1:15" ht="20.100000000000001" customHeight="1" x14ac:dyDescent="0.25">
      <c r="A870" s="2">
        <v>510</v>
      </c>
      <c r="B870" s="2" t="str">
        <f>TEXT(Таблица97[[#This Row],[Дата]],"ГГ")&amp;RIGHT("000"&amp;Таблица97[[#This Row],[Номер]],4)</f>
        <v>180510</v>
      </c>
      <c r="C870" s="129">
        <v>43270</v>
      </c>
      <c r="D870" s="2" t="s">
        <v>339</v>
      </c>
      <c r="E870" s="108">
        <v>52190</v>
      </c>
      <c r="F870" s="129">
        <v>43270</v>
      </c>
      <c r="G870" s="128">
        <v>1</v>
      </c>
      <c r="H870" s="129">
        <v>43271</v>
      </c>
      <c r="I870" s="108">
        <f t="shared" si="37"/>
        <v>52190</v>
      </c>
      <c r="J870" s="108">
        <f>IF(Таблица97[[#This Row],[НК]]=1,Таблица97[[#This Row],[Продажа]],"")</f>
        <v>52190</v>
      </c>
      <c r="M870" s="108">
        <v>36129</v>
      </c>
      <c r="N870" s="108">
        <f>Таблица97[[#This Row],[Продажа]]-Таблица97[[#This Row],[Закупка]]</f>
        <v>16061</v>
      </c>
      <c r="O870" s="108">
        <f>IF(Таблица97[[#This Row],[НК]]=1,Таблица97[[#This Row],[Маржа]],"")</f>
        <v>16061</v>
      </c>
    </row>
    <row r="871" spans="1:15" ht="20.100000000000001" customHeight="1" x14ac:dyDescent="0.25">
      <c r="A871" s="2">
        <v>512</v>
      </c>
      <c r="B871" s="2" t="str">
        <f>TEXT(Таблица97[[#This Row],[Дата]],"ГГ")&amp;RIGHT("000"&amp;Таблица97[[#This Row],[Номер]],4)</f>
        <v>180512</v>
      </c>
      <c r="C871" s="129">
        <v>43270</v>
      </c>
      <c r="D871" s="2" t="s">
        <v>340</v>
      </c>
      <c r="E871" s="108">
        <v>4890</v>
      </c>
      <c r="F871" s="129">
        <v>43270</v>
      </c>
      <c r="G871" s="128">
        <v>1</v>
      </c>
      <c r="H871" s="129">
        <v>43271</v>
      </c>
      <c r="I871" s="108">
        <f t="shared" si="37"/>
        <v>4890</v>
      </c>
      <c r="J871" s="108">
        <f>IF(Таблица97[[#This Row],[НК]]=1,Таблица97[[#This Row],[Продажа]],"")</f>
        <v>4890</v>
      </c>
      <c r="M871" s="108">
        <v>3667</v>
      </c>
      <c r="N871" s="108">
        <f>Таблица97[[#This Row],[Продажа]]-Таблица97[[#This Row],[Закупка]]</f>
        <v>1223</v>
      </c>
      <c r="O871" s="108">
        <f>IF(Таблица97[[#This Row],[НК]]=1,Таблица97[[#This Row],[Маржа]],"")</f>
        <v>1223</v>
      </c>
    </row>
    <row r="872" spans="1:15" ht="20.100000000000001" customHeight="1" x14ac:dyDescent="0.25">
      <c r="A872" s="2">
        <v>500</v>
      </c>
      <c r="B872" s="2" t="str">
        <f>TEXT(Таблица97[[#This Row],[Дата]],"ГГ")&amp;RIGHT("000"&amp;Таблица97[[#This Row],[Номер]],4)</f>
        <v>180500</v>
      </c>
      <c r="C872" s="129">
        <v>43266</v>
      </c>
      <c r="D872" s="2" t="s">
        <v>341</v>
      </c>
      <c r="E872" s="108">
        <v>89360</v>
      </c>
      <c r="F872" s="129">
        <v>43273</v>
      </c>
      <c r="G872" s="128">
        <v>1</v>
      </c>
      <c r="H872" s="129">
        <v>43287</v>
      </c>
      <c r="I872" s="108">
        <f t="shared" si="37"/>
        <v>89360</v>
      </c>
      <c r="J872" s="108">
        <f>IF(Таблица97[[#This Row],[НК]]=1,Таблица97[[#This Row],[Продажа]],"")</f>
        <v>89360</v>
      </c>
      <c r="M872" s="108">
        <v>70260</v>
      </c>
      <c r="N872" s="108">
        <f>Таблица97[[#This Row],[Продажа]]-Таблица97[[#This Row],[Закупка]]</f>
        <v>19100</v>
      </c>
      <c r="O872" s="108">
        <f>IF(Таблица97[[#This Row],[НК]]=1,Таблица97[[#This Row],[Маржа]],"")</f>
        <v>19100</v>
      </c>
    </row>
    <row r="873" spans="1:15" ht="20.100000000000001" customHeight="1" x14ac:dyDescent="0.25">
      <c r="A873" s="2">
        <v>521</v>
      </c>
      <c r="B873" s="2" t="str">
        <f>TEXT(Таблица97[[#This Row],[Дата]],"ГГ")&amp;RIGHT("000"&amp;Таблица97[[#This Row],[Номер]],4)</f>
        <v>180521</v>
      </c>
      <c r="C873" s="129">
        <v>43272</v>
      </c>
      <c r="D873" s="2" t="s">
        <v>342</v>
      </c>
      <c r="E873" s="108">
        <v>24691</v>
      </c>
      <c r="F873" s="129">
        <v>43273</v>
      </c>
      <c r="G873" s="128">
        <v>1</v>
      </c>
      <c r="H873" s="129">
        <v>43305</v>
      </c>
      <c r="I873" s="108">
        <f t="shared" si="37"/>
        <v>24691</v>
      </c>
      <c r="J873" s="108">
        <f>IF(Таблица97[[#This Row],[НК]]=1,Таблица97[[#This Row],[Продажа]],"")</f>
        <v>24691</v>
      </c>
      <c r="M873" s="108">
        <v>19566</v>
      </c>
      <c r="N873" s="108">
        <f>Таблица97[[#This Row],[Продажа]]-Таблица97[[#This Row],[Закупка]]</f>
        <v>5125</v>
      </c>
      <c r="O873" s="108">
        <f>IF(Таблица97[[#This Row],[НК]]=1,Таблица97[[#This Row],[Маржа]],"")</f>
        <v>5125</v>
      </c>
    </row>
    <row r="874" spans="1:15" ht="20.100000000000001" customHeight="1" x14ac:dyDescent="0.25">
      <c r="A874" s="2">
        <v>526</v>
      </c>
      <c r="B874" s="2" t="str">
        <f>TEXT(Таблица97[[#This Row],[Дата]],"ГГ")&amp;RIGHT("000"&amp;Таблица97[[#This Row],[Номер]],4)</f>
        <v>180526</v>
      </c>
      <c r="C874" s="129">
        <v>43276</v>
      </c>
      <c r="D874" s="2" t="s">
        <v>343</v>
      </c>
      <c r="E874" s="108">
        <v>22533</v>
      </c>
      <c r="F874" s="129">
        <v>43276</v>
      </c>
      <c r="G874" s="128">
        <v>1</v>
      </c>
      <c r="H874" s="129">
        <v>43276</v>
      </c>
      <c r="I874" s="108">
        <f t="shared" si="37"/>
        <v>22533</v>
      </c>
      <c r="J874" s="108">
        <f>IF(Таблица97[[#This Row],[НК]]=1,Таблица97[[#This Row],[Продажа]],"")</f>
        <v>22533</v>
      </c>
      <c r="M874" s="108">
        <v>17778</v>
      </c>
      <c r="N874" s="108">
        <f>Таблица97[[#This Row],[Продажа]]-Таблица97[[#This Row],[Закупка]]</f>
        <v>4755</v>
      </c>
      <c r="O874" s="108">
        <f>IF(Таблица97[[#This Row],[НК]]=1,Таблица97[[#This Row],[Маржа]],"")</f>
        <v>4755</v>
      </c>
    </row>
    <row r="875" spans="1:15" ht="19.5" customHeight="1" x14ac:dyDescent="0.25">
      <c r="A875" s="2">
        <v>491</v>
      </c>
      <c r="B875" s="2" t="str">
        <f>TEXT(Таблица97[[#This Row],[Дата]],"ГГ")&amp;RIGHT("000"&amp;Таблица97[[#This Row],[Номер]],4)</f>
        <v>180491</v>
      </c>
      <c r="C875" s="129">
        <v>43265</v>
      </c>
      <c r="D875" s="2" t="s">
        <v>13</v>
      </c>
      <c r="E875" s="108">
        <v>1246</v>
      </c>
      <c r="F875" s="129">
        <v>43276</v>
      </c>
      <c r="H875" s="129">
        <v>43270</v>
      </c>
      <c r="I875" s="108">
        <f t="shared" si="37"/>
        <v>1246</v>
      </c>
      <c r="J875" s="108" t="str">
        <f>IF(Таблица97[[#This Row],[НК]]=1,Таблица97[[#This Row],[Продажа]],"")</f>
        <v/>
      </c>
      <c r="M875" s="108">
        <v>930</v>
      </c>
      <c r="N875" s="108">
        <f>Таблица97[[#This Row],[Продажа]]-Таблица97[[#This Row],[Закупка]]</f>
        <v>316</v>
      </c>
      <c r="O875" s="108" t="str">
        <f>IF(Таблица97[[#This Row],[НК]]=1,Таблица97[[#This Row],[Маржа]],"")</f>
        <v/>
      </c>
    </row>
    <row r="876" spans="1:15" ht="19.5" customHeight="1" x14ac:dyDescent="0.25">
      <c r="A876" s="2">
        <v>514</v>
      </c>
      <c r="B876" s="2" t="str">
        <f>TEXT(Таблица97[[#This Row],[Дата]],"ГГ")&amp;RIGHT("000"&amp;Таблица97[[#This Row],[Номер]],4)</f>
        <v>180514</v>
      </c>
      <c r="C876" s="129">
        <v>43276</v>
      </c>
      <c r="D876" s="2" t="s">
        <v>344</v>
      </c>
      <c r="E876" s="108">
        <v>82640</v>
      </c>
      <c r="F876" s="129">
        <v>43277</v>
      </c>
      <c r="G876" s="128">
        <v>1</v>
      </c>
      <c r="H876" s="129">
        <v>43291</v>
      </c>
      <c r="I876" s="108">
        <f t="shared" si="37"/>
        <v>82640</v>
      </c>
      <c r="J876" s="108">
        <f>IF(Таблица97[[#This Row],[НК]]=1,Таблица97[[#This Row],[Продажа]],"")</f>
        <v>82640</v>
      </c>
      <c r="M876" s="108">
        <v>39650</v>
      </c>
      <c r="N876" s="108">
        <f>Таблица97[[#This Row],[Продажа]]-Таблица97[[#This Row],[Закупка]]</f>
        <v>42990</v>
      </c>
      <c r="O876" s="108">
        <f>IF(Таблица97[[#This Row],[НК]]=1,Таблица97[[#This Row],[Маржа]],"")</f>
        <v>42990</v>
      </c>
    </row>
    <row r="877" spans="1:15" ht="19.5" customHeight="1" x14ac:dyDescent="0.25">
      <c r="A877" s="2">
        <v>530</v>
      </c>
      <c r="B877" s="2" t="str">
        <f>TEXT(Таблица97[[#This Row],[Дата]],"ГГ")&amp;RIGHT("000"&amp;Таблица97[[#This Row],[Номер]],4)</f>
        <v>180530</v>
      </c>
      <c r="C877" s="129">
        <v>43276</v>
      </c>
      <c r="D877" s="2" t="s">
        <v>345</v>
      </c>
      <c r="E877" s="108">
        <v>9338</v>
      </c>
      <c r="F877" s="129">
        <v>43278</v>
      </c>
      <c r="G877" s="128">
        <v>1</v>
      </c>
      <c r="H877" s="129">
        <v>43305</v>
      </c>
      <c r="I877" s="108">
        <f t="shared" si="37"/>
        <v>9338</v>
      </c>
      <c r="J877" s="108">
        <f>IF(Таблица97[[#This Row],[НК]]=1,Таблица97[[#This Row],[Продажа]],"")</f>
        <v>9338</v>
      </c>
      <c r="M877" s="108">
        <v>7252</v>
      </c>
      <c r="N877" s="108">
        <f>Таблица97[[#This Row],[Продажа]]-Таблица97[[#This Row],[Закупка]]</f>
        <v>2086</v>
      </c>
      <c r="O877" s="108">
        <f>IF(Таблица97[[#This Row],[НК]]=1,Таблица97[[#This Row],[Маржа]],"")</f>
        <v>2086</v>
      </c>
    </row>
    <row r="878" spans="1:15" ht="19.5" customHeight="1" x14ac:dyDescent="0.25">
      <c r="A878" s="2">
        <v>506</v>
      </c>
      <c r="B878" s="2" t="str">
        <f>TEXT(Таблица97[[#This Row],[Дата]],"ГГ")&amp;RIGHT("000"&amp;Таблица97[[#This Row],[Номер]],4)</f>
        <v>180506</v>
      </c>
      <c r="C878" s="129">
        <v>43269</v>
      </c>
      <c r="D878" s="2" t="s">
        <v>217</v>
      </c>
      <c r="E878" s="108">
        <v>5664</v>
      </c>
      <c r="F878" s="129">
        <v>43279</v>
      </c>
      <c r="H878" s="129">
        <v>43290</v>
      </c>
      <c r="I878" s="108">
        <f t="shared" si="37"/>
        <v>5664</v>
      </c>
      <c r="J878" s="108" t="str">
        <f>IF(Таблица97[[#This Row],[НК]]=1,Таблица97[[#This Row],[Продажа]],"")</f>
        <v/>
      </c>
      <c r="M878" s="108">
        <v>4271</v>
      </c>
      <c r="N878" s="108">
        <f>Таблица97[[#This Row],[Продажа]]-Таблица97[[#This Row],[Закупка]]</f>
        <v>1393</v>
      </c>
      <c r="O878" s="108" t="str">
        <f>IF(Таблица97[[#This Row],[НК]]=1,Таблица97[[#This Row],[Маржа]],"")</f>
        <v/>
      </c>
    </row>
    <row r="879" spans="1:15" ht="20.100000000000001" customHeight="1" x14ac:dyDescent="0.25">
      <c r="A879" s="2">
        <v>470</v>
      </c>
      <c r="B879" s="2" t="str">
        <f>TEXT(Таблица97[[#This Row],[Дата]],"ГГ")&amp;RIGHT("000"&amp;Таблица97[[#This Row],[Номер]],4)</f>
        <v>180470</v>
      </c>
      <c r="C879" s="129">
        <v>43266</v>
      </c>
      <c r="D879" s="2" t="s">
        <v>56</v>
      </c>
      <c r="E879" s="108">
        <v>19336</v>
      </c>
      <c r="F879" s="129">
        <v>43279</v>
      </c>
      <c r="H879" s="129">
        <v>43266</v>
      </c>
      <c r="I879" s="108">
        <f t="shared" si="37"/>
        <v>19336</v>
      </c>
      <c r="J879" s="108" t="str">
        <f>IF(Таблица97[[#This Row],[НК]]=1,Таблица97[[#This Row],[Продажа]],"")</f>
        <v/>
      </c>
      <c r="M879" s="108">
        <v>12851.9</v>
      </c>
      <c r="N879" s="108">
        <f>Таблица97[[#This Row],[Продажа]]-Таблица97[[#This Row],[Закупка]]</f>
        <v>6484.1</v>
      </c>
      <c r="O879" s="108" t="str">
        <f>IF(Таблица97[[#This Row],[НК]]=1,Таблица97[[#This Row],[Маржа]],"")</f>
        <v/>
      </c>
    </row>
    <row r="880" spans="1:15" ht="20.100000000000001" customHeight="1" x14ac:dyDescent="0.25">
      <c r="A880" s="2">
        <v>437</v>
      </c>
      <c r="B880" s="2" t="str">
        <f>TEXT(Таблица97[[#This Row],[Дата]],"ГГ")&amp;RIGHT("000"&amp;Таблица97[[#This Row],[Номер]],4)</f>
        <v>180437</v>
      </c>
      <c r="C880" s="129">
        <v>43251</v>
      </c>
      <c r="D880" s="2" t="s">
        <v>65</v>
      </c>
      <c r="E880" s="108">
        <v>91674</v>
      </c>
      <c r="F880" s="129">
        <v>43279</v>
      </c>
      <c r="H880" s="129">
        <v>43272</v>
      </c>
      <c r="I880" s="108">
        <f t="shared" si="37"/>
        <v>91674</v>
      </c>
      <c r="J880" s="108" t="str">
        <f>IF(Таблица97[[#This Row],[НК]]=1,Таблица97[[#This Row],[Продажа]],"")</f>
        <v/>
      </c>
      <c r="M880" s="108">
        <v>68710</v>
      </c>
      <c r="N880" s="108">
        <f>Таблица97[[#This Row],[Продажа]]-Таблица97[[#This Row],[Закупка]]</f>
        <v>22964</v>
      </c>
      <c r="O880" s="108" t="str">
        <f>IF(Таблица97[[#This Row],[НК]]=1,Таблица97[[#This Row],[Маржа]],"")</f>
        <v/>
      </c>
    </row>
    <row r="881" spans="1:15" ht="20.100000000000001" customHeight="1" x14ac:dyDescent="0.25">
      <c r="A881" s="2">
        <v>534</v>
      </c>
      <c r="B881" s="2" t="str">
        <f>TEXT(Таблица97[[#This Row],[Дата]],"ГГ")&amp;RIGHT("000"&amp;Таблица97[[#This Row],[Номер]],4)</f>
        <v>180534</v>
      </c>
      <c r="C881" s="129">
        <v>43276</v>
      </c>
      <c r="D881" s="2" t="s">
        <v>139</v>
      </c>
      <c r="E881" s="108">
        <v>10386</v>
      </c>
      <c r="F881" s="129">
        <v>43279</v>
      </c>
      <c r="H881" s="129">
        <v>43283</v>
      </c>
      <c r="I881" s="108">
        <f t="shared" si="37"/>
        <v>10386</v>
      </c>
      <c r="J881" s="108" t="str">
        <f>IF(Таблица97[[#This Row],[НК]]=1,Таблица97[[#This Row],[Продажа]],"")</f>
        <v/>
      </c>
      <c r="M881" s="108">
        <v>7508</v>
      </c>
      <c r="N881" s="108">
        <f>Таблица97[[#This Row],[Продажа]]-Таблица97[[#This Row],[Закупка]]</f>
        <v>2878</v>
      </c>
      <c r="O881" s="108" t="str">
        <f>IF(Таблица97[[#This Row],[НК]]=1,Таблица97[[#This Row],[Маржа]],"")</f>
        <v/>
      </c>
    </row>
    <row r="882" spans="1:15" ht="20.100000000000001" customHeight="1" x14ac:dyDescent="0.25">
      <c r="A882" s="2">
        <v>443</v>
      </c>
      <c r="B882" s="2" t="str">
        <f>TEXT(Таблица97[[#This Row],[Дата]],"ГГ")&amp;RIGHT("000"&amp;Таблица97[[#This Row],[Номер]],4)</f>
        <v>180443</v>
      </c>
      <c r="C882" s="129">
        <v>43251</v>
      </c>
      <c r="D882" s="2" t="s">
        <v>175</v>
      </c>
      <c r="E882" s="108">
        <v>21413</v>
      </c>
      <c r="F882" s="129">
        <v>43280</v>
      </c>
      <c r="H882" s="129">
        <v>43283</v>
      </c>
      <c r="I882" s="108">
        <f t="shared" si="37"/>
        <v>21413</v>
      </c>
      <c r="J882" s="108" t="str">
        <f>IF(Таблица97[[#This Row],[НК]]=1,Таблица97[[#This Row],[Продажа]],"")</f>
        <v/>
      </c>
      <c r="M882" s="108">
        <v>13884</v>
      </c>
      <c r="N882" s="108">
        <f>Таблица97[[#This Row],[Продажа]]-Таблица97[[#This Row],[Закупка]]</f>
        <v>7529</v>
      </c>
      <c r="O882" s="108" t="str">
        <f>IF(Таблица97[[#This Row],[НК]]=1,Таблица97[[#This Row],[Маржа]],"")</f>
        <v/>
      </c>
    </row>
    <row r="883" spans="1:15" ht="20.100000000000001" customHeight="1" x14ac:dyDescent="0.25">
      <c r="A883" s="2">
        <v>433</v>
      </c>
      <c r="B883" s="2" t="str">
        <f>TEXT(Таблица97[[#This Row],[Дата]],"ГГ")&amp;RIGHT("000"&amp;Таблица97[[#This Row],[Номер]],4)</f>
        <v>180433</v>
      </c>
      <c r="C883" s="129">
        <v>43250</v>
      </c>
      <c r="D883" s="2" t="s">
        <v>175</v>
      </c>
      <c r="E883" s="108">
        <v>19334.400000000001</v>
      </c>
      <c r="F883" s="129">
        <v>43280</v>
      </c>
      <c r="H883" s="129">
        <v>43283</v>
      </c>
      <c r="I883" s="108">
        <f t="shared" si="37"/>
        <v>19334.400000000001</v>
      </c>
      <c r="J883" s="108" t="str">
        <f>IF(Таблица97[[#This Row],[НК]]=1,Таблица97[[#This Row],[Продажа]],"")</f>
        <v/>
      </c>
      <c r="M883" s="108">
        <v>15294</v>
      </c>
      <c r="N883" s="108">
        <f>Таблица97[[#This Row],[Продажа]]-Таблица97[[#This Row],[Закупка]]</f>
        <v>4040.4000000000015</v>
      </c>
      <c r="O883" s="108" t="str">
        <f>IF(Таблица97[[#This Row],[НК]]=1,Таблица97[[#This Row],[Маржа]],"")</f>
        <v/>
      </c>
    </row>
    <row r="884" spans="1:15" ht="20.100000000000001" customHeight="1" x14ac:dyDescent="0.25">
      <c r="A884" s="2">
        <v>481</v>
      </c>
      <c r="B884" s="2" t="str">
        <f>TEXT(Таблица97[[#This Row],[Дата]],"ГГ")&amp;RIGHT("000"&amp;Таблица97[[#This Row],[Номер]],4)</f>
        <v>180481</v>
      </c>
      <c r="C884" s="129">
        <v>43259</v>
      </c>
      <c r="D884" s="2" t="s">
        <v>66</v>
      </c>
      <c r="E884" s="108">
        <v>7350</v>
      </c>
      <c r="F884" s="129">
        <v>43280</v>
      </c>
      <c r="H884" s="129">
        <v>43260</v>
      </c>
      <c r="I884" s="108">
        <f t="shared" si="37"/>
        <v>7350</v>
      </c>
      <c r="J884" s="108" t="str">
        <f>IF(Таблица97[[#This Row],[НК]]=1,Таблица97[[#This Row],[Продажа]],"")</f>
        <v/>
      </c>
      <c r="M884" s="108">
        <v>6546</v>
      </c>
      <c r="N884" s="108">
        <f>Таблица97[[#This Row],[Продажа]]-Таблица97[[#This Row],[Закупка]]</f>
        <v>804</v>
      </c>
      <c r="O884" s="108" t="str">
        <f>IF(Таблица97[[#This Row],[НК]]=1,Таблица97[[#This Row],[Маржа]],"")</f>
        <v/>
      </c>
    </row>
    <row r="885" spans="1:15" ht="20.100000000000001" customHeight="1" x14ac:dyDescent="0.25">
      <c r="A885" s="2">
        <v>539</v>
      </c>
      <c r="B885" s="2" t="str">
        <f>TEXT(Таблица97[[#This Row],[Дата]],"ГГ")&amp;RIGHT("000"&amp;Таблица97[[#This Row],[Номер]],4)</f>
        <v>180539</v>
      </c>
      <c r="C885" s="129">
        <v>43277</v>
      </c>
      <c r="D885" s="2" t="s">
        <v>16</v>
      </c>
      <c r="E885" s="108">
        <v>20400</v>
      </c>
      <c r="F885" s="129">
        <v>43280</v>
      </c>
      <c r="H885" s="129">
        <v>43287</v>
      </c>
      <c r="I885" s="108">
        <f t="shared" si="37"/>
        <v>20400</v>
      </c>
      <c r="J885" s="108" t="str">
        <f>IF(Таблица97[[#This Row],[НК]]=1,Таблица97[[#This Row],[Продажа]],"")</f>
        <v/>
      </c>
      <c r="M885" s="108">
        <v>15060</v>
      </c>
      <c r="N885" s="108">
        <f>Таблица97[[#This Row],[Продажа]]-Таблица97[[#This Row],[Закупка]]</f>
        <v>5340</v>
      </c>
      <c r="O885" s="108" t="str">
        <f>IF(Таблица97[[#This Row],[НК]]=1,Таблица97[[#This Row],[Маржа]],"")</f>
        <v/>
      </c>
    </row>
    <row r="886" spans="1:15" ht="20.100000000000001" customHeight="1" x14ac:dyDescent="0.25">
      <c r="A886" s="2">
        <v>540</v>
      </c>
      <c r="B886" s="2" t="str">
        <f>TEXT(Таблица97[[#This Row],[Дата]],"ГГ")&amp;RIGHT("000"&amp;Таблица97[[#This Row],[Номер]],4)</f>
        <v>180540</v>
      </c>
      <c r="C886" s="129">
        <v>43280</v>
      </c>
      <c r="D886" s="2" t="s">
        <v>346</v>
      </c>
      <c r="E886" s="108">
        <v>6984</v>
      </c>
      <c r="F886" s="129">
        <v>43283</v>
      </c>
      <c r="G886" s="128">
        <v>1</v>
      </c>
      <c r="H886" s="129">
        <v>43287</v>
      </c>
      <c r="I886" s="108">
        <f t="shared" ref="I886:I912" si="38">E886</f>
        <v>6984</v>
      </c>
      <c r="J886" s="108">
        <f>IF(Таблица97[[#This Row],[НК]]=1,Таблица97[[#This Row],[Продажа]],"")</f>
        <v>6984</v>
      </c>
      <c r="M886" s="108">
        <v>5019</v>
      </c>
      <c r="N886" s="108">
        <f>Таблица97[[#This Row],[Продажа]]-Таблица97[[#This Row],[Закупка]]</f>
        <v>1965</v>
      </c>
      <c r="O886" s="108">
        <f>IF(Таблица97[[#This Row],[НК]]=1,Таблица97[[#This Row],[Маржа]],"")</f>
        <v>1965</v>
      </c>
    </row>
    <row r="887" spans="1:15" ht="20.100000000000001" customHeight="1" x14ac:dyDescent="0.25">
      <c r="A887" s="2">
        <v>531</v>
      </c>
      <c r="B887" s="2" t="str">
        <f>TEXT(Таблица97[[#This Row],[Дата]],"ГГ")&amp;RIGHT("000"&amp;Таблица97[[#This Row],[Номер]],4)</f>
        <v>180531</v>
      </c>
      <c r="C887" s="129">
        <v>43276</v>
      </c>
      <c r="D887" s="2" t="s">
        <v>56</v>
      </c>
      <c r="E887" s="108">
        <v>416</v>
      </c>
      <c r="F887" s="129">
        <v>43285</v>
      </c>
      <c r="H887" s="129">
        <v>43276</v>
      </c>
      <c r="I887" s="108">
        <f t="shared" si="38"/>
        <v>416</v>
      </c>
      <c r="J887" s="108" t="str">
        <f>IF(Таблица97[[#This Row],[НК]]=1,Таблица97[[#This Row],[Продажа]],"")</f>
        <v/>
      </c>
      <c r="M887" s="108">
        <v>282</v>
      </c>
      <c r="N887" s="108">
        <f>Таблица97[[#This Row],[Продажа]]-Таблица97[[#This Row],[Закупка]]</f>
        <v>134</v>
      </c>
      <c r="O887" s="108" t="str">
        <f>IF(Таблица97[[#This Row],[НК]]=1,Таблица97[[#This Row],[Маржа]],"")</f>
        <v/>
      </c>
    </row>
    <row r="888" spans="1:15" ht="20.100000000000001" customHeight="1" x14ac:dyDescent="0.25">
      <c r="A888" s="2">
        <v>543</v>
      </c>
      <c r="B888" s="2" t="str">
        <f>TEXT(Таблица97[[#This Row],[Дата]],"ГГ")&amp;RIGHT("000"&amp;Таблица97[[#This Row],[Номер]],4)</f>
        <v>180543</v>
      </c>
      <c r="C888" s="129">
        <v>43278</v>
      </c>
      <c r="D888" s="2" t="s">
        <v>228</v>
      </c>
      <c r="E888" s="108">
        <v>4344</v>
      </c>
      <c r="F888" s="129">
        <v>43285</v>
      </c>
      <c r="H888" s="129">
        <v>43285</v>
      </c>
      <c r="I888" s="108">
        <f t="shared" si="38"/>
        <v>4344</v>
      </c>
      <c r="J888" s="108" t="str">
        <f>IF(Таблица97[[#This Row],[НК]]=1,Таблица97[[#This Row],[Продажа]],"")</f>
        <v/>
      </c>
      <c r="M888" s="108">
        <v>3248</v>
      </c>
      <c r="N888" s="108">
        <f>Таблица97[[#This Row],[Продажа]]-Таблица97[[#This Row],[Закупка]]</f>
        <v>1096</v>
      </c>
      <c r="O888" s="108" t="str">
        <f>IF(Таблица97[[#This Row],[НК]]=1,Таблица97[[#This Row],[Маржа]],"")</f>
        <v/>
      </c>
    </row>
    <row r="889" spans="1:15" ht="20.100000000000001" customHeight="1" x14ac:dyDescent="0.25">
      <c r="A889" s="2">
        <v>565</v>
      </c>
      <c r="B889" s="2" t="str">
        <f>TEXT(Таблица97[[#This Row],[Дата]],"ГГ")&amp;RIGHT("000"&amp;Таблица97[[#This Row],[Номер]],4)</f>
        <v>180565</v>
      </c>
      <c r="C889" s="129">
        <v>43284</v>
      </c>
      <c r="D889" s="2" t="s">
        <v>327</v>
      </c>
      <c r="E889" s="108">
        <v>3018</v>
      </c>
      <c r="F889" s="129">
        <v>43286</v>
      </c>
      <c r="H889" s="129">
        <v>43299</v>
      </c>
      <c r="I889" s="108">
        <f t="shared" si="38"/>
        <v>3018</v>
      </c>
      <c r="J889" s="108" t="str">
        <f>IF(Таблица97[[#This Row],[НК]]=1,Таблица97[[#This Row],[Продажа]],"")</f>
        <v/>
      </c>
      <c r="M889" s="108">
        <v>1856</v>
      </c>
      <c r="N889" s="108">
        <f>Таблица97[[#This Row],[Продажа]]-Таблица97[[#This Row],[Закупка]]</f>
        <v>1162</v>
      </c>
      <c r="O889" s="108" t="str">
        <f>IF(Таблица97[[#This Row],[НК]]=1,Таблица97[[#This Row],[Маржа]],"")</f>
        <v/>
      </c>
    </row>
    <row r="890" spans="1:15" ht="20.100000000000001" customHeight="1" x14ac:dyDescent="0.25">
      <c r="A890" s="2">
        <v>576</v>
      </c>
      <c r="B890" s="2" t="str">
        <f>TEXT(Таблица97[[#This Row],[Дата]],"ГГ")&amp;RIGHT("000"&amp;Таблица97[[#This Row],[Номер]],4)</f>
        <v>180576</v>
      </c>
      <c r="C890" s="129">
        <v>43290</v>
      </c>
      <c r="D890" s="2" t="s">
        <v>16</v>
      </c>
      <c r="E890" s="108">
        <v>8585.4</v>
      </c>
      <c r="F890" s="129">
        <v>43290</v>
      </c>
      <c r="H890" s="129">
        <v>43298</v>
      </c>
      <c r="I890" s="108">
        <f t="shared" si="38"/>
        <v>8585.4</v>
      </c>
      <c r="J890" s="108" t="str">
        <f>IF(Таблица97[[#This Row],[НК]]=1,Таблица97[[#This Row],[Продажа]],"")</f>
        <v/>
      </c>
      <c r="M890" s="108">
        <v>6412.8</v>
      </c>
      <c r="N890" s="108">
        <f>Таблица97[[#This Row],[Продажа]]-Таблица97[[#This Row],[Закупка]]</f>
        <v>2172.5999999999995</v>
      </c>
      <c r="O890" s="108" t="str">
        <f>IF(Таблица97[[#This Row],[НК]]=1,Таблица97[[#This Row],[Маржа]],"")</f>
        <v/>
      </c>
    </row>
    <row r="891" spans="1:15" ht="20.100000000000001" customHeight="1" x14ac:dyDescent="0.25">
      <c r="A891" s="2">
        <v>572</v>
      </c>
      <c r="B891" s="2" t="str">
        <f>TEXT(Таблица97[[#This Row],[Дата]],"ГГ")&amp;RIGHT("000"&amp;Таблица97[[#This Row],[Номер]],4)</f>
        <v>180572</v>
      </c>
      <c r="C891" s="129">
        <v>43287</v>
      </c>
      <c r="D891" s="2" t="s">
        <v>15</v>
      </c>
      <c r="E891" s="108">
        <v>7041</v>
      </c>
      <c r="F891" s="129">
        <v>43291</v>
      </c>
      <c r="H891" s="129">
        <v>43308</v>
      </c>
      <c r="I891" s="108">
        <f t="shared" si="38"/>
        <v>7041</v>
      </c>
      <c r="J891" s="108" t="str">
        <f>IF(Таблица97[[#This Row],[НК]]=1,Таблица97[[#This Row],[Продажа]],"")</f>
        <v/>
      </c>
      <c r="M891" s="108">
        <v>5365</v>
      </c>
      <c r="N891" s="108">
        <f>Таблица97[[#This Row],[Продажа]]-Таблица97[[#This Row],[Закупка]]</f>
        <v>1676</v>
      </c>
      <c r="O891" s="108" t="str">
        <f>IF(Таблица97[[#This Row],[НК]]=1,Таблица97[[#This Row],[Маржа]],"")</f>
        <v/>
      </c>
    </row>
    <row r="892" spans="1:15" ht="20.100000000000001" customHeight="1" x14ac:dyDescent="0.25">
      <c r="A892" s="2">
        <v>569</v>
      </c>
      <c r="B892" s="2" t="str">
        <f>TEXT(Таблица97[[#This Row],[Дата]],"ГГ")&amp;RIGHT("000"&amp;Таблица97[[#This Row],[Номер]],4)</f>
        <v>180569</v>
      </c>
      <c r="C892" s="129">
        <v>43286</v>
      </c>
      <c r="D892" s="2" t="s">
        <v>139</v>
      </c>
      <c r="E892" s="108">
        <v>6690</v>
      </c>
      <c r="F892" s="129">
        <v>43291</v>
      </c>
      <c r="H892" s="129">
        <v>43312</v>
      </c>
      <c r="I892" s="108">
        <f t="shared" si="38"/>
        <v>6690</v>
      </c>
      <c r="J892" s="108" t="str">
        <f>IF(Таблица97[[#This Row],[НК]]=1,Таблица97[[#This Row],[Продажа]],"")</f>
        <v/>
      </c>
      <c r="M892" s="108">
        <v>5220</v>
      </c>
      <c r="N892" s="108">
        <f>Таблица97[[#This Row],[Продажа]]-Таблица97[[#This Row],[Закупка]]</f>
        <v>1470</v>
      </c>
      <c r="O892" s="108" t="str">
        <f>IF(Таблица97[[#This Row],[НК]]=1,Таблица97[[#This Row],[Маржа]],"")</f>
        <v/>
      </c>
    </row>
    <row r="893" spans="1:15" ht="20.100000000000001" customHeight="1" x14ac:dyDescent="0.25">
      <c r="A893" s="2">
        <v>434</v>
      </c>
      <c r="B893" s="2" t="str">
        <f>TEXT(Таблица97[[#This Row],[Дата]],"ГГ")&amp;RIGHT("000"&amp;Таблица97[[#This Row],[Номер]],4)</f>
        <v>180434</v>
      </c>
      <c r="C893" s="129">
        <v>43252</v>
      </c>
      <c r="D893" s="2" t="s">
        <v>99</v>
      </c>
      <c r="E893" s="108">
        <v>58600</v>
      </c>
      <c r="F893" s="129">
        <v>43291</v>
      </c>
      <c r="H893" s="129">
        <v>43260</v>
      </c>
      <c r="I893" s="108">
        <f t="shared" si="38"/>
        <v>58600</v>
      </c>
      <c r="J893" s="108" t="str">
        <f>IF(Таблица97[[#This Row],[НК]]=1,Таблица97[[#This Row],[Продажа]],"")</f>
        <v/>
      </c>
      <c r="K893" s="108">
        <v>15000</v>
      </c>
      <c r="L893" s="108">
        <f>12*600</f>
        <v>7200</v>
      </c>
      <c r="M893" s="108">
        <v>6090</v>
      </c>
      <c r="N893" s="108">
        <f>Таблица97[[#This Row],[Продажа]]-Таблица97[[#This Row],[Закупка]]</f>
        <v>52510</v>
      </c>
      <c r="O893" s="108" t="str">
        <f>IF(Таблица97[[#This Row],[НК]]=1,Таблица97[[#This Row],[Маржа]],"")</f>
        <v/>
      </c>
    </row>
    <row r="894" spans="1:15" ht="20.100000000000001" customHeight="1" x14ac:dyDescent="0.25">
      <c r="A894" s="2">
        <v>410</v>
      </c>
      <c r="B894" s="2" t="str">
        <f>TEXT(Таблица97[[#This Row],[Дата]],"ГГ")&amp;RIGHT("000"&amp;Таблица97[[#This Row],[Номер]],4)</f>
        <v>180410</v>
      </c>
      <c r="C894" s="129">
        <v>43252</v>
      </c>
      <c r="D894" s="2" t="s">
        <v>99</v>
      </c>
      <c r="E894" s="108">
        <v>296000</v>
      </c>
      <c r="F894" s="129">
        <v>43291</v>
      </c>
      <c r="H894" s="129">
        <v>43277</v>
      </c>
      <c r="I894" s="108">
        <f t="shared" si="38"/>
        <v>296000</v>
      </c>
      <c r="J894" s="108" t="str">
        <f>IF(Таблица97[[#This Row],[НК]]=1,Таблица97[[#This Row],[Продажа]],"")</f>
        <v/>
      </c>
      <c r="M894" s="108">
        <v>220736</v>
      </c>
      <c r="N894" s="108">
        <f>Таблица97[[#This Row],[Продажа]]-Таблица97[[#This Row],[Закупка]]</f>
        <v>75264</v>
      </c>
      <c r="O894" s="108" t="str">
        <f>IF(Таблица97[[#This Row],[НК]]=1,Таблица97[[#This Row],[Маржа]],"")</f>
        <v/>
      </c>
    </row>
    <row r="895" spans="1:15" ht="20.100000000000001" customHeight="1" x14ac:dyDescent="0.25">
      <c r="A895" s="2">
        <v>587</v>
      </c>
      <c r="B895" s="2" t="str">
        <f>TEXT(Таблица97[[#This Row],[Дата]],"ГГ")&amp;RIGHT("000"&amp;Таблица97[[#This Row],[Номер]],4)</f>
        <v>180587</v>
      </c>
      <c r="C895" s="129">
        <v>43292</v>
      </c>
      <c r="D895" s="2" t="s">
        <v>227</v>
      </c>
      <c r="E895" s="108">
        <v>17790</v>
      </c>
      <c r="F895" s="129">
        <v>43293</v>
      </c>
      <c r="H895" s="129">
        <v>43294</v>
      </c>
      <c r="I895" s="108">
        <f t="shared" si="38"/>
        <v>17790</v>
      </c>
      <c r="J895" s="108" t="str">
        <f>IF(Таблица97[[#This Row],[НК]]=1,Таблица97[[#This Row],[Продажа]],"")</f>
        <v/>
      </c>
      <c r="M895" s="108">
        <v>12851</v>
      </c>
      <c r="N895" s="108">
        <f>Таблица97[[#This Row],[Продажа]]-Таблица97[[#This Row],[Закупка]]</f>
        <v>4939</v>
      </c>
      <c r="O895" s="108" t="str">
        <f>IF(Таблица97[[#This Row],[НК]]=1,Таблица97[[#This Row],[Маржа]],"")</f>
        <v/>
      </c>
    </row>
    <row r="896" spans="1:15" ht="20.100000000000001" customHeight="1" x14ac:dyDescent="0.25">
      <c r="A896" s="2">
        <v>583</v>
      </c>
      <c r="B896" s="2" t="str">
        <f>TEXT(Таблица97[[#This Row],[Дата]],"ГГ")&amp;RIGHT("000"&amp;Таблица97[[#This Row],[Номер]],4)</f>
        <v>180583</v>
      </c>
      <c r="C896" s="129">
        <v>43292</v>
      </c>
      <c r="D896" s="2" t="s">
        <v>327</v>
      </c>
      <c r="E896" s="108">
        <v>18290</v>
      </c>
      <c r="F896" s="129">
        <v>43293</v>
      </c>
      <c r="H896" s="129">
        <v>43299</v>
      </c>
      <c r="I896" s="108">
        <f t="shared" si="38"/>
        <v>18290</v>
      </c>
      <c r="J896" s="108" t="str">
        <f>IF(Таблица97[[#This Row],[НК]]=1,Таблица97[[#This Row],[Продажа]],"")</f>
        <v/>
      </c>
      <c r="M896" s="108">
        <v>13827</v>
      </c>
      <c r="N896" s="108">
        <f>Таблица97[[#This Row],[Продажа]]-Таблица97[[#This Row],[Закупка]]</f>
        <v>4463</v>
      </c>
      <c r="O896" s="108" t="str">
        <f>IF(Таблица97[[#This Row],[НК]]=1,Таблица97[[#This Row],[Маржа]],"")</f>
        <v/>
      </c>
    </row>
    <row r="897" spans="1:15" ht="20.100000000000001" customHeight="1" x14ac:dyDescent="0.25">
      <c r="A897" s="2">
        <v>584</v>
      </c>
      <c r="B897" s="2" t="str">
        <f>TEXT(Таблица97[[#This Row],[Дата]],"ГГ")&amp;RIGHT("000"&amp;Таблица97[[#This Row],[Номер]],4)</f>
        <v>180584</v>
      </c>
      <c r="C897" s="129">
        <v>43292</v>
      </c>
      <c r="D897" s="2" t="s">
        <v>236</v>
      </c>
      <c r="E897" s="108">
        <v>4000</v>
      </c>
      <c r="F897" s="129">
        <v>43294</v>
      </c>
      <c r="H897" s="129">
        <v>43308</v>
      </c>
      <c r="I897" s="108">
        <f t="shared" si="38"/>
        <v>4000</v>
      </c>
      <c r="J897" s="108" t="str">
        <f>IF(Таблица97[[#This Row],[НК]]=1,Таблица97[[#This Row],[Продажа]],"")</f>
        <v/>
      </c>
      <c r="M897" s="108">
        <v>2640</v>
      </c>
      <c r="N897" s="108">
        <f>Таблица97[[#This Row],[Продажа]]-Таблица97[[#This Row],[Закупка]]</f>
        <v>1360</v>
      </c>
      <c r="O897" s="108" t="str">
        <f>IF(Таблица97[[#This Row],[НК]]=1,Таблица97[[#This Row],[Маржа]],"")</f>
        <v/>
      </c>
    </row>
    <row r="898" spans="1:15" ht="20.100000000000001" customHeight="1" x14ac:dyDescent="0.25">
      <c r="A898" s="2">
        <v>560</v>
      </c>
      <c r="B898" s="2" t="str">
        <f>TEXT(Таблица97[[#This Row],[Дата]],"ГГ")&amp;RIGHT("000"&amp;Таблица97[[#This Row],[Номер]],4)</f>
        <v>180560</v>
      </c>
      <c r="C898" s="129">
        <v>43284</v>
      </c>
      <c r="D898" s="2" t="s">
        <v>56</v>
      </c>
      <c r="E898" s="108">
        <v>30642</v>
      </c>
      <c r="F898" s="129">
        <v>43297</v>
      </c>
      <c r="H898" s="129">
        <v>43290</v>
      </c>
      <c r="I898" s="108">
        <f t="shared" si="38"/>
        <v>30642</v>
      </c>
      <c r="J898" s="108" t="str">
        <f>IF(Таблица97[[#This Row],[НК]]=1,Таблица97[[#This Row],[Продажа]],"")</f>
        <v/>
      </c>
      <c r="M898" s="108">
        <v>21549.9</v>
      </c>
      <c r="N898" s="108">
        <f>Таблица97[[#This Row],[Продажа]]-Таблица97[[#This Row],[Закупка]]</f>
        <v>9092.0999999999985</v>
      </c>
      <c r="O898" s="108" t="str">
        <f>IF(Таблица97[[#This Row],[НК]]=1,Таблица97[[#This Row],[Маржа]],"")</f>
        <v/>
      </c>
    </row>
    <row r="899" spans="1:15" ht="20.100000000000001" customHeight="1" x14ac:dyDescent="0.25">
      <c r="A899" s="2">
        <v>592</v>
      </c>
      <c r="B899" s="2" t="str">
        <f>TEXT(Таблица97[[#This Row],[Дата]],"ГГ")&amp;RIGHT("000"&amp;Таблица97[[#This Row],[Номер]],4)</f>
        <v>180592</v>
      </c>
      <c r="C899" s="129">
        <v>43293</v>
      </c>
      <c r="D899" s="2" t="s">
        <v>287</v>
      </c>
      <c r="E899" s="108">
        <v>7402</v>
      </c>
      <c r="F899" s="129">
        <v>43297</v>
      </c>
      <c r="H899" s="129">
        <v>43306</v>
      </c>
      <c r="I899" s="108">
        <f t="shared" si="38"/>
        <v>7402</v>
      </c>
      <c r="J899" s="108" t="str">
        <f>IF(Таблица97[[#This Row],[НК]]=1,Таблица97[[#This Row],[Продажа]],"")</f>
        <v/>
      </c>
      <c r="M899" s="108">
        <v>5699</v>
      </c>
      <c r="N899" s="108">
        <f>Таблица97[[#This Row],[Продажа]]-Таблица97[[#This Row],[Закупка]]</f>
        <v>1703</v>
      </c>
      <c r="O899" s="108" t="str">
        <f>IF(Таблица97[[#This Row],[НК]]=1,Таблица97[[#This Row],[Маржа]],"")</f>
        <v/>
      </c>
    </row>
    <row r="900" spans="1:15" ht="20.100000000000001" customHeight="1" x14ac:dyDescent="0.25">
      <c r="A900" s="2">
        <v>594</v>
      </c>
      <c r="B900" s="2" t="str">
        <f>TEXT(Таблица97[[#This Row],[Дата]],"ГГ")&amp;RIGHT("000"&amp;Таблица97[[#This Row],[Номер]],4)</f>
        <v>180594</v>
      </c>
      <c r="C900" s="129">
        <v>43294</v>
      </c>
      <c r="D900" s="2" t="s">
        <v>209</v>
      </c>
      <c r="E900" s="108">
        <v>1922.7</v>
      </c>
      <c r="F900" s="129">
        <v>43297</v>
      </c>
      <c r="H900" s="129">
        <v>43294</v>
      </c>
      <c r="I900" s="108">
        <f t="shared" si="38"/>
        <v>1922.7</v>
      </c>
      <c r="J900" s="108" t="str">
        <f>IF(Таблица97[[#This Row],[НК]]=1,Таблица97[[#This Row],[Продажа]],"")</f>
        <v/>
      </c>
      <c r="M900" s="108">
        <v>1764</v>
      </c>
      <c r="N900" s="108">
        <f>Таблица97[[#This Row],[Продажа]]-Таблица97[[#This Row],[Закупка]]</f>
        <v>158.70000000000005</v>
      </c>
      <c r="O900" s="108" t="str">
        <f>IF(Таблица97[[#This Row],[НК]]=1,Таблица97[[#This Row],[Маржа]],"")</f>
        <v/>
      </c>
    </row>
    <row r="901" spans="1:15" ht="20.100000000000001" customHeight="1" x14ac:dyDescent="0.25">
      <c r="A901" s="2">
        <v>588</v>
      </c>
      <c r="B901" s="2" t="str">
        <f>TEXT(Таблица97[[#This Row],[Дата]],"ГГ")&amp;RIGHT("000"&amp;Таблица97[[#This Row],[Номер]],4)</f>
        <v>180588</v>
      </c>
      <c r="C901" s="129">
        <v>43293</v>
      </c>
      <c r="D901" s="2" t="s">
        <v>327</v>
      </c>
      <c r="E901" s="108">
        <v>2543</v>
      </c>
      <c r="F901" s="129">
        <v>43298</v>
      </c>
      <c r="H901" s="129">
        <v>43299</v>
      </c>
      <c r="I901" s="108">
        <f t="shared" si="38"/>
        <v>2543</v>
      </c>
      <c r="J901" s="108" t="str">
        <f>IF(Таблица97[[#This Row],[НК]]=1,Таблица97[[#This Row],[Продажа]],"")</f>
        <v/>
      </c>
      <c r="M901" s="108">
        <v>1995</v>
      </c>
      <c r="N901" s="108">
        <f>Таблица97[[#This Row],[Продажа]]-Таблица97[[#This Row],[Закупка]]</f>
        <v>548</v>
      </c>
      <c r="O901" s="108" t="str">
        <f>IF(Таблица97[[#This Row],[НК]]=1,Таблица97[[#This Row],[Маржа]],"")</f>
        <v/>
      </c>
    </row>
    <row r="902" spans="1:15" ht="20.100000000000001" customHeight="1" x14ac:dyDescent="0.25">
      <c r="A902" s="2">
        <v>595</v>
      </c>
      <c r="B902" s="2" t="str">
        <f>TEXT(Таблица97[[#This Row],[Дата]],"ГГ")&amp;RIGHT("000"&amp;Таблица97[[#This Row],[Номер]],4)</f>
        <v>180595</v>
      </c>
      <c r="C902" s="129">
        <v>43294</v>
      </c>
      <c r="D902" s="2" t="s">
        <v>91</v>
      </c>
      <c r="E902" s="108">
        <v>4613</v>
      </c>
      <c r="F902" s="129">
        <v>43298</v>
      </c>
      <c r="H902" s="129">
        <v>43301</v>
      </c>
      <c r="I902" s="108">
        <f t="shared" si="38"/>
        <v>4613</v>
      </c>
      <c r="J902" s="108" t="str">
        <f>IF(Таблица97[[#This Row],[НК]]=1,Таблица97[[#This Row],[Продажа]],"")</f>
        <v/>
      </c>
      <c r="M902" s="108">
        <v>3696</v>
      </c>
      <c r="N902" s="108">
        <f>Таблица97[[#This Row],[Продажа]]-Таблица97[[#This Row],[Закупка]]</f>
        <v>917</v>
      </c>
      <c r="O902" s="108" t="str">
        <f>IF(Таблица97[[#This Row],[НК]]=1,Таблица97[[#This Row],[Маржа]],"")</f>
        <v/>
      </c>
    </row>
    <row r="903" spans="1:15" ht="20.100000000000001" customHeight="1" x14ac:dyDescent="0.25">
      <c r="A903" s="2">
        <v>590</v>
      </c>
      <c r="B903" s="2" t="str">
        <f>TEXT(Таблица97[[#This Row],[Дата]],"ГГ")&amp;RIGHT("000"&amp;Таблица97[[#This Row],[Номер]],4)</f>
        <v>180590</v>
      </c>
      <c r="C903" s="129">
        <v>43293</v>
      </c>
      <c r="D903" s="2" t="s">
        <v>89</v>
      </c>
      <c r="E903" s="108">
        <v>9226</v>
      </c>
      <c r="F903" s="129">
        <v>43298</v>
      </c>
      <c r="H903" s="129">
        <v>43319</v>
      </c>
      <c r="I903" s="108">
        <f t="shared" si="38"/>
        <v>9226</v>
      </c>
      <c r="J903" s="108" t="str">
        <f>IF(Таблица97[[#This Row],[НК]]=1,Таблица97[[#This Row],[Продажа]],"")</f>
        <v/>
      </c>
      <c r="M903" s="108">
        <v>7393</v>
      </c>
      <c r="N903" s="108">
        <f>Таблица97[[#This Row],[Продажа]]-Таблица97[[#This Row],[Закупка]]</f>
        <v>1833</v>
      </c>
      <c r="O903" s="108" t="str">
        <f>IF(Таблица97[[#This Row],[НК]]=1,Таблица97[[#This Row],[Маржа]],"")</f>
        <v/>
      </c>
    </row>
    <row r="904" spans="1:15" ht="20.100000000000001" customHeight="1" x14ac:dyDescent="0.25">
      <c r="A904" s="2">
        <v>606</v>
      </c>
      <c r="B904" s="2" t="str">
        <f>TEXT(Таблица97[[#This Row],[Дата]],"ГГ")&amp;RIGHT("000"&amp;Таблица97[[#This Row],[Номер]],4)</f>
        <v>180606</v>
      </c>
      <c r="C904" s="129">
        <v>43299</v>
      </c>
      <c r="D904" s="2" t="s">
        <v>118</v>
      </c>
      <c r="E904" s="108">
        <v>8490.65</v>
      </c>
      <c r="F904" s="129">
        <v>43299</v>
      </c>
      <c r="H904" s="129">
        <v>43312</v>
      </c>
      <c r="I904" s="108">
        <f t="shared" si="38"/>
        <v>8490.65</v>
      </c>
      <c r="J904" s="108" t="str">
        <f>IF(Таблица97[[#This Row],[НК]]=1,Таблица97[[#This Row],[Продажа]],"")</f>
        <v/>
      </c>
      <c r="M904" s="108">
        <v>7299</v>
      </c>
      <c r="N904" s="108">
        <f>Таблица97[[#This Row],[Продажа]]-Таблица97[[#This Row],[Закупка]]</f>
        <v>1191.6499999999996</v>
      </c>
      <c r="O904" s="108" t="str">
        <f>IF(Таблица97[[#This Row],[НК]]=1,Таблица97[[#This Row],[Маржа]],"")</f>
        <v/>
      </c>
    </row>
    <row r="905" spans="1:15" ht="20.100000000000001" customHeight="1" x14ac:dyDescent="0.25">
      <c r="A905" s="2">
        <v>608</v>
      </c>
      <c r="B905" s="2" t="str">
        <f>TEXT(Таблица97[[#This Row],[Дата]],"ГГ")&amp;RIGHT("000"&amp;Таблица97[[#This Row],[Номер]],4)</f>
        <v>180608</v>
      </c>
      <c r="C905" s="129">
        <v>43299</v>
      </c>
      <c r="D905" s="2" t="s">
        <v>49</v>
      </c>
      <c r="E905" s="108">
        <v>4400</v>
      </c>
      <c r="F905" s="129">
        <v>43300</v>
      </c>
      <c r="H905" s="129">
        <v>43305</v>
      </c>
      <c r="I905" s="108">
        <f t="shared" si="38"/>
        <v>4400</v>
      </c>
      <c r="J905" s="108" t="str">
        <f>IF(Таблица97[[#This Row],[НК]]=1,Таблица97[[#This Row],[Продажа]],"")</f>
        <v/>
      </c>
      <c r="M905" s="108">
        <v>3080</v>
      </c>
      <c r="N905" s="108">
        <f>Таблица97[[#This Row],[Продажа]]-Таблица97[[#This Row],[Закупка]]</f>
        <v>1320</v>
      </c>
      <c r="O905" s="108" t="str">
        <f>IF(Таблица97[[#This Row],[НК]]=1,Таблица97[[#This Row],[Маржа]],"")</f>
        <v/>
      </c>
    </row>
    <row r="906" spans="1:15" ht="20.100000000000001" customHeight="1" x14ac:dyDescent="0.25">
      <c r="A906" s="2">
        <v>581</v>
      </c>
      <c r="B906" s="2" t="str">
        <f>TEXT(Таблица97[[#This Row],[Дата]],"ГГ")&amp;RIGHT("000"&amp;Таблица97[[#This Row],[Номер]],4)</f>
        <v>180581</v>
      </c>
      <c r="C906" s="129">
        <v>43292</v>
      </c>
      <c r="D906" s="2" t="s">
        <v>49</v>
      </c>
      <c r="E906" s="108">
        <v>1656</v>
      </c>
      <c r="F906" s="129">
        <v>43300</v>
      </c>
      <c r="H906" s="129">
        <v>43305</v>
      </c>
      <c r="I906" s="108">
        <f t="shared" si="38"/>
        <v>1656</v>
      </c>
      <c r="J906" s="108" t="str">
        <f>IF(Таблица97[[#This Row],[НК]]=1,Таблица97[[#This Row],[Продажа]],"")</f>
        <v/>
      </c>
      <c r="M906" s="108">
        <v>1106</v>
      </c>
      <c r="N906" s="108">
        <f>Таблица97[[#This Row],[Продажа]]-Таблица97[[#This Row],[Закупка]]</f>
        <v>550</v>
      </c>
      <c r="O906" s="108" t="str">
        <f>IF(Таблица97[[#This Row],[НК]]=1,Таблица97[[#This Row],[Маржа]],"")</f>
        <v/>
      </c>
    </row>
    <row r="907" spans="1:15" ht="20.100000000000001" customHeight="1" x14ac:dyDescent="0.25">
      <c r="A907" s="2">
        <v>621</v>
      </c>
      <c r="B907" s="2" t="str">
        <f>TEXT(Таблица97[[#This Row],[Дата]],"ГГ")&amp;RIGHT("000"&amp;Таблица97[[#This Row],[Номер]],4)</f>
        <v>180621</v>
      </c>
      <c r="C907" s="129">
        <v>43304</v>
      </c>
      <c r="D907" s="2" t="s">
        <v>347</v>
      </c>
      <c r="E907" s="108">
        <v>21990</v>
      </c>
      <c r="F907" s="129">
        <v>43305</v>
      </c>
      <c r="G907" s="128">
        <v>1</v>
      </c>
      <c r="H907" s="129">
        <v>43306</v>
      </c>
      <c r="I907" s="108">
        <f t="shared" si="38"/>
        <v>21990</v>
      </c>
      <c r="J907" s="108">
        <f>IF(Таблица97[[#This Row],[НК]]=1,Таблица97[[#This Row],[Продажа]],"")</f>
        <v>21990</v>
      </c>
      <c r="M907" s="108">
        <v>16162</v>
      </c>
      <c r="N907" s="108">
        <f>Таблица97[[#This Row],[Продажа]]-Таблица97[[#This Row],[Закупка]]</f>
        <v>5828</v>
      </c>
      <c r="O907" s="108">
        <f>IF(Таблица97[[#This Row],[НК]]=1,Таблица97[[#This Row],[Маржа]],"")</f>
        <v>5828</v>
      </c>
    </row>
    <row r="908" spans="1:15" ht="20.100000000000001" customHeight="1" x14ac:dyDescent="0.25">
      <c r="A908" s="2">
        <v>603</v>
      </c>
      <c r="B908" s="2" t="str">
        <f>TEXT(Таблица97[[#This Row],[Дата]],"ГГ")&amp;RIGHT("000"&amp;Таблица97[[#This Row],[Номер]],4)</f>
        <v>180603</v>
      </c>
      <c r="C908" s="129">
        <v>43298</v>
      </c>
      <c r="D908" s="2" t="s">
        <v>175</v>
      </c>
      <c r="E908" s="108">
        <v>4010</v>
      </c>
      <c r="F908" s="129">
        <v>43306</v>
      </c>
      <c r="H908" s="129">
        <v>43305</v>
      </c>
      <c r="I908" s="108">
        <f t="shared" si="38"/>
        <v>4010</v>
      </c>
      <c r="J908" s="108" t="str">
        <f>IF(Таблица97[[#This Row],[НК]]=1,Таблица97[[#This Row],[Продажа]],"")</f>
        <v/>
      </c>
      <c r="M908" s="108">
        <v>3042</v>
      </c>
      <c r="N908" s="108">
        <f>Таблица97[[#This Row],[Продажа]]-Таблица97[[#This Row],[Закупка]]</f>
        <v>968</v>
      </c>
      <c r="O908" s="108" t="str">
        <f>IF(Таблица97[[#This Row],[НК]]=1,Таблица97[[#This Row],[Маржа]],"")</f>
        <v/>
      </c>
    </row>
    <row r="909" spans="1:15" ht="20.100000000000001" customHeight="1" x14ac:dyDescent="0.25">
      <c r="A909" s="2">
        <v>625</v>
      </c>
      <c r="B909" s="2" t="str">
        <f>TEXT(Таблица97[[#This Row],[Дата]],"ГГ")&amp;RIGHT("000"&amp;Таблица97[[#This Row],[Номер]],4)</f>
        <v>180625</v>
      </c>
      <c r="C909" s="129">
        <v>43305</v>
      </c>
      <c r="D909" s="2" t="s">
        <v>319</v>
      </c>
      <c r="E909" s="108">
        <v>5148</v>
      </c>
      <c r="F909" s="129">
        <v>43306</v>
      </c>
      <c r="H909" s="129">
        <v>43312</v>
      </c>
      <c r="I909" s="108">
        <f t="shared" si="38"/>
        <v>5148</v>
      </c>
      <c r="J909" s="108" t="str">
        <f>IF(Таблица97[[#This Row],[НК]]=1,Таблица97[[#This Row],[Продажа]],"")</f>
        <v/>
      </c>
      <c r="M909" s="108">
        <v>3963</v>
      </c>
      <c r="N909" s="108">
        <f>Таблица97[[#This Row],[Продажа]]-Таблица97[[#This Row],[Закупка]]</f>
        <v>1185</v>
      </c>
      <c r="O909" s="108" t="str">
        <f>IF(Таблица97[[#This Row],[НК]]=1,Таблица97[[#This Row],[Маржа]],"")</f>
        <v/>
      </c>
    </row>
    <row r="910" spans="1:15" ht="20.100000000000001" customHeight="1" x14ac:dyDescent="0.25">
      <c r="A910" s="2">
        <v>612</v>
      </c>
      <c r="B910" s="2" t="str">
        <f>TEXT(Таблица97[[#This Row],[Дата]],"ГГ")&amp;RIGHT("000"&amp;Таблица97[[#This Row],[Номер]],4)</f>
        <v>180612</v>
      </c>
      <c r="C910" s="129">
        <v>43300</v>
      </c>
      <c r="D910" s="2" t="s">
        <v>13</v>
      </c>
      <c r="E910" s="108">
        <v>9908</v>
      </c>
      <c r="F910" s="129">
        <v>43308</v>
      </c>
      <c r="H910" s="129">
        <v>43300</v>
      </c>
      <c r="I910" s="108">
        <f t="shared" si="38"/>
        <v>9908</v>
      </c>
      <c r="J910" s="108" t="str">
        <f>IF(Таблица97[[#This Row],[НК]]=1,Таблица97[[#This Row],[Продажа]],"")</f>
        <v/>
      </c>
      <c r="M910" s="108">
        <v>7728</v>
      </c>
      <c r="N910" s="108">
        <f>Таблица97[[#This Row],[Продажа]]-Таблица97[[#This Row],[Закупка]]</f>
        <v>2180</v>
      </c>
      <c r="O910" s="108" t="str">
        <f>IF(Таблица97[[#This Row],[НК]]=1,Таблица97[[#This Row],[Маржа]],"")</f>
        <v/>
      </c>
    </row>
    <row r="911" spans="1:15" ht="20.100000000000001" customHeight="1" x14ac:dyDescent="0.25">
      <c r="A911" s="2">
        <v>649</v>
      </c>
      <c r="B911" s="2" t="str">
        <f>TEXT(Таблица97[[#This Row],[Дата]],"ГГ")&amp;RIGHT("000"&amp;Таблица97[[#This Row],[Номер]],4)</f>
        <v>180649</v>
      </c>
      <c r="C911" s="129">
        <v>43311</v>
      </c>
      <c r="D911" s="2" t="s">
        <v>91</v>
      </c>
      <c r="E911" s="108">
        <v>4954</v>
      </c>
      <c r="F911" s="129">
        <v>43312</v>
      </c>
      <c r="H911" s="129">
        <v>43327</v>
      </c>
      <c r="I911" s="108">
        <f t="shared" si="38"/>
        <v>4954</v>
      </c>
      <c r="J911" s="108" t="str">
        <f>IF(Таблица97[[#This Row],[НК]]=1,Таблица97[[#This Row],[Продажа]],"")</f>
        <v/>
      </c>
      <c r="M911" s="108">
        <v>3862</v>
      </c>
      <c r="N911" s="108">
        <f>Таблица97[[#This Row],[Продажа]]-Таблица97[[#This Row],[Закупка]]</f>
        <v>1092</v>
      </c>
      <c r="O911" s="108" t="str">
        <f>IF(Таблица97[[#This Row],[НК]]=1,Таблица97[[#This Row],[Маржа]],"")</f>
        <v/>
      </c>
    </row>
    <row r="912" spans="1:15" ht="20.100000000000001" customHeight="1" x14ac:dyDescent="0.25">
      <c r="A912" s="2">
        <v>575</v>
      </c>
      <c r="B912" s="2" t="str">
        <f>TEXT(Таблица97[[#This Row],[Дата]],"ГГ")&amp;RIGHT("000"&amp;Таблица97[[#This Row],[Номер]],4)</f>
        <v>180575</v>
      </c>
      <c r="C912" s="129">
        <v>43305</v>
      </c>
      <c r="D912" s="2" t="s">
        <v>349</v>
      </c>
      <c r="E912" s="108">
        <v>13990</v>
      </c>
      <c r="F912" s="129">
        <v>43312</v>
      </c>
      <c r="G912" s="128">
        <v>1</v>
      </c>
      <c r="H912" s="129">
        <v>43312</v>
      </c>
      <c r="I912" s="108">
        <f t="shared" si="38"/>
        <v>13990</v>
      </c>
      <c r="J912" s="108">
        <f>IF(Таблица97[[#This Row],[НК]]=1,Таблица97[[#This Row],[Продажа]],"")</f>
        <v>13990</v>
      </c>
      <c r="M912" s="108">
        <v>10576</v>
      </c>
      <c r="N912" s="108">
        <f>Таблица97[[#This Row],[Продажа]]-Таблица97[[#This Row],[Закупка]]</f>
        <v>3414</v>
      </c>
      <c r="O912" s="108">
        <f>IF(Таблица97[[#This Row],[НК]]=1,Таблица97[[#This Row],[Маржа]],"")</f>
        <v>3414</v>
      </c>
    </row>
    <row r="913" spans="1:15" ht="20.100000000000001" customHeight="1" x14ac:dyDescent="0.25">
      <c r="A913" s="2">
        <v>648</v>
      </c>
      <c r="B913" s="2" t="str">
        <f>TEXT(Таблица97[[#This Row],[Дата]],"ГГ")&amp;RIGHT("000"&amp;Таблица97[[#This Row],[Номер]],4)</f>
        <v>180648</v>
      </c>
      <c r="C913" s="129">
        <v>43311</v>
      </c>
      <c r="D913" s="2" t="s">
        <v>348</v>
      </c>
      <c r="E913" s="108">
        <v>5314</v>
      </c>
      <c r="F913" s="129">
        <v>43313</v>
      </c>
      <c r="G913" s="128">
        <v>1</v>
      </c>
      <c r="H913" s="129">
        <v>43313</v>
      </c>
      <c r="I913" s="108">
        <f t="shared" ref="I913:I922" si="39">E913</f>
        <v>5314</v>
      </c>
      <c r="J913" s="108">
        <f>IF(Таблица97[[#This Row],[НК]]=1,Таблица97[[#This Row],[Продажа]],"")</f>
        <v>5314</v>
      </c>
      <c r="M913" s="108">
        <v>4257</v>
      </c>
      <c r="N913" s="108">
        <f>Таблица97[[#This Row],[Продажа]]-Таблица97[[#This Row],[Закупка]]</f>
        <v>1057</v>
      </c>
      <c r="O913" s="108">
        <f>IF(Таблица97[[#This Row],[НК]]=1,Таблица97[[#This Row],[Маржа]],"")</f>
        <v>1057</v>
      </c>
    </row>
    <row r="914" spans="1:15" ht="20.100000000000001" customHeight="1" x14ac:dyDescent="0.25">
      <c r="A914" s="2">
        <v>651</v>
      </c>
      <c r="B914" s="2" t="str">
        <f>TEXT(Таблица97[[#This Row],[Дата]],"ГГ")&amp;RIGHT("000"&amp;Таблица97[[#This Row],[Номер]],4)</f>
        <v>180651</v>
      </c>
      <c r="C914" s="129">
        <v>43312</v>
      </c>
      <c r="D914" s="2" t="s">
        <v>83</v>
      </c>
      <c r="E914" s="108">
        <v>8910</v>
      </c>
      <c r="F914" s="129">
        <v>43314</v>
      </c>
      <c r="H914" s="129">
        <v>43315</v>
      </c>
      <c r="I914" s="108">
        <f t="shared" si="39"/>
        <v>8910</v>
      </c>
      <c r="J914" s="108" t="str">
        <f>IF(Таблица97[[#This Row],[НК]]=1,Таблица97[[#This Row],[Продажа]],"")</f>
        <v/>
      </c>
      <c r="L914" s="108">
        <v>600</v>
      </c>
      <c r="M914" s="108">
        <v>5053</v>
      </c>
      <c r="N914" s="108">
        <f>Таблица97[[#This Row],[Продажа]]-Таблица97[[#This Row],[Закупка]]</f>
        <v>3857</v>
      </c>
      <c r="O914" s="108" t="str">
        <f>IF(Таблица97[[#This Row],[НК]]=1,Таблица97[[#This Row],[Маржа]],"")</f>
        <v/>
      </c>
    </row>
    <row r="915" spans="1:15" ht="20.100000000000001" customHeight="1" x14ac:dyDescent="0.25">
      <c r="A915" s="2">
        <v>646</v>
      </c>
      <c r="B915" s="2" t="str">
        <f>TEXT(Таблица97[[#This Row],[Дата]],"ГГ")&amp;RIGHT("000"&amp;Таблица97[[#This Row],[Номер]],4)</f>
        <v>180646</v>
      </c>
      <c r="C915" s="129">
        <v>43311</v>
      </c>
      <c r="D915" s="2" t="s">
        <v>231</v>
      </c>
      <c r="E915" s="108">
        <v>524</v>
      </c>
      <c r="F915" s="129">
        <v>43314</v>
      </c>
      <c r="H915" s="129">
        <v>43314</v>
      </c>
      <c r="I915" s="108">
        <f t="shared" si="39"/>
        <v>524</v>
      </c>
      <c r="J915" s="108" t="str">
        <f>IF(Таблица97[[#This Row],[НК]]=1,Таблица97[[#This Row],[Продажа]],"")</f>
        <v/>
      </c>
      <c r="M915" s="108">
        <v>348</v>
      </c>
      <c r="N915" s="108">
        <f>Таблица97[[#This Row],[Продажа]]-Таблица97[[#This Row],[Закупка]]</f>
        <v>176</v>
      </c>
      <c r="O915" s="108" t="str">
        <f>IF(Таблица97[[#This Row],[НК]]=1,Таблица97[[#This Row],[Маржа]],"")</f>
        <v/>
      </c>
    </row>
    <row r="916" spans="1:15" ht="20.100000000000001" customHeight="1" x14ac:dyDescent="0.25">
      <c r="A916" s="2">
        <v>657</v>
      </c>
      <c r="B916" s="2" t="str">
        <f>TEXT(Таблица97[[#This Row],[Дата]],"ГГ")&amp;RIGHT("000"&amp;Таблица97[[#This Row],[Номер]],4)</f>
        <v>180657</v>
      </c>
      <c r="C916" s="129">
        <v>43312</v>
      </c>
      <c r="D916" s="2" t="s">
        <v>147</v>
      </c>
      <c r="E916" s="108">
        <v>19815.98</v>
      </c>
      <c r="F916" s="129">
        <v>43314</v>
      </c>
      <c r="H916" s="129">
        <v>43315</v>
      </c>
      <c r="I916" s="108">
        <f t="shared" si="39"/>
        <v>19815.98</v>
      </c>
      <c r="J916" s="108" t="str">
        <f>IF(Таблица97[[#This Row],[НК]]=1,Таблица97[[#This Row],[Продажа]],"")</f>
        <v/>
      </c>
      <c r="M916" s="108">
        <v>15449</v>
      </c>
      <c r="N916" s="108">
        <f>Таблица97[[#This Row],[Продажа]]-Таблица97[[#This Row],[Закупка]]</f>
        <v>4366.9799999999996</v>
      </c>
      <c r="O916" s="108" t="str">
        <f>IF(Таблица97[[#This Row],[НК]]=1,Таблица97[[#This Row],[Маржа]],"")</f>
        <v/>
      </c>
    </row>
    <row r="917" spans="1:15" ht="20.100000000000001" customHeight="1" x14ac:dyDescent="0.25">
      <c r="A917" s="2">
        <v>670</v>
      </c>
      <c r="B917" s="2" t="str">
        <f>TEXT(Таблица97[[#This Row],[Дата]],"ГГ")&amp;RIGHT("000"&amp;Таблица97[[#This Row],[Номер]],4)</f>
        <v>180670</v>
      </c>
      <c r="C917" s="129">
        <v>43315</v>
      </c>
      <c r="D917" s="2" t="s">
        <v>350</v>
      </c>
      <c r="E917" s="108">
        <v>9290</v>
      </c>
      <c r="F917" s="129">
        <v>43315</v>
      </c>
      <c r="G917" s="128">
        <v>1</v>
      </c>
      <c r="H917" s="129">
        <v>43315</v>
      </c>
      <c r="I917" s="108">
        <f t="shared" si="39"/>
        <v>9290</v>
      </c>
      <c r="J917" s="108">
        <f>IF(Таблица97[[#This Row],[НК]]=1,Таблица97[[#This Row],[Продажа]],"")</f>
        <v>9290</v>
      </c>
      <c r="M917" s="108">
        <v>6607</v>
      </c>
      <c r="N917" s="108">
        <f>Таблица97[[#This Row],[Продажа]]-Таблица97[[#This Row],[Закупка]]</f>
        <v>2683</v>
      </c>
      <c r="O917" s="108">
        <f>IF(Таблица97[[#This Row],[НК]]=1,Таблица97[[#This Row],[Маржа]],"")</f>
        <v>2683</v>
      </c>
    </row>
    <row r="918" spans="1:15" ht="20.100000000000001" customHeight="1" x14ac:dyDescent="0.25">
      <c r="A918" s="2">
        <v>674</v>
      </c>
      <c r="B918" s="2" t="str">
        <f>TEXT(Таблица97[[#This Row],[Дата]],"ГГ")&amp;RIGHT("000"&amp;Таблица97[[#This Row],[Номер]],4)</f>
        <v>180674</v>
      </c>
      <c r="C918" s="129">
        <v>43318</v>
      </c>
      <c r="D918" s="2" t="s">
        <v>351</v>
      </c>
      <c r="E918" s="108">
        <v>5235</v>
      </c>
      <c r="F918" s="129">
        <v>43318</v>
      </c>
      <c r="G918" s="128">
        <v>1</v>
      </c>
      <c r="H918" s="129">
        <v>43318</v>
      </c>
      <c r="I918" s="108">
        <f t="shared" si="39"/>
        <v>5235</v>
      </c>
      <c r="J918" s="108">
        <f>IF(Таблица97[[#This Row],[НК]]=1,Таблица97[[#This Row],[Продажа]],"")</f>
        <v>5235</v>
      </c>
      <c r="M918" s="108">
        <v>4048</v>
      </c>
      <c r="N918" s="108">
        <f>Таблица97[[#This Row],[Продажа]]-Таблица97[[#This Row],[Закупка]]</f>
        <v>1187</v>
      </c>
      <c r="O918" s="108">
        <f>IF(Таблица97[[#This Row],[НК]]=1,Таблица97[[#This Row],[Маржа]],"")</f>
        <v>1187</v>
      </c>
    </row>
    <row r="919" spans="1:15" ht="20.100000000000001" customHeight="1" x14ac:dyDescent="0.25">
      <c r="A919" s="2">
        <v>618</v>
      </c>
      <c r="B919" s="2" t="str">
        <f>TEXT(Таблица97[[#This Row],[Дата]],"ГГ")&amp;RIGHT("000"&amp;Таблица97[[#This Row],[Номер]],4)</f>
        <v>180618</v>
      </c>
      <c r="C919" s="129">
        <v>43305</v>
      </c>
      <c r="D919" s="2" t="s">
        <v>228</v>
      </c>
      <c r="E919" s="108">
        <v>25487</v>
      </c>
      <c r="F919" s="129">
        <v>43319</v>
      </c>
      <c r="H919" s="129">
        <v>43341</v>
      </c>
      <c r="I919" s="108">
        <f t="shared" si="39"/>
        <v>25487</v>
      </c>
      <c r="J919" s="108" t="str">
        <f>IF(Таблица97[[#This Row],[НК]]=1,Таблица97[[#This Row],[Продажа]],"")</f>
        <v/>
      </c>
      <c r="L919" s="108">
        <f>2*600</f>
        <v>1200</v>
      </c>
      <c r="M919" s="108">
        <v>13301</v>
      </c>
      <c r="N919" s="108">
        <f>Таблица97[[#This Row],[Продажа]]-Таблица97[[#This Row],[Закупка]]</f>
        <v>12186</v>
      </c>
      <c r="O919" s="108" t="str">
        <f>IF(Таблица97[[#This Row],[НК]]=1,Таблица97[[#This Row],[Маржа]],"")</f>
        <v/>
      </c>
    </row>
    <row r="920" spans="1:15" ht="20.100000000000001" customHeight="1" x14ac:dyDescent="0.25">
      <c r="A920" s="2">
        <v>638</v>
      </c>
      <c r="B920" s="2" t="str">
        <f>TEXT(Таблица97[[#This Row],[Дата]],"ГГ")&amp;RIGHT("000"&amp;Таблица97[[#This Row],[Номер]],4)</f>
        <v>180638</v>
      </c>
      <c r="C920" s="129">
        <v>43350</v>
      </c>
      <c r="D920" s="2" t="s">
        <v>83</v>
      </c>
      <c r="E920" s="108">
        <v>11540</v>
      </c>
      <c r="F920" s="129">
        <v>43321</v>
      </c>
      <c r="H920" s="129">
        <v>43325</v>
      </c>
      <c r="I920" s="108">
        <f t="shared" si="39"/>
        <v>11540</v>
      </c>
      <c r="J920" s="108" t="str">
        <f>IF(Таблица97[[#This Row],[НК]]=1,Таблица97[[#This Row],[Продажа]],"")</f>
        <v/>
      </c>
      <c r="M920" s="108">
        <v>8975</v>
      </c>
      <c r="N920" s="108">
        <f>Таблица97[[#This Row],[Продажа]]-Таблица97[[#This Row],[Закупка]]</f>
        <v>2565</v>
      </c>
      <c r="O920" s="108" t="str">
        <f>IF(Таблица97[[#This Row],[НК]]=1,Таблица97[[#This Row],[Маржа]],"")</f>
        <v/>
      </c>
    </row>
    <row r="921" spans="1:15" ht="20.100000000000001" customHeight="1" x14ac:dyDescent="0.25">
      <c r="A921" s="2">
        <v>693</v>
      </c>
      <c r="B921" s="2" t="str">
        <f>TEXT(Таблица97[[#This Row],[Дата]],"ГГ")&amp;RIGHT("000"&amp;Таблица97[[#This Row],[Номер]],4)</f>
        <v>180693</v>
      </c>
      <c r="C921" s="129">
        <v>43321</v>
      </c>
      <c r="D921" s="2" t="s">
        <v>352</v>
      </c>
      <c r="E921" s="108">
        <v>34171</v>
      </c>
      <c r="F921" s="129">
        <v>43322</v>
      </c>
      <c r="G921" s="128">
        <v>1</v>
      </c>
      <c r="H921" s="129">
        <v>43328</v>
      </c>
      <c r="I921" s="108">
        <f t="shared" si="39"/>
        <v>34171</v>
      </c>
      <c r="J921" s="108">
        <f>IF(Таблица97[[#This Row],[НК]]=1,Таблица97[[#This Row],[Продажа]],"")</f>
        <v>34171</v>
      </c>
      <c r="M921" s="108">
        <v>25848</v>
      </c>
      <c r="N921" s="108">
        <f>Таблица97[[#This Row],[Продажа]]-Таблица97[[#This Row],[Закупка]]</f>
        <v>8323</v>
      </c>
      <c r="O921" s="108">
        <f>IF(Таблица97[[#This Row],[НК]]=1,Таблица97[[#This Row],[Маржа]],"")</f>
        <v>8323</v>
      </c>
    </row>
    <row r="922" spans="1:15" ht="20.100000000000001" customHeight="1" x14ac:dyDescent="0.25">
      <c r="A922" s="2">
        <v>964</v>
      </c>
      <c r="B922" s="2" t="str">
        <f>TEXT(Таблица97[[#This Row],[Дата]],"ГГ")&amp;RIGHT("000"&amp;Таблица97[[#This Row],[Номер]],4)</f>
        <v>180964</v>
      </c>
      <c r="C922" s="129">
        <v>43321</v>
      </c>
      <c r="D922" s="2" t="s">
        <v>301</v>
      </c>
      <c r="E922" s="108">
        <v>4000</v>
      </c>
      <c r="F922" s="129">
        <v>43322</v>
      </c>
      <c r="H922" s="129">
        <v>43333</v>
      </c>
      <c r="I922" s="108">
        <f t="shared" si="39"/>
        <v>4000</v>
      </c>
      <c r="J922" s="108" t="str">
        <f>IF(Таблица97[[#This Row],[НК]]=1,Таблица97[[#This Row],[Продажа]],"")</f>
        <v/>
      </c>
      <c r="L922" s="108">
        <v>600</v>
      </c>
      <c r="M922" s="108">
        <v>1224</v>
      </c>
      <c r="N922" s="108">
        <f>Таблица97[[#This Row],[Продажа]]-Таблица97[[#This Row],[Закупка]]</f>
        <v>2776</v>
      </c>
      <c r="O922" s="108" t="str">
        <f>IF(Таблица97[[#This Row],[НК]]=1,Таблица97[[#This Row],[Маржа]],"")</f>
        <v/>
      </c>
    </row>
    <row r="923" spans="1:15" ht="20.100000000000001" customHeight="1" x14ac:dyDescent="0.25">
      <c r="A923" s="2">
        <v>614</v>
      </c>
      <c r="B923" s="2" t="str">
        <f>TEXT(Таблица97[[#This Row],[Дата]],"ГГ")&amp;RIGHT("000"&amp;Таблица97[[#This Row],[Номер]],4)</f>
        <v>180614</v>
      </c>
      <c r="C923" s="129">
        <v>43300</v>
      </c>
      <c r="D923" s="2" t="s">
        <v>60</v>
      </c>
      <c r="E923" s="108">
        <v>20249</v>
      </c>
      <c r="F923" s="129">
        <v>43325</v>
      </c>
      <c r="H923" s="129">
        <v>43311</v>
      </c>
      <c r="I923" s="108">
        <v>10094</v>
      </c>
      <c r="J923" s="108" t="str">
        <f>IF(Таблица97[[#This Row],[НК]]=1,Таблица97[[#This Row],[Продажа]],"")</f>
        <v/>
      </c>
      <c r="M923" s="108">
        <v>7868</v>
      </c>
      <c r="N923" s="108">
        <f>Таблица97[[#This Row],[Продажа]]-Таблица97[[#This Row],[Закупка]]</f>
        <v>2226</v>
      </c>
      <c r="O923" s="108" t="str">
        <f>IF(Таблица97[[#This Row],[НК]]=1,Таблица97[[#This Row],[Маржа]],"")</f>
        <v/>
      </c>
    </row>
    <row r="924" spans="1:15" ht="20.100000000000001" customHeight="1" x14ac:dyDescent="0.25">
      <c r="A924" s="2">
        <v>686</v>
      </c>
      <c r="B924" s="2" t="str">
        <f>TEXT(Таблица97[[#This Row],[Дата]],"ГГ")&amp;RIGHT("000"&amp;Таблица97[[#This Row],[Номер]],4)</f>
        <v>180686</v>
      </c>
      <c r="C924" s="129">
        <v>43320</v>
      </c>
      <c r="D924" s="2" t="s">
        <v>314</v>
      </c>
      <c r="E924" s="108">
        <v>10000</v>
      </c>
      <c r="F924" s="129">
        <v>43326</v>
      </c>
      <c r="H924" s="129">
        <v>43327</v>
      </c>
      <c r="I924" s="108">
        <f t="shared" ref="I924:I938" si="40">E924</f>
        <v>10000</v>
      </c>
      <c r="J924" s="108" t="str">
        <f>IF(Таблица97[[#This Row],[НК]]=1,Таблица97[[#This Row],[Продажа]],"")</f>
        <v/>
      </c>
      <c r="M924" s="108">
        <v>5740</v>
      </c>
      <c r="N924" s="108">
        <f>Таблица97[[#This Row],[Продажа]]-Таблица97[[#This Row],[Закупка]]</f>
        <v>4260</v>
      </c>
      <c r="O924" s="108" t="str">
        <f>IF(Таблица97[[#This Row],[НК]]=1,Таблица97[[#This Row],[Маржа]],"")</f>
        <v/>
      </c>
    </row>
    <row r="925" spans="1:15" ht="20.100000000000001" customHeight="1" x14ac:dyDescent="0.25">
      <c r="A925" s="2">
        <v>676</v>
      </c>
      <c r="B925" s="2" t="str">
        <f>TEXT(Таблица97[[#This Row],[Дата]],"ГГ")&amp;RIGHT("000"&amp;Таблица97[[#This Row],[Номер]],4)</f>
        <v>180676</v>
      </c>
      <c r="C925" s="129">
        <v>43318</v>
      </c>
      <c r="D925" s="2" t="s">
        <v>314</v>
      </c>
      <c r="E925" s="108">
        <v>10000</v>
      </c>
      <c r="F925" s="129">
        <v>43326</v>
      </c>
      <c r="H925" s="129">
        <v>43327</v>
      </c>
      <c r="I925" s="108">
        <f t="shared" si="40"/>
        <v>10000</v>
      </c>
      <c r="J925" s="108" t="str">
        <f>IF(Таблица97[[#This Row],[НК]]=1,Таблица97[[#This Row],[Продажа]],"")</f>
        <v/>
      </c>
      <c r="L925" s="108">
        <v>1200</v>
      </c>
      <c r="M925" s="108">
        <v>2619</v>
      </c>
      <c r="N925" s="108">
        <f>Таблица97[[#This Row],[Продажа]]-Таблица97[[#This Row],[Закупка]]</f>
        <v>7381</v>
      </c>
      <c r="O925" s="108" t="str">
        <f>IF(Таблица97[[#This Row],[НК]]=1,Таблица97[[#This Row],[Маржа]],"")</f>
        <v/>
      </c>
    </row>
    <row r="926" spans="1:15" ht="20.100000000000001" customHeight="1" x14ac:dyDescent="0.25">
      <c r="A926" s="2">
        <v>671</v>
      </c>
      <c r="B926" s="2" t="str">
        <f>TEXT(Таблица97[[#This Row],[Дата]],"ГГ")&amp;RIGHT("000"&amp;Таблица97[[#This Row],[Номер]],4)</f>
        <v>180671</v>
      </c>
      <c r="C926" s="129">
        <v>43315</v>
      </c>
      <c r="D926" s="2" t="s">
        <v>315</v>
      </c>
      <c r="E926" s="108">
        <v>2642</v>
      </c>
      <c r="F926" s="129">
        <v>43326</v>
      </c>
      <c r="H926" s="129">
        <v>43368</v>
      </c>
      <c r="I926" s="108">
        <f t="shared" si="40"/>
        <v>2642</v>
      </c>
      <c r="J926" s="108" t="str">
        <f>IF(Таблица97[[#This Row],[НК]]=1,Таблица97[[#This Row],[Продажа]],"")</f>
        <v/>
      </c>
      <c r="M926" s="108">
        <v>1592</v>
      </c>
      <c r="N926" s="108">
        <f>Таблица97[[#This Row],[Продажа]]-Таблица97[[#This Row],[Закупка]]</f>
        <v>1050</v>
      </c>
      <c r="O926" s="108" t="str">
        <f>IF(Таблица97[[#This Row],[НК]]=1,Таблица97[[#This Row],[Маржа]],"")</f>
        <v/>
      </c>
    </row>
    <row r="927" spans="1:15" ht="20.100000000000001" customHeight="1" x14ac:dyDescent="0.25">
      <c r="A927" s="2">
        <v>697</v>
      </c>
      <c r="B927" s="2" t="str">
        <f>TEXT(Таблица97[[#This Row],[Дата]],"ГГ")&amp;RIGHT("000"&amp;Таблица97[[#This Row],[Номер]],4)</f>
        <v>180697</v>
      </c>
      <c r="C927" s="129">
        <v>43322</v>
      </c>
      <c r="D927" s="2" t="s">
        <v>348</v>
      </c>
      <c r="E927" s="108">
        <v>3810</v>
      </c>
      <c r="F927" s="129">
        <v>43326</v>
      </c>
      <c r="G927" s="128">
        <v>1</v>
      </c>
      <c r="H927" s="129">
        <v>43327</v>
      </c>
      <c r="I927" s="108">
        <f t="shared" si="40"/>
        <v>3810</v>
      </c>
      <c r="J927" s="108">
        <f>IF(Таблица97[[#This Row],[НК]]=1,Таблица97[[#This Row],[Продажа]],"")</f>
        <v>3810</v>
      </c>
      <c r="M927" s="108">
        <v>3053</v>
      </c>
      <c r="N927" s="108">
        <f>Таблица97[[#This Row],[Продажа]]-Таблица97[[#This Row],[Закупка]]</f>
        <v>757</v>
      </c>
      <c r="O927" s="108">
        <f>IF(Таблица97[[#This Row],[НК]]=1,Таблица97[[#This Row],[Маржа]],"")</f>
        <v>757</v>
      </c>
    </row>
    <row r="928" spans="1:15" ht="20.100000000000001" customHeight="1" x14ac:dyDescent="0.25">
      <c r="A928" s="2">
        <v>698</v>
      </c>
      <c r="B928" s="2" t="str">
        <f>TEXT(Таблица97[[#This Row],[Дата]],"ГГ")&amp;RIGHT("000"&amp;Таблица97[[#This Row],[Номер]],4)</f>
        <v>180698</v>
      </c>
      <c r="C928" s="129">
        <v>43322</v>
      </c>
      <c r="D928" s="2" t="s">
        <v>77</v>
      </c>
      <c r="E928" s="108">
        <v>1529</v>
      </c>
      <c r="F928" s="129">
        <v>43327</v>
      </c>
      <c r="H928" s="129">
        <v>43334</v>
      </c>
      <c r="I928" s="108">
        <f t="shared" si="40"/>
        <v>1529</v>
      </c>
      <c r="J928" s="108" t="str">
        <f>IF(Таблица97[[#This Row],[НК]]=1,Таблица97[[#This Row],[Продажа]],"")</f>
        <v/>
      </c>
      <c r="M928" s="108">
        <v>1062</v>
      </c>
      <c r="N928" s="108">
        <f>Таблица97[[#This Row],[Продажа]]-Таблица97[[#This Row],[Закупка]]</f>
        <v>467</v>
      </c>
      <c r="O928" s="108" t="str">
        <f>IF(Таблица97[[#This Row],[НК]]=1,Таблица97[[#This Row],[Маржа]],"")</f>
        <v/>
      </c>
    </row>
    <row r="929" spans="1:15" ht="20.100000000000001" customHeight="1" x14ac:dyDescent="0.25">
      <c r="A929" s="2">
        <v>700</v>
      </c>
      <c r="B929" s="2" t="str">
        <f>TEXT(Таблица97[[#This Row],[Дата]],"ГГ")&amp;RIGHT("000"&amp;Таблица97[[#This Row],[Номер]],4)</f>
        <v>180700</v>
      </c>
      <c r="C929" s="129">
        <v>43325</v>
      </c>
      <c r="D929" s="2" t="s">
        <v>353</v>
      </c>
      <c r="E929" s="108">
        <v>974</v>
      </c>
      <c r="F929" s="129">
        <v>43327</v>
      </c>
      <c r="H929" s="129">
        <v>43367</v>
      </c>
      <c r="I929" s="108">
        <f t="shared" si="40"/>
        <v>974</v>
      </c>
      <c r="J929" s="108" t="str">
        <f>IF(Таблица97[[#This Row],[НК]]=1,Таблица97[[#This Row],[Продажа]],"")</f>
        <v/>
      </c>
      <c r="M929" s="108">
        <v>642</v>
      </c>
      <c r="N929" s="108">
        <f>Таблица97[[#This Row],[Продажа]]-Таблица97[[#This Row],[Закупка]]</f>
        <v>332</v>
      </c>
      <c r="O929" s="108" t="str">
        <f>IF(Таблица97[[#This Row],[НК]]=1,Таблица97[[#This Row],[Маржа]],"")</f>
        <v/>
      </c>
    </row>
    <row r="930" spans="1:15" ht="20.100000000000001" customHeight="1" x14ac:dyDescent="0.25">
      <c r="A930" s="2">
        <v>661</v>
      </c>
      <c r="B930" s="2" t="str">
        <f>TEXT(Таблица97[[#This Row],[Дата]],"ГГ")&amp;RIGHT("000"&amp;Таблица97[[#This Row],[Номер]],4)</f>
        <v>180661</v>
      </c>
      <c r="C930" s="129">
        <v>43314</v>
      </c>
      <c r="D930" s="2" t="s">
        <v>270</v>
      </c>
      <c r="E930" s="108">
        <v>2160</v>
      </c>
      <c r="F930" s="129">
        <v>43328</v>
      </c>
      <c r="H930" s="129">
        <v>43315</v>
      </c>
      <c r="I930" s="108">
        <f t="shared" si="40"/>
        <v>2160</v>
      </c>
      <c r="J930" s="108" t="str">
        <f>IF(Таблица97[[#This Row],[НК]]=1,Таблица97[[#This Row],[Продажа]],"")</f>
        <v/>
      </c>
      <c r="M930" s="108">
        <v>1638</v>
      </c>
      <c r="N930" s="108">
        <f>Таблица97[[#This Row],[Продажа]]-Таблица97[[#This Row],[Закупка]]</f>
        <v>522</v>
      </c>
      <c r="O930" s="108" t="str">
        <f>IF(Таблица97[[#This Row],[НК]]=1,Таблица97[[#This Row],[Маржа]],"")</f>
        <v/>
      </c>
    </row>
    <row r="931" spans="1:15" ht="20.100000000000001" customHeight="1" x14ac:dyDescent="0.25">
      <c r="A931" s="2">
        <v>662</v>
      </c>
      <c r="B931" s="2" t="str">
        <f>TEXT(Таблица97[[#This Row],[Дата]],"ГГ")&amp;RIGHT("000"&amp;Таблица97[[#This Row],[Номер]],4)</f>
        <v>180662</v>
      </c>
      <c r="C931" s="129">
        <v>43314</v>
      </c>
      <c r="D931" s="2" t="s">
        <v>175</v>
      </c>
      <c r="E931" s="108">
        <v>22634.7</v>
      </c>
      <c r="F931" s="129">
        <v>43328</v>
      </c>
      <c r="H931" s="129">
        <v>43332</v>
      </c>
      <c r="I931" s="108">
        <f t="shared" si="40"/>
        <v>22634.7</v>
      </c>
      <c r="J931" s="108" t="str">
        <f>IF(Таблица97[[#This Row],[НК]]=1,Таблица97[[#This Row],[Продажа]],"")</f>
        <v/>
      </c>
      <c r="M931" s="108">
        <v>18490</v>
      </c>
      <c r="N931" s="108">
        <f>Таблица97[[#This Row],[Продажа]]-Таблица97[[#This Row],[Закупка]]</f>
        <v>4144.7000000000007</v>
      </c>
      <c r="O931" s="108" t="str">
        <f>IF(Таблица97[[#This Row],[НК]]=1,Таблица97[[#This Row],[Маржа]],"")</f>
        <v/>
      </c>
    </row>
    <row r="932" spans="1:15" ht="20.100000000000001" customHeight="1" x14ac:dyDescent="0.25">
      <c r="A932" s="2">
        <v>699</v>
      </c>
      <c r="B932" s="2" t="str">
        <f>TEXT(Таблица97[[#This Row],[Дата]],"ГГ")&amp;RIGHT("000"&amp;Таблица97[[#This Row],[Номер]],4)</f>
        <v>180699</v>
      </c>
      <c r="C932" s="129">
        <v>43322</v>
      </c>
      <c r="D932" s="2" t="s">
        <v>255</v>
      </c>
      <c r="E932" s="108">
        <v>39706</v>
      </c>
      <c r="F932" s="129">
        <v>43328</v>
      </c>
      <c r="H932" s="129">
        <v>43329</v>
      </c>
      <c r="I932" s="108">
        <f t="shared" si="40"/>
        <v>39706</v>
      </c>
      <c r="J932" s="108" t="str">
        <f>IF(Таблица97[[#This Row],[НК]]=1,Таблица97[[#This Row],[Продажа]],"")</f>
        <v/>
      </c>
      <c r="M932" s="108">
        <v>30164</v>
      </c>
      <c r="N932" s="108">
        <f>Таблица97[[#This Row],[Продажа]]-Таблица97[[#This Row],[Закупка]]</f>
        <v>9542</v>
      </c>
      <c r="O932" s="108" t="str">
        <f>IF(Таблица97[[#This Row],[НК]]=1,Таблица97[[#This Row],[Маржа]],"")</f>
        <v/>
      </c>
    </row>
    <row r="933" spans="1:15" ht="20.100000000000001" customHeight="1" x14ac:dyDescent="0.25">
      <c r="A933" s="2">
        <v>716</v>
      </c>
      <c r="B933" s="2" t="str">
        <f>TEXT(Таблица97[[#This Row],[Дата]],"ГГ")&amp;RIGHT("000"&amp;Таблица97[[#This Row],[Номер]],4)</f>
        <v>180716</v>
      </c>
      <c r="C933" s="129">
        <v>43332</v>
      </c>
      <c r="D933" s="2" t="s">
        <v>71</v>
      </c>
      <c r="E933" s="108">
        <v>3978</v>
      </c>
      <c r="F933" s="129">
        <v>43334</v>
      </c>
      <c r="H933" s="129">
        <v>43339</v>
      </c>
      <c r="I933" s="108">
        <f t="shared" si="40"/>
        <v>3978</v>
      </c>
      <c r="J933" s="108" t="str">
        <f>IF(Таблица97[[#This Row],[НК]]=1,Таблица97[[#This Row],[Продажа]],"")</f>
        <v/>
      </c>
      <c r="M933" s="108">
        <v>2898</v>
      </c>
      <c r="N933" s="108">
        <f>Таблица97[[#This Row],[Продажа]]-Таблица97[[#This Row],[Закупка]]</f>
        <v>1080</v>
      </c>
      <c r="O933" s="108" t="str">
        <f>IF(Таблица97[[#This Row],[НК]]=1,Таблица97[[#This Row],[Маржа]],"")</f>
        <v/>
      </c>
    </row>
    <row r="934" spans="1:15" ht="20.100000000000001" customHeight="1" x14ac:dyDescent="0.25">
      <c r="A934" s="2">
        <v>619</v>
      </c>
      <c r="B934" s="2" t="str">
        <f>TEXT(Таблица97[[#This Row],[Дата]],"ГГ")&amp;RIGHT("000"&amp;Таблица97[[#This Row],[Номер]],4)</f>
        <v>180619</v>
      </c>
      <c r="C934" s="129">
        <v>43304</v>
      </c>
      <c r="D934" s="2" t="s">
        <v>56</v>
      </c>
      <c r="E934" s="108">
        <v>53558</v>
      </c>
      <c r="F934" s="129">
        <v>43335</v>
      </c>
      <c r="H934" s="129">
        <v>43326</v>
      </c>
      <c r="I934" s="108">
        <f t="shared" si="40"/>
        <v>53558</v>
      </c>
      <c r="J934" s="108" t="str">
        <f>IF(Таблица97[[#This Row],[НК]]=1,Таблица97[[#This Row],[Продажа]],"")</f>
        <v/>
      </c>
      <c r="M934" s="108">
        <v>36491</v>
      </c>
      <c r="N934" s="108">
        <f>Таблица97[[#This Row],[Продажа]]-Таблица97[[#This Row],[Закупка]]</f>
        <v>17067</v>
      </c>
      <c r="O934" s="108" t="str">
        <f>IF(Таблица97[[#This Row],[НК]]=1,Таблица97[[#This Row],[Маржа]],"")</f>
        <v/>
      </c>
    </row>
    <row r="935" spans="1:15" ht="20.100000000000001" customHeight="1" x14ac:dyDescent="0.25">
      <c r="A935" s="2">
        <v>616</v>
      </c>
      <c r="B935" s="2" t="str">
        <f>TEXT(Таблица97[[#This Row],[Дата]],"ГГ")&amp;RIGHT("000"&amp;Таблица97[[#This Row],[Номер]],4)</f>
        <v>180616</v>
      </c>
      <c r="C935" s="129">
        <v>43301</v>
      </c>
      <c r="D935" s="2" t="s">
        <v>13</v>
      </c>
      <c r="E935" s="108">
        <v>3670</v>
      </c>
      <c r="F935" s="129">
        <v>43335</v>
      </c>
      <c r="H935" s="129">
        <v>43327</v>
      </c>
      <c r="I935" s="108">
        <f t="shared" si="40"/>
        <v>3670</v>
      </c>
      <c r="J935" s="108" t="str">
        <f>IF(Таблица97[[#This Row],[НК]]=1,Таблица97[[#This Row],[Продажа]],"")</f>
        <v/>
      </c>
      <c r="M935" s="108">
        <v>2718</v>
      </c>
      <c r="N935" s="108">
        <f>Таблица97[[#This Row],[Продажа]]-Таблица97[[#This Row],[Закупка]]</f>
        <v>952</v>
      </c>
      <c r="O935" s="108" t="str">
        <f>IF(Таблица97[[#This Row],[НК]]=1,Таблица97[[#This Row],[Маржа]],"")</f>
        <v/>
      </c>
    </row>
    <row r="936" spans="1:15" ht="20.100000000000001" customHeight="1" x14ac:dyDescent="0.25">
      <c r="A936" s="2">
        <v>714</v>
      </c>
      <c r="B936" s="2" t="str">
        <f>TEXT(Таблица97[[#This Row],[Дата]],"ГГ")&amp;RIGHT("000"&amp;Таблица97[[#This Row],[Номер]],4)</f>
        <v>180714</v>
      </c>
      <c r="C936" s="129">
        <v>43329</v>
      </c>
      <c r="D936" s="2" t="s">
        <v>342</v>
      </c>
      <c r="E936" s="108">
        <v>21444</v>
      </c>
      <c r="F936" s="129">
        <v>43336</v>
      </c>
      <c r="H936" s="129">
        <v>43339</v>
      </c>
      <c r="I936" s="108">
        <f t="shared" si="40"/>
        <v>21444</v>
      </c>
      <c r="J936" s="108" t="str">
        <f>IF(Таблица97[[#This Row],[НК]]=1,Таблица97[[#This Row],[Продажа]],"")</f>
        <v/>
      </c>
      <c r="M936" s="108">
        <v>17344</v>
      </c>
      <c r="N936" s="108">
        <f>Таблица97[[#This Row],[Продажа]]-Таблица97[[#This Row],[Закупка]]</f>
        <v>4100</v>
      </c>
      <c r="O936" s="108" t="str">
        <f>IF(Таблица97[[#This Row],[НК]]=1,Таблица97[[#This Row],[Маржа]],"")</f>
        <v/>
      </c>
    </row>
    <row r="937" spans="1:15" ht="20.100000000000001" customHeight="1" x14ac:dyDescent="0.25">
      <c r="A937" s="2">
        <v>611</v>
      </c>
      <c r="B937" s="2" t="str">
        <f>TEXT(Таблица97[[#This Row],[Дата]],"ГГ")&amp;RIGHT("000"&amp;Таблица97[[#This Row],[Номер]],4)</f>
        <v>180611</v>
      </c>
      <c r="C937" s="129">
        <v>43299</v>
      </c>
      <c r="D937" s="2" t="s">
        <v>99</v>
      </c>
      <c r="E937" s="108">
        <v>151760</v>
      </c>
      <c r="F937" s="129">
        <v>43340</v>
      </c>
      <c r="H937" s="129">
        <v>43308</v>
      </c>
      <c r="I937" s="108">
        <f t="shared" si="40"/>
        <v>151760</v>
      </c>
      <c r="J937" s="108" t="str">
        <f>IF(Таблица97[[#This Row],[НК]]=1,Таблица97[[#This Row],[Продажа]],"")</f>
        <v/>
      </c>
      <c r="K937" s="108">
        <v>36000</v>
      </c>
      <c r="L937" s="108">
        <v>21600</v>
      </c>
      <c r="M937" s="108">
        <v>23948</v>
      </c>
      <c r="N937" s="108">
        <f>Таблица97[[#This Row],[Продажа]]-Таблица97[[#This Row],[Закупка]]</f>
        <v>127812</v>
      </c>
      <c r="O937" s="108" t="str">
        <f>IF(Таблица97[[#This Row],[НК]]=1,Таблица97[[#This Row],[Маржа]],"")</f>
        <v/>
      </c>
    </row>
    <row r="938" spans="1:15" ht="20.100000000000001" customHeight="1" x14ac:dyDescent="0.25">
      <c r="A938" s="2">
        <v>690</v>
      </c>
      <c r="B938" s="2" t="str">
        <f>TEXT(Таблица97[[#This Row],[Дата]],"ГГ")&amp;RIGHT("000"&amp;Таблица97[[#This Row],[Номер]],4)</f>
        <v>180690</v>
      </c>
      <c r="C938" s="129">
        <v>43320</v>
      </c>
      <c r="D938" s="2" t="s">
        <v>99</v>
      </c>
      <c r="E938" s="108">
        <v>9613</v>
      </c>
      <c r="F938" s="129">
        <v>43340</v>
      </c>
      <c r="H938" s="129">
        <v>43320</v>
      </c>
      <c r="I938" s="108">
        <f t="shared" si="40"/>
        <v>9613</v>
      </c>
      <c r="J938" s="108" t="str">
        <f>IF(Таблица97[[#This Row],[НК]]=1,Таблица97[[#This Row],[Продажа]],"")</f>
        <v/>
      </c>
      <c r="M938" s="108">
        <v>6566</v>
      </c>
      <c r="N938" s="108">
        <f>Таблица97[[#This Row],[Продажа]]-Таблица97[[#This Row],[Закупка]]</f>
        <v>3047</v>
      </c>
      <c r="O938" s="108" t="str">
        <f>IF(Таблица97[[#This Row],[НК]]=1,Таблица97[[#This Row],[Маржа]],"")</f>
        <v/>
      </c>
    </row>
    <row r="939" spans="1:15" ht="20.100000000000001" customHeight="1" x14ac:dyDescent="0.25">
      <c r="A939" s="2">
        <v>614</v>
      </c>
      <c r="B939" s="2" t="str">
        <f>TEXT(Таблица97[[#This Row],[Дата]],"ГГ")&amp;RIGHT("000"&amp;Таблица97[[#This Row],[Номер]],4)</f>
        <v>180614</v>
      </c>
      <c r="C939" s="129">
        <v>43300</v>
      </c>
      <c r="D939" s="2" t="s">
        <v>60</v>
      </c>
      <c r="E939" s="108">
        <v>20249</v>
      </c>
      <c r="F939" s="129">
        <v>43342</v>
      </c>
      <c r="H939" s="129">
        <v>43328</v>
      </c>
      <c r="I939" s="108">
        <v>10155</v>
      </c>
      <c r="J939" s="108" t="str">
        <f>IF(Таблица97[[#This Row],[НК]]=1,Таблица97[[#This Row],[Продажа]],"")</f>
        <v/>
      </c>
      <c r="M939" s="108">
        <v>7920</v>
      </c>
      <c r="N939" s="108">
        <f>Таблица97[[#This Row],[Продажа]]-Таблица97[[#This Row],[Закупка]]</f>
        <v>2235</v>
      </c>
      <c r="O939" s="108" t="str">
        <f>IF(Таблица97[[#This Row],[НК]]=1,Таблица97[[#This Row],[Маржа]],"")</f>
        <v/>
      </c>
    </row>
    <row r="940" spans="1:15" ht="20.100000000000001" customHeight="1" x14ac:dyDescent="0.25">
      <c r="A940" s="2">
        <v>734</v>
      </c>
      <c r="B940" s="2" t="str">
        <f>TEXT(Таблица97[[#This Row],[Дата]],"ГГ")&amp;RIGHT("000"&amp;Таблица97[[#This Row],[Номер]],4)</f>
        <v>180734</v>
      </c>
      <c r="C940" s="129">
        <v>43340</v>
      </c>
      <c r="D940" s="2" t="s">
        <v>139</v>
      </c>
      <c r="E940" s="108">
        <v>6015</v>
      </c>
      <c r="F940" s="129">
        <v>43342</v>
      </c>
      <c r="H940" s="129">
        <v>43347</v>
      </c>
      <c r="I940" s="108">
        <f>E940</f>
        <v>6015</v>
      </c>
      <c r="J940" s="108" t="str">
        <f>IF(Таблица97[[#This Row],[НК]]=1,Таблица97[[#This Row],[Продажа]],"")</f>
        <v/>
      </c>
      <c r="M940" s="108">
        <v>4563</v>
      </c>
      <c r="N940" s="108">
        <f>Таблица97[[#This Row],[Продажа]]-Таблица97[[#This Row],[Закупка]]</f>
        <v>1452</v>
      </c>
      <c r="O940" s="108" t="str">
        <f>IF(Таблица97[[#This Row],[НК]]=1,Таблица97[[#This Row],[Маржа]],"")</f>
        <v/>
      </c>
    </row>
    <row r="941" spans="1:15" ht="20.100000000000001" customHeight="1" x14ac:dyDescent="0.25">
      <c r="A941" s="2">
        <v>736</v>
      </c>
      <c r="B941" s="2" t="str">
        <f>TEXT(Таблица97[[#This Row],[Дата]],"ГГ")&amp;RIGHT("000"&amp;Таблица97[[#This Row],[Номер]],4)</f>
        <v>180736</v>
      </c>
      <c r="C941" s="129">
        <v>43341</v>
      </c>
      <c r="D941" s="2" t="s">
        <v>6</v>
      </c>
      <c r="E941" s="108">
        <v>9362.75</v>
      </c>
      <c r="F941" s="129">
        <v>43342</v>
      </c>
      <c r="H941" s="129">
        <v>43370</v>
      </c>
      <c r="I941" s="108">
        <f>E941</f>
        <v>9362.75</v>
      </c>
      <c r="J941" s="108" t="str">
        <f>IF(Таблица97[[#This Row],[НК]]=1,Таблица97[[#This Row],[Продажа]],"")</f>
        <v/>
      </c>
      <c r="M941" s="108">
        <v>8380</v>
      </c>
      <c r="N941" s="108">
        <f>Таблица97[[#This Row],[Продажа]]-Таблица97[[#This Row],[Закупка]]</f>
        <v>982.75</v>
      </c>
      <c r="O941" s="108" t="str">
        <f>IF(Таблица97[[#This Row],[НК]]=1,Таблица97[[#This Row],[Маржа]],"")</f>
        <v/>
      </c>
    </row>
    <row r="942" spans="1:15" ht="20.100000000000001" customHeight="1" x14ac:dyDescent="0.25">
      <c r="A942" s="2">
        <v>747</v>
      </c>
      <c r="B942" s="2" t="str">
        <f>TEXT(Таблица97[[#This Row],[Дата]],"ГГ")&amp;RIGHT("000"&amp;Таблица97[[#This Row],[Номер]],4)</f>
        <v>180747</v>
      </c>
      <c r="C942" s="129">
        <v>43343</v>
      </c>
      <c r="D942" s="2" t="s">
        <v>342</v>
      </c>
      <c r="E942" s="108">
        <v>6237</v>
      </c>
      <c r="F942" s="129">
        <v>43346</v>
      </c>
      <c r="H942" s="129">
        <v>43361</v>
      </c>
      <c r="I942" s="108">
        <f t="shared" ref="I942:I956" si="41">E942</f>
        <v>6237</v>
      </c>
      <c r="J942" s="108" t="str">
        <f>IF(Таблица97[[#This Row],[НК]]=1,Таблица97[[#This Row],[Продажа]],"")</f>
        <v/>
      </c>
      <c r="M942" s="108">
        <v>4802</v>
      </c>
      <c r="N942" s="108">
        <f>Таблица97[[#This Row],[Продажа]]-Таблица97[[#This Row],[Закупка]]</f>
        <v>1435</v>
      </c>
      <c r="O942" s="108" t="str">
        <f>IF(Таблица97[[#This Row],[НК]]=1,Таблица97[[#This Row],[Маржа]],"")</f>
        <v/>
      </c>
    </row>
    <row r="943" spans="1:15" ht="20.100000000000001" customHeight="1" x14ac:dyDescent="0.25">
      <c r="A943" s="2">
        <v>645</v>
      </c>
      <c r="B943" s="2" t="str">
        <f>TEXT(Таблица97[[#This Row],[Дата]],"ГГ")&amp;RIGHT("000"&amp;Таблица97[[#This Row],[Номер]],4)</f>
        <v>180645</v>
      </c>
      <c r="C943" s="129">
        <v>43308</v>
      </c>
      <c r="D943" s="2" t="s">
        <v>228</v>
      </c>
      <c r="E943" s="108">
        <v>78122</v>
      </c>
      <c r="F943" s="129">
        <v>43347</v>
      </c>
      <c r="H943" s="129">
        <v>43381</v>
      </c>
      <c r="I943" s="108">
        <f t="shared" si="41"/>
        <v>78122</v>
      </c>
      <c r="J943" s="108" t="str">
        <f>IF(Таблица97[[#This Row],[НК]]=1,Таблица97[[#This Row],[Продажа]],"")</f>
        <v/>
      </c>
      <c r="L943" s="108">
        <v>1200</v>
      </c>
      <c r="M943" s="108">
        <v>47977</v>
      </c>
      <c r="N943" s="108">
        <f>Таблица97[[#This Row],[Продажа]]-Таблица97[[#This Row],[Закупка]]</f>
        <v>30145</v>
      </c>
      <c r="O943" s="108" t="str">
        <f>IF(Таблица97[[#This Row],[НК]]=1,Таблица97[[#This Row],[Маржа]],"")</f>
        <v/>
      </c>
    </row>
    <row r="944" spans="1:15" ht="20.100000000000001" customHeight="1" x14ac:dyDescent="0.25">
      <c r="A944" s="2">
        <v>739</v>
      </c>
      <c r="B944" s="2" t="str">
        <f>TEXT(Таблица97[[#This Row],[Дата]],"ГГ")&amp;RIGHT("000"&amp;Таблица97[[#This Row],[Номер]],4)</f>
        <v>180739</v>
      </c>
      <c r="C944" s="129">
        <v>43341</v>
      </c>
      <c r="D944" s="2" t="s">
        <v>175</v>
      </c>
      <c r="E944" s="108">
        <v>10706.5</v>
      </c>
      <c r="F944" s="129">
        <v>43348</v>
      </c>
      <c r="H944" s="129">
        <v>43353</v>
      </c>
      <c r="I944" s="108">
        <f t="shared" si="41"/>
        <v>10706.5</v>
      </c>
      <c r="J944" s="108" t="str">
        <f>IF(Таблица97[[#This Row],[НК]]=1,Таблица97[[#This Row],[Продажа]],"")</f>
        <v/>
      </c>
      <c r="M944" s="108">
        <v>6840</v>
      </c>
      <c r="N944" s="108">
        <f>Таблица97[[#This Row],[Продажа]]-Таблица97[[#This Row],[Закупка]]</f>
        <v>3866.5</v>
      </c>
      <c r="O944" s="108" t="str">
        <f>IF(Таблица97[[#This Row],[НК]]=1,Таблица97[[#This Row],[Маржа]],"")</f>
        <v/>
      </c>
    </row>
    <row r="945" spans="1:15" ht="20.100000000000001" customHeight="1" x14ac:dyDescent="0.25">
      <c r="A945" s="2">
        <v>755</v>
      </c>
      <c r="B945" s="2" t="str">
        <f>TEXT(Таблица97[[#This Row],[Дата]],"ГГ")&amp;RIGHT("000"&amp;Таблица97[[#This Row],[Номер]],4)</f>
        <v>180755</v>
      </c>
      <c r="C945" s="129">
        <v>43348</v>
      </c>
      <c r="D945" s="2" t="s">
        <v>334</v>
      </c>
      <c r="E945" s="108">
        <v>1385</v>
      </c>
      <c r="F945" s="129">
        <v>43348</v>
      </c>
      <c r="H945" s="129">
        <v>43360</v>
      </c>
      <c r="I945" s="108">
        <f t="shared" si="41"/>
        <v>1385</v>
      </c>
      <c r="J945" s="108" t="str">
        <f>IF(Таблица97[[#This Row],[НК]]=1,Таблица97[[#This Row],[Продажа]],"")</f>
        <v/>
      </c>
      <c r="M945" s="108">
        <v>1080</v>
      </c>
      <c r="N945" s="108">
        <f>Таблица97[[#This Row],[Продажа]]-Таблица97[[#This Row],[Закупка]]</f>
        <v>305</v>
      </c>
      <c r="O945" s="108" t="str">
        <f>IF(Таблица97[[#This Row],[НК]]=1,Таблица97[[#This Row],[Маржа]],"")</f>
        <v/>
      </c>
    </row>
    <row r="946" spans="1:15" ht="20.100000000000001" customHeight="1" x14ac:dyDescent="0.25">
      <c r="A946" s="2">
        <v>759</v>
      </c>
      <c r="B946" s="2" t="str">
        <f>TEXT(Таблица97[[#This Row],[Дата]],"ГГ")&amp;RIGHT("000"&amp;Таблица97[[#This Row],[Номер]],4)</f>
        <v>180759</v>
      </c>
      <c r="C946" s="129">
        <v>43349</v>
      </c>
      <c r="D946" s="2" t="s">
        <v>281</v>
      </c>
      <c r="E946" s="108">
        <v>2160</v>
      </c>
      <c r="F946" s="129">
        <v>43349</v>
      </c>
      <c r="H946" s="129">
        <v>43349</v>
      </c>
      <c r="I946" s="108">
        <f t="shared" si="41"/>
        <v>2160</v>
      </c>
      <c r="J946" s="108" t="str">
        <f>IF(Таблица97[[#This Row],[НК]]=1,Таблица97[[#This Row],[Продажа]],"")</f>
        <v/>
      </c>
      <c r="M946" s="108">
        <v>1684</v>
      </c>
      <c r="N946" s="108">
        <f>Таблица97[[#This Row],[Продажа]]-Таблица97[[#This Row],[Закупка]]</f>
        <v>476</v>
      </c>
      <c r="O946" s="108" t="str">
        <f>IF(Таблица97[[#This Row],[НК]]=1,Таблица97[[#This Row],[Маржа]],"")</f>
        <v/>
      </c>
    </row>
    <row r="947" spans="1:15" ht="20.100000000000001" customHeight="1" x14ac:dyDescent="0.25">
      <c r="A947" s="2">
        <v>760</v>
      </c>
      <c r="B947" s="2" t="str">
        <f>TEXT(Таблица97[[#This Row],[Дата]],"ГГ")&amp;RIGHT("000"&amp;Таблица97[[#This Row],[Номер]],4)</f>
        <v>180760</v>
      </c>
      <c r="C947" s="129">
        <v>43350</v>
      </c>
      <c r="D947" s="2" t="s">
        <v>338</v>
      </c>
      <c r="E947" s="108">
        <v>6771</v>
      </c>
      <c r="F947" s="129">
        <v>43350</v>
      </c>
      <c r="H947" s="129">
        <v>43354</v>
      </c>
      <c r="I947" s="108">
        <f t="shared" si="41"/>
        <v>6771</v>
      </c>
      <c r="J947" s="108" t="str">
        <f>IF(Таблица97[[#This Row],[НК]]=1,Таблица97[[#This Row],[Продажа]],"")</f>
        <v/>
      </c>
      <c r="M947" s="108">
        <v>5030</v>
      </c>
      <c r="N947" s="108">
        <f>Таблица97[[#This Row],[Продажа]]-Таблица97[[#This Row],[Закупка]]</f>
        <v>1741</v>
      </c>
      <c r="O947" s="108" t="str">
        <f>IF(Таблица97[[#This Row],[НК]]=1,Таблица97[[#This Row],[Маржа]],"")</f>
        <v/>
      </c>
    </row>
    <row r="948" spans="1:15" ht="20.100000000000001" customHeight="1" x14ac:dyDescent="0.25">
      <c r="A948" s="2">
        <v>735</v>
      </c>
      <c r="B948" s="2" t="str">
        <f>TEXT(Таблица97[[#This Row],[Дата]],"ГГ")&amp;RIGHT("000"&amp;Таблица97[[#This Row],[Номер]],4)</f>
        <v>180735</v>
      </c>
      <c r="C948" s="129">
        <v>43341</v>
      </c>
      <c r="D948" s="2" t="s">
        <v>175</v>
      </c>
      <c r="E948" s="108">
        <v>22634.7</v>
      </c>
      <c r="F948" s="129">
        <v>43354</v>
      </c>
      <c r="H948" s="129">
        <v>43367</v>
      </c>
      <c r="I948" s="108">
        <f t="shared" si="41"/>
        <v>22634.7</v>
      </c>
      <c r="J948" s="108" t="str">
        <f>IF(Таблица97[[#This Row],[НК]]=1,Таблица97[[#This Row],[Продажа]],"")</f>
        <v/>
      </c>
      <c r="M948" s="108">
        <v>18533</v>
      </c>
      <c r="N948" s="108">
        <f>Таблица97[[#This Row],[Продажа]]-Таблица97[[#This Row],[Закупка]]</f>
        <v>4101.7000000000007</v>
      </c>
      <c r="O948" s="108" t="str">
        <f>IF(Таблица97[[#This Row],[НК]]=1,Таблица97[[#This Row],[Маржа]],"")</f>
        <v/>
      </c>
    </row>
    <row r="949" spans="1:15" ht="20.100000000000001" customHeight="1" x14ac:dyDescent="0.25">
      <c r="A949" s="2">
        <v>754</v>
      </c>
      <c r="B949" s="2" t="str">
        <f>TEXT(Таблица97[[#This Row],[Дата]],"ГГ")&amp;RIGHT("000"&amp;Таблица97[[#This Row],[Номер]],4)</f>
        <v>180754</v>
      </c>
      <c r="C949" s="129">
        <v>43347</v>
      </c>
      <c r="D949" s="2" t="s">
        <v>353</v>
      </c>
      <c r="E949" s="108">
        <v>7242</v>
      </c>
      <c r="F949" s="129">
        <v>43355</v>
      </c>
      <c r="H949" s="129">
        <v>43367</v>
      </c>
      <c r="I949" s="108">
        <f t="shared" si="41"/>
        <v>7242</v>
      </c>
      <c r="J949" s="108" t="str">
        <f>IF(Таблица97[[#This Row],[НК]]=1,Таблица97[[#This Row],[Продажа]],"")</f>
        <v/>
      </c>
      <c r="M949" s="108">
        <v>5646</v>
      </c>
      <c r="N949" s="108">
        <f>Таблица97[[#This Row],[Продажа]]-Таблица97[[#This Row],[Закупка]]</f>
        <v>1596</v>
      </c>
      <c r="O949" s="108" t="str">
        <f>IF(Таблица97[[#This Row],[НК]]=1,Таблица97[[#This Row],[Маржа]],"")</f>
        <v/>
      </c>
    </row>
    <row r="950" spans="1:15" ht="20.100000000000001" customHeight="1" x14ac:dyDescent="0.25">
      <c r="A950" s="2">
        <v>773</v>
      </c>
      <c r="B950" s="2" t="str">
        <f>TEXT(Таблица97[[#This Row],[Дата]],"ГГ")&amp;RIGHT("000"&amp;Таблица97[[#This Row],[Номер]],4)</f>
        <v>180773</v>
      </c>
      <c r="C950" s="129">
        <v>43355</v>
      </c>
      <c r="D950" s="2" t="s">
        <v>354</v>
      </c>
      <c r="E950" s="108">
        <v>16264</v>
      </c>
      <c r="F950" s="129">
        <v>43355</v>
      </c>
      <c r="H950" s="129">
        <v>43357</v>
      </c>
      <c r="I950" s="108">
        <f t="shared" si="41"/>
        <v>16264</v>
      </c>
      <c r="J950" s="108" t="str">
        <f>IF(Таблица97[[#This Row],[НК]]=1,Таблица97[[#This Row],[Продажа]],"")</f>
        <v/>
      </c>
      <c r="M950" s="108">
        <v>12102</v>
      </c>
      <c r="N950" s="108">
        <f>Таблица97[[#This Row],[Продажа]]-Таблица97[[#This Row],[Закупка]]</f>
        <v>4162</v>
      </c>
      <c r="O950" s="108" t="str">
        <f>IF(Таблица97[[#This Row],[НК]]=1,Таблица97[[#This Row],[Маржа]],"")</f>
        <v/>
      </c>
    </row>
    <row r="951" spans="1:15" ht="20.100000000000001" customHeight="1" x14ac:dyDescent="0.25">
      <c r="A951" s="2">
        <v>641</v>
      </c>
      <c r="B951" s="2" t="str">
        <f>TEXT(Таблица97[[#This Row],[Дата]],"ГГ")&amp;RIGHT("000"&amp;Таблица97[[#This Row],[Номер]],4)</f>
        <v>180641</v>
      </c>
      <c r="C951" s="129">
        <v>43318</v>
      </c>
      <c r="D951" s="2" t="s">
        <v>65</v>
      </c>
      <c r="E951" s="108">
        <v>157125.75</v>
      </c>
      <c r="F951" s="129">
        <v>43356</v>
      </c>
      <c r="H951" s="129">
        <v>43336</v>
      </c>
      <c r="I951" s="108">
        <f t="shared" si="41"/>
        <v>157125.75</v>
      </c>
      <c r="J951" s="108" t="str">
        <f>IF(Таблица97[[#This Row],[НК]]=1,Таблица97[[#This Row],[Продажа]],"")</f>
        <v/>
      </c>
      <c r="M951" s="108">
        <v>94067</v>
      </c>
      <c r="N951" s="108">
        <f>Таблица97[[#This Row],[Продажа]]-Таблица97[[#This Row],[Закупка]]</f>
        <v>63058.75</v>
      </c>
      <c r="O951" s="108" t="str">
        <f>IF(Таблица97[[#This Row],[НК]]=1,Таблица97[[#This Row],[Маржа]],"")</f>
        <v/>
      </c>
    </row>
    <row r="952" spans="1:15" ht="20.100000000000001" customHeight="1" x14ac:dyDescent="0.25">
      <c r="A952" s="2">
        <v>802</v>
      </c>
      <c r="B952" s="2" t="str">
        <f>TEXT(Таблица97[[#This Row],[Дата]],"ГГ")&amp;RIGHT("000"&amp;Таблица97[[#This Row],[Номер]],4)</f>
        <v>180802</v>
      </c>
      <c r="C952" s="129">
        <v>43362</v>
      </c>
      <c r="D952" s="2" t="s">
        <v>342</v>
      </c>
      <c r="E952" s="108">
        <v>2450</v>
      </c>
      <c r="F952" s="129">
        <v>43363</v>
      </c>
      <c r="H952" s="129">
        <v>43367</v>
      </c>
      <c r="I952" s="108">
        <f t="shared" si="41"/>
        <v>2450</v>
      </c>
      <c r="J952" s="108" t="str">
        <f>IF(Таблица97[[#This Row],[НК]]=1,Таблица97[[#This Row],[Продажа]],"")</f>
        <v/>
      </c>
      <c r="M952" s="108">
        <v>2182</v>
      </c>
      <c r="N952" s="108">
        <f>Таблица97[[#This Row],[Продажа]]-Таблица97[[#This Row],[Закупка]]</f>
        <v>268</v>
      </c>
      <c r="O952" s="108" t="str">
        <f>IF(Таблица97[[#This Row],[НК]]=1,Таблица97[[#This Row],[Маржа]],"")</f>
        <v/>
      </c>
    </row>
    <row r="953" spans="1:15" ht="20.100000000000001" customHeight="1" x14ac:dyDescent="0.25">
      <c r="A953" s="2">
        <v>738</v>
      </c>
      <c r="B953" s="2" t="str">
        <f>TEXT(Таблица97[[#This Row],[Дата]],"ГГ")&amp;RIGHT("000"&amp;Таблица97[[#This Row],[Номер]],4)</f>
        <v>180738</v>
      </c>
      <c r="C953" s="129">
        <v>43354</v>
      </c>
      <c r="D953" s="2" t="s">
        <v>56</v>
      </c>
      <c r="E953" s="108">
        <v>15700</v>
      </c>
      <c r="F953" s="129">
        <v>43367</v>
      </c>
      <c r="H953" s="129">
        <v>43354</v>
      </c>
      <c r="I953" s="108">
        <f t="shared" si="41"/>
        <v>15700</v>
      </c>
      <c r="J953" s="108" t="str">
        <f>IF(Таблица97[[#This Row],[НК]]=1,Таблица97[[#This Row],[Продажа]],"")</f>
        <v/>
      </c>
      <c r="M953" s="108">
        <v>11962</v>
      </c>
      <c r="N953" s="108">
        <f>Таблица97[[#This Row],[Продажа]]-Таблица97[[#This Row],[Закупка]]</f>
        <v>3738</v>
      </c>
      <c r="O953" s="108" t="str">
        <f>IF(Таблица97[[#This Row],[НК]]=1,Таблица97[[#This Row],[Маржа]],"")</f>
        <v/>
      </c>
    </row>
    <row r="954" spans="1:15" ht="20.100000000000001" customHeight="1" x14ac:dyDescent="0.25">
      <c r="A954" s="2">
        <v>591</v>
      </c>
      <c r="B954" s="2" t="str">
        <f>TEXT(Таблица97[[#This Row],[Дата]],"ГГ")&amp;RIGHT("000"&amp;Таблица97[[#This Row],[Номер]],4)</f>
        <v>180591</v>
      </c>
      <c r="C954" s="129">
        <v>43293</v>
      </c>
      <c r="D954" s="2" t="s">
        <v>38</v>
      </c>
      <c r="E954" s="108">
        <v>128579.91</v>
      </c>
      <c r="F954" s="129">
        <v>43368</v>
      </c>
      <c r="H954" s="129">
        <v>43321</v>
      </c>
      <c r="I954" s="108">
        <f t="shared" si="41"/>
        <v>128579.91</v>
      </c>
      <c r="J954" s="108" t="str">
        <f>IF(Таблица97[[#This Row],[НК]]=1,Таблица97[[#This Row],[Продажа]],"")</f>
        <v/>
      </c>
      <c r="M954" s="108">
        <v>100088</v>
      </c>
      <c r="N954" s="108">
        <f>Таблица97[[#This Row],[Продажа]]-Таблица97[[#This Row],[Закупка]]</f>
        <v>28491.910000000003</v>
      </c>
      <c r="O954" s="108" t="str">
        <f>IF(Таблица97[[#This Row],[НК]]=1,Таблица97[[#This Row],[Маржа]],"")</f>
        <v/>
      </c>
    </row>
    <row r="955" spans="1:15" ht="20.100000000000001" customHeight="1" x14ac:dyDescent="0.25">
      <c r="A955" s="2">
        <v>814</v>
      </c>
      <c r="B955" s="2" t="str">
        <f>TEXT(Таблица97[[#This Row],[Дата]],"ГГ")&amp;RIGHT("000"&amp;Таблица97[[#This Row],[Номер]],4)</f>
        <v>180814</v>
      </c>
      <c r="C955" s="129">
        <v>43364</v>
      </c>
      <c r="D955" s="2" t="s">
        <v>270</v>
      </c>
      <c r="E955" s="108">
        <v>3240</v>
      </c>
      <c r="F955" s="129">
        <v>43368</v>
      </c>
      <c r="H955" s="129">
        <v>43368</v>
      </c>
      <c r="I955" s="108">
        <f t="shared" si="41"/>
        <v>3240</v>
      </c>
      <c r="J955" s="108" t="str">
        <f>IF(Таблица97[[#This Row],[НК]]=1,Таблица97[[#This Row],[Продажа]],"")</f>
        <v/>
      </c>
      <c r="M955" s="108">
        <v>2595</v>
      </c>
      <c r="N955" s="108">
        <f>Таблица97[[#This Row],[Продажа]]-Таблица97[[#This Row],[Закупка]]</f>
        <v>645</v>
      </c>
      <c r="O955" s="108" t="str">
        <f>IF(Таблица97[[#This Row],[НК]]=1,Таблица97[[#This Row],[Маржа]],"")</f>
        <v/>
      </c>
    </row>
    <row r="956" spans="1:15" ht="20.100000000000001" customHeight="1" x14ac:dyDescent="0.25">
      <c r="A956" s="2">
        <v>495</v>
      </c>
      <c r="B956" s="2" t="str">
        <f>TEXT(Таблица97[[#This Row],[Дата]],"ГГ")&amp;RIGHT("000"&amp;Таблица97[[#This Row],[Номер]],4)</f>
        <v>180495</v>
      </c>
      <c r="C956" s="129">
        <v>43265</v>
      </c>
      <c r="D956" s="2" t="s">
        <v>65</v>
      </c>
      <c r="E956" s="108">
        <v>10296</v>
      </c>
      <c r="F956" s="129">
        <v>43371</v>
      </c>
      <c r="H956" s="129">
        <v>43285</v>
      </c>
      <c r="I956" s="108">
        <f t="shared" si="41"/>
        <v>10296</v>
      </c>
      <c r="J956" s="108" t="str">
        <f>IF(Таблица97[[#This Row],[НК]]=1,Таблица97[[#This Row],[Продажа]],"")</f>
        <v/>
      </c>
      <c r="M956" s="108">
        <v>7926</v>
      </c>
      <c r="N956" s="108">
        <f>Таблица97[[#This Row],[Продажа]]-Таблица97[[#This Row],[Закупка]]</f>
        <v>2370</v>
      </c>
      <c r="O956" s="108" t="str">
        <f>IF(Таблица97[[#This Row],[НК]]=1,Таблица97[[#This Row],[Маржа]],"")</f>
        <v/>
      </c>
    </row>
    <row r="957" spans="1:15" ht="20.100000000000001" customHeight="1" x14ac:dyDescent="0.25">
      <c r="A957" s="2">
        <v>650</v>
      </c>
      <c r="B957" s="2" t="str">
        <f>TEXT(Таблица97[[#This Row],[Дата]],"ГГ")&amp;RIGHT("000"&amp;Таблица97[[#This Row],[Номер]],4)</f>
        <v>180650</v>
      </c>
      <c r="C957" s="129">
        <v>43374</v>
      </c>
      <c r="D957" s="2" t="s">
        <v>314</v>
      </c>
      <c r="E957" s="108">
        <v>4000</v>
      </c>
      <c r="F957" s="129">
        <v>43374</v>
      </c>
      <c r="H957" s="129">
        <v>43381</v>
      </c>
      <c r="I957" s="108">
        <f t="shared" ref="I957:I984" si="42">E957</f>
        <v>4000</v>
      </c>
      <c r="J957" s="108" t="str">
        <f>IF(Таблица97[[#This Row],[НК]]=1,Таблица97[[#This Row],[Продажа]],"")</f>
        <v/>
      </c>
      <c r="L957" s="108">
        <v>600</v>
      </c>
      <c r="M957" s="108">
        <v>2126</v>
      </c>
      <c r="N957" s="108">
        <f>Таблица97[[#This Row],[Продажа]]-Таблица97[[#This Row],[Закупка]]</f>
        <v>1874</v>
      </c>
      <c r="O957" s="108" t="str">
        <f>IF(Таблица97[[#This Row],[НК]]=1,Таблица97[[#This Row],[Маржа]],"")</f>
        <v/>
      </c>
    </row>
    <row r="958" spans="1:15" ht="20.100000000000001" customHeight="1" x14ac:dyDescent="0.25">
      <c r="A958" s="2">
        <v>840</v>
      </c>
      <c r="B958" s="2" t="str">
        <f>TEXT(Таблица97[[#This Row],[Дата]],"ГГ")&amp;RIGHT("000"&amp;Таблица97[[#This Row],[Номер]],4)</f>
        <v>180840</v>
      </c>
      <c r="C958" s="129">
        <v>43375</v>
      </c>
      <c r="D958" s="2" t="s">
        <v>355</v>
      </c>
      <c r="E958" s="108">
        <v>17990</v>
      </c>
      <c r="F958" s="129">
        <v>43376</v>
      </c>
      <c r="G958" s="128">
        <v>1</v>
      </c>
      <c r="H958" s="129">
        <v>43377</v>
      </c>
      <c r="I958" s="108">
        <f t="shared" si="42"/>
        <v>17990</v>
      </c>
      <c r="J958" s="108">
        <f>IF(Таблица97[[#This Row],[НК]]=1,Таблица97[[#This Row],[Продажа]],"")</f>
        <v>17990</v>
      </c>
      <c r="M958" s="108">
        <v>13222</v>
      </c>
      <c r="N958" s="108">
        <f>Таблица97[[#This Row],[Продажа]]-Таблица97[[#This Row],[Закупка]]</f>
        <v>4768</v>
      </c>
      <c r="O958" s="108">
        <f>IF(Таблица97[[#This Row],[НК]]=1,Таблица97[[#This Row],[Маржа]],"")</f>
        <v>4768</v>
      </c>
    </row>
    <row r="959" spans="1:15" ht="20.100000000000001" customHeight="1" x14ac:dyDescent="0.25">
      <c r="A959" s="2">
        <v>815</v>
      </c>
      <c r="B959" s="2" t="str">
        <f>TEXT(Таблица97[[#This Row],[Дата]],"ГГ")&amp;RIGHT("000"&amp;Таблица97[[#This Row],[Номер]],4)</f>
        <v>180815</v>
      </c>
      <c r="C959" s="129">
        <v>43397</v>
      </c>
      <c r="D959" s="2" t="s">
        <v>335</v>
      </c>
      <c r="E959" s="108">
        <v>9232</v>
      </c>
      <c r="F959" s="129">
        <v>43377</v>
      </c>
      <c r="H959" s="129">
        <v>43378</v>
      </c>
      <c r="I959" s="108">
        <f t="shared" si="42"/>
        <v>9232</v>
      </c>
      <c r="J959" s="108" t="str">
        <f>IF(Таблица97[[#This Row],[НК]]=1,Таблица97[[#This Row],[Продажа]],"")</f>
        <v/>
      </c>
      <c r="M959" s="108">
        <v>6290</v>
      </c>
      <c r="N959" s="108">
        <f>Таблица97[[#This Row],[Продажа]]-Таблица97[[#This Row],[Закупка]]</f>
        <v>2942</v>
      </c>
      <c r="O959" s="108" t="str">
        <f>IF(Таблица97[[#This Row],[НК]]=1,Таблица97[[#This Row],[Маржа]],"")</f>
        <v/>
      </c>
    </row>
    <row r="960" spans="1:15" ht="20.100000000000001" customHeight="1" x14ac:dyDescent="0.25">
      <c r="A960" s="2">
        <v>847</v>
      </c>
      <c r="B960" s="2" t="str">
        <f>TEXT(Таблица97[[#This Row],[Дата]],"ГГ")&amp;RIGHT("000"&amp;Таблица97[[#This Row],[Номер]],4)</f>
        <v>180847</v>
      </c>
      <c r="C960" s="129">
        <v>43377</v>
      </c>
      <c r="D960" s="2" t="s">
        <v>356</v>
      </c>
      <c r="E960" s="108">
        <v>1385</v>
      </c>
      <c r="F960" s="129">
        <v>43378</v>
      </c>
      <c r="G960" s="128">
        <v>1</v>
      </c>
      <c r="H960" s="129">
        <v>43377</v>
      </c>
      <c r="I960" s="108">
        <f t="shared" si="42"/>
        <v>1385</v>
      </c>
      <c r="J960" s="108">
        <f>IF(Таблица97[[#This Row],[НК]]=1,Таблица97[[#This Row],[Продажа]],"")</f>
        <v>1385</v>
      </c>
      <c r="M960" s="108">
        <v>1080</v>
      </c>
      <c r="N960" s="108">
        <f>Таблица97[[#This Row],[Продажа]]-Таблица97[[#This Row],[Закупка]]</f>
        <v>305</v>
      </c>
      <c r="O960" s="108">
        <f>IF(Таблица97[[#This Row],[НК]]=1,Таблица97[[#This Row],[Маржа]],"")</f>
        <v>305</v>
      </c>
    </row>
    <row r="961" spans="1:15" ht="20.100000000000001" customHeight="1" x14ac:dyDescent="0.25">
      <c r="A961" s="2">
        <v>853</v>
      </c>
      <c r="B961" s="2" t="str">
        <f>TEXT(Таблица97[[#This Row],[Дата]],"ГГ")&amp;RIGHT("000"&amp;Таблица97[[#This Row],[Номер]],4)</f>
        <v>180853</v>
      </c>
      <c r="C961" s="129">
        <v>43378</v>
      </c>
      <c r="D961" s="2" t="s">
        <v>101</v>
      </c>
      <c r="E961" s="108">
        <v>7402</v>
      </c>
      <c r="F961" s="129">
        <v>43378</v>
      </c>
      <c r="H961" s="129">
        <v>43403</v>
      </c>
      <c r="I961" s="108">
        <f t="shared" si="42"/>
        <v>7402</v>
      </c>
      <c r="J961" s="108" t="str">
        <f>IF(Таблица97[[#This Row],[НК]]=1,Таблица97[[#This Row],[Продажа]],"")</f>
        <v/>
      </c>
      <c r="M961" s="108">
        <v>5699</v>
      </c>
      <c r="N961" s="108">
        <f>Таблица97[[#This Row],[Продажа]]-Таблица97[[#This Row],[Закупка]]</f>
        <v>1703</v>
      </c>
      <c r="O961" s="108" t="str">
        <f>IF(Таблица97[[#This Row],[НК]]=1,Таблица97[[#This Row],[Маржа]],"")</f>
        <v/>
      </c>
    </row>
    <row r="962" spans="1:15" ht="20.100000000000001" customHeight="1" x14ac:dyDescent="0.25">
      <c r="A962" s="2">
        <v>846</v>
      </c>
      <c r="B962" s="2" t="str">
        <f>TEXT(Таблица97[[#This Row],[Дата]],"ГГ")&amp;RIGHT("000"&amp;Таблица97[[#This Row],[Номер]],4)</f>
        <v>180846</v>
      </c>
      <c r="C962" s="129">
        <v>43377</v>
      </c>
      <c r="D962" s="2" t="s">
        <v>209</v>
      </c>
      <c r="E962" s="108">
        <v>30089.15</v>
      </c>
      <c r="F962" s="129">
        <v>43381</v>
      </c>
      <c r="H962" s="129">
        <v>43377</v>
      </c>
      <c r="I962" s="108">
        <f t="shared" si="42"/>
        <v>30089.15</v>
      </c>
      <c r="J962" s="108" t="str">
        <f>IF(Таблица97[[#This Row],[НК]]=1,Таблица97[[#This Row],[Продажа]],"")</f>
        <v/>
      </c>
      <c r="M962" s="108">
        <v>26762</v>
      </c>
      <c r="N962" s="108">
        <f>Таблица97[[#This Row],[Продажа]]-Таблица97[[#This Row],[Закупка]]</f>
        <v>3327.1500000000015</v>
      </c>
      <c r="O962" s="108" t="str">
        <f>IF(Таблица97[[#This Row],[НК]]=1,Таблица97[[#This Row],[Маржа]],"")</f>
        <v/>
      </c>
    </row>
    <row r="963" spans="1:15" ht="20.100000000000001" customHeight="1" x14ac:dyDescent="0.25">
      <c r="A963" s="2">
        <v>855</v>
      </c>
      <c r="B963" s="2" t="str">
        <f>TEXT(Таблица97[[#This Row],[Дата]],"ГГ")&amp;RIGHT("000"&amp;Таблица97[[#This Row],[Номер]],4)</f>
        <v>180855</v>
      </c>
      <c r="C963" s="129">
        <v>43381</v>
      </c>
      <c r="D963" s="2" t="s">
        <v>238</v>
      </c>
      <c r="E963" s="108">
        <v>15596</v>
      </c>
      <c r="F963" s="129">
        <v>43381</v>
      </c>
      <c r="H963" s="129">
        <v>43392</v>
      </c>
      <c r="I963" s="108">
        <f t="shared" si="42"/>
        <v>15596</v>
      </c>
      <c r="J963" s="108" t="str">
        <f>IF(Таблица97[[#This Row],[НК]]=1,Таблица97[[#This Row],[Продажа]],"")</f>
        <v/>
      </c>
      <c r="M963" s="108">
        <v>10904</v>
      </c>
      <c r="N963" s="108">
        <f>Таблица97[[#This Row],[Продажа]]-Таблица97[[#This Row],[Закупка]]</f>
        <v>4692</v>
      </c>
      <c r="O963" s="108" t="str">
        <f>IF(Таблица97[[#This Row],[НК]]=1,Таблица97[[#This Row],[Маржа]],"")</f>
        <v/>
      </c>
    </row>
    <row r="964" spans="1:15" ht="20.100000000000001" customHeight="1" x14ac:dyDescent="0.25">
      <c r="A964" s="2">
        <v>695</v>
      </c>
      <c r="B964" s="2" t="str">
        <f>TEXT(Таблица97[[#This Row],[Дата]],"ГГ")&amp;RIGHT("000"&amp;Таблица97[[#This Row],[Номер]],4)</f>
        <v>180695</v>
      </c>
      <c r="C964" s="129">
        <v>43371</v>
      </c>
      <c r="D964" s="2" t="s">
        <v>206</v>
      </c>
      <c r="E964" s="108">
        <v>111443</v>
      </c>
      <c r="F964" s="129">
        <v>43382</v>
      </c>
      <c r="H964" s="129">
        <v>43371</v>
      </c>
      <c r="I964" s="108">
        <f t="shared" si="42"/>
        <v>111443</v>
      </c>
      <c r="J964" s="108" t="str">
        <f>IF(Таблица97[[#This Row],[НК]]=1,Таблица97[[#This Row],[Продажа]],"")</f>
        <v/>
      </c>
      <c r="M964" s="108">
        <v>77301.259999999995</v>
      </c>
      <c r="N964" s="108">
        <f>Таблица97[[#This Row],[Продажа]]-Таблица97[[#This Row],[Закупка]]</f>
        <v>34141.740000000005</v>
      </c>
      <c r="O964" s="108" t="str">
        <f>IF(Таблица97[[#This Row],[НК]]=1,Таблица97[[#This Row],[Маржа]],"")</f>
        <v/>
      </c>
    </row>
    <row r="965" spans="1:15" ht="20.100000000000001" customHeight="1" x14ac:dyDescent="0.25">
      <c r="A965" s="2">
        <v>669</v>
      </c>
      <c r="B965" s="2" t="str">
        <f>TEXT(Таблица97[[#This Row],[Дата]],"ГГ")&amp;RIGHT("000"&amp;Таблица97[[#This Row],[Номер]],4)</f>
        <v>180669</v>
      </c>
      <c r="C965" s="129">
        <v>43314</v>
      </c>
      <c r="D965" s="2" t="s">
        <v>228</v>
      </c>
      <c r="E965" s="108">
        <v>18621</v>
      </c>
      <c r="F965" s="129">
        <v>43382</v>
      </c>
      <c r="H965" s="129">
        <v>43381</v>
      </c>
      <c r="I965" s="108">
        <f t="shared" si="42"/>
        <v>18621</v>
      </c>
      <c r="J965" s="108" t="str">
        <f>IF(Таблица97[[#This Row],[НК]]=1,Таблица97[[#This Row],[Продажа]],"")</f>
        <v/>
      </c>
      <c r="M965" s="108">
        <v>12664</v>
      </c>
      <c r="N965" s="108">
        <f>Таблица97[[#This Row],[Продажа]]-Таблица97[[#This Row],[Закупка]]</f>
        <v>5957</v>
      </c>
      <c r="O965" s="108" t="str">
        <f>IF(Таблица97[[#This Row],[НК]]=1,Таблица97[[#This Row],[Маржа]],"")</f>
        <v/>
      </c>
    </row>
    <row r="966" spans="1:15" ht="20.100000000000001" customHeight="1" x14ac:dyDescent="0.25">
      <c r="A966" s="2">
        <v>859</v>
      </c>
      <c r="B966" s="2" t="str">
        <f>TEXT(Таблица97[[#This Row],[Дата]],"ГГ")&amp;RIGHT("000"&amp;Таблица97[[#This Row],[Номер]],4)</f>
        <v>180859</v>
      </c>
      <c r="C966" s="129">
        <v>43381</v>
      </c>
      <c r="D966" s="2" t="s">
        <v>357</v>
      </c>
      <c r="E966" s="108">
        <v>9925</v>
      </c>
      <c r="F966" s="129">
        <v>43382</v>
      </c>
      <c r="G966" s="128">
        <v>1</v>
      </c>
      <c r="H966" s="129">
        <v>43397</v>
      </c>
      <c r="I966" s="108">
        <f t="shared" si="42"/>
        <v>9925</v>
      </c>
      <c r="J966" s="108">
        <f>IF(Таблица97[[#This Row],[НК]]=1,Таблица97[[#This Row],[Продажа]],"")</f>
        <v>9925</v>
      </c>
      <c r="M966" s="108">
        <v>7110</v>
      </c>
      <c r="N966" s="108">
        <f>Таблица97[[#This Row],[Продажа]]-Таблица97[[#This Row],[Закупка]]</f>
        <v>2815</v>
      </c>
      <c r="O966" s="108">
        <f>IF(Таблица97[[#This Row],[НК]]=1,Таблица97[[#This Row],[Маржа]],"")</f>
        <v>2815</v>
      </c>
    </row>
    <row r="967" spans="1:15" ht="20.100000000000001" customHeight="1" x14ac:dyDescent="0.25">
      <c r="A967" s="2">
        <v>854</v>
      </c>
      <c r="B967" s="2" t="str">
        <f>TEXT(Таблица97[[#This Row],[Дата]],"ГГ")&amp;RIGHT("000"&amp;Таблица97[[#This Row],[Номер]],4)</f>
        <v>180854</v>
      </c>
      <c r="C967" s="129">
        <v>43381</v>
      </c>
      <c r="D967" s="2" t="s">
        <v>175</v>
      </c>
      <c r="E967" s="108">
        <v>22634.7</v>
      </c>
      <c r="F967" s="129">
        <v>43384</v>
      </c>
      <c r="H967" s="129">
        <v>43385</v>
      </c>
      <c r="I967" s="108">
        <f t="shared" si="42"/>
        <v>22634.7</v>
      </c>
      <c r="J967" s="108" t="str">
        <f>IF(Таблица97[[#This Row],[НК]]=1,Таблица97[[#This Row],[Продажа]],"")</f>
        <v/>
      </c>
      <c r="M967" s="108">
        <v>18576</v>
      </c>
      <c r="N967" s="108">
        <f>Таблица97[[#This Row],[Продажа]]-Таблица97[[#This Row],[Закупка]]</f>
        <v>4058.7000000000007</v>
      </c>
      <c r="O967" s="108" t="str">
        <f>IF(Таблица97[[#This Row],[НК]]=1,Таблица97[[#This Row],[Маржа]],"")</f>
        <v/>
      </c>
    </row>
    <row r="968" spans="1:15" ht="20.100000000000001" customHeight="1" x14ac:dyDescent="0.25">
      <c r="A968" s="2">
        <v>771</v>
      </c>
      <c r="B968" s="2" t="str">
        <f>TEXT(Таблица97[[#This Row],[Дата]],"ГГ")&amp;RIGHT("000"&amp;Таблица97[[#This Row],[Номер]],4)</f>
        <v>180771</v>
      </c>
      <c r="C968" s="129">
        <v>43384</v>
      </c>
      <c r="D968" s="2" t="s">
        <v>71</v>
      </c>
      <c r="E968" s="108">
        <v>6694</v>
      </c>
      <c r="F968" s="129">
        <v>43385</v>
      </c>
      <c r="H968" s="129">
        <v>43399</v>
      </c>
      <c r="I968" s="108">
        <f t="shared" si="42"/>
        <v>6694</v>
      </c>
      <c r="J968" s="108" t="str">
        <f>IF(Таблица97[[#This Row],[НК]]=1,Таблица97[[#This Row],[Продажа]],"")</f>
        <v/>
      </c>
      <c r="M968" s="108">
        <v>5006</v>
      </c>
      <c r="N968" s="108">
        <f>Таблица97[[#This Row],[Продажа]]-Таблица97[[#This Row],[Закупка]]</f>
        <v>1688</v>
      </c>
      <c r="O968" s="108" t="str">
        <f>IF(Таблица97[[#This Row],[НК]]=1,Таблица97[[#This Row],[Маржа]],"")</f>
        <v/>
      </c>
    </row>
    <row r="969" spans="1:15" ht="20.100000000000001" customHeight="1" x14ac:dyDescent="0.25">
      <c r="A969" s="2">
        <v>872</v>
      </c>
      <c r="B969" s="2" t="str">
        <f>TEXT(Таблица97[[#This Row],[Дата]],"ГГ")&amp;RIGHT("000"&amp;Таблица97[[#This Row],[Номер]],4)</f>
        <v>180872</v>
      </c>
      <c r="C969" s="129">
        <v>43384</v>
      </c>
      <c r="D969" s="2" t="s">
        <v>58</v>
      </c>
      <c r="E969" s="108">
        <v>5100</v>
      </c>
      <c r="F969" s="129">
        <v>43388</v>
      </c>
      <c r="H969" s="129">
        <v>43398</v>
      </c>
      <c r="I969" s="108">
        <f t="shared" si="42"/>
        <v>5100</v>
      </c>
      <c r="J969" s="108" t="str">
        <f>IF(Таблица97[[#This Row],[НК]]=1,Таблица97[[#This Row],[Продажа]],"")</f>
        <v/>
      </c>
      <c r="M969" s="108">
        <v>3765</v>
      </c>
      <c r="N969" s="108">
        <f>Таблица97[[#This Row],[Продажа]]-Таблица97[[#This Row],[Закупка]]</f>
        <v>1335</v>
      </c>
      <c r="O969" s="108" t="str">
        <f>IF(Таблица97[[#This Row],[НК]]=1,Таблица97[[#This Row],[Маржа]],"")</f>
        <v/>
      </c>
    </row>
    <row r="970" spans="1:15" ht="20.100000000000001" customHeight="1" x14ac:dyDescent="0.25">
      <c r="A970" s="2">
        <v>875</v>
      </c>
      <c r="B970" s="2" t="str">
        <f>TEXT(Таблица97[[#This Row],[Дата]],"ГГ")&amp;RIGHT("000"&amp;Таблица97[[#This Row],[Номер]],4)</f>
        <v>180875</v>
      </c>
      <c r="C970" s="129">
        <v>43388</v>
      </c>
      <c r="D970" s="2" t="s">
        <v>358</v>
      </c>
      <c r="E970" s="108">
        <v>4613</v>
      </c>
      <c r="F970" s="129">
        <v>43388</v>
      </c>
      <c r="G970" s="128">
        <v>1</v>
      </c>
      <c r="H970" s="129">
        <v>43389</v>
      </c>
      <c r="I970" s="108">
        <f t="shared" si="42"/>
        <v>4613</v>
      </c>
      <c r="J970" s="108">
        <f>IF(Таблица97[[#This Row],[НК]]=1,Таблица97[[#This Row],[Продажа]],"")</f>
        <v>4613</v>
      </c>
      <c r="M970" s="108">
        <v>3597</v>
      </c>
      <c r="N970" s="108">
        <f>Таблица97[[#This Row],[Продажа]]-Таблица97[[#This Row],[Закупка]]</f>
        <v>1016</v>
      </c>
      <c r="O970" s="108">
        <f>IF(Таблица97[[#This Row],[НК]]=1,Таблица97[[#This Row],[Маржа]],"")</f>
        <v>1016</v>
      </c>
    </row>
    <row r="971" spans="1:15" ht="20.100000000000001" customHeight="1" x14ac:dyDescent="0.25">
      <c r="A971" s="2">
        <v>881</v>
      </c>
      <c r="B971" s="2" t="str">
        <f>TEXT(Таблица97[[#This Row],[Дата]],"ГГ")&amp;RIGHT("000"&amp;Таблица97[[#This Row],[Номер]],4)</f>
        <v>180881</v>
      </c>
      <c r="C971" s="129">
        <v>43388</v>
      </c>
      <c r="D971" s="2" t="s">
        <v>147</v>
      </c>
      <c r="E971" s="108">
        <v>3232</v>
      </c>
      <c r="F971" s="129">
        <v>43389</v>
      </c>
      <c r="H971" s="129">
        <v>43392</v>
      </c>
      <c r="I971" s="108">
        <f t="shared" si="42"/>
        <v>3232</v>
      </c>
      <c r="J971" s="108" t="str">
        <f>IF(Таблица97[[#This Row],[НК]]=1,Таблица97[[#This Row],[Продажа]],"")</f>
        <v/>
      </c>
      <c r="M971" s="108">
        <v>2416</v>
      </c>
      <c r="N971" s="108">
        <f>Таблица97[[#This Row],[Продажа]]-Таблица97[[#This Row],[Закупка]]</f>
        <v>816</v>
      </c>
      <c r="O971" s="108" t="str">
        <f>IF(Таблица97[[#This Row],[НК]]=1,Таблица97[[#This Row],[Маржа]],"")</f>
        <v/>
      </c>
    </row>
    <row r="972" spans="1:15" ht="20.100000000000001" customHeight="1" x14ac:dyDescent="0.25">
      <c r="A972" s="2">
        <v>873</v>
      </c>
      <c r="B972" s="2" t="str">
        <f>TEXT(Таблица97[[#This Row],[Дата]],"ГГ")&amp;RIGHT("000"&amp;Таблица97[[#This Row],[Номер]],4)</f>
        <v>180873</v>
      </c>
      <c r="C972" s="129">
        <v>43385</v>
      </c>
      <c r="D972" s="2" t="s">
        <v>338</v>
      </c>
      <c r="E972" s="108">
        <v>1272</v>
      </c>
      <c r="F972" s="129">
        <v>43389</v>
      </c>
      <c r="H972" s="129">
        <v>43390</v>
      </c>
      <c r="I972" s="108">
        <f t="shared" si="42"/>
        <v>1272</v>
      </c>
      <c r="J972" s="108" t="str">
        <f>IF(Таблица97[[#This Row],[НК]]=1,Таблица97[[#This Row],[Продажа]],"")</f>
        <v/>
      </c>
      <c r="M972" s="108">
        <v>990</v>
      </c>
      <c r="N972" s="108">
        <f>Таблица97[[#This Row],[Продажа]]-Таблица97[[#This Row],[Закупка]]</f>
        <v>282</v>
      </c>
      <c r="O972" s="108" t="str">
        <f>IF(Таблица97[[#This Row],[НК]]=1,Таблица97[[#This Row],[Маржа]],"")</f>
        <v/>
      </c>
    </row>
    <row r="973" spans="1:15" ht="20.100000000000001" customHeight="1" x14ac:dyDescent="0.25">
      <c r="A973" s="2">
        <v>876</v>
      </c>
      <c r="B973" s="2" t="str">
        <f>TEXT(Таблица97[[#This Row],[Дата]],"ГГ")&amp;RIGHT("000"&amp;Таблица97[[#This Row],[Номер]],4)</f>
        <v>180876</v>
      </c>
      <c r="C973" s="129">
        <v>43388</v>
      </c>
      <c r="D973" s="2" t="s">
        <v>238</v>
      </c>
      <c r="E973" s="108">
        <v>1748</v>
      </c>
      <c r="F973" s="129">
        <v>43390</v>
      </c>
      <c r="H973" s="129">
        <v>43392</v>
      </c>
      <c r="I973" s="108">
        <f t="shared" si="42"/>
        <v>1748</v>
      </c>
      <c r="J973" s="108" t="str">
        <f>IF(Таблица97[[#This Row],[НК]]=1,Таблица97[[#This Row],[Продажа]],"")</f>
        <v/>
      </c>
      <c r="M973" s="108">
        <v>1362</v>
      </c>
      <c r="N973" s="108">
        <f>Таблица97[[#This Row],[Продажа]]-Таблица97[[#This Row],[Закупка]]</f>
        <v>386</v>
      </c>
      <c r="O973" s="108" t="str">
        <f>IF(Таблица97[[#This Row],[НК]]=1,Таблица97[[#This Row],[Маржа]],"")</f>
        <v/>
      </c>
    </row>
    <row r="974" spans="1:15" ht="20.100000000000001" customHeight="1" x14ac:dyDescent="0.25">
      <c r="A974" s="2">
        <v>856</v>
      </c>
      <c r="B974" s="2" t="str">
        <f>TEXT(Таблица97[[#This Row],[Дата]],"ГГ")&amp;RIGHT("000"&amp;Таблица97[[#This Row],[Номер]],4)</f>
        <v>180856</v>
      </c>
      <c r="C974" s="129">
        <v>43392</v>
      </c>
      <c r="D974" s="2" t="s">
        <v>303</v>
      </c>
      <c r="E974" s="108">
        <v>60781.5</v>
      </c>
      <c r="F974" s="129">
        <v>43392</v>
      </c>
      <c r="H974" s="129">
        <v>43392</v>
      </c>
      <c r="I974" s="108">
        <f t="shared" si="42"/>
        <v>60781.5</v>
      </c>
      <c r="J974" s="108" t="str">
        <f>IF(Таблица97[[#This Row],[НК]]=1,Таблица97[[#This Row],[Продажа]],"")</f>
        <v/>
      </c>
      <c r="M974" s="108">
        <v>51391</v>
      </c>
      <c r="N974" s="108">
        <f>Таблица97[[#This Row],[Продажа]]-Таблица97[[#This Row],[Закупка]]</f>
        <v>9390.5</v>
      </c>
      <c r="O974" s="108" t="str">
        <f>IF(Таблица97[[#This Row],[НК]]=1,Таблица97[[#This Row],[Маржа]],"")</f>
        <v/>
      </c>
    </row>
    <row r="975" spans="1:15" ht="20.100000000000001" customHeight="1" x14ac:dyDescent="0.25">
      <c r="A975" s="2">
        <v>828</v>
      </c>
      <c r="B975" s="2" t="str">
        <f>TEXT(Таблица97[[#This Row],[Дата]],"ГГ")&amp;RIGHT("000"&amp;Таблица97[[#This Row],[Номер]],4)</f>
        <v>180828</v>
      </c>
      <c r="C975" s="129">
        <v>43374</v>
      </c>
      <c r="D975" s="2" t="s">
        <v>56</v>
      </c>
      <c r="E975" s="108">
        <v>5000</v>
      </c>
      <c r="F975" s="129">
        <v>43392</v>
      </c>
      <c r="H975" s="129">
        <v>43382</v>
      </c>
      <c r="I975" s="108">
        <f t="shared" si="42"/>
        <v>5000</v>
      </c>
      <c r="J975" s="108" t="str">
        <f>IF(Таблица97[[#This Row],[НК]]=1,Таблица97[[#This Row],[Продажа]],"")</f>
        <v/>
      </c>
      <c r="M975" s="108">
        <v>2870</v>
      </c>
      <c r="N975" s="108">
        <f>Таблица97[[#This Row],[Продажа]]-Таблица97[[#This Row],[Закупка]]</f>
        <v>2130</v>
      </c>
      <c r="O975" s="108" t="str">
        <f>IF(Таблица97[[#This Row],[НК]]=1,Таблица97[[#This Row],[Маржа]],"")</f>
        <v/>
      </c>
    </row>
    <row r="976" spans="1:15" ht="20.100000000000001" customHeight="1" x14ac:dyDescent="0.25">
      <c r="A976" s="2">
        <v>867</v>
      </c>
      <c r="B976" s="2" t="str">
        <f>TEXT(Таблица97[[#This Row],[Дата]],"ГГ")&amp;RIGHT("000"&amp;Таблица97[[#This Row],[Номер]],4)</f>
        <v>180867</v>
      </c>
      <c r="C976" s="129">
        <v>43384</v>
      </c>
      <c r="D976" s="2" t="s">
        <v>228</v>
      </c>
      <c r="E976" s="108">
        <v>12412</v>
      </c>
      <c r="F976" s="129">
        <v>43396</v>
      </c>
      <c r="H976" s="129">
        <v>43418</v>
      </c>
      <c r="I976" s="108">
        <f t="shared" si="42"/>
        <v>12412</v>
      </c>
      <c r="J976" s="108" t="str">
        <f>IF(Таблица97[[#This Row],[НК]]=1,Таблица97[[#This Row],[Продажа]],"")</f>
        <v/>
      </c>
      <c r="M976" s="108">
        <v>8040</v>
      </c>
      <c r="N976" s="108">
        <f>Таблица97[[#This Row],[Продажа]]-Таблица97[[#This Row],[Закупка]]</f>
        <v>4372</v>
      </c>
      <c r="O976" s="108" t="str">
        <f>IF(Таблица97[[#This Row],[НК]]=1,Таблица97[[#This Row],[Маржа]],"")</f>
        <v/>
      </c>
    </row>
    <row r="977" spans="1:15" ht="20.100000000000001" customHeight="1" x14ac:dyDescent="0.25">
      <c r="A977" s="2">
        <v>866</v>
      </c>
      <c r="B977" s="2" t="str">
        <f>TEXT(Таблица97[[#This Row],[Дата]],"ГГ")&amp;RIGHT("000"&amp;Таблица97[[#This Row],[Номер]],4)</f>
        <v>180866</v>
      </c>
      <c r="C977" s="129">
        <v>43388</v>
      </c>
      <c r="D977" s="2" t="s">
        <v>228</v>
      </c>
      <c r="E977" s="108">
        <v>49361</v>
      </c>
      <c r="F977" s="129">
        <v>43396</v>
      </c>
      <c r="H977" s="129">
        <v>43439</v>
      </c>
      <c r="I977" s="108">
        <f t="shared" si="42"/>
        <v>49361</v>
      </c>
      <c r="J977" s="108" t="str">
        <f>IF(Таблица97[[#This Row],[НК]]=1,Таблица97[[#This Row],[Продажа]],"")</f>
        <v/>
      </c>
      <c r="L977" s="108">
        <v>1200</v>
      </c>
      <c r="M977" s="108">
        <v>31700</v>
      </c>
      <c r="N977" s="108">
        <f>Таблица97[[#This Row],[Продажа]]-Таблица97[[#This Row],[Закупка]]</f>
        <v>17661</v>
      </c>
      <c r="O977" s="108" t="str">
        <f>IF(Таблица97[[#This Row],[НК]]=1,Таблица97[[#This Row],[Маржа]],"")</f>
        <v/>
      </c>
    </row>
    <row r="978" spans="1:15" ht="20.100000000000001" customHeight="1" x14ac:dyDescent="0.25">
      <c r="A978" s="2">
        <v>850</v>
      </c>
      <c r="B978" s="2" t="str">
        <f>TEXT(Таблица97[[#This Row],[Дата]],"ГГ")&amp;RIGHT("000"&amp;Таблица97[[#This Row],[Номер]],4)</f>
        <v>180850</v>
      </c>
      <c r="C978" s="129">
        <v>43377</v>
      </c>
      <c r="D978" s="2" t="s">
        <v>11</v>
      </c>
      <c r="E978" s="108">
        <v>7108</v>
      </c>
      <c r="F978" s="129">
        <v>43397</v>
      </c>
      <c r="H978" s="129">
        <v>43425</v>
      </c>
      <c r="I978" s="108">
        <f t="shared" si="42"/>
        <v>7108</v>
      </c>
      <c r="J978" s="108" t="str">
        <f>IF(Таблица97[[#This Row],[НК]]=1,Таблица97[[#This Row],[Продажа]],"")</f>
        <v/>
      </c>
      <c r="M978" s="108">
        <v>5422</v>
      </c>
      <c r="N978" s="108">
        <f>Таблица97[[#This Row],[Продажа]]-Таблица97[[#This Row],[Закупка]]</f>
        <v>1686</v>
      </c>
      <c r="O978" s="108" t="str">
        <f>IF(Таблица97[[#This Row],[НК]]=1,Таблица97[[#This Row],[Маржа]],"")</f>
        <v/>
      </c>
    </row>
    <row r="979" spans="1:15" ht="20.100000000000001" customHeight="1" x14ac:dyDescent="0.25">
      <c r="A979" s="2">
        <v>879</v>
      </c>
      <c r="B979" s="2" t="str">
        <f>TEXT(Таблица97[[#This Row],[Дата]],"ГГ")&amp;RIGHT("000"&amp;Таблица97[[#This Row],[Номер]],4)</f>
        <v>180879</v>
      </c>
      <c r="C979" s="129">
        <v>43388</v>
      </c>
      <c r="D979" s="2" t="s">
        <v>13</v>
      </c>
      <c r="E979" s="108">
        <v>51854</v>
      </c>
      <c r="F979" s="129">
        <v>43402</v>
      </c>
      <c r="H979" s="129">
        <v>43395</v>
      </c>
      <c r="I979" s="108">
        <f t="shared" si="42"/>
        <v>51854</v>
      </c>
      <c r="J979" s="108" t="str">
        <f>IF(Таблица97[[#This Row],[НК]]=1,Таблица97[[#This Row],[Продажа]],"")</f>
        <v/>
      </c>
      <c r="M979" s="108">
        <v>43318</v>
      </c>
      <c r="N979" s="108">
        <f>Таблица97[[#This Row],[Продажа]]-Таблица97[[#This Row],[Закупка]]</f>
        <v>8536</v>
      </c>
      <c r="O979" s="108" t="str">
        <f>IF(Таблица97[[#This Row],[НК]]=1,Таблица97[[#This Row],[Маржа]],"")</f>
        <v/>
      </c>
    </row>
    <row r="980" spans="1:15" ht="20.100000000000001" customHeight="1" x14ac:dyDescent="0.25">
      <c r="A980" s="2">
        <v>870</v>
      </c>
      <c r="B980" s="2" t="str">
        <f>TEXT(Таблица97[[#This Row],[Дата]],"ГГ")&amp;RIGHT("000"&amp;Таблица97[[#This Row],[Номер]],4)</f>
        <v>180870</v>
      </c>
      <c r="C980" s="129">
        <v>43385</v>
      </c>
      <c r="D980" s="2" t="s">
        <v>11</v>
      </c>
      <c r="E980" s="108">
        <v>16722</v>
      </c>
      <c r="F980" s="129">
        <v>43404</v>
      </c>
      <c r="H980" s="129">
        <v>43411</v>
      </c>
      <c r="I980" s="108">
        <f t="shared" si="42"/>
        <v>16722</v>
      </c>
      <c r="J980" s="108" t="str">
        <f>IF(Таблица97[[#This Row],[НК]]=1,Таблица97[[#This Row],[Продажа]],"")</f>
        <v/>
      </c>
      <c r="M980" s="108">
        <v>13042</v>
      </c>
      <c r="N980" s="108">
        <f>Таблица97[[#This Row],[Продажа]]-Таблица97[[#This Row],[Закупка]]</f>
        <v>3680</v>
      </c>
      <c r="O980" s="108" t="str">
        <f>IF(Таблица97[[#This Row],[НК]]=1,Таблица97[[#This Row],[Маржа]],"")</f>
        <v/>
      </c>
    </row>
    <row r="981" spans="1:15" ht="20.100000000000001" customHeight="1" x14ac:dyDescent="0.25">
      <c r="A981" s="2">
        <v>833</v>
      </c>
      <c r="B981" s="2" t="str">
        <f>TEXT(Таблица97[[#This Row],[Дата]],"ГГ")&amp;RIGHT("000"&amp;Таблица97[[#This Row],[Номер]],4)</f>
        <v>180833</v>
      </c>
      <c r="C981" s="129">
        <v>43396</v>
      </c>
      <c r="D981" s="2" t="s">
        <v>99</v>
      </c>
      <c r="E981" s="108">
        <v>583960</v>
      </c>
      <c r="F981" s="129">
        <v>43404</v>
      </c>
      <c r="H981" s="129">
        <v>43396</v>
      </c>
      <c r="I981" s="108">
        <f t="shared" si="42"/>
        <v>583960</v>
      </c>
      <c r="J981" s="108" t="str">
        <f>IF(Таблица97[[#This Row],[НК]]=1,Таблица97[[#This Row],[Продажа]],"")</f>
        <v/>
      </c>
      <c r="M981" s="108">
        <v>441472</v>
      </c>
      <c r="N981" s="108">
        <f>Таблица97[[#This Row],[Продажа]]-Таблица97[[#This Row],[Закупка]]</f>
        <v>142488</v>
      </c>
      <c r="O981" s="108" t="str">
        <f>IF(Таблица97[[#This Row],[НК]]=1,Таблица97[[#This Row],[Маржа]],"")</f>
        <v/>
      </c>
    </row>
    <row r="982" spans="1:15" ht="20.100000000000001" customHeight="1" x14ac:dyDescent="0.25">
      <c r="A982" s="2">
        <v>789</v>
      </c>
      <c r="B982" s="2" t="str">
        <f>TEXT(Таблица97[[#This Row],[Дата]],"ГГ")&amp;RIGHT("000"&amp;Таблица97[[#This Row],[Номер]],4)</f>
        <v>180789</v>
      </c>
      <c r="C982" s="129">
        <v>43374</v>
      </c>
      <c r="D982" s="2" t="s">
        <v>99</v>
      </c>
      <c r="E982" s="108">
        <v>48063</v>
      </c>
      <c r="F982" s="129">
        <v>43404</v>
      </c>
      <c r="H982" s="129">
        <v>43374</v>
      </c>
      <c r="I982" s="108">
        <f t="shared" si="42"/>
        <v>48063</v>
      </c>
      <c r="J982" s="108" t="str">
        <f>IF(Таблица97[[#This Row],[НК]]=1,Таблица97[[#This Row],[Продажа]],"")</f>
        <v/>
      </c>
      <c r="K982" s="108">
        <v>6000</v>
      </c>
      <c r="L982" s="108">
        <v>1200</v>
      </c>
      <c r="M982" s="108">
        <v>21010</v>
      </c>
      <c r="N982" s="108">
        <f>Таблица97[[#This Row],[Продажа]]-Таблица97[[#This Row],[Закупка]]</f>
        <v>27053</v>
      </c>
      <c r="O982" s="108" t="str">
        <f>IF(Таблица97[[#This Row],[НК]]=1,Таблица97[[#This Row],[Маржа]],"")</f>
        <v/>
      </c>
    </row>
    <row r="983" spans="1:15" ht="20.100000000000001" customHeight="1" x14ac:dyDescent="0.25">
      <c r="A983" s="2">
        <v>832</v>
      </c>
      <c r="B983" s="2" t="str">
        <f>TEXT(Таблица97[[#This Row],[Дата]],"ГГ")&amp;RIGHT("000"&amp;Таблица97[[#This Row],[Номер]],4)</f>
        <v>180832</v>
      </c>
      <c r="C983" s="129">
        <v>43374</v>
      </c>
      <c r="D983" s="2" t="s">
        <v>99</v>
      </c>
      <c r="E983" s="108">
        <v>4910</v>
      </c>
      <c r="F983" s="129">
        <v>43404</v>
      </c>
      <c r="H983" s="129">
        <v>43374</v>
      </c>
      <c r="I983" s="108">
        <f t="shared" si="42"/>
        <v>4910</v>
      </c>
      <c r="J983" s="108" t="str">
        <f>IF(Таблица97[[#This Row],[НК]]=1,Таблица97[[#This Row],[Продажа]],"")</f>
        <v/>
      </c>
      <c r="M983" s="108">
        <v>3829</v>
      </c>
      <c r="N983" s="108">
        <f>Таблица97[[#This Row],[Продажа]]-Таблица97[[#This Row],[Закупка]]</f>
        <v>1081</v>
      </c>
      <c r="O983" s="108" t="str">
        <f>IF(Таблица97[[#This Row],[НК]]=1,Таблица97[[#This Row],[Маржа]],"")</f>
        <v/>
      </c>
    </row>
    <row r="984" spans="1:15" ht="20.100000000000001" customHeight="1" x14ac:dyDescent="0.25">
      <c r="A984" s="2">
        <v>831</v>
      </c>
      <c r="B984" s="2" t="str">
        <f>TEXT(Таблица97[[#This Row],[Дата]],"ГГ")&amp;RIGHT("000"&amp;Таблица97[[#This Row],[Номер]],4)</f>
        <v>180831</v>
      </c>
      <c r="C984" s="129">
        <v>43396</v>
      </c>
      <c r="D984" s="2" t="s">
        <v>99</v>
      </c>
      <c r="E984" s="108">
        <v>140640</v>
      </c>
      <c r="F984" s="129">
        <v>43404</v>
      </c>
      <c r="H984" s="129">
        <v>43396</v>
      </c>
      <c r="I984" s="108">
        <f t="shared" si="42"/>
        <v>140640</v>
      </c>
      <c r="J984" s="108" t="str">
        <f>IF(Таблица97[[#This Row],[НК]]=1,Таблица97[[#This Row],[Продажа]],"")</f>
        <v/>
      </c>
      <c r="K984" s="108">
        <v>36000</v>
      </c>
      <c r="L984" s="108">
        <f>12*600</f>
        <v>7200</v>
      </c>
      <c r="M984" s="108">
        <v>15576</v>
      </c>
      <c r="N984" s="108">
        <f>Таблица97[[#This Row],[Продажа]]-Таблица97[[#This Row],[Закупка]]</f>
        <v>125064</v>
      </c>
      <c r="O984" s="108" t="str">
        <f>IF(Таблица97[[#This Row],[НК]]=1,Таблица97[[#This Row],[Маржа]],"")</f>
        <v/>
      </c>
    </row>
    <row r="985" spans="1:15" ht="20.100000000000001" customHeight="1" x14ac:dyDescent="0.25">
      <c r="A985" s="2">
        <v>895</v>
      </c>
      <c r="B985" s="2" t="str">
        <f>TEXT(Таблица97[[#This Row],[Дата]],"ГГ")&amp;RIGHT("000"&amp;Таблица97[[#This Row],[Номер]],4)</f>
        <v>180895</v>
      </c>
      <c r="C985" s="129">
        <v>43396</v>
      </c>
      <c r="D985" s="2" t="s">
        <v>91</v>
      </c>
      <c r="E985" s="108">
        <v>2500</v>
      </c>
      <c r="F985" s="129">
        <v>43405</v>
      </c>
      <c r="H985" s="129">
        <v>43411</v>
      </c>
      <c r="I985" s="108">
        <f t="shared" ref="I985:I992" si="43">E985</f>
        <v>2500</v>
      </c>
      <c r="J985" s="108" t="str">
        <f>IF(Таблица97[[#This Row],[НК]]=1,Таблица97[[#This Row],[Продажа]],"")</f>
        <v/>
      </c>
      <c r="M985" s="108">
        <v>1250</v>
      </c>
      <c r="N985" s="108">
        <f>Таблица97[[#This Row],[Продажа]]-Таблица97[[#This Row],[Закупка]]</f>
        <v>1250</v>
      </c>
      <c r="O985" s="108" t="str">
        <f>IF(Таблица97[[#This Row],[НК]]=1,Таблица97[[#This Row],[Маржа]],"")</f>
        <v/>
      </c>
    </row>
    <row r="986" spans="1:15" ht="20.100000000000001" customHeight="1" x14ac:dyDescent="0.25">
      <c r="A986" s="2">
        <v>915</v>
      </c>
      <c r="B986" s="2" t="str">
        <f>TEXT(Таблица97[[#This Row],[Дата]],"ГГ")&amp;RIGHT("000"&amp;Таблица97[[#This Row],[Номер]],4)</f>
        <v>180915</v>
      </c>
      <c r="C986" s="129">
        <v>43405</v>
      </c>
      <c r="D986" s="2" t="s">
        <v>348</v>
      </c>
      <c r="E986" s="108">
        <v>4000</v>
      </c>
      <c r="F986" s="129">
        <v>43406</v>
      </c>
      <c r="H986" s="129">
        <v>43405</v>
      </c>
      <c r="I986" s="108">
        <f t="shared" si="43"/>
        <v>4000</v>
      </c>
      <c r="J986" s="108" t="str">
        <f>IF(Таблица97[[#This Row],[НК]]=1,Таблица97[[#This Row],[Продажа]],"")</f>
        <v/>
      </c>
      <c r="L986" s="108">
        <v>600</v>
      </c>
      <c r="M986" s="108">
        <v>1281.73</v>
      </c>
      <c r="N986" s="108">
        <f>Таблица97[[#This Row],[Продажа]]-Таблица97[[#This Row],[Закупка]]</f>
        <v>2718.27</v>
      </c>
      <c r="O986" s="108" t="str">
        <f>IF(Таблица97[[#This Row],[НК]]=1,Таблица97[[#This Row],[Маржа]],"")</f>
        <v/>
      </c>
    </row>
    <row r="987" spans="1:15" ht="20.100000000000001" customHeight="1" x14ac:dyDescent="0.25">
      <c r="A987" s="2">
        <v>933</v>
      </c>
      <c r="B987" s="2" t="str">
        <f>TEXT(Таблица97[[#This Row],[Дата]],"ГГ")&amp;RIGHT("000"&amp;Таблица97[[#This Row],[Номер]],4)</f>
        <v>180933</v>
      </c>
      <c r="C987" s="129">
        <v>43411</v>
      </c>
      <c r="D987" s="2" t="s">
        <v>16</v>
      </c>
      <c r="E987" s="108">
        <v>16156</v>
      </c>
      <c r="F987" s="129">
        <v>43413</v>
      </c>
      <c r="H987" s="129">
        <v>43438</v>
      </c>
      <c r="I987" s="108">
        <f t="shared" si="43"/>
        <v>16156</v>
      </c>
      <c r="J987" s="108" t="str">
        <f>IF(Таблица97[[#This Row],[НК]]=1,Таблица97[[#This Row],[Продажа]],"")</f>
        <v/>
      </c>
      <c r="M987" s="108">
        <v>12604</v>
      </c>
      <c r="N987" s="108">
        <f>Таблица97[[#This Row],[Продажа]]-Таблица97[[#This Row],[Закупка]]</f>
        <v>3552</v>
      </c>
      <c r="O987" s="108" t="str">
        <f>IF(Таблица97[[#This Row],[НК]]=1,Таблица97[[#This Row],[Маржа]],"")</f>
        <v/>
      </c>
    </row>
    <row r="988" spans="1:15" ht="20.100000000000001" customHeight="1" x14ac:dyDescent="0.25">
      <c r="A988" s="2">
        <v>931</v>
      </c>
      <c r="B988" s="2" t="str">
        <f>TEXT(Таблица97[[#This Row],[Дата]],"ГГ")&amp;RIGHT("000"&amp;Таблица97[[#This Row],[Номер]],4)</f>
        <v>180931</v>
      </c>
      <c r="C988" s="129">
        <v>43411</v>
      </c>
      <c r="D988" s="2" t="s">
        <v>319</v>
      </c>
      <c r="E988" s="108">
        <v>2450</v>
      </c>
      <c r="F988" s="129">
        <v>43416</v>
      </c>
      <c r="H988" s="129">
        <v>43437</v>
      </c>
      <c r="I988" s="108">
        <f t="shared" si="43"/>
        <v>2450</v>
      </c>
      <c r="J988" s="108" t="str">
        <f>IF(Таблица97[[#This Row],[НК]]=1,Таблица97[[#This Row],[Продажа]],"")</f>
        <v/>
      </c>
      <c r="M988" s="108">
        <v>2182</v>
      </c>
      <c r="N988" s="108">
        <f>Таблица97[[#This Row],[Продажа]]-Таблица97[[#This Row],[Закупка]]</f>
        <v>268</v>
      </c>
      <c r="O988" s="108" t="str">
        <f>IF(Таблица97[[#This Row],[НК]]=1,Таблица97[[#This Row],[Маржа]],"")</f>
        <v/>
      </c>
    </row>
    <row r="989" spans="1:15" ht="20.100000000000001" customHeight="1" x14ac:dyDescent="0.25">
      <c r="A989" s="2">
        <v>941</v>
      </c>
      <c r="B989" s="2" t="str">
        <f>TEXT(Таблица97[[#This Row],[Дата]],"ГГ")&amp;RIGHT("000"&amp;Таблица97[[#This Row],[Номер]],4)</f>
        <v>180941</v>
      </c>
      <c r="C989" s="129">
        <v>43413</v>
      </c>
      <c r="D989" s="2" t="s">
        <v>149</v>
      </c>
      <c r="E989" s="108">
        <v>34390</v>
      </c>
      <c r="F989" s="129">
        <v>43417</v>
      </c>
      <c r="H989" s="129">
        <v>43430</v>
      </c>
      <c r="I989" s="108">
        <f t="shared" si="43"/>
        <v>34390</v>
      </c>
      <c r="J989" s="108" t="str">
        <f>IF(Таблица97[[#This Row],[НК]]=1,Таблица97[[#This Row],[Продажа]],"")</f>
        <v/>
      </c>
      <c r="M989" s="108">
        <v>25999</v>
      </c>
      <c r="N989" s="108">
        <f>Таблица97[[#This Row],[Продажа]]-Таблица97[[#This Row],[Закупка]]</f>
        <v>8391</v>
      </c>
      <c r="O989" s="108" t="str">
        <f>IF(Таблица97[[#This Row],[НК]]=1,Таблица97[[#This Row],[Маржа]],"")</f>
        <v/>
      </c>
    </row>
    <row r="990" spans="1:15" ht="20.100000000000001" customHeight="1" x14ac:dyDescent="0.25">
      <c r="A990" s="2">
        <v>937</v>
      </c>
      <c r="B990" s="2" t="str">
        <f>TEXT(Таблица97[[#This Row],[Дата]],"ГГ")&amp;RIGHT("000"&amp;Таблица97[[#This Row],[Номер]],4)</f>
        <v>180937</v>
      </c>
      <c r="C990" s="129">
        <v>43412</v>
      </c>
      <c r="D990" s="2" t="s">
        <v>13</v>
      </c>
      <c r="E990" s="108">
        <v>9109</v>
      </c>
      <c r="F990" s="129">
        <v>43420</v>
      </c>
      <c r="H990" s="129">
        <v>43416</v>
      </c>
      <c r="I990" s="108">
        <f t="shared" si="43"/>
        <v>9109</v>
      </c>
      <c r="J990" s="108" t="str">
        <f>IF(Таблица97[[#This Row],[НК]]=1,Таблица97[[#This Row],[Продажа]],"")</f>
        <v/>
      </c>
      <c r="M990" s="108">
        <v>6865</v>
      </c>
      <c r="N990" s="108">
        <f>Таблица97[[#This Row],[Продажа]]-Таблица97[[#This Row],[Закупка]]</f>
        <v>2244</v>
      </c>
      <c r="O990" s="108" t="str">
        <f>IF(Таблица97[[#This Row],[НК]]=1,Таблица97[[#This Row],[Маржа]],"")</f>
        <v/>
      </c>
    </row>
    <row r="991" spans="1:15" ht="20.100000000000001" customHeight="1" x14ac:dyDescent="0.25">
      <c r="A991" s="2">
        <v>916</v>
      </c>
      <c r="B991" s="2" t="str">
        <f>TEXT(Таблица97[[#This Row],[Дата]],"ГГ")&amp;RIGHT("000"&amp;Таблица97[[#This Row],[Номер]],4)</f>
        <v>180916</v>
      </c>
      <c r="C991" s="129">
        <v>43416</v>
      </c>
      <c r="D991" s="2" t="s">
        <v>302</v>
      </c>
      <c r="E991" s="108">
        <v>8086</v>
      </c>
      <c r="F991" s="129">
        <v>43423</v>
      </c>
      <c r="H991" s="129">
        <v>43416</v>
      </c>
      <c r="I991" s="108">
        <f t="shared" si="43"/>
        <v>8086</v>
      </c>
      <c r="J991" s="108" t="str">
        <f>IF(Таблица97[[#This Row],[НК]]=1,Таблица97[[#This Row],[Продажа]],"")</f>
        <v/>
      </c>
      <c r="M991" s="108">
        <v>6140</v>
      </c>
      <c r="N991" s="108">
        <f>Таблица97[[#This Row],[Продажа]]-Таблица97[[#This Row],[Закупка]]</f>
        <v>1946</v>
      </c>
      <c r="O991" s="108" t="str">
        <f>IF(Таблица97[[#This Row],[НК]]=1,Таблица97[[#This Row],[Маржа]],"")</f>
        <v/>
      </c>
    </row>
    <row r="992" spans="1:15" ht="20.100000000000001" customHeight="1" x14ac:dyDescent="0.25">
      <c r="A992" s="2">
        <v>960</v>
      </c>
      <c r="B992" s="2" t="str">
        <f>TEXT(Таблица97[[#This Row],[Дата]],"ГГ")&amp;RIGHT("000"&amp;Таблица97[[#This Row],[Номер]],4)</f>
        <v>180960</v>
      </c>
      <c r="C992" s="129">
        <v>43420</v>
      </c>
      <c r="D992" s="2" t="s">
        <v>16</v>
      </c>
      <c r="E992" s="108">
        <v>35700</v>
      </c>
      <c r="F992" s="129">
        <v>43423</v>
      </c>
      <c r="H992" s="129">
        <v>43438</v>
      </c>
      <c r="I992" s="108">
        <f t="shared" si="43"/>
        <v>35700</v>
      </c>
      <c r="J992" s="108" t="str">
        <f>IF(Таблица97[[#This Row],[НК]]=1,Таблица97[[#This Row],[Продажа]],"")</f>
        <v/>
      </c>
      <c r="M992" s="108">
        <v>27489</v>
      </c>
      <c r="N992" s="108">
        <f>Таблица97[[#This Row],[Продажа]]-Таблица97[[#This Row],[Закупка]]</f>
        <v>8211</v>
      </c>
      <c r="O992" s="108" t="str">
        <f>IF(Таблица97[[#This Row],[НК]]=1,Таблица97[[#This Row],[Маржа]],"")</f>
        <v/>
      </c>
    </row>
    <row r="993" spans="1:15" ht="20.100000000000001" customHeight="1" x14ac:dyDescent="0.25">
      <c r="A993" s="2">
        <v>892</v>
      </c>
      <c r="B993" s="2" t="str">
        <f>TEXT(Таблица97[[#This Row],[Дата]],"ГГ")&amp;RIGHT("000"&amp;Таблица97[[#This Row],[Номер]],4)</f>
        <v>180892</v>
      </c>
      <c r="C993" s="129">
        <v>43392</v>
      </c>
      <c r="D993" s="2" t="s">
        <v>65</v>
      </c>
      <c r="E993" s="108">
        <v>367416.06</v>
      </c>
      <c r="F993" s="129">
        <v>43426</v>
      </c>
      <c r="H993" s="129">
        <v>43403</v>
      </c>
      <c r="I993" s="108">
        <v>74519.899999999994</v>
      </c>
      <c r="J993" s="108" t="str">
        <f>IF(Таблица97[[#This Row],[НК]]=1,Таблица97[[#This Row],[Продажа]],"")</f>
        <v/>
      </c>
      <c r="M993" s="108">
        <v>62160</v>
      </c>
      <c r="N993" s="108">
        <f>Таблица97[[#This Row],[Продажа]]-Таблица97[[#This Row],[Закупка]]</f>
        <v>12359.899999999994</v>
      </c>
      <c r="O993" s="108" t="str">
        <f>IF(Таблица97[[#This Row],[НК]]=1,Таблица97[[#This Row],[Маржа]],"")</f>
        <v/>
      </c>
    </row>
    <row r="994" spans="1:15" ht="20.100000000000001" customHeight="1" x14ac:dyDescent="0.25">
      <c r="A994" s="2">
        <v>978</v>
      </c>
      <c r="B994" s="2" t="str">
        <f>TEXT(Таблица97[[#This Row],[Дата]],"ГГ")&amp;RIGHT("000"&amp;Таблица97[[#This Row],[Номер]],4)</f>
        <v>180978</v>
      </c>
      <c r="C994" s="129">
        <v>43425</v>
      </c>
      <c r="D994" s="2" t="s">
        <v>330</v>
      </c>
      <c r="E994" s="108">
        <v>6255</v>
      </c>
      <c r="F994" s="129">
        <v>43426</v>
      </c>
      <c r="H994" s="129">
        <v>43430</v>
      </c>
      <c r="I994" s="108">
        <f t="shared" ref="I994:I1006" si="44">E994</f>
        <v>6255</v>
      </c>
      <c r="J994" s="108" t="str">
        <f>IF(Таблица97[[#This Row],[НК]]=1,Таблица97[[#This Row],[Продажа]],"")</f>
        <v/>
      </c>
      <c r="M994" s="108">
        <v>4830</v>
      </c>
      <c r="N994" s="108">
        <f>Таблица97[[#This Row],[Продажа]]-Таблица97[[#This Row],[Закупка]]</f>
        <v>1425</v>
      </c>
      <c r="O994" s="108" t="str">
        <f>IF(Таблица97[[#This Row],[НК]]=1,Таблица97[[#This Row],[Маржа]],"")</f>
        <v/>
      </c>
    </row>
    <row r="995" spans="1:15" ht="20.100000000000001" customHeight="1" x14ac:dyDescent="0.25">
      <c r="A995" s="2">
        <v>852</v>
      </c>
      <c r="B995" s="2" t="str">
        <f>TEXT(Таблица97[[#This Row],[Дата]],"ГГ")&amp;RIGHT("000"&amp;Таблица97[[#This Row],[Номер]],4)</f>
        <v>180852</v>
      </c>
      <c r="C995" s="129">
        <v>43378</v>
      </c>
      <c r="D995" s="2" t="s">
        <v>38</v>
      </c>
      <c r="E995" s="108">
        <v>29990</v>
      </c>
      <c r="F995" s="129">
        <v>43426</v>
      </c>
      <c r="H995" s="129">
        <v>43403</v>
      </c>
      <c r="I995" s="108">
        <f t="shared" si="44"/>
        <v>29990</v>
      </c>
      <c r="J995" s="108" t="str">
        <f>IF(Таблица97[[#This Row],[НК]]=1,Таблица97[[#This Row],[Продажа]],"")</f>
        <v/>
      </c>
      <c r="M995" s="108">
        <v>23428</v>
      </c>
      <c r="N995" s="108">
        <f>Таблица97[[#This Row],[Продажа]]-Таблица97[[#This Row],[Закупка]]</f>
        <v>6562</v>
      </c>
      <c r="O995" s="108" t="str">
        <f>IF(Таблица97[[#This Row],[НК]]=1,Таблица97[[#This Row],[Маржа]],"")</f>
        <v/>
      </c>
    </row>
    <row r="996" spans="1:15" ht="20.100000000000001" customHeight="1" x14ac:dyDescent="0.25">
      <c r="A996" s="2">
        <v>788</v>
      </c>
      <c r="B996" s="2" t="str">
        <f>TEXT(Таблица97[[#This Row],[Дата]],"ГГ")&amp;RIGHT("000"&amp;Таблица97[[#This Row],[Номер]],4)</f>
        <v>180788</v>
      </c>
      <c r="C996" s="129">
        <v>43396</v>
      </c>
      <c r="D996" s="2" t="s">
        <v>99</v>
      </c>
      <c r="E996" s="108">
        <v>420000</v>
      </c>
      <c r="F996" s="129">
        <v>43427</v>
      </c>
      <c r="H996" s="129">
        <v>43396</v>
      </c>
      <c r="I996" s="108">
        <f t="shared" si="44"/>
        <v>420000</v>
      </c>
      <c r="J996" s="108" t="str">
        <f>IF(Таблица97[[#This Row],[НК]]=1,Таблица97[[#This Row],[Продажа]],"")</f>
        <v/>
      </c>
      <c r="L996" s="108">
        <v>30000</v>
      </c>
      <c r="M996" s="108">
        <v>331104</v>
      </c>
      <c r="N996" s="108">
        <f>Таблица97[[#This Row],[Продажа]]-Таблица97[[#This Row],[Закупка]]</f>
        <v>88896</v>
      </c>
      <c r="O996" s="108" t="str">
        <f>IF(Таблица97[[#This Row],[НК]]=1,Таблица97[[#This Row],[Маржа]],"")</f>
        <v/>
      </c>
    </row>
    <row r="997" spans="1:15" ht="20.100000000000001" customHeight="1" x14ac:dyDescent="0.25">
      <c r="A997" s="2">
        <v>948</v>
      </c>
      <c r="B997" s="2" t="str">
        <f>TEXT(Таблица97[[#This Row],[Дата]],"ГГ")&amp;RIGHT("000"&amp;Таблица97[[#This Row],[Номер]],4)</f>
        <v>180948</v>
      </c>
      <c r="C997" s="129">
        <v>43417</v>
      </c>
      <c r="D997" s="2" t="s">
        <v>149</v>
      </c>
      <c r="E997" s="108">
        <v>2446</v>
      </c>
      <c r="F997" s="129">
        <v>43430</v>
      </c>
      <c r="H997" s="129">
        <v>43430</v>
      </c>
      <c r="I997" s="108">
        <f t="shared" si="44"/>
        <v>2446</v>
      </c>
      <c r="J997" s="108" t="str">
        <f>IF(Таблица97[[#This Row],[НК]]=1,Таблица97[[#This Row],[Продажа]],"")</f>
        <v/>
      </c>
      <c r="M997" s="108">
        <v>1908</v>
      </c>
      <c r="N997" s="108">
        <f>Таблица97[[#This Row],[Продажа]]-Таблица97[[#This Row],[Закупка]]</f>
        <v>538</v>
      </c>
      <c r="O997" s="108" t="str">
        <f>IF(Таблица97[[#This Row],[НК]]=1,Таблица97[[#This Row],[Маржа]],"")</f>
        <v/>
      </c>
    </row>
    <row r="998" spans="1:15" ht="20.100000000000001" customHeight="1" x14ac:dyDescent="0.25">
      <c r="A998" s="2">
        <v>985</v>
      </c>
      <c r="B998" s="2" t="str">
        <f>TEXT(Таблица97[[#This Row],[Дата]],"ГГ")&amp;RIGHT("000"&amp;Таблица97[[#This Row],[Номер]],4)</f>
        <v>180985</v>
      </c>
      <c r="C998" s="129">
        <v>43430</v>
      </c>
      <c r="D998" s="2" t="s">
        <v>360</v>
      </c>
      <c r="E998" s="108">
        <v>6814</v>
      </c>
      <c r="F998" s="129">
        <v>43430</v>
      </c>
      <c r="G998" s="128">
        <v>1</v>
      </c>
      <c r="H998" s="129">
        <v>43433</v>
      </c>
      <c r="I998" s="108">
        <f t="shared" si="44"/>
        <v>6814</v>
      </c>
      <c r="J998" s="108">
        <f>IF(Таблица97[[#This Row],[НК]]=1,Таблица97[[#This Row],[Продажа]],"")</f>
        <v>6814</v>
      </c>
      <c r="M998" s="108">
        <v>5138</v>
      </c>
      <c r="N998" s="108">
        <f>Таблица97[[#This Row],[Продажа]]-Таблица97[[#This Row],[Закупка]]</f>
        <v>1676</v>
      </c>
      <c r="O998" s="108">
        <f>IF(Таблица97[[#This Row],[НК]]=1,Таблица97[[#This Row],[Маржа]],"")</f>
        <v>1676</v>
      </c>
    </row>
    <row r="999" spans="1:15" ht="20.100000000000001" customHeight="1" x14ac:dyDescent="0.25">
      <c r="A999" s="2">
        <v>986</v>
      </c>
      <c r="B999" s="2" t="str">
        <f>TEXT(Таблица97[[#This Row],[Дата]],"ГГ")&amp;RIGHT("000"&amp;Таблица97[[#This Row],[Номер]],4)</f>
        <v>180986</v>
      </c>
      <c r="C999" s="129">
        <v>43430</v>
      </c>
      <c r="D999" s="2" t="s">
        <v>200</v>
      </c>
      <c r="E999" s="108">
        <v>44680</v>
      </c>
      <c r="F999" s="129">
        <v>43431</v>
      </c>
      <c r="H999" s="129">
        <v>43432</v>
      </c>
      <c r="I999" s="108">
        <f t="shared" si="44"/>
        <v>44680</v>
      </c>
      <c r="J999" s="108" t="str">
        <f>IF(Таблица97[[#This Row],[НК]]=1,Таблица97[[#This Row],[Продажа]],"")</f>
        <v/>
      </c>
      <c r="M999" s="108">
        <v>33777</v>
      </c>
      <c r="N999" s="108">
        <f>Таблица97[[#This Row],[Продажа]]-Таблица97[[#This Row],[Закупка]]</f>
        <v>10903</v>
      </c>
      <c r="O999" s="108" t="str">
        <f>IF(Таблица97[[#This Row],[НК]]=1,Таблица97[[#This Row],[Маржа]],"")</f>
        <v/>
      </c>
    </row>
    <row r="1000" spans="1:15" ht="20.100000000000001" customHeight="1" x14ac:dyDescent="0.25">
      <c r="A1000" s="2">
        <v>990</v>
      </c>
      <c r="B1000" s="2" t="str">
        <f>TEXT(Таблица97[[#This Row],[Дата]],"ГГ")&amp;RIGHT("000"&amp;Таблица97[[#This Row],[Номер]],4)</f>
        <v>180990</v>
      </c>
      <c r="C1000" s="129">
        <v>43430</v>
      </c>
      <c r="D1000" s="2" t="s">
        <v>211</v>
      </c>
      <c r="E1000" s="108">
        <v>7402</v>
      </c>
      <c r="F1000" s="129">
        <v>43431</v>
      </c>
      <c r="H1000" s="129">
        <v>43461</v>
      </c>
      <c r="I1000" s="108">
        <f t="shared" si="44"/>
        <v>7402</v>
      </c>
      <c r="J1000" s="108" t="str">
        <f>IF(Таблица97[[#This Row],[НК]]=1,Таблица97[[#This Row],[Продажа]],"")</f>
        <v/>
      </c>
      <c r="M1000" s="108">
        <v>5699</v>
      </c>
      <c r="N1000" s="108">
        <f>Таблица97[[#This Row],[Продажа]]-Таблица97[[#This Row],[Закупка]]</f>
        <v>1703</v>
      </c>
      <c r="O1000" s="108" t="str">
        <f>IF(Таблица97[[#This Row],[НК]]=1,Таблица97[[#This Row],[Маржа]],"")</f>
        <v/>
      </c>
    </row>
    <row r="1001" spans="1:15" ht="20.100000000000001" customHeight="1" x14ac:dyDescent="0.25">
      <c r="A1001" s="2">
        <v>781</v>
      </c>
      <c r="B1001" s="2" t="str">
        <f>TEXT(Таблица97[[#This Row],[Дата]],"ГГ")&amp;RIGHT("000"&amp;Таблица97[[#This Row],[Номер]],4)</f>
        <v>180781</v>
      </c>
      <c r="C1001" s="129">
        <v>43431</v>
      </c>
      <c r="D1001" s="2" t="s">
        <v>361</v>
      </c>
      <c r="E1001" s="108">
        <v>28766</v>
      </c>
      <c r="F1001" s="129">
        <v>43431</v>
      </c>
      <c r="H1001" s="129">
        <v>43447</v>
      </c>
      <c r="I1001" s="108">
        <f t="shared" si="44"/>
        <v>28766</v>
      </c>
      <c r="J1001" s="108" t="str">
        <f>IF(Таблица97[[#This Row],[НК]]=1,Таблица97[[#This Row],[Продажа]],"")</f>
        <v/>
      </c>
      <c r="M1001" s="108">
        <v>20889</v>
      </c>
      <c r="N1001" s="108">
        <f>Таблица97[[#This Row],[Продажа]]-Таблица97[[#This Row],[Закупка]]</f>
        <v>7877</v>
      </c>
      <c r="O1001" s="108" t="str">
        <f>IF(Таблица97[[#This Row],[НК]]=1,Таблица97[[#This Row],[Маржа]],"")</f>
        <v/>
      </c>
    </row>
    <row r="1002" spans="1:15" ht="20.100000000000001" customHeight="1" x14ac:dyDescent="0.25">
      <c r="A1002" s="2">
        <v>860</v>
      </c>
      <c r="B1002" s="2" t="str">
        <f>TEXT(Таблица97[[#This Row],[Дата]],"ГГ")&amp;RIGHT("000"&amp;Таблица97[[#This Row],[Номер]],4)</f>
        <v>180860</v>
      </c>
      <c r="C1002" s="129">
        <v>43382</v>
      </c>
      <c r="D1002" s="2" t="s">
        <v>175</v>
      </c>
      <c r="E1002" s="108">
        <v>19175.75</v>
      </c>
      <c r="F1002" s="129">
        <v>43432</v>
      </c>
      <c r="H1002" s="129">
        <v>43440</v>
      </c>
      <c r="I1002" s="108">
        <f t="shared" si="44"/>
        <v>19175.75</v>
      </c>
      <c r="J1002" s="108" t="str">
        <f>IF(Таблица97[[#This Row],[НК]]=1,Таблица97[[#This Row],[Продажа]],"")</f>
        <v/>
      </c>
      <c r="M1002" s="108">
        <v>14001</v>
      </c>
      <c r="N1002" s="108">
        <f>Таблица97[[#This Row],[Продажа]]-Таблица97[[#This Row],[Закупка]]</f>
        <v>5174.75</v>
      </c>
      <c r="O1002" s="108" t="str">
        <f>IF(Таблица97[[#This Row],[НК]]=1,Таблица97[[#This Row],[Маржа]],"")</f>
        <v/>
      </c>
    </row>
    <row r="1003" spans="1:15" ht="20.100000000000001" customHeight="1" x14ac:dyDescent="0.25">
      <c r="A1003" s="2">
        <v>902</v>
      </c>
      <c r="B1003" s="2" t="str">
        <f>TEXT(Таблица97[[#This Row],[Дата]],"ГГ")&amp;RIGHT("000"&amp;Таблица97[[#This Row],[Номер]],4)</f>
        <v>180902</v>
      </c>
      <c r="C1003" s="129">
        <v>43398</v>
      </c>
      <c r="D1003" s="2" t="s">
        <v>56</v>
      </c>
      <c r="E1003" s="108">
        <v>32588</v>
      </c>
      <c r="F1003" s="129">
        <v>43432</v>
      </c>
      <c r="H1003" s="129">
        <v>43423</v>
      </c>
      <c r="I1003" s="108">
        <f t="shared" si="44"/>
        <v>32588</v>
      </c>
      <c r="J1003" s="108" t="str">
        <f>IF(Таблица97[[#This Row],[НК]]=1,Таблица97[[#This Row],[Продажа]],"")</f>
        <v/>
      </c>
      <c r="M1003" s="108">
        <v>25417</v>
      </c>
      <c r="N1003" s="108">
        <f>Таблица97[[#This Row],[Продажа]]-Таблица97[[#This Row],[Закупка]]</f>
        <v>7171</v>
      </c>
      <c r="O1003" s="108" t="str">
        <f>IF(Таблица97[[#This Row],[НК]]=1,Таблица97[[#This Row],[Маржа]],"")</f>
        <v/>
      </c>
    </row>
    <row r="1004" spans="1:15" ht="20.100000000000001" customHeight="1" x14ac:dyDescent="0.25">
      <c r="A1004" s="2">
        <v>868</v>
      </c>
      <c r="B1004" s="2" t="str">
        <f>TEXT(Таблица97[[#This Row],[Дата]],"ГГ")&amp;RIGHT("000"&amp;Таблица97[[#This Row],[Номер]],4)</f>
        <v>180868</v>
      </c>
      <c r="C1004" s="129">
        <v>43405</v>
      </c>
      <c r="D1004" s="2" t="s">
        <v>38</v>
      </c>
      <c r="E1004" s="108">
        <v>24066</v>
      </c>
      <c r="F1004" s="129">
        <v>43432</v>
      </c>
      <c r="H1004" s="129">
        <v>43418</v>
      </c>
      <c r="I1004" s="108">
        <f t="shared" si="44"/>
        <v>24066</v>
      </c>
      <c r="J1004" s="108" t="str">
        <f>IF(Таблица97[[#This Row],[НК]]=1,Таблица97[[#This Row],[Продажа]],"")</f>
        <v/>
      </c>
      <c r="M1004" s="108">
        <v>18238</v>
      </c>
      <c r="N1004" s="108">
        <f>Таблица97[[#This Row],[Продажа]]-Таблица97[[#This Row],[Закупка]]</f>
        <v>5828</v>
      </c>
      <c r="O1004" s="108" t="str">
        <f>IF(Таблица97[[#This Row],[НК]]=1,Таблица97[[#This Row],[Маржа]],"")</f>
        <v/>
      </c>
    </row>
    <row r="1005" spans="1:15" ht="20.100000000000001" customHeight="1" x14ac:dyDescent="0.25">
      <c r="A1005" s="2">
        <v>931</v>
      </c>
      <c r="B1005" s="2" t="str">
        <f>TEXT(Таблица97[[#This Row],[Дата]],"ГГ")&amp;RIGHT("000"&amp;Таблица97[[#This Row],[Номер]],4)</f>
        <v>180931</v>
      </c>
      <c r="C1005" s="129">
        <v>43411</v>
      </c>
      <c r="D1005" s="2" t="s">
        <v>319</v>
      </c>
      <c r="E1005" s="108">
        <v>2450</v>
      </c>
      <c r="F1005" s="129">
        <v>43434</v>
      </c>
      <c r="H1005" s="129">
        <v>43437</v>
      </c>
      <c r="I1005" s="108">
        <f t="shared" si="44"/>
        <v>2450</v>
      </c>
      <c r="J1005" s="108" t="str">
        <f>IF(Таблица97[[#This Row],[НК]]=1,Таблица97[[#This Row],[Продажа]],"")</f>
        <v/>
      </c>
      <c r="M1005" s="108">
        <v>2182</v>
      </c>
      <c r="N1005" s="108">
        <f>Таблица97[[#This Row],[Продажа]]-Таблица97[[#This Row],[Закупка]]</f>
        <v>268</v>
      </c>
      <c r="O1005" s="108" t="str">
        <f>IF(Таблица97[[#This Row],[НК]]=1,Таблица97[[#This Row],[Маржа]],"")</f>
        <v/>
      </c>
    </row>
    <row r="1006" spans="1:15" ht="20.100000000000001" customHeight="1" x14ac:dyDescent="0.25">
      <c r="A1006" s="2">
        <v>989</v>
      </c>
      <c r="B1006" s="2" t="str">
        <f>TEXT(Таблица97[[#This Row],[Дата]],"ГГ")&amp;RIGHT("000"&amp;Таблица97[[#This Row],[Номер]],4)</f>
        <v>180989</v>
      </c>
      <c r="C1006" s="129">
        <v>43430</v>
      </c>
      <c r="D1006" s="2" t="s">
        <v>359</v>
      </c>
      <c r="E1006" s="108">
        <v>6599</v>
      </c>
      <c r="F1006" s="129">
        <v>43434</v>
      </c>
      <c r="G1006" s="128">
        <v>1</v>
      </c>
      <c r="H1006" s="129">
        <v>43430</v>
      </c>
      <c r="I1006" s="108">
        <f t="shared" si="44"/>
        <v>6599</v>
      </c>
      <c r="J1006" s="108">
        <f>IF(Таблица97[[#This Row],[НК]]=1,Таблица97[[#This Row],[Продажа]],"")</f>
        <v>6599</v>
      </c>
      <c r="M1006" s="108">
        <v>4850</v>
      </c>
      <c r="N1006" s="108">
        <f>Таблица97[[#This Row],[Продажа]]-Таблица97[[#This Row],[Закупка]]</f>
        <v>1749</v>
      </c>
      <c r="O1006" s="108">
        <f>IF(Таблица97[[#This Row],[НК]]=1,Таблица97[[#This Row],[Маржа]],"")</f>
        <v>1749</v>
      </c>
    </row>
    <row r="1007" spans="1:15" ht="20.100000000000001" customHeight="1" x14ac:dyDescent="0.25">
      <c r="A1007" s="2">
        <v>940</v>
      </c>
      <c r="B1007" s="2" t="str">
        <f>TEXT(Таблица97[[#This Row],[Дата]],"ГГ")&amp;RIGHT("000"&amp;Таблица97[[#This Row],[Номер]],4)</f>
        <v>180940</v>
      </c>
      <c r="C1007" s="129">
        <v>43413</v>
      </c>
      <c r="D1007" s="2" t="s">
        <v>362</v>
      </c>
      <c r="E1007" s="108">
        <v>6731</v>
      </c>
      <c r="F1007" s="129">
        <v>43437</v>
      </c>
      <c r="G1007" s="128">
        <v>1</v>
      </c>
      <c r="H1007" s="129">
        <v>43439</v>
      </c>
      <c r="I1007" s="108">
        <f>E1007</f>
        <v>6731</v>
      </c>
      <c r="J1007" s="108">
        <f>IF(Таблица97[[#This Row],[НК]]=1,Таблица97[[#This Row],[Продажа]],"")</f>
        <v>6731</v>
      </c>
      <c r="M1007" s="108">
        <v>4196</v>
      </c>
      <c r="N1007" s="108">
        <f>Таблица97[[#This Row],[Продажа]]-Таблица97[[#This Row],[Закупка]]</f>
        <v>2535</v>
      </c>
      <c r="O1007" s="108">
        <f>IF(Таблица97[[#This Row],[НК]]=1,Таблица97[[#This Row],[Маржа]],"")</f>
        <v>2535</v>
      </c>
    </row>
    <row r="1008" spans="1:15" ht="20.100000000000001" customHeight="1" x14ac:dyDescent="0.25">
      <c r="A1008" s="2">
        <v>1015</v>
      </c>
      <c r="B1008" s="2" t="str">
        <f>TEXT(Таблица97[[#This Row],[Дата]],"ГГ")&amp;RIGHT("000"&amp;Таблица97[[#This Row],[Номер]],4)</f>
        <v>181015</v>
      </c>
      <c r="C1008" s="129">
        <v>43438</v>
      </c>
      <c r="D1008" s="2" t="s">
        <v>363</v>
      </c>
      <c r="E1008" s="108">
        <v>9800</v>
      </c>
      <c r="F1008" s="129">
        <v>43438</v>
      </c>
      <c r="G1008" s="128">
        <v>1</v>
      </c>
      <c r="H1008" s="129">
        <v>43453</v>
      </c>
      <c r="I1008" s="108">
        <f>E1008</f>
        <v>9800</v>
      </c>
      <c r="J1008" s="108">
        <f>IF(Таблица97[[#This Row],[НК]]=1,Таблица97[[#This Row],[Продажа]],"")</f>
        <v>9800</v>
      </c>
      <c r="M1008" s="108">
        <v>8728</v>
      </c>
      <c r="N1008" s="108">
        <f>Таблица97[[#This Row],[Продажа]]-Таблица97[[#This Row],[Закупка]]</f>
        <v>1072</v>
      </c>
      <c r="O1008" s="108">
        <f>IF(Таблица97[[#This Row],[НК]]=1,Таблица97[[#This Row],[Маржа]],"")</f>
        <v>1072</v>
      </c>
    </row>
    <row r="1009" spans="1:15" ht="20.100000000000001" customHeight="1" x14ac:dyDescent="0.25">
      <c r="A1009" s="2">
        <v>991</v>
      </c>
      <c r="B1009" s="2" t="str">
        <f>TEXT(Таблица97[[#This Row],[Дата]],"ГГ")&amp;RIGHT("000"&amp;Таблица97[[#This Row],[Номер]],4)</f>
        <v>180991</v>
      </c>
      <c r="C1009" s="129">
        <v>43431</v>
      </c>
      <c r="D1009" s="2" t="s">
        <v>49</v>
      </c>
      <c r="E1009" s="108">
        <v>9738</v>
      </c>
      <c r="F1009" s="129">
        <v>43440</v>
      </c>
      <c r="H1009" s="129">
        <v>43441</v>
      </c>
      <c r="I1009" s="108">
        <f>E1009</f>
        <v>9738</v>
      </c>
      <c r="J1009" s="108" t="str">
        <f>IF(Таблица97[[#This Row],[НК]]=1,Таблица97[[#This Row],[Продажа]],"")</f>
        <v/>
      </c>
      <c r="M1009" s="108">
        <v>6439</v>
      </c>
      <c r="N1009" s="108">
        <f>Таблица97[[#This Row],[Продажа]]-Таблица97[[#This Row],[Закупка]]</f>
        <v>3299</v>
      </c>
      <c r="O1009" s="108" t="str">
        <f>IF(Таблица97[[#This Row],[НК]]=1,Таблица97[[#This Row],[Маржа]],"")</f>
        <v/>
      </c>
    </row>
    <row r="1010" spans="1:15" ht="20.100000000000001" customHeight="1" x14ac:dyDescent="0.25">
      <c r="A1010" s="2">
        <v>1020</v>
      </c>
      <c r="B1010" s="2" t="str">
        <f>TEXT(Таблица97[[#This Row],[Дата]],"ГГ")&amp;RIGHT("000"&amp;Таблица97[[#This Row],[Номер]],4)</f>
        <v>181020</v>
      </c>
      <c r="C1010" s="129">
        <v>43440</v>
      </c>
      <c r="D1010" s="2" t="s">
        <v>91</v>
      </c>
      <c r="E1010" s="108">
        <v>4954</v>
      </c>
      <c r="F1010" s="129">
        <v>43440</v>
      </c>
      <c r="H1010" s="129">
        <v>43441</v>
      </c>
      <c r="I1010" s="108">
        <f>E1010</f>
        <v>4954</v>
      </c>
      <c r="J1010" s="108" t="str">
        <f>IF(Таблица97[[#This Row],[НК]]=1,Таблица97[[#This Row],[Продажа]],"")</f>
        <v/>
      </c>
      <c r="M1010" s="108">
        <v>3862</v>
      </c>
      <c r="N1010" s="108">
        <f>Таблица97[[#This Row],[Продажа]]-Таблица97[[#This Row],[Закупка]]</f>
        <v>1092</v>
      </c>
      <c r="O1010" s="108" t="str">
        <f>IF(Таблица97[[#This Row],[НК]]=1,Таблица97[[#This Row],[Маржа]],"")</f>
        <v/>
      </c>
    </row>
    <row r="1011" spans="1:15" ht="20.100000000000001" customHeight="1" x14ac:dyDescent="0.25">
      <c r="A1011" s="2">
        <v>892</v>
      </c>
      <c r="B1011" s="2" t="str">
        <f>TEXT(Таблица97[[#This Row],[Дата]],"ГГ")&amp;RIGHT("000"&amp;Таблица97[[#This Row],[Номер]],4)</f>
        <v>180892</v>
      </c>
      <c r="C1011" s="129">
        <v>43392</v>
      </c>
      <c r="D1011" s="2" t="s">
        <v>65</v>
      </c>
      <c r="E1011" s="108">
        <v>367416.06</v>
      </c>
      <c r="F1011" s="129">
        <v>43440</v>
      </c>
      <c r="H1011" s="129">
        <v>43418</v>
      </c>
      <c r="I1011" s="108">
        <v>273689.65000000002</v>
      </c>
      <c r="J1011" s="108" t="str">
        <f>IF(Таблица97[[#This Row],[НК]]=1,Таблица97[[#This Row],[Продажа]],"")</f>
        <v/>
      </c>
      <c r="M1011" s="108">
        <v>187545</v>
      </c>
      <c r="N1011" s="108">
        <f>Таблица97[[#This Row],[Продажа]]-Таблица97[[#This Row],[Закупка]]</f>
        <v>86144.650000000023</v>
      </c>
      <c r="O1011" s="108" t="str">
        <f>IF(Таблица97[[#This Row],[НК]]=1,Таблица97[[#This Row],[Маржа]],"")</f>
        <v/>
      </c>
    </row>
    <row r="1012" spans="1:15" ht="20.100000000000001" customHeight="1" x14ac:dyDescent="0.25">
      <c r="A1012" s="2">
        <v>1012</v>
      </c>
      <c r="B1012" s="2" t="str">
        <f>TEXT(Таблица97[[#This Row],[Дата]],"ГГ")&amp;RIGHT("000"&amp;Таблица97[[#This Row],[Номер]],4)</f>
        <v>181012</v>
      </c>
      <c r="C1012" s="129">
        <v>43437</v>
      </c>
      <c r="D1012" s="2" t="s">
        <v>265</v>
      </c>
      <c r="E1012" s="108">
        <v>47790</v>
      </c>
      <c r="F1012" s="129">
        <v>43445</v>
      </c>
      <c r="H1012" s="129">
        <v>43446</v>
      </c>
      <c r="I1012" s="108">
        <f t="shared" ref="I1012:I1031" si="45">E1012</f>
        <v>47790</v>
      </c>
      <c r="J1012" s="108" t="str">
        <f>IF(Таблица97[[#This Row],[НК]]=1,Таблица97[[#This Row],[Продажа]],"")</f>
        <v/>
      </c>
      <c r="M1012" s="108">
        <v>34579.11</v>
      </c>
      <c r="N1012" s="108">
        <f>Таблица97[[#This Row],[Продажа]]-Таблица97[[#This Row],[Закупка]]</f>
        <v>13210.89</v>
      </c>
      <c r="O1012" s="108" t="str">
        <f>IF(Таблица97[[#This Row],[НК]]=1,Таблица97[[#This Row],[Маржа]],"")</f>
        <v/>
      </c>
    </row>
    <row r="1013" spans="1:15" ht="20.100000000000001" customHeight="1" x14ac:dyDescent="0.25">
      <c r="A1013" s="2">
        <v>1033</v>
      </c>
      <c r="B1013" s="2" t="str">
        <f>TEXT(Таблица97[[#This Row],[Дата]],"ГГ")&amp;RIGHT("000"&amp;Таблица97[[#This Row],[Номер]],4)</f>
        <v>181033</v>
      </c>
      <c r="C1013" s="129">
        <v>43445</v>
      </c>
      <c r="D1013" s="2" t="s">
        <v>118</v>
      </c>
      <c r="E1013" s="108">
        <v>5368.6</v>
      </c>
      <c r="F1013" s="129">
        <v>43446</v>
      </c>
      <c r="H1013" s="129">
        <v>43446</v>
      </c>
      <c r="I1013" s="108">
        <f t="shared" si="45"/>
        <v>5368.6</v>
      </c>
      <c r="J1013" s="108" t="str">
        <f>IF(Таблица97[[#This Row],[НК]]=1,Таблица97[[#This Row],[Продажа]],"")</f>
        <v/>
      </c>
      <c r="M1013" s="108">
        <v>4658</v>
      </c>
      <c r="N1013" s="108">
        <f>Таблица97[[#This Row],[Продажа]]-Таблица97[[#This Row],[Закупка]]</f>
        <v>710.60000000000036</v>
      </c>
      <c r="O1013" s="108" t="str">
        <f>IF(Таблица97[[#This Row],[НК]]=1,Таблица97[[#This Row],[Маржа]],"")</f>
        <v/>
      </c>
    </row>
    <row r="1014" spans="1:15" ht="20.100000000000001" customHeight="1" x14ac:dyDescent="0.25">
      <c r="A1014" s="2">
        <v>1036</v>
      </c>
      <c r="B1014" s="2" t="str">
        <f>TEXT(Таблица97[[#This Row],[Дата]],"ГГ")&amp;RIGHT("000"&amp;Таблица97[[#This Row],[Номер]],4)</f>
        <v>181036</v>
      </c>
      <c r="C1014" s="129">
        <v>43446</v>
      </c>
      <c r="D1014" s="2" t="s">
        <v>342</v>
      </c>
      <c r="E1014" s="108">
        <v>1532</v>
      </c>
      <c r="F1014" s="129">
        <v>43447</v>
      </c>
      <c r="H1014" s="129">
        <v>43452</v>
      </c>
      <c r="I1014" s="108">
        <f t="shared" si="45"/>
        <v>1532</v>
      </c>
      <c r="J1014" s="108" t="str">
        <f>IF(Таблица97[[#This Row],[НК]]=1,Таблица97[[#This Row],[Продажа]],"")</f>
        <v/>
      </c>
      <c r="M1014" s="108">
        <v>1060</v>
      </c>
      <c r="N1014" s="108">
        <f>Таблица97[[#This Row],[Продажа]]-Таблица97[[#This Row],[Закупка]]</f>
        <v>472</v>
      </c>
      <c r="O1014" s="108" t="str">
        <f>IF(Таблица97[[#This Row],[НК]]=1,Таблица97[[#This Row],[Маржа]],"")</f>
        <v/>
      </c>
    </row>
    <row r="1015" spans="1:15" ht="20.100000000000001" customHeight="1" x14ac:dyDescent="0.25">
      <c r="A1015" s="2">
        <v>1018</v>
      </c>
      <c r="B1015" s="2" t="str">
        <f>TEXT(Таблица97[[#This Row],[Дата]],"ГГ")&amp;RIGHT("000"&amp;Таблица97[[#This Row],[Номер]],4)</f>
        <v>181018</v>
      </c>
      <c r="C1015" s="129">
        <v>43440</v>
      </c>
      <c r="D1015" s="2" t="s">
        <v>13</v>
      </c>
      <c r="E1015" s="108">
        <v>6316</v>
      </c>
      <c r="F1015" s="129">
        <v>43447</v>
      </c>
      <c r="H1015" s="129">
        <v>43448</v>
      </c>
      <c r="I1015" s="108">
        <f t="shared" si="45"/>
        <v>6316</v>
      </c>
      <c r="J1015" s="108" t="str">
        <f>IF(Таблица97[[#This Row],[НК]]=1,Таблица97[[#This Row],[Продажа]],"")</f>
        <v/>
      </c>
      <c r="M1015" s="108">
        <v>4698</v>
      </c>
      <c r="N1015" s="108">
        <f>Таблица97[[#This Row],[Продажа]]-Таблица97[[#This Row],[Закупка]]</f>
        <v>1618</v>
      </c>
      <c r="O1015" s="108" t="str">
        <f>IF(Таблица97[[#This Row],[НК]]=1,Таблица97[[#This Row],[Маржа]],"")</f>
        <v/>
      </c>
    </row>
    <row r="1016" spans="1:15" ht="20.100000000000001" customHeight="1" x14ac:dyDescent="0.25">
      <c r="A1016" s="2">
        <v>1019</v>
      </c>
      <c r="B1016" s="2" t="str">
        <f>TEXT(Таблица97[[#This Row],[Дата]],"ГГ")&amp;RIGHT("000"&amp;Таблица97[[#This Row],[Номер]],4)</f>
        <v>181019</v>
      </c>
      <c r="C1016" s="129">
        <v>43440</v>
      </c>
      <c r="D1016" s="2" t="s">
        <v>13</v>
      </c>
      <c r="E1016" s="108">
        <v>5832</v>
      </c>
      <c r="F1016" s="129">
        <v>43447</v>
      </c>
      <c r="H1016" s="129">
        <v>43454</v>
      </c>
      <c r="I1016" s="108">
        <f t="shared" si="45"/>
        <v>5832</v>
      </c>
      <c r="J1016" s="108" t="str">
        <f>IF(Таблица97[[#This Row],[НК]]=1,Таблица97[[#This Row],[Продажа]],"")</f>
        <v/>
      </c>
      <c r="M1016" s="108">
        <v>3848</v>
      </c>
      <c r="N1016" s="108">
        <f>Таблица97[[#This Row],[Продажа]]-Таблица97[[#This Row],[Закупка]]</f>
        <v>1984</v>
      </c>
      <c r="O1016" s="108" t="str">
        <f>IF(Таблица97[[#This Row],[НК]]=1,Таблица97[[#This Row],[Маржа]],"")</f>
        <v/>
      </c>
    </row>
    <row r="1017" spans="1:15" ht="20.100000000000001" customHeight="1" x14ac:dyDescent="0.25">
      <c r="A1017" s="2">
        <v>1003</v>
      </c>
      <c r="B1017" s="2" t="str">
        <f>TEXT(Таблица97[[#This Row],[Дата]],"ГГ")&amp;RIGHT("000"&amp;Таблица97[[#This Row],[Номер]],4)</f>
        <v>181003</v>
      </c>
      <c r="C1017" s="129">
        <v>43433</v>
      </c>
      <c r="D1017" s="2" t="s">
        <v>147</v>
      </c>
      <c r="E1017" s="108">
        <v>19816</v>
      </c>
      <c r="F1017" s="129">
        <v>43447</v>
      </c>
      <c r="H1017" s="129">
        <v>43453</v>
      </c>
      <c r="I1017" s="108">
        <f t="shared" si="45"/>
        <v>19816</v>
      </c>
      <c r="J1017" s="108" t="str">
        <f>IF(Таблица97[[#This Row],[НК]]=1,Таблица97[[#This Row],[Продажа]],"")</f>
        <v/>
      </c>
      <c r="M1017" s="108">
        <v>15448</v>
      </c>
      <c r="N1017" s="108">
        <f>Таблица97[[#This Row],[Продажа]]-Таблица97[[#This Row],[Закупка]]</f>
        <v>4368</v>
      </c>
      <c r="O1017" s="108" t="str">
        <f>IF(Таблица97[[#This Row],[НК]]=1,Таблица97[[#This Row],[Маржа]],"")</f>
        <v/>
      </c>
    </row>
    <row r="1018" spans="1:15" ht="20.100000000000001" customHeight="1" x14ac:dyDescent="0.25">
      <c r="A1018" s="2">
        <v>1038</v>
      </c>
      <c r="B1018" s="2" t="str">
        <f>TEXT(Таблица97[[#This Row],[Дата]],"ГГ")&amp;RIGHT("000"&amp;Таблица97[[#This Row],[Номер]],4)</f>
        <v>181038</v>
      </c>
      <c r="C1018" s="129">
        <v>43447</v>
      </c>
      <c r="D1018" s="2" t="s">
        <v>211</v>
      </c>
      <c r="E1018" s="108">
        <v>4320</v>
      </c>
      <c r="F1018" s="129">
        <v>43448</v>
      </c>
      <c r="H1018" s="129">
        <v>43461</v>
      </c>
      <c r="I1018" s="108">
        <f t="shared" si="45"/>
        <v>4320</v>
      </c>
      <c r="J1018" s="108" t="str">
        <f>IF(Таблица97[[#This Row],[НК]]=1,Таблица97[[#This Row],[Продажа]],"")</f>
        <v/>
      </c>
      <c r="M1018" s="108">
        <v>3362</v>
      </c>
      <c r="N1018" s="108">
        <f>Таблица97[[#This Row],[Продажа]]-Таблица97[[#This Row],[Закупка]]</f>
        <v>958</v>
      </c>
      <c r="O1018" s="108" t="str">
        <f>IF(Таблица97[[#This Row],[НК]]=1,Таблица97[[#This Row],[Маржа]],"")</f>
        <v/>
      </c>
    </row>
    <row r="1019" spans="1:15" ht="20.100000000000001" customHeight="1" x14ac:dyDescent="0.25">
      <c r="A1019" s="2">
        <v>1037</v>
      </c>
      <c r="B1019" s="2" t="str">
        <f>TEXT(Таблица97[[#This Row],[Дата]],"ГГ")&amp;RIGHT("000"&amp;Таблица97[[#This Row],[Номер]],4)</f>
        <v>181037</v>
      </c>
      <c r="C1019" s="129">
        <v>43446</v>
      </c>
      <c r="D1019" s="2" t="s">
        <v>345</v>
      </c>
      <c r="E1019" s="108">
        <v>5518</v>
      </c>
      <c r="F1019" s="129">
        <v>43448</v>
      </c>
      <c r="H1019" s="129">
        <v>43476</v>
      </c>
      <c r="I1019" s="108">
        <f t="shared" si="45"/>
        <v>5518</v>
      </c>
      <c r="J1019" s="108" t="str">
        <f>IF(Таблица97[[#This Row],[НК]]=1,Таблица97[[#This Row],[Продажа]],"")</f>
        <v/>
      </c>
      <c r="M1019" s="108">
        <v>4178</v>
      </c>
      <c r="N1019" s="108">
        <f>Таблица97[[#This Row],[Продажа]]-Таблица97[[#This Row],[Закупка]]</f>
        <v>1340</v>
      </c>
      <c r="O1019" s="108" t="str">
        <f>IF(Таблица97[[#This Row],[НК]]=1,Таблица97[[#This Row],[Маржа]],"")</f>
        <v/>
      </c>
    </row>
    <row r="1020" spans="1:15" ht="20.100000000000001" customHeight="1" x14ac:dyDescent="0.25">
      <c r="A1020" s="2">
        <v>981</v>
      </c>
      <c r="B1020" s="2" t="str">
        <f>TEXT(Таблица97[[#This Row],[Дата]],"ГГ")&amp;RIGHT("000"&amp;Таблица97[[#This Row],[Номер]],4)</f>
        <v>180981</v>
      </c>
      <c r="C1020" s="129">
        <v>43426</v>
      </c>
      <c r="D1020" s="2" t="s">
        <v>56</v>
      </c>
      <c r="E1020" s="108">
        <v>25248</v>
      </c>
      <c r="F1020" s="129">
        <v>43451</v>
      </c>
      <c r="H1020" s="129">
        <v>43441</v>
      </c>
      <c r="I1020" s="108">
        <f t="shared" si="45"/>
        <v>25248</v>
      </c>
      <c r="J1020" s="108" t="str">
        <f>IF(Таблица97[[#This Row],[НК]]=1,Таблица97[[#This Row],[Продажа]],"")</f>
        <v/>
      </c>
      <c r="M1020" s="108">
        <v>18069</v>
      </c>
      <c r="N1020" s="108">
        <f>Таблица97[[#This Row],[Продажа]]-Таблица97[[#This Row],[Закупка]]</f>
        <v>7179</v>
      </c>
      <c r="O1020" s="108" t="str">
        <f>IF(Таблица97[[#This Row],[НК]]=1,Таблица97[[#This Row],[Маржа]],"")</f>
        <v/>
      </c>
    </row>
    <row r="1021" spans="1:15" ht="20.100000000000001" customHeight="1" x14ac:dyDescent="0.25">
      <c r="A1021" s="2">
        <v>957</v>
      </c>
      <c r="B1021" s="2" t="str">
        <f>TEXT(Таблица97[[#This Row],[Дата]],"ГГ")&amp;RIGHT("000"&amp;Таблица97[[#This Row],[Номер]],4)</f>
        <v>180957</v>
      </c>
      <c r="C1021" s="129">
        <v>43419</v>
      </c>
      <c r="D1021" s="2" t="s">
        <v>99</v>
      </c>
      <c r="E1021" s="108">
        <v>247758</v>
      </c>
      <c r="F1021" s="129">
        <v>43452</v>
      </c>
      <c r="H1021" s="129">
        <v>43423</v>
      </c>
      <c r="I1021" s="108">
        <f t="shared" si="45"/>
        <v>247758</v>
      </c>
      <c r="J1021" s="108" t="str">
        <f>IF(Таблица97[[#This Row],[НК]]=1,Таблица97[[#This Row],[Продажа]],"")</f>
        <v/>
      </c>
      <c r="K1021" s="108">
        <f>15*3000</f>
        <v>45000</v>
      </c>
      <c r="M1021" s="108">
        <v>78461</v>
      </c>
      <c r="N1021" s="108">
        <f>Таблица97[[#This Row],[Продажа]]-Таблица97[[#This Row],[Закупка]]</f>
        <v>169297</v>
      </c>
      <c r="O1021" s="108" t="str">
        <f>IF(Таблица97[[#This Row],[НК]]=1,Таблица97[[#This Row],[Маржа]],"")</f>
        <v/>
      </c>
    </row>
    <row r="1022" spans="1:15" ht="20.100000000000001" customHeight="1" x14ac:dyDescent="0.25">
      <c r="A1022" s="2">
        <v>962</v>
      </c>
      <c r="B1022" s="2" t="str">
        <f>TEXT(Таблица97[[#This Row],[Дата]],"ГГ")&amp;RIGHT("000"&amp;Таблица97[[#This Row],[Номер]],4)</f>
        <v>180962</v>
      </c>
      <c r="C1022" s="129">
        <v>43420</v>
      </c>
      <c r="D1022" s="2" t="s">
        <v>99</v>
      </c>
      <c r="E1022" s="108">
        <v>35031</v>
      </c>
      <c r="F1022" s="129">
        <v>43452</v>
      </c>
      <c r="H1022" s="129">
        <v>43440</v>
      </c>
      <c r="I1022" s="108">
        <f t="shared" si="45"/>
        <v>35031</v>
      </c>
      <c r="J1022" s="108" t="str">
        <f>IF(Таблица97[[#This Row],[НК]]=1,Таблица97[[#This Row],[Продажа]],"")</f>
        <v/>
      </c>
      <c r="M1022" s="108">
        <v>27321</v>
      </c>
      <c r="N1022" s="108">
        <f>Таблица97[[#This Row],[Продажа]]-Таблица97[[#This Row],[Закупка]]</f>
        <v>7710</v>
      </c>
      <c r="O1022" s="108" t="str">
        <f>IF(Таблица97[[#This Row],[НК]]=1,Таблица97[[#This Row],[Маржа]],"")</f>
        <v/>
      </c>
    </row>
    <row r="1023" spans="1:15" ht="20.100000000000001" customHeight="1" x14ac:dyDescent="0.25">
      <c r="A1023" s="2">
        <v>1044</v>
      </c>
      <c r="B1023" s="2" t="str">
        <f>TEXT(Таблица97[[#This Row],[Дата]],"ГГ")&amp;RIGHT("000"&amp;Таблица97[[#This Row],[Номер]],4)</f>
        <v>181044</v>
      </c>
      <c r="C1023" s="129">
        <v>43451</v>
      </c>
      <c r="D1023" s="2" t="s">
        <v>305</v>
      </c>
      <c r="E1023" s="108">
        <v>18990</v>
      </c>
      <c r="F1023" s="129">
        <v>43452</v>
      </c>
      <c r="H1023" s="129">
        <v>43453</v>
      </c>
      <c r="I1023" s="108">
        <f t="shared" si="45"/>
        <v>18990</v>
      </c>
      <c r="J1023" s="108" t="str">
        <f>IF(Таблица97[[#This Row],[НК]]=1,Таблица97[[#This Row],[Продажа]],"")</f>
        <v/>
      </c>
      <c r="M1023" s="108">
        <v>15801</v>
      </c>
      <c r="N1023" s="108">
        <f>Таблица97[[#This Row],[Продажа]]-Таблица97[[#This Row],[Закупка]]</f>
        <v>3189</v>
      </c>
      <c r="O1023" s="108" t="str">
        <f>IF(Таблица97[[#This Row],[НК]]=1,Таблица97[[#This Row],[Маржа]],"")</f>
        <v/>
      </c>
    </row>
    <row r="1024" spans="1:15" ht="20.100000000000001" customHeight="1" x14ac:dyDescent="0.25">
      <c r="A1024" s="2">
        <v>1039</v>
      </c>
      <c r="B1024" s="2" t="str">
        <f>TEXT(Таблица97[[#This Row],[Дата]],"ГГ")&amp;RIGHT("000"&amp;Таблица97[[#This Row],[Номер]],4)</f>
        <v>181039</v>
      </c>
      <c r="C1024" s="129">
        <v>43447</v>
      </c>
      <c r="D1024" s="2" t="s">
        <v>77</v>
      </c>
      <c r="E1024" s="108">
        <v>1529</v>
      </c>
      <c r="F1024" s="129">
        <v>43452</v>
      </c>
      <c r="H1024" s="129">
        <v>43453</v>
      </c>
      <c r="I1024" s="108">
        <f t="shared" si="45"/>
        <v>1529</v>
      </c>
      <c r="J1024" s="108" t="str">
        <f>IF(Таблица97[[#This Row],[НК]]=1,Таблица97[[#This Row],[Продажа]],"")</f>
        <v/>
      </c>
      <c r="M1024" s="108">
        <v>1191</v>
      </c>
      <c r="N1024" s="108">
        <f>Таблица97[[#This Row],[Продажа]]-Таблица97[[#This Row],[Закупка]]</f>
        <v>338</v>
      </c>
      <c r="O1024" s="108" t="str">
        <f>IF(Таблица97[[#This Row],[НК]]=1,Таблица97[[#This Row],[Маржа]],"")</f>
        <v/>
      </c>
    </row>
    <row r="1025" spans="1:15" ht="20.100000000000001" customHeight="1" x14ac:dyDescent="0.25">
      <c r="A1025" s="2">
        <v>971</v>
      </c>
      <c r="B1025" s="2" t="str">
        <f>TEXT(Таблица97[[#This Row],[Дата]],"ГГ")&amp;RIGHT("000"&amp;Таблица97[[#This Row],[Номер]],4)</f>
        <v>180971</v>
      </c>
      <c r="C1025" s="129">
        <v>43425</v>
      </c>
      <c r="D1025" s="2" t="s">
        <v>315</v>
      </c>
      <c r="E1025" s="108">
        <v>8972</v>
      </c>
      <c r="F1025" s="129">
        <v>43453</v>
      </c>
      <c r="H1025" s="129">
        <v>43459</v>
      </c>
      <c r="I1025" s="108">
        <f t="shared" si="45"/>
        <v>8972</v>
      </c>
      <c r="J1025" s="108" t="str">
        <f>IF(Таблица97[[#This Row],[НК]]=1,Таблица97[[#This Row],[Продажа]],"")</f>
        <v/>
      </c>
      <c r="M1025" s="108">
        <v>3056</v>
      </c>
      <c r="N1025" s="108">
        <f>Таблица97[[#This Row],[Продажа]]-Таблица97[[#This Row],[Закупка]]</f>
        <v>5916</v>
      </c>
      <c r="O1025" s="108" t="str">
        <f>IF(Таблица97[[#This Row],[НК]]=1,Таблица97[[#This Row],[Маржа]],"")</f>
        <v/>
      </c>
    </row>
    <row r="1026" spans="1:15" ht="20.100000000000001" customHeight="1" x14ac:dyDescent="0.25">
      <c r="A1026" s="2">
        <v>959</v>
      </c>
      <c r="B1026" s="2" t="str">
        <f>TEXT(Таблица97[[#This Row],[Дата]],"ГГ")&amp;RIGHT("000"&amp;Таблица97[[#This Row],[Номер]],4)</f>
        <v>180959</v>
      </c>
      <c r="C1026" s="129">
        <v>43423</v>
      </c>
      <c r="D1026" s="2" t="s">
        <v>65</v>
      </c>
      <c r="E1026" s="108">
        <v>22231.200000000001</v>
      </c>
      <c r="F1026" s="129">
        <v>43453</v>
      </c>
      <c r="H1026" s="129">
        <v>43445</v>
      </c>
      <c r="I1026" s="108">
        <f t="shared" si="45"/>
        <v>22231.200000000001</v>
      </c>
      <c r="J1026" s="108" t="str">
        <f>IF(Таблица97[[#This Row],[НК]]=1,Таблица97[[#This Row],[Продажа]],"")</f>
        <v/>
      </c>
      <c r="M1026" s="108">
        <v>12648</v>
      </c>
      <c r="N1026" s="108">
        <f>Таблица97[[#This Row],[Продажа]]-Таблица97[[#This Row],[Закупка]]</f>
        <v>9583.2000000000007</v>
      </c>
      <c r="O1026" s="108" t="str">
        <f>IF(Таблица97[[#This Row],[НК]]=1,Таблица97[[#This Row],[Маржа]],"")</f>
        <v/>
      </c>
    </row>
    <row r="1027" spans="1:15" ht="20.100000000000001" customHeight="1" x14ac:dyDescent="0.25">
      <c r="A1027" s="2">
        <v>1055</v>
      </c>
      <c r="B1027" s="2" t="str">
        <f>TEXT(Таблица97[[#This Row],[Дата]],"ГГ")&amp;RIGHT("000"&amp;Таблица97[[#This Row],[Номер]],4)</f>
        <v>181055</v>
      </c>
      <c r="C1027" s="129">
        <v>43453</v>
      </c>
      <c r="D1027" s="2" t="s">
        <v>209</v>
      </c>
      <c r="E1027" s="108">
        <v>18105.400000000001</v>
      </c>
      <c r="F1027" s="129">
        <v>43453</v>
      </c>
      <c r="H1027" s="129">
        <v>43453</v>
      </c>
      <c r="I1027" s="108">
        <f t="shared" si="45"/>
        <v>18105.400000000001</v>
      </c>
      <c r="J1027" s="108" t="str">
        <f>IF(Таблица97[[#This Row],[НК]]=1,Таблица97[[#This Row],[Продажа]],"")</f>
        <v/>
      </c>
      <c r="M1027" s="108">
        <v>15255</v>
      </c>
      <c r="N1027" s="108">
        <f>Таблица97[[#This Row],[Продажа]]-Таблица97[[#This Row],[Закупка]]</f>
        <v>2850.4000000000015</v>
      </c>
      <c r="O1027" s="108" t="str">
        <f>IF(Таблица97[[#This Row],[НК]]=1,Таблица97[[#This Row],[Маржа]],"")</f>
        <v/>
      </c>
    </row>
    <row r="1028" spans="1:15" ht="20.100000000000001" customHeight="1" x14ac:dyDescent="0.25">
      <c r="A1028" s="2">
        <v>1057</v>
      </c>
      <c r="B1028" s="2" t="str">
        <f>TEXT(Таблица97[[#This Row],[Дата]],"ГГ")&amp;RIGHT("000"&amp;Таблица97[[#This Row],[Номер]],4)</f>
        <v>181057</v>
      </c>
      <c r="C1028" s="129">
        <v>43454</v>
      </c>
      <c r="D1028" s="2" t="s">
        <v>49</v>
      </c>
      <c r="E1028" s="108">
        <v>166</v>
      </c>
      <c r="F1028" s="129">
        <v>43458</v>
      </c>
      <c r="H1028" s="129">
        <v>43486</v>
      </c>
      <c r="I1028" s="108">
        <f t="shared" si="45"/>
        <v>166</v>
      </c>
      <c r="J1028" s="108" t="str">
        <f>IF(Таблица97[[#This Row],[НК]]=1,Таблица97[[#This Row],[Продажа]],"")</f>
        <v/>
      </c>
      <c r="M1028" s="108">
        <v>112</v>
      </c>
      <c r="N1028" s="108">
        <f>Таблица97[[#This Row],[Продажа]]-Таблица97[[#This Row],[Закупка]]</f>
        <v>54</v>
      </c>
      <c r="O1028" s="108" t="str">
        <f>IF(Таблица97[[#This Row],[НК]]=1,Таблица97[[#This Row],[Маржа]],"")</f>
        <v/>
      </c>
    </row>
    <row r="1029" spans="1:15" ht="20.100000000000001" customHeight="1" x14ac:dyDescent="0.25">
      <c r="A1029" s="2">
        <v>1064</v>
      </c>
      <c r="B1029" s="2" t="str">
        <f>TEXT(Таблица97[[#This Row],[Дата]],"ГГ")&amp;RIGHT("000"&amp;Таблица97[[#This Row],[Номер]],4)</f>
        <v>181064</v>
      </c>
      <c r="C1029" s="129">
        <v>43458</v>
      </c>
      <c r="D1029" s="2" t="s">
        <v>281</v>
      </c>
      <c r="E1029" s="108">
        <v>2160</v>
      </c>
      <c r="F1029" s="129">
        <v>43458</v>
      </c>
      <c r="H1029" s="129">
        <v>43459</v>
      </c>
      <c r="I1029" s="108">
        <f t="shared" si="45"/>
        <v>2160</v>
      </c>
      <c r="J1029" s="108" t="str">
        <f>IF(Таблица97[[#This Row],[НК]]=1,Таблица97[[#This Row],[Продажа]],"")</f>
        <v/>
      </c>
      <c r="M1029" s="108">
        <v>1684</v>
      </c>
      <c r="N1029" s="108">
        <f>Таблица97[[#This Row],[Продажа]]-Таблица97[[#This Row],[Закупка]]</f>
        <v>476</v>
      </c>
      <c r="O1029" s="108" t="str">
        <f>IF(Таблица97[[#This Row],[НК]]=1,Таблица97[[#This Row],[Маржа]],"")</f>
        <v/>
      </c>
    </row>
    <row r="1030" spans="1:15" ht="20.100000000000001" customHeight="1" x14ac:dyDescent="0.25">
      <c r="A1030" s="2">
        <v>1060</v>
      </c>
      <c r="B1030" s="2" t="str">
        <f>TEXT(Таблица97[[#This Row],[Дата]],"ГГ")&amp;RIGHT("000"&amp;Таблица97[[#This Row],[Номер]],4)</f>
        <v>181060</v>
      </c>
      <c r="C1030" s="129">
        <v>43455</v>
      </c>
      <c r="D1030" s="2" t="s">
        <v>301</v>
      </c>
      <c r="E1030" s="108">
        <v>8610</v>
      </c>
      <c r="F1030" s="129">
        <v>43460</v>
      </c>
      <c r="H1030" s="129">
        <v>43461</v>
      </c>
      <c r="I1030" s="108">
        <f t="shared" si="45"/>
        <v>8610</v>
      </c>
      <c r="J1030" s="108" t="str">
        <f>IF(Таблица97[[#This Row],[НК]]=1,Таблица97[[#This Row],[Продажа]],"")</f>
        <v/>
      </c>
      <c r="M1030" s="108">
        <v>5810</v>
      </c>
      <c r="N1030" s="108">
        <f>Таблица97[[#This Row],[Продажа]]-Таблица97[[#This Row],[Закупка]]</f>
        <v>2800</v>
      </c>
      <c r="O1030" s="108" t="str">
        <f>IF(Таблица97[[#This Row],[НК]]=1,Таблица97[[#This Row],[Маржа]],"")</f>
        <v/>
      </c>
    </row>
    <row r="1031" spans="1:15" ht="20.100000000000001" customHeight="1" x14ac:dyDescent="0.25">
      <c r="A1031" s="2">
        <v>1051</v>
      </c>
      <c r="B1031" s="2" t="str">
        <f>TEXT(Таблица97[[#This Row],[Дата]],"ГГ")&amp;RIGHT("000"&amp;Таблица97[[#This Row],[Номер]],4)</f>
        <v>181051</v>
      </c>
      <c r="C1031" s="129">
        <v>43452</v>
      </c>
      <c r="D1031" s="2" t="s">
        <v>13</v>
      </c>
      <c r="E1031" s="108">
        <v>8609</v>
      </c>
      <c r="F1031" s="129">
        <v>43461</v>
      </c>
      <c r="H1031" s="129">
        <v>43453</v>
      </c>
      <c r="I1031" s="108">
        <f t="shared" si="45"/>
        <v>8609</v>
      </c>
      <c r="J1031" s="108" t="str">
        <f>IF(Таблица97[[#This Row],[НК]]=1,Таблица97[[#This Row],[Продажа]],"")</f>
        <v/>
      </c>
      <c r="M1031" s="108">
        <v>5972</v>
      </c>
      <c r="N1031" s="108">
        <f>Таблица97[[#This Row],[Продажа]]-Таблица97[[#This Row],[Закупка]]</f>
        <v>2637</v>
      </c>
      <c r="O1031" s="108" t="str">
        <f>IF(Таблица97[[#This Row],[НК]]=1,Таблица97[[#This Row],[Маржа]],"")</f>
        <v/>
      </c>
    </row>
    <row r="1032" spans="1:15" ht="20.100000000000001" customHeight="1" x14ac:dyDescent="0.25">
      <c r="A1032" s="2">
        <v>547</v>
      </c>
      <c r="B1032" s="2" t="str">
        <f>TEXT(Таблица97[[#This Row],[Дата]],"ГГ")&amp;RIGHT("000"&amp;Таблица97[[#This Row],[Номер]],4)</f>
        <v>180547</v>
      </c>
      <c r="C1032" s="129">
        <v>43391</v>
      </c>
      <c r="D1032" s="2" t="s">
        <v>38</v>
      </c>
      <c r="E1032" s="108">
        <v>281419.86</v>
      </c>
      <c r="F1032" s="129">
        <v>43825</v>
      </c>
      <c r="H1032" s="129">
        <v>43437</v>
      </c>
      <c r="I1032" s="108">
        <v>273486.96000000002</v>
      </c>
      <c r="J1032" s="108" t="str">
        <f>IF(Таблица97[[#This Row],[НК]]=1,Таблица97[[#This Row],[Продажа]],"")</f>
        <v/>
      </c>
      <c r="M1032" s="108">
        <v>229372</v>
      </c>
      <c r="N1032" s="108">
        <f>Таблица97[[#This Row],[Продажа]]-Таблица97[[#This Row],[Закупка]]</f>
        <v>44114.960000000021</v>
      </c>
      <c r="O1032" s="108" t="str">
        <f>IF(Таблица97[[#This Row],[НК]]=1,Таблица97[[#This Row],[Маржа]],"")</f>
        <v/>
      </c>
    </row>
    <row r="1033" spans="1:15" ht="20.100000000000001" customHeight="1" x14ac:dyDescent="0.25">
      <c r="A1033" s="2">
        <v>1046</v>
      </c>
      <c r="B1033" s="2" t="str">
        <f>TEXT(Таблица97[[#This Row],[Дата]],"ГГ")&amp;RIGHT("000"&amp;Таблица97[[#This Row],[Номер]],4)</f>
        <v>181046</v>
      </c>
      <c r="C1033" s="129">
        <v>43451</v>
      </c>
      <c r="D1033" s="2" t="s">
        <v>60</v>
      </c>
      <c r="E1033" s="108">
        <v>23078</v>
      </c>
      <c r="F1033" s="129">
        <v>43474</v>
      </c>
      <c r="H1033" s="129">
        <v>43458</v>
      </c>
      <c r="I1033" s="108">
        <f t="shared" ref="I1033:I1050" si="46">E1033</f>
        <v>23078</v>
      </c>
      <c r="J1033" s="108" t="str">
        <f>IF(Таблица97[[#This Row],[НК]]=1,Таблица97[[#This Row],[Продажа]],"")</f>
        <v/>
      </c>
      <c r="M1033" s="108">
        <v>8634</v>
      </c>
      <c r="N1033" s="108">
        <f>Таблица97[[#This Row],[Продажа]]-Таблица97[[#This Row],[Закупка]]</f>
        <v>14444</v>
      </c>
      <c r="O1033" s="108" t="str">
        <f>IF(Таблица97[[#This Row],[НК]]=1,Таблица97[[#This Row],[Маржа]],"")</f>
        <v/>
      </c>
    </row>
    <row r="1034" spans="1:15" ht="20.100000000000001" customHeight="1" x14ac:dyDescent="0.25">
      <c r="A1034" s="2">
        <v>2</v>
      </c>
      <c r="B1034" s="2" t="str">
        <f>TEXT(Таблица97[[#This Row],[Дата]],"ГГ")&amp;RIGHT("000"&amp;Таблица97[[#This Row],[Номер]],4)</f>
        <v>190002</v>
      </c>
      <c r="C1034" s="129">
        <v>43474</v>
      </c>
      <c r="D1034" s="2" t="s">
        <v>16</v>
      </c>
      <c r="E1034" s="108">
        <v>2880</v>
      </c>
      <c r="F1034" s="129">
        <v>43474</v>
      </c>
      <c r="H1034" s="129">
        <v>43487</v>
      </c>
      <c r="I1034" s="108">
        <f t="shared" si="46"/>
        <v>2880</v>
      </c>
      <c r="J1034" s="108" t="str">
        <f>IF(Таблица97[[#This Row],[НК]]=1,Таблица97[[#This Row],[Продажа]],"")</f>
        <v/>
      </c>
      <c r="M1034" s="108">
        <v>1901</v>
      </c>
      <c r="N1034" s="108">
        <f>Таблица97[[#This Row],[Продажа]]-Таблица97[[#This Row],[Закупка]]</f>
        <v>979</v>
      </c>
      <c r="O1034" s="108" t="str">
        <f>IF(Таблица97[[#This Row],[НК]]=1,Таблица97[[#This Row],[Маржа]],"")</f>
        <v/>
      </c>
    </row>
    <row r="1035" spans="1:15" ht="20.100000000000001" customHeight="1" x14ac:dyDescent="0.25">
      <c r="A1035" s="2">
        <v>19</v>
      </c>
      <c r="B1035" s="2" t="str">
        <f>TEXT(Таблица97[[#This Row],[Дата]],"ГГ")&amp;RIGHT("000"&amp;Таблица97[[#This Row],[Номер]],4)</f>
        <v>190019</v>
      </c>
      <c r="C1035" s="129">
        <v>43476</v>
      </c>
      <c r="D1035" s="2" t="s">
        <v>91</v>
      </c>
      <c r="E1035" s="108">
        <v>6400</v>
      </c>
      <c r="F1035" s="129">
        <v>43476</v>
      </c>
      <c r="H1035" s="129">
        <v>43476</v>
      </c>
      <c r="I1035" s="108">
        <f t="shared" si="46"/>
        <v>6400</v>
      </c>
      <c r="J1035" s="108" t="str">
        <f>IF(Таблица97[[#This Row],[НК]]=1,Таблица97[[#This Row],[Продажа]],"")</f>
        <v/>
      </c>
      <c r="M1035" s="108">
        <v>4770</v>
      </c>
      <c r="N1035" s="108">
        <f>Таблица97[[#This Row],[Продажа]]-Таблица97[[#This Row],[Закупка]]</f>
        <v>1630</v>
      </c>
      <c r="O1035" s="108" t="str">
        <f>IF(Таблица97[[#This Row],[НК]]=1,Таблица97[[#This Row],[Маржа]],"")</f>
        <v/>
      </c>
    </row>
    <row r="1036" spans="1:15" ht="19.5" customHeight="1" x14ac:dyDescent="0.25">
      <c r="A1036" s="2">
        <v>15</v>
      </c>
      <c r="B1036" s="2" t="str">
        <f>TEXT(Таблица97[[#This Row],[Дата]],"ГГ")&amp;RIGHT("000"&amp;Таблица97[[#This Row],[Номер]],4)</f>
        <v>190015</v>
      </c>
      <c r="C1036" s="129">
        <v>43475</v>
      </c>
      <c r="D1036" s="2" t="s">
        <v>363</v>
      </c>
      <c r="E1036" s="108">
        <v>9800</v>
      </c>
      <c r="F1036" s="129">
        <v>43476</v>
      </c>
      <c r="H1036" s="129">
        <v>43476</v>
      </c>
      <c r="I1036" s="108">
        <f t="shared" si="46"/>
        <v>9800</v>
      </c>
      <c r="J1036" s="108" t="str">
        <f>IF(Таблица97[[#This Row],[НК]]=1,Таблица97[[#This Row],[Продажа]],"")</f>
        <v/>
      </c>
      <c r="M1036" s="108">
        <v>8728</v>
      </c>
      <c r="N1036" s="108">
        <f>Таблица97[[#This Row],[Продажа]]-Таблица97[[#This Row],[Закупка]]</f>
        <v>1072</v>
      </c>
      <c r="O1036" s="108" t="str">
        <f>IF(Таблица97[[#This Row],[НК]]=1,Таблица97[[#This Row],[Маржа]],"")</f>
        <v/>
      </c>
    </row>
    <row r="1037" spans="1:15" ht="19.5" customHeight="1" x14ac:dyDescent="0.25">
      <c r="A1037" s="2">
        <v>24</v>
      </c>
      <c r="B1037" s="2" t="str">
        <f>TEXT(Таблица97[[#This Row],[Дата]],"ГГ")&amp;RIGHT("000"&amp;Таблица97[[#This Row],[Номер]],4)</f>
        <v>190024</v>
      </c>
      <c r="C1037" s="129">
        <v>43480</v>
      </c>
      <c r="D1037" s="2" t="s">
        <v>30</v>
      </c>
      <c r="E1037" s="108">
        <v>4791</v>
      </c>
      <c r="F1037" s="129">
        <v>43481</v>
      </c>
      <c r="H1037" s="129">
        <v>43482</v>
      </c>
      <c r="I1037" s="108">
        <f t="shared" si="46"/>
        <v>4791</v>
      </c>
      <c r="J1037" s="108" t="str">
        <f>IF(Таблица97[[#This Row],[НК]]=1,Таблица97[[#This Row],[Продажа]],"")</f>
        <v/>
      </c>
      <c r="M1037" s="108">
        <v>3573</v>
      </c>
      <c r="N1037" s="108">
        <f>Таблица97[[#This Row],[Продажа]]-Таблица97[[#This Row],[Закупка]]</f>
        <v>1218</v>
      </c>
      <c r="O1037" s="108" t="str">
        <f>IF(Таблица97[[#This Row],[НК]]=1,Таблица97[[#This Row],[Маржа]],"")</f>
        <v/>
      </c>
    </row>
    <row r="1038" spans="1:15" ht="19.5" customHeight="1" x14ac:dyDescent="0.25">
      <c r="A1038" s="2">
        <v>23</v>
      </c>
      <c r="B1038" s="2" t="str">
        <f>TEXT(Таблица97[[#This Row],[Дата]],"ГГ")&amp;RIGHT("000"&amp;Таблица97[[#This Row],[Номер]],4)</f>
        <v>190023</v>
      </c>
      <c r="C1038" s="129">
        <v>43480</v>
      </c>
      <c r="D1038" s="2" t="s">
        <v>365</v>
      </c>
      <c r="E1038" s="108">
        <v>5486</v>
      </c>
      <c r="F1038" s="129">
        <v>43481</v>
      </c>
      <c r="H1038" s="129">
        <v>43486</v>
      </c>
      <c r="I1038" s="108">
        <f t="shared" si="46"/>
        <v>5486</v>
      </c>
      <c r="J1038" s="108" t="str">
        <f>IF(Таблица97[[#This Row],[НК]]=1,Таблица97[[#This Row],[Продажа]],"")</f>
        <v/>
      </c>
      <c r="M1038" s="108">
        <v>3471</v>
      </c>
      <c r="N1038" s="108">
        <f>Таблица97[[#This Row],[Продажа]]-Таблица97[[#This Row],[Закупка]]</f>
        <v>2015</v>
      </c>
      <c r="O1038" s="108" t="str">
        <f>IF(Таблица97[[#This Row],[НК]]=1,Таблица97[[#This Row],[Маржа]],"")</f>
        <v/>
      </c>
    </row>
    <row r="1039" spans="1:15" ht="19.5" customHeight="1" x14ac:dyDescent="0.25">
      <c r="A1039" s="2">
        <v>30</v>
      </c>
      <c r="B1039" s="2" t="str">
        <f>TEXT(Таблица97[[#This Row],[Дата]],"ГГ")&amp;RIGHT("000"&amp;Таблица97[[#This Row],[Номер]],4)</f>
        <v>190030</v>
      </c>
      <c r="C1039" s="129">
        <v>43481</v>
      </c>
      <c r="D1039" s="2" t="s">
        <v>364</v>
      </c>
      <c r="E1039" s="108">
        <v>15980</v>
      </c>
      <c r="F1039" s="129">
        <v>43482</v>
      </c>
      <c r="G1039" s="128">
        <v>1</v>
      </c>
      <c r="H1039" s="129">
        <v>43486</v>
      </c>
      <c r="I1039" s="108">
        <f t="shared" si="46"/>
        <v>15980</v>
      </c>
      <c r="J1039" s="108">
        <f>IF(Таблица97[[#This Row],[НК]]=1,Таблица97[[#This Row],[Продажа]],"")</f>
        <v>15980</v>
      </c>
      <c r="M1039" s="108">
        <v>11744</v>
      </c>
      <c r="N1039" s="108">
        <f>Таблица97[[#This Row],[Продажа]]-Таблица97[[#This Row],[Закупка]]</f>
        <v>4236</v>
      </c>
      <c r="O1039" s="108">
        <f>IF(Таблица97[[#This Row],[НК]]=1,Таблица97[[#This Row],[Маржа]],"")</f>
        <v>4236</v>
      </c>
    </row>
    <row r="1040" spans="1:15" ht="19.5" customHeight="1" x14ac:dyDescent="0.25">
      <c r="A1040" s="2">
        <v>35</v>
      </c>
      <c r="B1040" s="2" t="str">
        <f>TEXT(Таблица97[[#This Row],[Дата]],"ГГ")&amp;RIGHT("000"&amp;Таблица97[[#This Row],[Номер]],4)</f>
        <v>190035</v>
      </c>
      <c r="C1040" s="129">
        <v>43482</v>
      </c>
      <c r="D1040" s="2" t="s">
        <v>366</v>
      </c>
      <c r="E1040" s="108">
        <v>29188</v>
      </c>
      <c r="F1040" s="129">
        <v>43483</v>
      </c>
      <c r="G1040" s="128">
        <v>1</v>
      </c>
      <c r="H1040" s="129">
        <v>43487</v>
      </c>
      <c r="I1040" s="108">
        <f t="shared" si="46"/>
        <v>29188</v>
      </c>
      <c r="J1040" s="108">
        <f>IF(Таблица97[[#This Row],[НК]]=1,Таблица97[[#This Row],[Продажа]],"")</f>
        <v>29188</v>
      </c>
      <c r="M1040" s="108">
        <v>20408</v>
      </c>
      <c r="N1040" s="108">
        <f>Таблица97[[#This Row],[Продажа]]-Таблица97[[#This Row],[Закупка]]</f>
        <v>8780</v>
      </c>
      <c r="O1040" s="108">
        <f>IF(Таблица97[[#This Row],[НК]]=1,Таблица97[[#This Row],[Маржа]],"")</f>
        <v>8780</v>
      </c>
    </row>
    <row r="1041" spans="1:15" ht="20.100000000000001" customHeight="1" x14ac:dyDescent="0.25">
      <c r="A1041" s="2">
        <v>1073</v>
      </c>
      <c r="B1041" s="2" t="str">
        <f>TEXT(Таблица97[[#This Row],[Дата]],"ГГ")&amp;RIGHT("000"&amp;Таблица97[[#This Row],[Номер]],4)</f>
        <v>181073</v>
      </c>
      <c r="C1041" s="129">
        <v>43460</v>
      </c>
      <c r="D1041" s="2" t="s">
        <v>60</v>
      </c>
      <c r="E1041" s="108">
        <v>20019</v>
      </c>
      <c r="F1041" s="129">
        <v>43486</v>
      </c>
      <c r="H1041" s="129">
        <v>43460</v>
      </c>
      <c r="I1041" s="108">
        <f t="shared" si="46"/>
        <v>20019</v>
      </c>
      <c r="J1041" s="108" t="str">
        <f>IF(Таблица97[[#This Row],[НК]]=1,Таблица97[[#This Row],[Продажа]],"")</f>
        <v/>
      </c>
      <c r="M1041" s="108">
        <v>11864</v>
      </c>
      <c r="N1041" s="108">
        <f>Таблица97[[#This Row],[Продажа]]-Таблица97[[#This Row],[Закупка]]</f>
        <v>8155</v>
      </c>
      <c r="O1041" s="108" t="str">
        <f>IF(Таблица97[[#This Row],[НК]]=1,Таблица97[[#This Row],[Маржа]],"")</f>
        <v/>
      </c>
    </row>
    <row r="1042" spans="1:15" ht="20.100000000000001" customHeight="1" x14ac:dyDescent="0.25">
      <c r="A1042" s="2">
        <v>1</v>
      </c>
      <c r="B1042" s="2" t="str">
        <f>TEXT(Таблица97[[#This Row],[Дата]],"ГГ")&amp;RIGHT("000"&amp;Таблица97[[#This Row],[Номер]],4)</f>
        <v>190001</v>
      </c>
      <c r="C1042" s="129">
        <v>43474</v>
      </c>
      <c r="D1042" s="2" t="s">
        <v>228</v>
      </c>
      <c r="E1042" s="108">
        <v>89715.3</v>
      </c>
      <c r="F1042" s="129">
        <v>43487</v>
      </c>
      <c r="H1042" s="129">
        <v>43475</v>
      </c>
      <c r="I1042" s="108">
        <f t="shared" si="46"/>
        <v>89715.3</v>
      </c>
      <c r="J1042" s="108" t="str">
        <f>IF(Таблица97[[#This Row],[НК]]=1,Таблица97[[#This Row],[Продажа]],"")</f>
        <v/>
      </c>
      <c r="M1042" s="108">
        <v>66218</v>
      </c>
      <c r="N1042" s="108">
        <f>Таблица97[[#This Row],[Продажа]]-Таблица97[[#This Row],[Закупка]]</f>
        <v>23497.300000000003</v>
      </c>
      <c r="O1042" s="108" t="str">
        <f>IF(Таблица97[[#This Row],[НК]]=1,Таблица97[[#This Row],[Маржа]],"")</f>
        <v/>
      </c>
    </row>
    <row r="1043" spans="1:15" ht="20.100000000000001" customHeight="1" x14ac:dyDescent="0.25">
      <c r="A1043" s="2">
        <v>39</v>
      </c>
      <c r="B1043" s="2" t="str">
        <f>TEXT(Таблица97[[#This Row],[Дата]],"ГГ")&amp;RIGHT("000"&amp;Таблица97[[#This Row],[Номер]],4)</f>
        <v>190039</v>
      </c>
      <c r="C1043" s="129">
        <v>43487</v>
      </c>
      <c r="D1043" s="2" t="s">
        <v>270</v>
      </c>
      <c r="E1043" s="108">
        <v>3387</v>
      </c>
      <c r="F1043" s="129">
        <v>43487</v>
      </c>
      <c r="H1043" s="129">
        <v>43487</v>
      </c>
      <c r="I1043" s="108">
        <f t="shared" si="46"/>
        <v>3387</v>
      </c>
      <c r="J1043" s="108" t="str">
        <f>IF(Таблица97[[#This Row],[НК]]=1,Таблица97[[#This Row],[Продажа]],"")</f>
        <v/>
      </c>
      <c r="M1043" s="108">
        <v>2602</v>
      </c>
      <c r="N1043" s="108">
        <f>Таблица97[[#This Row],[Продажа]]-Таблица97[[#This Row],[Закупка]]</f>
        <v>785</v>
      </c>
      <c r="O1043" s="108" t="str">
        <f>IF(Таблица97[[#This Row],[НК]]=1,Таблица97[[#This Row],[Маржа]],"")</f>
        <v/>
      </c>
    </row>
    <row r="1044" spans="1:15" ht="20.100000000000001" customHeight="1" x14ac:dyDescent="0.25">
      <c r="A1044" s="2">
        <v>20</v>
      </c>
      <c r="B1044" s="2" t="str">
        <f>TEXT(Таблица97[[#This Row],[Дата]],"ГГ")&amp;RIGHT("000"&amp;Таблица97[[#This Row],[Номер]],4)</f>
        <v>190020</v>
      </c>
      <c r="C1044" s="129">
        <v>43479</v>
      </c>
      <c r="D1044" s="2" t="s">
        <v>13</v>
      </c>
      <c r="E1044" s="108">
        <v>10352</v>
      </c>
      <c r="F1044" s="129">
        <v>43487</v>
      </c>
      <c r="H1044" s="129">
        <v>43488</v>
      </c>
      <c r="I1044" s="108">
        <f t="shared" si="46"/>
        <v>10352</v>
      </c>
      <c r="J1044" s="108" t="str">
        <f>IF(Таблица97[[#This Row],[НК]]=1,Таблица97[[#This Row],[Продажа]],"")</f>
        <v/>
      </c>
      <c r="M1044" s="108">
        <v>7724</v>
      </c>
      <c r="N1044" s="108">
        <f>Таблица97[[#This Row],[Продажа]]-Таблица97[[#This Row],[Закупка]]</f>
        <v>2628</v>
      </c>
      <c r="O1044" s="108" t="str">
        <f>IF(Таблица97[[#This Row],[НК]]=1,Таблица97[[#This Row],[Маржа]],"")</f>
        <v/>
      </c>
    </row>
    <row r="1045" spans="1:15" ht="19.5" customHeight="1" x14ac:dyDescent="0.25">
      <c r="A1045" s="2">
        <v>34</v>
      </c>
      <c r="B1045" s="2" t="str">
        <f>TEXT(Таблица97[[#This Row],[Дата]],"ГГ")&amp;RIGHT("000"&amp;Таблица97[[#This Row],[Номер]],4)</f>
        <v>190034</v>
      </c>
      <c r="C1045" s="129">
        <v>43482</v>
      </c>
      <c r="D1045" s="2" t="s">
        <v>49</v>
      </c>
      <c r="E1045" s="108">
        <v>1500</v>
      </c>
      <c r="F1045" s="129">
        <v>43489</v>
      </c>
      <c r="H1045" s="129">
        <v>43486</v>
      </c>
      <c r="I1045" s="108">
        <f t="shared" si="46"/>
        <v>1500</v>
      </c>
      <c r="J1045" s="108" t="str">
        <f>IF(Таблица97[[#This Row],[НК]]=1,Таблица97[[#This Row],[Продажа]],"")</f>
        <v/>
      </c>
      <c r="M1045" s="108">
        <v>577</v>
      </c>
      <c r="N1045" s="108">
        <f>Таблица97[[#This Row],[Продажа]]-Таблица97[[#This Row],[Закупка]]</f>
        <v>923</v>
      </c>
      <c r="O1045" s="108" t="str">
        <f>IF(Таблица97[[#This Row],[НК]]=1,Таблица97[[#This Row],[Маржа]],"")</f>
        <v/>
      </c>
    </row>
    <row r="1046" spans="1:15" ht="20.100000000000001" customHeight="1" x14ac:dyDescent="0.25">
      <c r="A1046" s="2">
        <v>37</v>
      </c>
      <c r="B1046" s="2" t="str">
        <f>TEXT(Таблица97[[#This Row],[Дата]],"ГГ")&amp;RIGHT("000"&amp;Таблица97[[#This Row],[Номер]],4)</f>
        <v>190037</v>
      </c>
      <c r="C1046" s="129">
        <v>43483</v>
      </c>
      <c r="D1046" s="2" t="s">
        <v>310</v>
      </c>
      <c r="E1046" s="108">
        <v>12810</v>
      </c>
      <c r="F1046" s="129">
        <v>43493</v>
      </c>
      <c r="H1046" s="129">
        <v>43518</v>
      </c>
      <c r="I1046" s="108">
        <f t="shared" si="46"/>
        <v>12810</v>
      </c>
      <c r="J1046" s="108" t="str">
        <f>IF(Таблица97[[#This Row],[НК]]=1,Таблица97[[#This Row],[Продажа]],"")</f>
        <v/>
      </c>
      <c r="M1046" s="108">
        <v>7842</v>
      </c>
      <c r="N1046" s="108">
        <f>Таблица97[[#This Row],[Продажа]]-Таблица97[[#This Row],[Закупка]]</f>
        <v>4968</v>
      </c>
      <c r="O1046" s="108" t="str">
        <f>IF(Таблица97[[#This Row],[НК]]=1,Таблица97[[#This Row],[Маржа]],"")</f>
        <v/>
      </c>
    </row>
    <row r="1047" spans="1:15" ht="20.100000000000001" customHeight="1" x14ac:dyDescent="0.25">
      <c r="A1047" s="2">
        <v>958</v>
      </c>
      <c r="B1047" s="2" t="str">
        <f>TEXT(Таблица97[[#This Row],[Дата]],"ГГ")&amp;RIGHT("000"&amp;Таблица97[[#This Row],[Номер]],4)</f>
        <v>180958</v>
      </c>
      <c r="C1047" s="129">
        <v>43452</v>
      </c>
      <c r="D1047" s="2" t="s">
        <v>38</v>
      </c>
      <c r="E1047" s="108">
        <v>412500</v>
      </c>
      <c r="F1047" s="129">
        <v>43493</v>
      </c>
      <c r="H1047" s="129">
        <v>43458</v>
      </c>
      <c r="I1047" s="108">
        <f t="shared" si="46"/>
        <v>412500</v>
      </c>
      <c r="J1047" s="108" t="str">
        <f>IF(Таблица97[[#This Row],[НК]]=1,Таблица97[[#This Row],[Продажа]],"")</f>
        <v/>
      </c>
      <c r="L1047" s="108">
        <f>600*15</f>
        <v>9000</v>
      </c>
      <c r="M1047" s="108">
        <v>331104</v>
      </c>
      <c r="N1047" s="108">
        <f>Таблица97[[#This Row],[Продажа]]-Таблица97[[#This Row],[Закупка]]</f>
        <v>81396</v>
      </c>
      <c r="O1047" s="108" t="str">
        <f>IF(Таблица97[[#This Row],[НК]]=1,Таблица97[[#This Row],[Маржа]],"")</f>
        <v/>
      </c>
    </row>
    <row r="1048" spans="1:15" ht="20.100000000000001" customHeight="1" x14ac:dyDescent="0.25">
      <c r="A1048" s="2">
        <v>1067</v>
      </c>
      <c r="B1048" s="2" t="str">
        <f>TEXT(Таблица97[[#This Row],[Дата]],"ГГ")&amp;RIGHT("000"&amp;Таблица97[[#This Row],[Номер]],4)</f>
        <v>181067</v>
      </c>
      <c r="C1048" s="129">
        <v>43458</v>
      </c>
      <c r="D1048" s="2" t="s">
        <v>38</v>
      </c>
      <c r="E1048" s="108">
        <v>412500</v>
      </c>
      <c r="F1048" s="129">
        <v>43493</v>
      </c>
      <c r="H1048" s="129">
        <v>43459</v>
      </c>
      <c r="I1048" s="108">
        <f t="shared" si="46"/>
        <v>412500</v>
      </c>
      <c r="J1048" s="108" t="str">
        <f>IF(Таблица97[[#This Row],[НК]]=1,Таблица97[[#This Row],[Продажа]],"")</f>
        <v/>
      </c>
      <c r="L1048" s="108">
        <f>600*15</f>
        <v>9000</v>
      </c>
      <c r="M1048" s="108">
        <v>331104</v>
      </c>
      <c r="N1048" s="108">
        <f>Таблица97[[#This Row],[Продажа]]-Таблица97[[#This Row],[Закупка]]</f>
        <v>81396</v>
      </c>
      <c r="O1048" s="108" t="str">
        <f>IF(Таблица97[[#This Row],[НК]]=1,Таблица97[[#This Row],[Маржа]],"")</f>
        <v/>
      </c>
    </row>
    <row r="1049" spans="1:15" ht="20.100000000000001" customHeight="1" x14ac:dyDescent="0.25">
      <c r="A1049" s="2">
        <v>62</v>
      </c>
      <c r="B1049" s="2" t="str">
        <f>TEXT(Таблица97[[#This Row],[Дата]],"ГГ")&amp;RIGHT("000"&amp;Таблица97[[#This Row],[Номер]],4)</f>
        <v>190062</v>
      </c>
      <c r="C1049" s="129">
        <v>43490</v>
      </c>
      <c r="D1049" s="2" t="s">
        <v>365</v>
      </c>
      <c r="E1049" s="108">
        <v>8018</v>
      </c>
      <c r="F1049" s="129">
        <v>43494</v>
      </c>
      <c r="H1049" s="129">
        <v>43500</v>
      </c>
      <c r="I1049" s="108">
        <f t="shared" si="46"/>
        <v>8018</v>
      </c>
      <c r="J1049" s="108" t="str">
        <f>IF(Таблица97[[#This Row],[НК]]=1,Таблица97[[#This Row],[Продажа]],"")</f>
        <v/>
      </c>
      <c r="M1049" s="108">
        <v>6043</v>
      </c>
      <c r="N1049" s="108">
        <f>Таблица97[[#This Row],[Продажа]]-Таблица97[[#This Row],[Закупка]]</f>
        <v>1975</v>
      </c>
      <c r="O1049" s="108" t="str">
        <f>IF(Таблица97[[#This Row],[НК]]=1,Таблица97[[#This Row],[Маржа]],"")</f>
        <v/>
      </c>
    </row>
    <row r="1050" spans="1:15" ht="20.100000000000001" customHeight="1" x14ac:dyDescent="0.25">
      <c r="A1050" s="2">
        <v>64</v>
      </c>
      <c r="B1050" s="2" t="str">
        <f>TEXT(Таблица97[[#This Row],[Дата]],"ГГ")&amp;RIGHT("000"&amp;Таблица97[[#This Row],[Номер]],4)</f>
        <v>190064</v>
      </c>
      <c r="C1050" s="129">
        <v>43490</v>
      </c>
      <c r="D1050" s="2" t="s">
        <v>338</v>
      </c>
      <c r="E1050" s="108">
        <v>8000</v>
      </c>
      <c r="F1050" s="129">
        <v>43495</v>
      </c>
      <c r="H1050" s="129">
        <v>43504</v>
      </c>
      <c r="I1050" s="108">
        <f t="shared" si="46"/>
        <v>8000</v>
      </c>
      <c r="J1050" s="108" t="str">
        <f>IF(Таблица97[[#This Row],[НК]]=1,Таблица97[[#This Row],[Продажа]],"")</f>
        <v/>
      </c>
      <c r="L1050" s="108">
        <v>1200</v>
      </c>
      <c r="M1050" s="108">
        <v>2287</v>
      </c>
      <c r="N1050" s="108">
        <f>Таблица97[[#This Row],[Продажа]]-Таблица97[[#This Row],[Закупка]]</f>
        <v>5713</v>
      </c>
      <c r="O1050" s="108" t="str">
        <f>IF(Таблица97[[#This Row],[НК]]=1,Таблица97[[#This Row],[Маржа]],"")</f>
        <v/>
      </c>
    </row>
    <row r="1051" spans="1:15" ht="20.100000000000001" customHeight="1" x14ac:dyDescent="0.25">
      <c r="A1051" s="2">
        <v>1068</v>
      </c>
      <c r="B1051" s="2" t="str">
        <f>TEXT(Таблица97[[#This Row],[Дата]],"ГГ")&amp;RIGHT("000"&amp;Таблица97[[#This Row],[Номер]],4)</f>
        <v>181068</v>
      </c>
      <c r="C1051" s="129">
        <v>43459</v>
      </c>
      <c r="D1051" s="2" t="s">
        <v>38</v>
      </c>
      <c r="E1051" s="108">
        <v>825000</v>
      </c>
      <c r="F1051" s="129">
        <v>43497</v>
      </c>
      <c r="H1051" s="129">
        <v>43462</v>
      </c>
      <c r="I1051" s="108">
        <f>E1051</f>
        <v>825000</v>
      </c>
      <c r="J1051" s="108" t="str">
        <f>IF(Таблица97[[#This Row],[НК]]=1,Таблица97[[#This Row],[Продажа]],"")</f>
        <v/>
      </c>
      <c r="M1051" s="108">
        <v>678009</v>
      </c>
      <c r="N1051" s="108">
        <f>Таблица97[[#This Row],[Продажа]]-Таблица97[[#This Row],[Закупка]]</f>
        <v>146991</v>
      </c>
      <c r="O1051" s="108" t="str">
        <f>IF(Таблица97[[#This Row],[НК]]=1,Таблица97[[#This Row],[Маржа]],"")</f>
        <v/>
      </c>
    </row>
    <row r="1052" spans="1:15" ht="20.100000000000001" customHeight="1" x14ac:dyDescent="0.25">
      <c r="A1052" s="2">
        <v>7</v>
      </c>
      <c r="B1052" s="2" t="str">
        <f>TEXT(Таблица97[[#This Row],[Дата]],"ГГ")&amp;RIGHT("000"&amp;Таблица97[[#This Row],[Номер]],4)</f>
        <v>190007</v>
      </c>
      <c r="C1052" s="129">
        <v>43474</v>
      </c>
      <c r="D1052" s="2" t="s">
        <v>60</v>
      </c>
      <c r="E1052" s="108">
        <v>20775</v>
      </c>
      <c r="F1052" s="129">
        <v>43497</v>
      </c>
      <c r="H1052" s="129">
        <v>43483</v>
      </c>
      <c r="I1052" s="108">
        <f>E1052</f>
        <v>20775</v>
      </c>
      <c r="J1052" s="108" t="str">
        <f>IF(Таблица97[[#This Row],[НК]]=1,Таблица97[[#This Row],[Продажа]],"")</f>
        <v/>
      </c>
      <c r="M1052" s="108">
        <v>16204</v>
      </c>
      <c r="N1052" s="108">
        <f>Таблица97[[#This Row],[Продажа]]-Таблица97[[#This Row],[Закупка]]</f>
        <v>4571</v>
      </c>
      <c r="O1052" s="108" t="str">
        <f>IF(Таблица97[[#This Row],[НК]]=1,Таблица97[[#This Row],[Маржа]],"")</f>
        <v/>
      </c>
    </row>
    <row r="1053" spans="1:15" ht="20.100000000000001" customHeight="1" x14ac:dyDescent="0.25">
      <c r="A1053" s="2">
        <v>547</v>
      </c>
      <c r="B1053" s="2" t="str">
        <f>TEXT(Таблица97[[#This Row],[Дата]],"ГГ")&amp;RIGHT("000"&amp;Таблица97[[#This Row],[Номер]],4)</f>
        <v>180547</v>
      </c>
      <c r="C1053" s="129">
        <v>43391</v>
      </c>
      <c r="D1053" s="2" t="s">
        <v>38</v>
      </c>
      <c r="E1053" s="108">
        <v>281419.86</v>
      </c>
      <c r="F1053" s="129">
        <v>43497</v>
      </c>
      <c r="H1053" s="129">
        <v>43403</v>
      </c>
      <c r="I1053" s="108">
        <v>7932.9</v>
      </c>
      <c r="J1053" s="108" t="str">
        <f>IF(Таблица97[[#This Row],[НК]]=1,Таблица97[[#This Row],[Продажа]],"")</f>
        <v/>
      </c>
      <c r="M1053" s="108">
        <v>5616</v>
      </c>
      <c r="N1053" s="108">
        <f>Таблица97[[#This Row],[Продажа]]-Таблица97[[#This Row],[Закупка]]</f>
        <v>2316.8999999999996</v>
      </c>
      <c r="O1053" s="108" t="str">
        <f>IF(Таблица97[[#This Row],[НК]]=1,Таблица97[[#This Row],[Маржа]],"")</f>
        <v/>
      </c>
    </row>
    <row r="1054" spans="1:15" ht="20.100000000000001" customHeight="1" x14ac:dyDescent="0.25">
      <c r="A1054" s="2">
        <v>1061</v>
      </c>
      <c r="B1054" s="2" t="str">
        <f>TEXT(Таблица97[[#This Row],[Дата]],"ГГ")&amp;RIGHT("000"&amp;Таблица97[[#This Row],[Номер]],4)</f>
        <v>181061</v>
      </c>
      <c r="C1054" s="129">
        <v>43455</v>
      </c>
      <c r="D1054" s="2" t="s">
        <v>99</v>
      </c>
      <c r="E1054" s="108">
        <v>7038</v>
      </c>
      <c r="F1054" s="129">
        <v>43503</v>
      </c>
      <c r="H1054" s="129">
        <v>43455</v>
      </c>
      <c r="I1054" s="108">
        <f t="shared" ref="I1054:I1072" si="47">E1054</f>
        <v>7038</v>
      </c>
      <c r="J1054" s="108" t="str">
        <f>IF(Таблица97[[#This Row],[НК]]=1,Таблица97[[#This Row],[Продажа]],"")</f>
        <v/>
      </c>
      <c r="M1054" s="108">
        <v>5490</v>
      </c>
      <c r="N1054" s="108">
        <f>Таблица97[[#This Row],[Продажа]]-Таблица97[[#This Row],[Закупка]]</f>
        <v>1548</v>
      </c>
      <c r="O1054" s="108" t="str">
        <f>IF(Таблица97[[#This Row],[НК]]=1,Таблица97[[#This Row],[Маржа]],"")</f>
        <v/>
      </c>
    </row>
    <row r="1055" spans="1:15" ht="20.100000000000001" customHeight="1" x14ac:dyDescent="0.25">
      <c r="A1055" s="2">
        <v>22</v>
      </c>
      <c r="B1055" s="2" t="str">
        <f>TEXT(Таблица97[[#This Row],[Дата]],"ГГ")&amp;RIGHT("000"&amp;Таблица97[[#This Row],[Номер]],4)</f>
        <v>190022</v>
      </c>
      <c r="C1055" s="129">
        <v>43480</v>
      </c>
      <c r="D1055" s="2" t="s">
        <v>99</v>
      </c>
      <c r="E1055" s="108">
        <v>63547</v>
      </c>
      <c r="F1055" s="129">
        <v>43507</v>
      </c>
      <c r="H1055" s="129">
        <v>43487</v>
      </c>
      <c r="I1055" s="108">
        <f t="shared" si="47"/>
        <v>63547</v>
      </c>
      <c r="J1055" s="108" t="str">
        <f>IF(Таблица97[[#This Row],[НК]]=1,Таблица97[[#This Row],[Продажа]],"")</f>
        <v/>
      </c>
      <c r="M1055" s="108">
        <v>48209</v>
      </c>
      <c r="N1055" s="108">
        <f>Таблица97[[#This Row],[Продажа]]-Таблица97[[#This Row],[Закупка]]</f>
        <v>15338</v>
      </c>
      <c r="O1055" s="108" t="str">
        <f>IF(Таблица97[[#This Row],[НК]]=1,Таблица97[[#This Row],[Маржа]],"")</f>
        <v/>
      </c>
    </row>
    <row r="1056" spans="1:15" ht="20.100000000000001" customHeight="1" x14ac:dyDescent="0.25">
      <c r="A1056" s="2">
        <v>42</v>
      </c>
      <c r="B1056" s="2" t="str">
        <f>TEXT(Таблица97[[#This Row],[Дата]],"ГГ")&amp;RIGHT("000"&amp;Таблица97[[#This Row],[Номер]],4)</f>
        <v>190042</v>
      </c>
      <c r="C1056" s="129">
        <v>43487</v>
      </c>
      <c r="D1056" s="2" t="s">
        <v>99</v>
      </c>
      <c r="E1056" s="108">
        <v>175800</v>
      </c>
      <c r="F1056" s="129">
        <v>43507</v>
      </c>
      <c r="H1056" s="129">
        <v>43496</v>
      </c>
      <c r="I1056" s="108">
        <f t="shared" si="47"/>
        <v>175800</v>
      </c>
      <c r="J1056" s="108" t="str">
        <f>IF(Таблица97[[#This Row],[НК]]=1,Таблица97[[#This Row],[Продажа]],"")</f>
        <v/>
      </c>
      <c r="K1056" s="108">
        <v>45000</v>
      </c>
      <c r="M1056" s="108">
        <v>20180</v>
      </c>
      <c r="N1056" s="108">
        <f>Таблица97[[#This Row],[Продажа]]-Таблица97[[#This Row],[Закупка]]</f>
        <v>155620</v>
      </c>
      <c r="O1056" s="108" t="str">
        <f>IF(Таблица97[[#This Row],[НК]]=1,Таблица97[[#This Row],[Маржа]],"")</f>
        <v/>
      </c>
    </row>
    <row r="1057" spans="1:15" ht="20.100000000000001" customHeight="1" x14ac:dyDescent="0.25">
      <c r="A1057" s="2">
        <v>82</v>
      </c>
      <c r="B1057" s="2" t="str">
        <f>TEXT(Таблица97[[#This Row],[Дата]],"ГГ")&amp;RIGHT("000"&amp;Таблица97[[#This Row],[Номер]],4)</f>
        <v>190082</v>
      </c>
      <c r="C1057" s="129">
        <v>43502</v>
      </c>
      <c r="D1057" s="2" t="s">
        <v>149</v>
      </c>
      <c r="E1057" s="108">
        <v>2556</v>
      </c>
      <c r="F1057" s="129">
        <v>43508</v>
      </c>
      <c r="H1057" s="129">
        <v>43509</v>
      </c>
      <c r="I1057" s="108">
        <f t="shared" si="47"/>
        <v>2556</v>
      </c>
      <c r="J1057" s="108" t="str">
        <f>IF(Таблица97[[#This Row],[НК]]=1,Таблица97[[#This Row],[Продажа]],"")</f>
        <v/>
      </c>
      <c r="M1057" s="108">
        <v>1908</v>
      </c>
      <c r="N1057" s="108">
        <f>Таблица97[[#This Row],[Продажа]]-Таблица97[[#This Row],[Закупка]]</f>
        <v>648</v>
      </c>
      <c r="O1057" s="108" t="str">
        <f>IF(Таблица97[[#This Row],[НК]]=1,Таблица97[[#This Row],[Маржа]],"")</f>
        <v/>
      </c>
    </row>
    <row r="1058" spans="1:15" ht="20.100000000000001" customHeight="1" x14ac:dyDescent="0.25">
      <c r="A1058" s="2">
        <v>108</v>
      </c>
      <c r="B1058" s="2" t="str">
        <f>TEXT(Таблица97[[#This Row],[Дата]],"ГГ")&amp;RIGHT("000"&amp;Таблица97[[#This Row],[Номер]],4)</f>
        <v>190108</v>
      </c>
      <c r="C1058" s="129">
        <v>43509</v>
      </c>
      <c r="D1058" s="2" t="s">
        <v>368</v>
      </c>
      <c r="E1058" s="108">
        <v>13681</v>
      </c>
      <c r="F1058" s="129">
        <v>43509</v>
      </c>
      <c r="G1058" s="128">
        <v>1</v>
      </c>
      <c r="H1058" s="129">
        <v>43510</v>
      </c>
      <c r="I1058" s="108">
        <f t="shared" si="47"/>
        <v>13681</v>
      </c>
      <c r="J1058" s="108">
        <f>IF(Таблица97[[#This Row],[НК]]=1,Таблица97[[#This Row],[Продажа]],"")</f>
        <v>13681</v>
      </c>
      <c r="M1058" s="108">
        <v>9722</v>
      </c>
      <c r="N1058" s="108">
        <f>Таблица97[[#This Row],[Продажа]]-Таблица97[[#This Row],[Закупка]]</f>
        <v>3959</v>
      </c>
      <c r="O1058" s="108">
        <f>IF(Таблица97[[#This Row],[НК]]=1,Таблица97[[#This Row],[Маржа]],"")</f>
        <v>3959</v>
      </c>
    </row>
    <row r="1059" spans="1:15" ht="20.100000000000001" customHeight="1" x14ac:dyDescent="0.25">
      <c r="A1059" s="2">
        <v>107</v>
      </c>
      <c r="B1059" s="2" t="str">
        <f>TEXT(Таблица97[[#This Row],[Дата]],"ГГ")&amp;RIGHT("000"&amp;Таблица97[[#This Row],[Номер]],4)</f>
        <v>190107</v>
      </c>
      <c r="C1059" s="129">
        <v>43509</v>
      </c>
      <c r="D1059" s="2" t="s">
        <v>369</v>
      </c>
      <c r="E1059" s="108">
        <v>6388</v>
      </c>
      <c r="F1059" s="129">
        <v>43509</v>
      </c>
      <c r="H1059" s="129">
        <v>43529</v>
      </c>
      <c r="I1059" s="108">
        <f t="shared" si="47"/>
        <v>6388</v>
      </c>
      <c r="J1059" s="108" t="str">
        <f>IF(Таблица97[[#This Row],[НК]]=1,Таблица97[[#This Row],[Продажа]],"")</f>
        <v/>
      </c>
      <c r="M1059" s="108">
        <v>4764</v>
      </c>
      <c r="N1059" s="108">
        <f>Таблица97[[#This Row],[Продажа]]-Таблица97[[#This Row],[Закупка]]</f>
        <v>1624</v>
      </c>
      <c r="O1059" s="108" t="str">
        <f>IF(Таблица97[[#This Row],[НК]]=1,Таблица97[[#This Row],[Маржа]],"")</f>
        <v/>
      </c>
    </row>
    <row r="1060" spans="1:15" ht="20.100000000000001" customHeight="1" x14ac:dyDescent="0.25">
      <c r="A1060" s="2">
        <v>110</v>
      </c>
      <c r="B1060" s="2" t="str">
        <f>TEXT(Таблица97[[#This Row],[Дата]],"ГГ")&amp;RIGHT("000"&amp;Таблица97[[#This Row],[Номер]],4)</f>
        <v>190110</v>
      </c>
      <c r="C1060" s="129">
        <v>43509</v>
      </c>
      <c r="D1060" s="2" t="s">
        <v>370</v>
      </c>
      <c r="E1060" s="108">
        <v>5561</v>
      </c>
      <c r="F1060" s="129">
        <v>43511</v>
      </c>
      <c r="G1060" s="128">
        <v>1</v>
      </c>
      <c r="H1060" s="129">
        <v>43514</v>
      </c>
      <c r="I1060" s="108">
        <f t="shared" si="47"/>
        <v>5561</v>
      </c>
      <c r="J1060" s="108">
        <f>IF(Таблица97[[#This Row],[НК]]=1,Таблица97[[#This Row],[Продажа]],"")</f>
        <v>5561</v>
      </c>
      <c r="M1060" s="108">
        <v>4144</v>
      </c>
      <c r="N1060" s="108">
        <f>Таблица97[[#This Row],[Продажа]]-Таблица97[[#This Row],[Закупка]]</f>
        <v>1417</v>
      </c>
      <c r="O1060" s="108">
        <f>IF(Таблица97[[#This Row],[НК]]=1,Таблица97[[#This Row],[Маржа]],"")</f>
        <v>1417</v>
      </c>
    </row>
    <row r="1061" spans="1:15" ht="20.100000000000001" customHeight="1" x14ac:dyDescent="0.25">
      <c r="A1061" s="2">
        <v>103</v>
      </c>
      <c r="B1061" s="2" t="str">
        <f>TEXT(Таблица97[[#This Row],[Дата]],"ГГ")&amp;RIGHT("000"&amp;Таблица97[[#This Row],[Номер]],4)</f>
        <v>190103</v>
      </c>
      <c r="C1061" s="129">
        <v>43509</v>
      </c>
      <c r="D1061" s="2" t="s">
        <v>77</v>
      </c>
      <c r="E1061" s="108">
        <v>1597</v>
      </c>
      <c r="F1061" s="129">
        <v>43511</v>
      </c>
      <c r="H1061" s="129">
        <v>43510</v>
      </c>
      <c r="I1061" s="108">
        <f t="shared" si="47"/>
        <v>1597</v>
      </c>
      <c r="J1061" s="108" t="str">
        <f>IF(Таблица97[[#This Row],[НК]]=1,Таблица97[[#This Row],[Продажа]],"")</f>
        <v/>
      </c>
      <c r="M1061" s="108">
        <v>1191</v>
      </c>
      <c r="N1061" s="108">
        <f>Таблица97[[#This Row],[Продажа]]-Таблица97[[#This Row],[Закупка]]</f>
        <v>406</v>
      </c>
      <c r="O1061" s="108" t="str">
        <f>IF(Таблица97[[#This Row],[НК]]=1,Таблица97[[#This Row],[Маржа]],"")</f>
        <v/>
      </c>
    </row>
    <row r="1062" spans="1:15" ht="20.100000000000001" customHeight="1" x14ac:dyDescent="0.25">
      <c r="A1062" s="2">
        <v>117</v>
      </c>
      <c r="B1062" s="2" t="str">
        <f>TEXT(Таблица97[[#This Row],[Дата]],"ГГ")&amp;RIGHT("000"&amp;Таблица97[[#This Row],[Номер]],4)</f>
        <v>190117</v>
      </c>
      <c r="C1062" s="129">
        <v>43510</v>
      </c>
      <c r="D1062" s="2" t="s">
        <v>77</v>
      </c>
      <c r="E1062" s="108">
        <v>1597</v>
      </c>
      <c r="F1062" s="129">
        <v>43511</v>
      </c>
      <c r="H1062" s="129">
        <v>43530</v>
      </c>
      <c r="I1062" s="108">
        <f t="shared" si="47"/>
        <v>1597</v>
      </c>
      <c r="J1062" s="108" t="str">
        <f>IF(Таблица97[[#This Row],[НК]]=1,Таблица97[[#This Row],[Продажа]],"")</f>
        <v/>
      </c>
      <c r="M1062" s="108">
        <v>1191</v>
      </c>
      <c r="N1062" s="108">
        <f>Таблица97[[#This Row],[Продажа]]-Таблица97[[#This Row],[Закупка]]</f>
        <v>406</v>
      </c>
      <c r="O1062" s="108" t="str">
        <f>IF(Таблица97[[#This Row],[НК]]=1,Таблица97[[#This Row],[Маржа]],"")</f>
        <v/>
      </c>
    </row>
    <row r="1063" spans="1:15" ht="20.100000000000001" customHeight="1" x14ac:dyDescent="0.25">
      <c r="A1063" s="2">
        <v>89</v>
      </c>
      <c r="B1063" s="2" t="str">
        <f>TEXT(Таблица97[[#This Row],[Дата]],"ГГ")&amp;RIGHT("000"&amp;Таблица97[[#This Row],[Номер]],4)</f>
        <v>190089</v>
      </c>
      <c r="C1063" s="129">
        <v>43504</v>
      </c>
      <c r="D1063" s="2" t="s">
        <v>13</v>
      </c>
      <c r="E1063" s="108">
        <v>5176</v>
      </c>
      <c r="F1063" s="129">
        <v>43515</v>
      </c>
      <c r="H1063" s="129">
        <v>43509</v>
      </c>
      <c r="I1063" s="108">
        <f t="shared" si="47"/>
        <v>5176</v>
      </c>
      <c r="J1063" s="108" t="str">
        <f>IF(Таблица97[[#This Row],[НК]]=1,Таблица97[[#This Row],[Продажа]],"")</f>
        <v/>
      </c>
      <c r="M1063" s="108">
        <v>3862</v>
      </c>
      <c r="N1063" s="108">
        <f>Таблица97[[#This Row],[Продажа]]-Таблица97[[#This Row],[Закупка]]</f>
        <v>1314</v>
      </c>
      <c r="O1063" s="108" t="str">
        <f>IF(Таблица97[[#This Row],[НК]]=1,Таблица97[[#This Row],[Маржа]],"")</f>
        <v/>
      </c>
    </row>
    <row r="1064" spans="1:15" ht="20.100000000000001" customHeight="1" x14ac:dyDescent="0.25">
      <c r="A1064" s="2">
        <v>914</v>
      </c>
      <c r="B1064" s="2" t="str">
        <f>TEXT(Таблица97[[#This Row],[Дата]],"ГГ")&amp;RIGHT("000"&amp;Таблица97[[#This Row],[Номер]],4)</f>
        <v>190914</v>
      </c>
      <c r="C1064" s="129">
        <v>43515</v>
      </c>
      <c r="D1064" s="2" t="s">
        <v>371</v>
      </c>
      <c r="E1064" s="108">
        <v>914</v>
      </c>
      <c r="F1064" s="129">
        <v>43516</v>
      </c>
      <c r="G1064" s="128">
        <v>1</v>
      </c>
      <c r="H1064" s="129">
        <v>43516</v>
      </c>
      <c r="I1064" s="108">
        <f t="shared" si="47"/>
        <v>914</v>
      </c>
      <c r="J1064" s="108">
        <f>IF(Таблица97[[#This Row],[НК]]=1,Таблица97[[#This Row],[Продажа]],"")</f>
        <v>914</v>
      </c>
      <c r="M1064" s="108">
        <v>613</v>
      </c>
      <c r="N1064" s="108">
        <f>Таблица97[[#This Row],[Продажа]]-Таблица97[[#This Row],[Закупка]]</f>
        <v>301</v>
      </c>
      <c r="O1064" s="108">
        <f>IF(Таблица97[[#This Row],[НК]]=1,Таблица97[[#This Row],[Маржа]],"")</f>
        <v>301</v>
      </c>
    </row>
    <row r="1065" spans="1:15" ht="20.100000000000001" customHeight="1" x14ac:dyDescent="0.25">
      <c r="A1065" s="2">
        <v>133</v>
      </c>
      <c r="B1065" s="2" t="str">
        <f>TEXT(Таблица97[[#This Row],[Дата]],"ГГ")&amp;RIGHT("000"&amp;Таблица97[[#This Row],[Номер]],4)</f>
        <v>190133</v>
      </c>
      <c r="C1065" s="129">
        <v>43516</v>
      </c>
      <c r="D1065" s="2" t="s">
        <v>372</v>
      </c>
      <c r="E1065" s="108">
        <v>60196</v>
      </c>
      <c r="F1065" s="129">
        <v>43517</v>
      </c>
      <c r="G1065" s="128">
        <v>1</v>
      </c>
      <c r="H1065" s="129">
        <v>43543</v>
      </c>
      <c r="I1065" s="108">
        <f t="shared" si="47"/>
        <v>60196</v>
      </c>
      <c r="J1065" s="108">
        <f>IF(Таблица97[[#This Row],[НК]]=1,Таблица97[[#This Row],[Продажа]],"")</f>
        <v>60196</v>
      </c>
      <c r="M1065" s="108">
        <v>44351</v>
      </c>
      <c r="N1065" s="108">
        <f>Таблица97[[#This Row],[Продажа]]-Таблица97[[#This Row],[Закупка]]</f>
        <v>15845</v>
      </c>
      <c r="O1065" s="108">
        <f>IF(Таблица97[[#This Row],[НК]]=1,Таблица97[[#This Row],[Маржа]],"")</f>
        <v>15845</v>
      </c>
    </row>
    <row r="1066" spans="1:15" ht="20.100000000000001" customHeight="1" x14ac:dyDescent="0.25">
      <c r="A1066" s="2">
        <v>21</v>
      </c>
      <c r="B1066" s="2" t="str">
        <f>TEXT(Таблица97[[#This Row],[Дата]],"ГГ")&amp;RIGHT("000"&amp;Таблица97[[#This Row],[Номер]],4)</f>
        <v>190021</v>
      </c>
      <c r="C1066" s="129">
        <v>43479</v>
      </c>
      <c r="D1066" s="2" t="s">
        <v>175</v>
      </c>
      <c r="E1066" s="108">
        <v>23478.3</v>
      </c>
      <c r="F1066" s="129">
        <v>43522</v>
      </c>
      <c r="H1066" s="129">
        <v>43522</v>
      </c>
      <c r="I1066" s="108">
        <f t="shared" si="47"/>
        <v>23478.3</v>
      </c>
      <c r="J1066" s="108" t="str">
        <f>IF(Таблица97[[#This Row],[НК]]=1,Таблица97[[#This Row],[Продажа]],"")</f>
        <v/>
      </c>
      <c r="M1066" s="108">
        <v>18576</v>
      </c>
      <c r="N1066" s="108">
        <f>Таблица97[[#This Row],[Продажа]]-Таблица97[[#This Row],[Закупка]]</f>
        <v>4902.2999999999993</v>
      </c>
      <c r="O1066" s="108" t="str">
        <f>IF(Таблица97[[#This Row],[НК]]=1,Таблица97[[#This Row],[Маржа]],"")</f>
        <v/>
      </c>
    </row>
    <row r="1067" spans="1:15" ht="20.100000000000001" customHeight="1" x14ac:dyDescent="0.25">
      <c r="A1067" s="2">
        <v>138</v>
      </c>
      <c r="B1067" s="2" t="str">
        <f>TEXT(Таблица97[[#This Row],[Дата]],"ГГ")&amp;RIGHT("000"&amp;Таблица97[[#This Row],[Номер]],4)</f>
        <v>190138</v>
      </c>
      <c r="C1067" s="129">
        <v>43518</v>
      </c>
      <c r="D1067" s="2" t="s">
        <v>139</v>
      </c>
      <c r="E1067" s="108">
        <v>8982</v>
      </c>
      <c r="F1067" s="129">
        <v>43522</v>
      </c>
      <c r="H1067" s="129">
        <v>43523</v>
      </c>
      <c r="I1067" s="108">
        <f t="shared" si="47"/>
        <v>8982</v>
      </c>
      <c r="J1067" s="108" t="str">
        <f>IF(Таблица97[[#This Row],[НК]]=1,Таблица97[[#This Row],[Продажа]],"")</f>
        <v/>
      </c>
      <c r="M1067" s="108">
        <v>6843</v>
      </c>
      <c r="N1067" s="108">
        <f>Таблица97[[#This Row],[Продажа]]-Таблица97[[#This Row],[Закупка]]</f>
        <v>2139</v>
      </c>
      <c r="O1067" s="108" t="str">
        <f>IF(Таблица97[[#This Row],[НК]]=1,Таблица97[[#This Row],[Маржа]],"")</f>
        <v/>
      </c>
    </row>
    <row r="1068" spans="1:15" ht="20.100000000000001" customHeight="1" x14ac:dyDescent="0.25">
      <c r="A1068" s="2">
        <v>6</v>
      </c>
      <c r="B1068" s="2" t="str">
        <f>TEXT(Таблица97[[#This Row],[Дата]],"ГГ")&amp;RIGHT("000"&amp;Таблица97[[#This Row],[Номер]],4)</f>
        <v>190006</v>
      </c>
      <c r="C1068" s="129">
        <v>43479</v>
      </c>
      <c r="D1068" s="2" t="s">
        <v>56</v>
      </c>
      <c r="E1068" s="108">
        <v>21303</v>
      </c>
      <c r="F1068" s="129">
        <v>43523</v>
      </c>
      <c r="H1068" s="129">
        <v>43514</v>
      </c>
      <c r="I1068" s="108">
        <f t="shared" si="47"/>
        <v>21303</v>
      </c>
      <c r="J1068" s="108" t="str">
        <f>IF(Таблица97[[#This Row],[НК]]=1,Таблица97[[#This Row],[Продажа]],"")</f>
        <v/>
      </c>
      <c r="M1068" s="108">
        <v>14703</v>
      </c>
      <c r="N1068" s="108">
        <f>Таблица97[[#This Row],[Продажа]]-Таблица97[[#This Row],[Закупка]]</f>
        <v>6600</v>
      </c>
      <c r="O1068" s="108" t="str">
        <f>IF(Таблица97[[#This Row],[НК]]=1,Таблица97[[#This Row],[Маржа]],"")</f>
        <v/>
      </c>
    </row>
    <row r="1069" spans="1:15" ht="20.100000000000001" customHeight="1" x14ac:dyDescent="0.25">
      <c r="A1069" s="2">
        <v>84</v>
      </c>
      <c r="B1069" s="2" t="str">
        <f>TEXT(Таблица97[[#This Row],[Дата]],"ГГ")&amp;RIGHT("000"&amp;Таблица97[[#This Row],[Номер]],4)</f>
        <v>190084</v>
      </c>
      <c r="C1069" s="129">
        <v>43502</v>
      </c>
      <c r="D1069" s="2" t="s">
        <v>56</v>
      </c>
      <c r="E1069" s="108">
        <v>51518</v>
      </c>
      <c r="F1069" s="129">
        <v>43523</v>
      </c>
      <c r="H1069" s="129">
        <v>43514</v>
      </c>
      <c r="I1069" s="108">
        <f t="shared" si="47"/>
        <v>51518</v>
      </c>
      <c r="J1069" s="108" t="str">
        <f>IF(Таблица97[[#This Row],[НК]]=1,Таблица97[[#This Row],[Продажа]],"")</f>
        <v/>
      </c>
      <c r="M1069" s="108">
        <v>38265</v>
      </c>
      <c r="N1069" s="108">
        <f>Таблица97[[#This Row],[Продажа]]-Таблица97[[#This Row],[Закупка]]</f>
        <v>13253</v>
      </c>
      <c r="O1069" s="108" t="str">
        <f>IF(Таблица97[[#This Row],[НК]]=1,Таблица97[[#This Row],[Маржа]],"")</f>
        <v/>
      </c>
    </row>
    <row r="1070" spans="1:15" ht="20.100000000000001" customHeight="1" x14ac:dyDescent="0.25">
      <c r="A1070" s="2">
        <v>76</v>
      </c>
      <c r="B1070" s="2" t="str">
        <f>TEXT(Таблица97[[#This Row],[Дата]],"ГГ")&amp;RIGHT("000"&amp;Таблица97[[#This Row],[Номер]],4)</f>
        <v>190076</v>
      </c>
      <c r="C1070" s="129">
        <v>43510</v>
      </c>
      <c r="D1070" s="2" t="s">
        <v>248</v>
      </c>
      <c r="E1070" s="108">
        <v>8996</v>
      </c>
      <c r="F1070" s="129">
        <v>43523</v>
      </c>
      <c r="H1070" s="129">
        <v>43510</v>
      </c>
      <c r="I1070" s="108">
        <f t="shared" si="47"/>
        <v>8996</v>
      </c>
      <c r="J1070" s="108" t="str">
        <f>IF(Таблица97[[#This Row],[НК]]=1,Таблица97[[#This Row],[Продажа]],"")</f>
        <v/>
      </c>
      <c r="M1070" s="108">
        <v>6558</v>
      </c>
      <c r="N1070" s="108">
        <f>Таблица97[[#This Row],[Продажа]]-Таблица97[[#This Row],[Закупка]]</f>
        <v>2438</v>
      </c>
      <c r="O1070" s="108" t="str">
        <f>IF(Таблица97[[#This Row],[НК]]=1,Таблица97[[#This Row],[Маржа]],"")</f>
        <v/>
      </c>
    </row>
    <row r="1071" spans="1:15" ht="20.100000000000001" customHeight="1" x14ac:dyDescent="0.25">
      <c r="A1071" s="2">
        <v>146</v>
      </c>
      <c r="B1071" s="2" t="str">
        <f>TEXT(Таблица97[[#This Row],[Дата]],"ГГ")&amp;RIGHT("000"&amp;Таблица97[[#This Row],[Номер]],4)</f>
        <v>190146</v>
      </c>
      <c r="C1071" s="129">
        <v>43522</v>
      </c>
      <c r="D1071" s="2" t="s">
        <v>270</v>
      </c>
      <c r="E1071" s="108">
        <v>1795</v>
      </c>
      <c r="F1071" s="129">
        <v>43524</v>
      </c>
      <c r="H1071" s="129">
        <v>43528</v>
      </c>
      <c r="I1071" s="108">
        <f t="shared" si="47"/>
        <v>1795</v>
      </c>
      <c r="J1071" s="108" t="str">
        <f>IF(Таблица97[[#This Row],[НК]]=1,Таблица97[[#This Row],[Продажа]],"")</f>
        <v/>
      </c>
      <c r="M1071" s="108">
        <v>1339</v>
      </c>
      <c r="N1071" s="108">
        <f>Таблица97[[#This Row],[Продажа]]-Таблица97[[#This Row],[Закупка]]</f>
        <v>456</v>
      </c>
      <c r="O1071" s="108" t="str">
        <f>IF(Таблица97[[#This Row],[НК]]=1,Таблица97[[#This Row],[Маржа]],"")</f>
        <v/>
      </c>
    </row>
    <row r="1072" spans="1:15" ht="20.100000000000001" customHeight="1" x14ac:dyDescent="0.25">
      <c r="A1072" s="2">
        <v>48</v>
      </c>
      <c r="B1072" s="2" t="str">
        <f>TEXT(Таблица97[[#This Row],[Дата]],"ГГ")&amp;RIGHT("000"&amp;Таблица97[[#This Row],[Номер]],4)</f>
        <v>190048</v>
      </c>
      <c r="C1072" s="129">
        <v>43489</v>
      </c>
      <c r="D1072" s="2" t="s">
        <v>99</v>
      </c>
      <c r="E1072" s="108">
        <v>294341</v>
      </c>
      <c r="F1072" s="129">
        <v>43524</v>
      </c>
      <c r="H1072" s="129">
        <v>43496</v>
      </c>
      <c r="I1072" s="108">
        <f t="shared" si="47"/>
        <v>294341</v>
      </c>
      <c r="J1072" s="108" t="str">
        <f>IF(Таблица97[[#This Row],[НК]]=1,Таблица97[[#This Row],[Продажа]],"")</f>
        <v/>
      </c>
      <c r="K1072" s="108">
        <v>45000</v>
      </c>
      <c r="M1072" s="108">
        <v>106118</v>
      </c>
      <c r="N1072" s="108">
        <f>Таблица97[[#This Row],[Продажа]]-Таблица97[[#This Row],[Закупка]]</f>
        <v>188223</v>
      </c>
      <c r="O1072" s="108" t="str">
        <f>IF(Таблица97[[#This Row],[НК]]=1,Таблица97[[#This Row],[Маржа]],"")</f>
        <v/>
      </c>
    </row>
    <row r="1073" spans="1:15" ht="20.100000000000001" customHeight="1" x14ac:dyDescent="0.25">
      <c r="A1073" s="2">
        <v>125</v>
      </c>
      <c r="B1073" s="2" t="str">
        <f>TEXT(Таблица97[[#This Row],[Дата]],"ГГ")&amp;RIGHT("000"&amp;Таблица97[[#This Row],[Номер]],4)</f>
        <v>190125</v>
      </c>
      <c r="C1073" s="129">
        <v>43515</v>
      </c>
      <c r="D1073" s="2" t="s">
        <v>329</v>
      </c>
      <c r="E1073" s="108">
        <v>8924</v>
      </c>
      <c r="F1073" s="129">
        <v>43528</v>
      </c>
      <c r="H1073" s="129">
        <v>43537</v>
      </c>
      <c r="I1073" s="108">
        <f t="shared" ref="I1073:I1104" si="48">E1073</f>
        <v>8924</v>
      </c>
      <c r="J1073" s="108" t="str">
        <f>IF(Таблица97[[#This Row],[НК]]=1,Таблица97[[#This Row],[Продажа]],"")</f>
        <v/>
      </c>
      <c r="M1073" s="108">
        <v>6960</v>
      </c>
      <c r="N1073" s="108">
        <f>Таблица97[[#This Row],[Продажа]]-Таблица97[[#This Row],[Закупка]]</f>
        <v>1964</v>
      </c>
      <c r="O1073" s="108" t="str">
        <f>IF(Таблица97[[#This Row],[НК]]=1,Таблица97[[#This Row],[Маржа]],"")</f>
        <v/>
      </c>
    </row>
    <row r="1074" spans="1:15" ht="20.100000000000001" customHeight="1" x14ac:dyDescent="0.25">
      <c r="A1074" s="2">
        <v>135</v>
      </c>
      <c r="B1074" s="2" t="str">
        <f>TEXT(Таблица97[[#This Row],[Дата]],"ГГ")&amp;RIGHT("000"&amp;Таблица97[[#This Row],[Номер]],4)</f>
        <v>190135</v>
      </c>
      <c r="C1074" s="129">
        <v>43517</v>
      </c>
      <c r="D1074" s="2" t="s">
        <v>228</v>
      </c>
      <c r="E1074" s="108">
        <v>2000</v>
      </c>
      <c r="F1074" s="129">
        <v>43529</v>
      </c>
      <c r="H1074" s="129">
        <v>43518</v>
      </c>
      <c r="I1074" s="108">
        <f t="shared" si="48"/>
        <v>2000</v>
      </c>
      <c r="J1074" s="108" t="str">
        <f>IF(Таблица97[[#This Row],[НК]]=1,Таблица97[[#This Row],[Продажа]],"")</f>
        <v/>
      </c>
      <c r="M1074" s="108">
        <v>1300</v>
      </c>
      <c r="N1074" s="108">
        <f>Таблица97[[#This Row],[Продажа]]-Таблица97[[#This Row],[Закупка]]</f>
        <v>700</v>
      </c>
      <c r="O1074" s="108" t="str">
        <f>IF(Таблица97[[#This Row],[НК]]=1,Таблица97[[#This Row],[Маржа]],"")</f>
        <v/>
      </c>
    </row>
    <row r="1075" spans="1:15" ht="20.100000000000001" customHeight="1" x14ac:dyDescent="0.25">
      <c r="A1075" s="2">
        <v>164</v>
      </c>
      <c r="B1075" s="2" t="str">
        <f>TEXT(Таблица97[[#This Row],[Дата]],"ГГ")&amp;RIGHT("000"&amp;Таблица97[[#This Row],[Номер]],4)</f>
        <v>190164</v>
      </c>
      <c r="C1075" s="129">
        <v>43530</v>
      </c>
      <c r="D1075" s="2" t="s">
        <v>169</v>
      </c>
      <c r="E1075" s="108">
        <v>300</v>
      </c>
      <c r="F1075" s="129">
        <v>43531</v>
      </c>
      <c r="H1075" s="129">
        <v>43530</v>
      </c>
      <c r="I1075" s="108">
        <f t="shared" si="48"/>
        <v>300</v>
      </c>
      <c r="J1075" s="108" t="str">
        <f>IF(Таблица97[[#This Row],[НК]]=1,Таблица97[[#This Row],[Продажа]],"")</f>
        <v/>
      </c>
      <c r="M1075" s="108">
        <v>50</v>
      </c>
      <c r="N1075" s="108">
        <f>Таблица97[[#This Row],[Продажа]]-Таблица97[[#This Row],[Закупка]]</f>
        <v>250</v>
      </c>
      <c r="O1075" s="108" t="str">
        <f>IF(Таблица97[[#This Row],[НК]]=1,Таблица97[[#This Row],[Маржа]],"")</f>
        <v/>
      </c>
    </row>
    <row r="1076" spans="1:15" ht="20.100000000000001" customHeight="1" x14ac:dyDescent="0.25">
      <c r="A1076" s="2">
        <v>163</v>
      </c>
      <c r="B1076" s="2" t="str">
        <f>TEXT(Таблица97[[#This Row],[Дата]],"ГГ")&amp;RIGHT("000"&amp;Таблица97[[#This Row],[Номер]],4)</f>
        <v>190163</v>
      </c>
      <c r="C1076" s="129">
        <v>43530</v>
      </c>
      <c r="D1076" s="2" t="s">
        <v>373</v>
      </c>
      <c r="E1076" s="108">
        <v>1695</v>
      </c>
      <c r="F1076" s="129">
        <v>43531</v>
      </c>
      <c r="H1076" s="129">
        <v>43537</v>
      </c>
      <c r="I1076" s="108">
        <f t="shared" si="48"/>
        <v>1695</v>
      </c>
      <c r="J1076" s="108" t="str">
        <f>IF(Таблица97[[#This Row],[НК]]=1,Таблица97[[#This Row],[Продажа]],"")</f>
        <v/>
      </c>
      <c r="M1076" s="108">
        <v>1322</v>
      </c>
      <c r="N1076" s="108">
        <f>Таблица97[[#This Row],[Продажа]]-Таблица97[[#This Row],[Закупка]]</f>
        <v>373</v>
      </c>
      <c r="O1076" s="108" t="str">
        <f>IF(Таблица97[[#This Row],[НК]]=1,Таблица97[[#This Row],[Маржа]],"")</f>
        <v/>
      </c>
    </row>
    <row r="1077" spans="1:15" ht="19.5" customHeight="1" x14ac:dyDescent="0.25">
      <c r="A1077" s="2">
        <v>173</v>
      </c>
      <c r="B1077" s="2" t="str">
        <f>TEXT(Таблица97[[#This Row],[Дата]],"ГГ")&amp;RIGHT("000"&amp;Таблица97[[#This Row],[Номер]],4)</f>
        <v>190173</v>
      </c>
      <c r="C1077" s="129">
        <v>43531</v>
      </c>
      <c r="D1077" s="2" t="s">
        <v>238</v>
      </c>
      <c r="E1077" s="108">
        <v>1203</v>
      </c>
      <c r="F1077" s="129">
        <v>43531</v>
      </c>
      <c r="H1077" s="129">
        <v>43544</v>
      </c>
      <c r="I1077" s="108">
        <f t="shared" si="48"/>
        <v>1203</v>
      </c>
      <c r="J1077" s="108" t="str">
        <f>IF(Таблица97[[#This Row],[НК]]=1,Таблица97[[#This Row],[Продажа]],"")</f>
        <v/>
      </c>
      <c r="M1077" s="108">
        <v>938</v>
      </c>
      <c r="N1077" s="108">
        <f>Таблица97[[#This Row],[Продажа]]-Таблица97[[#This Row],[Закупка]]</f>
        <v>265</v>
      </c>
      <c r="O1077" s="108" t="str">
        <f>IF(Таблица97[[#This Row],[НК]]=1,Таблица97[[#This Row],[Маржа]],"")</f>
        <v/>
      </c>
    </row>
    <row r="1078" spans="1:15" ht="20.100000000000001" customHeight="1" x14ac:dyDescent="0.25">
      <c r="A1078" s="2">
        <v>152</v>
      </c>
      <c r="B1078" s="2" t="str">
        <f>TEXT(Таблица97[[#This Row],[Дата]],"ГГ")&amp;RIGHT("000"&amp;Таблица97[[#This Row],[Номер]],4)</f>
        <v>190152</v>
      </c>
      <c r="C1078" s="129">
        <v>43525</v>
      </c>
      <c r="D1078" s="2" t="s">
        <v>42</v>
      </c>
      <c r="E1078" s="108">
        <v>154590</v>
      </c>
      <c r="F1078" s="129">
        <v>43536</v>
      </c>
      <c r="H1078" s="129">
        <v>43538</v>
      </c>
      <c r="I1078" s="108">
        <f t="shared" si="48"/>
        <v>154590</v>
      </c>
      <c r="J1078" s="108" t="str">
        <f>IF(Таблица97[[#This Row],[НК]]=1,Таблица97[[#This Row],[Продажа]],"")</f>
        <v/>
      </c>
      <c r="M1078" s="108">
        <v>109943</v>
      </c>
      <c r="N1078" s="108">
        <f>Таблица97[[#This Row],[Продажа]]-Таблица97[[#This Row],[Закупка]]</f>
        <v>44647</v>
      </c>
      <c r="O1078" s="108" t="str">
        <f>IF(Таблица97[[#This Row],[НК]]=1,Таблица97[[#This Row],[Маржа]],"")</f>
        <v/>
      </c>
    </row>
    <row r="1079" spans="1:15" ht="20.100000000000001" customHeight="1" x14ac:dyDescent="0.25">
      <c r="A1079" s="2">
        <v>174</v>
      </c>
      <c r="B1079" s="2" t="str">
        <f>TEXT(Таблица97[[#This Row],[Дата]],"ГГ")&amp;RIGHT("000"&amp;Таблица97[[#This Row],[Номер]],4)</f>
        <v>190174</v>
      </c>
      <c r="C1079" s="129">
        <v>43531</v>
      </c>
      <c r="D1079" s="2" t="s">
        <v>42</v>
      </c>
      <c r="E1079" s="108">
        <v>5431</v>
      </c>
      <c r="F1079" s="129">
        <v>43536</v>
      </c>
      <c r="H1079" s="129">
        <v>43538</v>
      </c>
      <c r="I1079" s="108">
        <f t="shared" si="48"/>
        <v>5431</v>
      </c>
      <c r="J1079" s="108" t="str">
        <f>IF(Таблица97[[#This Row],[НК]]=1,Таблица97[[#This Row],[Продажа]],"")</f>
        <v/>
      </c>
      <c r="M1079" s="108">
        <v>3927</v>
      </c>
      <c r="N1079" s="108">
        <f>Таблица97[[#This Row],[Продажа]]-Таблица97[[#This Row],[Закупка]]</f>
        <v>1504</v>
      </c>
      <c r="O1079" s="108" t="str">
        <f>IF(Таблица97[[#This Row],[НК]]=1,Таблица97[[#This Row],[Маржа]],"")</f>
        <v/>
      </c>
    </row>
    <row r="1080" spans="1:15" ht="20.100000000000001" customHeight="1" x14ac:dyDescent="0.25">
      <c r="A1080" s="2">
        <v>184</v>
      </c>
      <c r="B1080" s="2" t="str">
        <f>TEXT(Таблица97[[#This Row],[Дата]],"ГГ")&amp;RIGHT("000"&amp;Таблица97[[#This Row],[Номер]],4)</f>
        <v>190184</v>
      </c>
      <c r="C1080" s="129">
        <v>43536</v>
      </c>
      <c r="D1080" s="2" t="s">
        <v>71</v>
      </c>
      <c r="E1080" s="108">
        <v>1290</v>
      </c>
      <c r="F1080" s="129">
        <v>43536</v>
      </c>
      <c r="H1080" s="129">
        <v>43539</v>
      </c>
      <c r="I1080" s="108">
        <f t="shared" si="48"/>
        <v>1290</v>
      </c>
      <c r="J1080" s="108" t="str">
        <f>IF(Таблица97[[#This Row],[НК]]=1,Таблица97[[#This Row],[Продажа]],"")</f>
        <v/>
      </c>
      <c r="M1080" s="108">
        <v>1005</v>
      </c>
      <c r="N1080" s="108">
        <f>Таблица97[[#This Row],[Продажа]]-Таблица97[[#This Row],[Закупка]]</f>
        <v>285</v>
      </c>
      <c r="O1080" s="108" t="str">
        <f>IF(Таблица97[[#This Row],[НК]]=1,Таблица97[[#This Row],[Маржа]],"")</f>
        <v/>
      </c>
    </row>
    <row r="1081" spans="1:15" ht="20.100000000000001" customHeight="1" x14ac:dyDescent="0.25">
      <c r="A1081" s="2">
        <v>178</v>
      </c>
      <c r="B1081" s="2" t="str">
        <f>TEXT(Таблица97[[#This Row],[Дата]],"ГГ")&amp;RIGHT("000"&amp;Таблица97[[#This Row],[Номер]],4)</f>
        <v>190178</v>
      </c>
      <c r="C1081" s="129">
        <v>43535</v>
      </c>
      <c r="D1081" s="2" t="s">
        <v>139</v>
      </c>
      <c r="E1081" s="108">
        <v>2162</v>
      </c>
      <c r="F1081" s="129">
        <v>43537</v>
      </c>
      <c r="H1081" s="129">
        <v>43552</v>
      </c>
      <c r="I1081" s="108">
        <f t="shared" si="48"/>
        <v>2162</v>
      </c>
      <c r="J1081" s="108" t="str">
        <f>IF(Таблица97[[#This Row],[НК]]=1,Таблица97[[#This Row],[Продажа]],"")</f>
        <v/>
      </c>
      <c r="M1081" s="108">
        <v>1427</v>
      </c>
      <c r="N1081" s="108">
        <f>Таблица97[[#This Row],[Продажа]]-Таблица97[[#This Row],[Закупка]]</f>
        <v>735</v>
      </c>
      <c r="O1081" s="108" t="str">
        <f>IF(Таблица97[[#This Row],[НК]]=1,Таблица97[[#This Row],[Маржа]],"")</f>
        <v/>
      </c>
    </row>
    <row r="1082" spans="1:15" ht="20.100000000000001" customHeight="1" x14ac:dyDescent="0.25">
      <c r="A1082" s="2">
        <v>83</v>
      </c>
      <c r="B1082" s="2" t="str">
        <f>TEXT(Таблица97[[#This Row],[Дата]],"ГГ")&amp;RIGHT("000"&amp;Таблица97[[#This Row],[Номер]],4)</f>
        <v>190083</v>
      </c>
      <c r="C1082" s="129">
        <v>43502</v>
      </c>
      <c r="D1082" s="2" t="s">
        <v>175</v>
      </c>
      <c r="E1082" s="108">
        <v>9153.25</v>
      </c>
      <c r="F1082" s="129">
        <v>43538</v>
      </c>
      <c r="H1082" s="129">
        <v>43543</v>
      </c>
      <c r="I1082" s="108">
        <f t="shared" si="48"/>
        <v>9153.25</v>
      </c>
      <c r="J1082" s="108" t="str">
        <f>IF(Таблица97[[#This Row],[НК]]=1,Таблица97[[#This Row],[Продажа]],"")</f>
        <v/>
      </c>
      <c r="M1082" s="108">
        <v>7466</v>
      </c>
      <c r="N1082" s="108">
        <f>Таблица97[[#This Row],[Продажа]]-Таблица97[[#This Row],[Закупка]]</f>
        <v>1687.25</v>
      </c>
      <c r="O1082" s="108" t="str">
        <f>IF(Таблица97[[#This Row],[НК]]=1,Таблица97[[#This Row],[Маржа]],"")</f>
        <v/>
      </c>
    </row>
    <row r="1083" spans="1:15" ht="20.100000000000001" customHeight="1" x14ac:dyDescent="0.25">
      <c r="A1083" s="2">
        <v>100</v>
      </c>
      <c r="B1083" s="2" t="str">
        <f>TEXT(Таблица97[[#This Row],[Дата]],"ГГ")&amp;RIGHT("000"&amp;Таблица97[[#This Row],[Номер]],4)</f>
        <v>190100</v>
      </c>
      <c r="C1083" s="129">
        <v>43508</v>
      </c>
      <c r="D1083" s="2" t="s">
        <v>367</v>
      </c>
      <c r="E1083" s="108">
        <v>1535</v>
      </c>
      <c r="F1083" s="129">
        <v>43539</v>
      </c>
      <c r="G1083" s="128">
        <v>1</v>
      </c>
      <c r="H1083" s="129">
        <v>43545</v>
      </c>
      <c r="I1083" s="108">
        <f t="shared" si="48"/>
        <v>1535</v>
      </c>
      <c r="J1083" s="108">
        <f>IF(Таблица97[[#This Row],[НК]]=1,Таблица97[[#This Row],[Продажа]],"")</f>
        <v>1535</v>
      </c>
      <c r="M1083" s="108">
        <v>1197</v>
      </c>
      <c r="N1083" s="108">
        <f>Таблица97[[#This Row],[Продажа]]-Таблица97[[#This Row],[Закупка]]</f>
        <v>338</v>
      </c>
      <c r="O1083" s="108">
        <f>IF(Таблица97[[#This Row],[НК]]=1,Таблица97[[#This Row],[Маржа]],"")</f>
        <v>338</v>
      </c>
    </row>
    <row r="1084" spans="1:15" ht="20.100000000000001" customHeight="1" x14ac:dyDescent="0.25">
      <c r="A1084" s="2">
        <v>148</v>
      </c>
      <c r="B1084" s="2" t="str">
        <f>TEXT(Таблица97[[#This Row],[Дата]],"ГГ")&amp;RIGHT("000"&amp;Таблица97[[#This Row],[Номер]],4)</f>
        <v>190148</v>
      </c>
      <c r="C1084" s="129">
        <v>43523</v>
      </c>
      <c r="D1084" s="2" t="s">
        <v>169</v>
      </c>
      <c r="E1084" s="108">
        <v>104549</v>
      </c>
      <c r="F1084" s="129">
        <v>43539</v>
      </c>
      <c r="H1084" s="129">
        <v>43539</v>
      </c>
      <c r="I1084" s="108">
        <f t="shared" si="48"/>
        <v>104549</v>
      </c>
      <c r="J1084" s="108" t="str">
        <f>IF(Таблица97[[#This Row],[НК]]=1,Таблица97[[#This Row],[Продажа]],"")</f>
        <v/>
      </c>
      <c r="M1084" s="108">
        <v>75412</v>
      </c>
      <c r="N1084" s="108">
        <f>Таблица97[[#This Row],[Продажа]]-Таблица97[[#This Row],[Закупка]]</f>
        <v>29137</v>
      </c>
      <c r="O1084" s="108" t="str">
        <f>IF(Таблица97[[#This Row],[НК]]=1,Таблица97[[#This Row],[Маржа]],"")</f>
        <v/>
      </c>
    </row>
    <row r="1085" spans="1:15" ht="20.100000000000001" customHeight="1" x14ac:dyDescent="0.25">
      <c r="A1085" s="2">
        <v>153</v>
      </c>
      <c r="B1085" s="2" t="str">
        <f>TEXT(Таблица97[[#This Row],[Дата]],"ГГ")&amp;RIGHT("000"&amp;Таблица97[[#This Row],[Номер]],4)</f>
        <v>190153</v>
      </c>
      <c r="C1085" s="129">
        <v>43528</v>
      </c>
      <c r="D1085" s="2" t="s">
        <v>45</v>
      </c>
      <c r="E1085" s="108">
        <v>74898</v>
      </c>
      <c r="F1085" s="129">
        <v>43539</v>
      </c>
      <c r="H1085" s="129">
        <v>43557</v>
      </c>
      <c r="I1085" s="108">
        <f t="shared" si="48"/>
        <v>74898</v>
      </c>
      <c r="J1085" s="108" t="str">
        <f>IF(Таблица97[[#This Row],[НК]]=1,Таблица97[[#This Row],[Продажа]],"")</f>
        <v/>
      </c>
      <c r="M1085" s="108">
        <v>49761</v>
      </c>
      <c r="N1085" s="108">
        <f>Таблица97[[#This Row],[Продажа]]-Таблица97[[#This Row],[Закупка]]</f>
        <v>25137</v>
      </c>
      <c r="O1085" s="108" t="str">
        <f>IF(Таблица97[[#This Row],[НК]]=1,Таблица97[[#This Row],[Маржа]],"")</f>
        <v/>
      </c>
    </row>
    <row r="1086" spans="1:15" ht="20.100000000000001" customHeight="1" x14ac:dyDescent="0.25">
      <c r="A1086" s="2">
        <v>77</v>
      </c>
      <c r="B1086" s="2" t="str">
        <f>TEXT(Таблица97[[#This Row],[Дата]],"ГГ")&amp;RIGHT("000"&amp;Таблица97[[#This Row],[Номер]],4)</f>
        <v>190077</v>
      </c>
      <c r="C1086" s="129">
        <v>43515</v>
      </c>
      <c r="D1086" s="2" t="s">
        <v>248</v>
      </c>
      <c r="E1086" s="108">
        <v>13770</v>
      </c>
      <c r="F1086" s="129">
        <v>43539</v>
      </c>
      <c r="H1086" s="129">
        <v>43518</v>
      </c>
      <c r="I1086" s="108">
        <f t="shared" si="48"/>
        <v>13770</v>
      </c>
      <c r="J1086" s="108" t="str">
        <f>IF(Таблица97[[#This Row],[НК]]=1,Таблица97[[#This Row],[Продажа]],"")</f>
        <v/>
      </c>
      <c r="M1086" s="108">
        <v>9964</v>
      </c>
      <c r="N1086" s="108">
        <f>Таблица97[[#This Row],[Продажа]]-Таблица97[[#This Row],[Закупка]]</f>
        <v>3806</v>
      </c>
      <c r="O1086" s="108" t="str">
        <f>IF(Таблица97[[#This Row],[НК]]=1,Таблица97[[#This Row],[Маржа]],"")</f>
        <v/>
      </c>
    </row>
    <row r="1087" spans="1:15" ht="20.100000000000001" customHeight="1" x14ac:dyDescent="0.25">
      <c r="A1087" s="2">
        <v>202</v>
      </c>
      <c r="B1087" s="2" t="str">
        <f>TEXT(Таблица97[[#This Row],[Дата]],"ГГ")&amp;RIGHT("000"&amp;Таблица97[[#This Row],[Номер]],4)</f>
        <v>190202</v>
      </c>
      <c r="C1087" s="129">
        <v>43539</v>
      </c>
      <c r="D1087" s="2" t="s">
        <v>91</v>
      </c>
      <c r="E1087" s="108">
        <v>5176</v>
      </c>
      <c r="F1087" s="129">
        <v>43539</v>
      </c>
      <c r="H1087" s="129">
        <v>43544</v>
      </c>
      <c r="I1087" s="108">
        <f t="shared" si="48"/>
        <v>5176</v>
      </c>
      <c r="J1087" s="108" t="str">
        <f>IF(Таблица97[[#This Row],[НК]]=1,Таблица97[[#This Row],[Продажа]],"")</f>
        <v/>
      </c>
      <c r="M1087" s="108">
        <v>3862</v>
      </c>
      <c r="N1087" s="108">
        <f>Таблица97[[#This Row],[Продажа]]-Таблица97[[#This Row],[Закупка]]</f>
        <v>1314</v>
      </c>
      <c r="O1087" s="108" t="str">
        <f>IF(Таблица97[[#This Row],[НК]]=1,Таблица97[[#This Row],[Маржа]],"")</f>
        <v/>
      </c>
    </row>
    <row r="1088" spans="1:15" ht="20.100000000000001" customHeight="1" x14ac:dyDescent="0.25">
      <c r="A1088" s="2">
        <v>139</v>
      </c>
      <c r="B1088" s="2" t="str">
        <f>TEXT(Таблица97[[#This Row],[Дата]],"ГГ")&amp;RIGHT("000"&amp;Таблица97[[#This Row],[Номер]],4)</f>
        <v>190139</v>
      </c>
      <c r="C1088" s="129">
        <v>43524</v>
      </c>
      <c r="D1088" s="2" t="s">
        <v>228</v>
      </c>
      <c r="E1088" s="108">
        <v>51860.5</v>
      </c>
      <c r="F1088" s="129">
        <v>43543</v>
      </c>
      <c r="H1088" s="129">
        <v>43528</v>
      </c>
      <c r="I1088" s="108">
        <f t="shared" si="48"/>
        <v>51860.5</v>
      </c>
      <c r="J1088" s="108" t="str">
        <f>IF(Таблица97[[#This Row],[НК]]=1,Таблица97[[#This Row],[Продажа]],"")</f>
        <v/>
      </c>
      <c r="M1088" s="108">
        <v>39456</v>
      </c>
      <c r="N1088" s="108">
        <f>Таблица97[[#This Row],[Продажа]]-Таблица97[[#This Row],[Закупка]]</f>
        <v>12404.5</v>
      </c>
      <c r="O1088" s="108" t="str">
        <f>IF(Таблица97[[#This Row],[НК]]=1,Таблица97[[#This Row],[Маржа]],"")</f>
        <v/>
      </c>
    </row>
    <row r="1089" spans="1:15" ht="20.100000000000001" customHeight="1" x14ac:dyDescent="0.25">
      <c r="A1089" s="2">
        <v>165</v>
      </c>
      <c r="B1089" s="2" t="str">
        <f>TEXT(Таблица97[[#This Row],[Дата]],"ГГ")&amp;RIGHT("000"&amp;Таблица97[[#This Row],[Номер]],4)</f>
        <v>190165</v>
      </c>
      <c r="C1089" s="129">
        <v>43530</v>
      </c>
      <c r="D1089" s="2" t="s">
        <v>228</v>
      </c>
      <c r="E1089" s="108">
        <v>55248</v>
      </c>
      <c r="F1089" s="129">
        <v>43543</v>
      </c>
      <c r="H1089" s="129">
        <v>43558</v>
      </c>
      <c r="I1089" s="108">
        <f t="shared" si="48"/>
        <v>55248</v>
      </c>
      <c r="J1089" s="108" t="str">
        <f>IF(Таблица97[[#This Row],[НК]]=1,Таблица97[[#This Row],[Продажа]],"")</f>
        <v/>
      </c>
      <c r="L1089" s="108">
        <f>2*600</f>
        <v>1200</v>
      </c>
      <c r="M1089" s="108">
        <v>31835</v>
      </c>
      <c r="N1089" s="108">
        <f>Таблица97[[#This Row],[Продажа]]-Таблица97[[#This Row],[Закупка]]</f>
        <v>23413</v>
      </c>
      <c r="O1089" s="108" t="str">
        <f>IF(Таблица97[[#This Row],[НК]]=1,Таблица97[[#This Row],[Маржа]],"")</f>
        <v/>
      </c>
    </row>
    <row r="1090" spans="1:15" ht="20.100000000000001" customHeight="1" x14ac:dyDescent="0.25">
      <c r="A1090" s="2">
        <v>166</v>
      </c>
      <c r="B1090" s="2" t="str">
        <f>TEXT(Таблица97[[#This Row],[Дата]],"ГГ")&amp;RIGHT("000"&amp;Таблица97[[#This Row],[Номер]],4)</f>
        <v>190166</v>
      </c>
      <c r="C1090" s="129">
        <v>43530</v>
      </c>
      <c r="D1090" s="2" t="s">
        <v>228</v>
      </c>
      <c r="E1090" s="108">
        <v>21918</v>
      </c>
      <c r="F1090" s="129">
        <v>43543</v>
      </c>
      <c r="H1090" s="129">
        <v>43558</v>
      </c>
      <c r="I1090" s="108">
        <f t="shared" si="48"/>
        <v>21918</v>
      </c>
      <c r="J1090" s="108" t="str">
        <f>IF(Таблица97[[#This Row],[НК]]=1,Таблица97[[#This Row],[Продажа]],"")</f>
        <v/>
      </c>
      <c r="M1090" s="108">
        <v>12737</v>
      </c>
      <c r="N1090" s="108">
        <f>Таблица97[[#This Row],[Продажа]]-Таблица97[[#This Row],[Закупка]]</f>
        <v>9181</v>
      </c>
      <c r="O1090" s="108" t="str">
        <f>IF(Таблица97[[#This Row],[НК]]=1,Таблица97[[#This Row],[Маржа]],"")</f>
        <v/>
      </c>
    </row>
    <row r="1091" spans="1:15" ht="20.100000000000001" customHeight="1" x14ac:dyDescent="0.25">
      <c r="A1091" s="2">
        <v>187</v>
      </c>
      <c r="B1091" s="2" t="str">
        <f>TEXT(Таблица97[[#This Row],[Дата]],"ГГ")&amp;RIGHT("000"&amp;Таблица97[[#This Row],[Номер]],4)</f>
        <v>190187</v>
      </c>
      <c r="C1091" s="129">
        <v>43537</v>
      </c>
      <c r="D1091" s="2" t="s">
        <v>60</v>
      </c>
      <c r="E1091" s="108">
        <v>24595</v>
      </c>
      <c r="F1091" s="129">
        <v>43543</v>
      </c>
      <c r="H1091" s="129">
        <v>43537</v>
      </c>
      <c r="I1091" s="108">
        <f t="shared" si="48"/>
        <v>24595</v>
      </c>
      <c r="J1091" s="108" t="str">
        <f>IF(Таблица97[[#This Row],[НК]]=1,Таблица97[[#This Row],[Продажа]],"")</f>
        <v/>
      </c>
      <c r="M1091" s="108">
        <v>8634</v>
      </c>
      <c r="N1091" s="108">
        <f>Таблица97[[#This Row],[Продажа]]-Таблица97[[#This Row],[Закупка]]</f>
        <v>15961</v>
      </c>
      <c r="O1091" s="108" t="str">
        <f>IF(Таблица97[[#This Row],[НК]]=1,Таблица97[[#This Row],[Маржа]],"")</f>
        <v/>
      </c>
    </row>
    <row r="1092" spans="1:15" ht="20.100000000000001" customHeight="1" x14ac:dyDescent="0.25">
      <c r="A1092" s="2">
        <v>218</v>
      </c>
      <c r="B1092" s="2" t="str">
        <f>TEXT(Таблица97[[#This Row],[Дата]],"ГГ")&amp;RIGHT("000"&amp;Таблица97[[#This Row],[Номер]],4)</f>
        <v>190218</v>
      </c>
      <c r="C1092" s="129">
        <v>43544</v>
      </c>
      <c r="D1092" s="2" t="s">
        <v>355</v>
      </c>
      <c r="E1092" s="108">
        <v>19990</v>
      </c>
      <c r="F1092" s="129">
        <v>43545</v>
      </c>
      <c r="H1092" s="129">
        <v>43546</v>
      </c>
      <c r="I1092" s="108">
        <f t="shared" si="48"/>
        <v>19990</v>
      </c>
      <c r="J1092" s="108" t="str">
        <f>IF(Таблица97[[#This Row],[НК]]=1,Таблица97[[#This Row],[Продажа]],"")</f>
        <v/>
      </c>
      <c r="M1092" s="108">
        <v>14692</v>
      </c>
      <c r="N1092" s="108">
        <f>Таблица97[[#This Row],[Продажа]]-Таблица97[[#This Row],[Закупка]]</f>
        <v>5298</v>
      </c>
      <c r="O1092" s="108" t="str">
        <f>IF(Таблица97[[#This Row],[НК]]=1,Таблица97[[#This Row],[Маржа]],"")</f>
        <v/>
      </c>
    </row>
    <row r="1093" spans="1:15" ht="20.100000000000001" customHeight="1" x14ac:dyDescent="0.25">
      <c r="A1093" s="2">
        <v>130</v>
      </c>
      <c r="B1093" s="2" t="str">
        <f>TEXT(Таблица97[[#This Row],[Дата]],"ГГ")&amp;RIGHT("000"&amp;Таблица97[[#This Row],[Номер]],4)</f>
        <v>190130</v>
      </c>
      <c r="C1093" s="129">
        <v>43516</v>
      </c>
      <c r="D1093" s="2" t="s">
        <v>13</v>
      </c>
      <c r="E1093" s="108">
        <v>17260</v>
      </c>
      <c r="F1093" s="129">
        <v>43545</v>
      </c>
      <c r="H1093" s="129">
        <v>43535</v>
      </c>
      <c r="I1093" s="108">
        <f t="shared" si="48"/>
        <v>17260</v>
      </c>
      <c r="J1093" s="108" t="str">
        <f>IF(Таблица97[[#This Row],[НК]]=1,Таблица97[[#This Row],[Продажа]],"")</f>
        <v/>
      </c>
      <c r="M1093" s="108">
        <v>13086</v>
      </c>
      <c r="N1093" s="108">
        <f>Таблица97[[#This Row],[Продажа]]-Таблица97[[#This Row],[Закупка]]</f>
        <v>4174</v>
      </c>
      <c r="O1093" s="108" t="str">
        <f>IF(Таблица97[[#This Row],[НК]]=1,Таблица97[[#This Row],[Маржа]],"")</f>
        <v/>
      </c>
    </row>
    <row r="1094" spans="1:15" ht="20.100000000000001" customHeight="1" x14ac:dyDescent="0.25">
      <c r="A1094" s="2">
        <v>112</v>
      </c>
      <c r="B1094" s="2" t="str">
        <f>TEXT(Таблица97[[#This Row],[Дата]],"ГГ")&amp;RIGHT("000"&amp;Таблица97[[#This Row],[Номер]],4)</f>
        <v>190112</v>
      </c>
      <c r="C1094" s="129">
        <v>43510</v>
      </c>
      <c r="D1094" s="2" t="s">
        <v>11</v>
      </c>
      <c r="E1094" s="108">
        <v>2412</v>
      </c>
      <c r="F1094" s="129">
        <v>43545</v>
      </c>
      <c r="H1094" s="129">
        <v>43552</v>
      </c>
      <c r="I1094" s="108">
        <f t="shared" si="48"/>
        <v>2412</v>
      </c>
      <c r="J1094" s="108" t="str">
        <f>IF(Таблица97[[#This Row],[НК]]=1,Таблица97[[#This Row],[Продажа]],"")</f>
        <v/>
      </c>
      <c r="M1094" s="108">
        <v>1476</v>
      </c>
      <c r="N1094" s="108">
        <f>Таблица97[[#This Row],[Продажа]]-Таблица97[[#This Row],[Закупка]]</f>
        <v>936</v>
      </c>
      <c r="O1094" s="108" t="str">
        <f>IF(Таблица97[[#This Row],[НК]]=1,Таблица97[[#This Row],[Маржа]],"")</f>
        <v/>
      </c>
    </row>
    <row r="1095" spans="1:15" ht="20.100000000000001" customHeight="1" x14ac:dyDescent="0.25">
      <c r="A1095" s="2">
        <v>222</v>
      </c>
      <c r="B1095" s="2" t="str">
        <f>TEXT(Таблица97[[#This Row],[Дата]],"ГГ")&amp;RIGHT("000"&amp;Таблица97[[#This Row],[Номер]],4)</f>
        <v>190222</v>
      </c>
      <c r="C1095" s="129">
        <v>43545</v>
      </c>
      <c r="D1095" s="2" t="s">
        <v>263</v>
      </c>
      <c r="E1095" s="108">
        <v>13277</v>
      </c>
      <c r="F1095" s="129">
        <v>43545</v>
      </c>
      <c r="H1095" s="129">
        <v>43546</v>
      </c>
      <c r="I1095" s="108">
        <f t="shared" si="48"/>
        <v>13277</v>
      </c>
      <c r="J1095" s="108" t="str">
        <f>IF(Таблица97[[#This Row],[НК]]=1,Таблица97[[#This Row],[Продажа]],"")</f>
        <v/>
      </c>
      <c r="M1095" s="108">
        <v>10284</v>
      </c>
      <c r="N1095" s="108">
        <f>Таблица97[[#This Row],[Продажа]]-Таблица97[[#This Row],[Закупка]]</f>
        <v>2993</v>
      </c>
      <c r="O1095" s="108" t="str">
        <f>IF(Таблица97[[#This Row],[НК]]=1,Таблица97[[#This Row],[Маржа]],"")</f>
        <v/>
      </c>
    </row>
    <row r="1096" spans="1:15" ht="20.100000000000001" customHeight="1" x14ac:dyDescent="0.25">
      <c r="A1096" s="2">
        <v>204</v>
      </c>
      <c r="B1096" s="2" t="str">
        <f>TEXT(Таблица97[[#This Row],[Дата]],"ГГ")&amp;RIGHT("000"&amp;Таблица97[[#This Row],[Номер]],4)</f>
        <v>190204</v>
      </c>
      <c r="C1096" s="129">
        <v>43542</v>
      </c>
      <c r="D1096" s="2" t="s">
        <v>186</v>
      </c>
      <c r="E1096" s="108">
        <v>39002</v>
      </c>
      <c r="F1096" s="129">
        <v>43546</v>
      </c>
      <c r="H1096" s="129">
        <v>43634</v>
      </c>
      <c r="I1096" s="108">
        <f t="shared" si="48"/>
        <v>39002</v>
      </c>
      <c r="J1096" s="108" t="str">
        <f>IF(Таблица97[[#This Row],[НК]]=1,Таблица97[[#This Row],[Продажа]],"")</f>
        <v/>
      </c>
      <c r="M1096" s="108">
        <v>30468</v>
      </c>
      <c r="N1096" s="108">
        <f>Таблица97[[#This Row],[Продажа]]-Таблица97[[#This Row],[Закупка]]</f>
        <v>8534</v>
      </c>
      <c r="O1096" s="108" t="str">
        <f>IF(Таблица97[[#This Row],[НК]]=1,Таблица97[[#This Row],[Маржа]],"")</f>
        <v/>
      </c>
    </row>
    <row r="1097" spans="1:15" ht="20.100000000000001" customHeight="1" x14ac:dyDescent="0.25">
      <c r="A1097" s="2">
        <v>203</v>
      </c>
      <c r="B1097" s="2" t="str">
        <f>TEXT(Таблица97[[#This Row],[Дата]],"ГГ")&amp;RIGHT("000"&amp;Таблица97[[#This Row],[Номер]],4)</f>
        <v>190203</v>
      </c>
      <c r="C1097" s="129">
        <v>43542</v>
      </c>
      <c r="D1097" s="2" t="s">
        <v>329</v>
      </c>
      <c r="E1097" s="108">
        <v>6030</v>
      </c>
      <c r="F1097" s="129">
        <v>43549</v>
      </c>
      <c r="H1097" s="129">
        <v>43559</v>
      </c>
      <c r="I1097" s="108">
        <f t="shared" si="48"/>
        <v>6030</v>
      </c>
      <c r="J1097" s="108" t="str">
        <f>IF(Таблица97[[#This Row],[НК]]=1,Таблица97[[#This Row],[Продажа]],"")</f>
        <v/>
      </c>
      <c r="M1097" s="108">
        <v>4703</v>
      </c>
      <c r="N1097" s="108">
        <f>Таблица97[[#This Row],[Продажа]]-Таблица97[[#This Row],[Закупка]]</f>
        <v>1327</v>
      </c>
      <c r="O1097" s="108" t="str">
        <f>IF(Таблица97[[#This Row],[НК]]=1,Таблица97[[#This Row],[Маржа]],"")</f>
        <v/>
      </c>
    </row>
    <row r="1098" spans="1:15" ht="20.100000000000001" customHeight="1" x14ac:dyDescent="0.25">
      <c r="A1098" s="2">
        <v>162</v>
      </c>
      <c r="B1098" s="2" t="str">
        <f>TEXT(Таблица97[[#This Row],[Дата]],"ГГ")&amp;RIGHT("000"&amp;Таблица97[[#This Row],[Номер]],4)</f>
        <v>190162</v>
      </c>
      <c r="C1098" s="129">
        <v>43530</v>
      </c>
      <c r="D1098" s="2" t="s">
        <v>363</v>
      </c>
      <c r="E1098" s="108">
        <v>10760</v>
      </c>
      <c r="F1098" s="129">
        <v>43549</v>
      </c>
      <c r="H1098" s="129">
        <v>43556</v>
      </c>
      <c r="I1098" s="108">
        <f t="shared" si="48"/>
        <v>10760</v>
      </c>
      <c r="J1098" s="108" t="str">
        <f>IF(Таблица97[[#This Row],[НК]]=1,Таблица97[[#This Row],[Продажа]],"")</f>
        <v/>
      </c>
      <c r="M1098" s="108">
        <v>8728</v>
      </c>
      <c r="N1098" s="108">
        <f>Таблица97[[#This Row],[Продажа]]-Таблица97[[#This Row],[Закупка]]</f>
        <v>2032</v>
      </c>
      <c r="O1098" s="108" t="str">
        <f>IF(Таблица97[[#This Row],[НК]]=1,Таблица97[[#This Row],[Маржа]],"")</f>
        <v/>
      </c>
    </row>
    <row r="1099" spans="1:15" ht="20.100000000000001" customHeight="1" x14ac:dyDescent="0.25">
      <c r="A1099" s="2">
        <v>236</v>
      </c>
      <c r="B1099" s="2" t="str">
        <f>TEXT(Таблица97[[#This Row],[Дата]],"ГГ")&amp;RIGHT("000"&amp;Таблица97[[#This Row],[Номер]],4)</f>
        <v>190236</v>
      </c>
      <c r="C1099" s="129">
        <v>43550</v>
      </c>
      <c r="D1099" s="2" t="s">
        <v>374</v>
      </c>
      <c r="E1099" s="108">
        <v>77058</v>
      </c>
      <c r="F1099" s="129">
        <v>43550</v>
      </c>
      <c r="G1099" s="128">
        <v>1</v>
      </c>
      <c r="H1099" s="129">
        <v>43553</v>
      </c>
      <c r="I1099" s="108">
        <f t="shared" si="48"/>
        <v>77058</v>
      </c>
      <c r="J1099" s="108">
        <f>IF(Таблица97[[#This Row],[НК]]=1,Таблица97[[#This Row],[Продажа]],"")</f>
        <v>77058</v>
      </c>
      <c r="L1099" s="108">
        <v>600</v>
      </c>
      <c r="M1099" s="108">
        <v>53976</v>
      </c>
      <c r="N1099" s="108">
        <f>Таблица97[[#This Row],[Продажа]]-Таблица97[[#This Row],[Закупка]]</f>
        <v>23082</v>
      </c>
      <c r="O1099" s="108">
        <f>IF(Таблица97[[#This Row],[НК]]=1,Таблица97[[#This Row],[Маржа]],"")</f>
        <v>23082</v>
      </c>
    </row>
    <row r="1100" spans="1:15" ht="20.100000000000001" customHeight="1" x14ac:dyDescent="0.25">
      <c r="A1100" s="2">
        <v>227</v>
      </c>
      <c r="B1100" s="2" t="str">
        <f>TEXT(Таблица97[[#This Row],[Дата]],"ГГ")&amp;RIGHT("000"&amp;Таблица97[[#This Row],[Номер]],4)</f>
        <v>190227</v>
      </c>
      <c r="C1100" s="129">
        <v>43549</v>
      </c>
      <c r="D1100" s="2" t="s">
        <v>139</v>
      </c>
      <c r="E1100" s="108">
        <v>9720</v>
      </c>
      <c r="F1100" s="129">
        <v>43550</v>
      </c>
      <c r="H1100" s="129">
        <v>43566</v>
      </c>
      <c r="I1100" s="108">
        <f t="shared" si="48"/>
        <v>9720</v>
      </c>
      <c r="J1100" s="108" t="str">
        <f>IF(Таблица97[[#This Row],[НК]]=1,Таблица97[[#This Row],[Продажа]],"")</f>
        <v/>
      </c>
      <c r="M1100" s="108">
        <v>7580</v>
      </c>
      <c r="N1100" s="108">
        <f>Таблица97[[#This Row],[Продажа]]-Таблица97[[#This Row],[Закупка]]</f>
        <v>2140</v>
      </c>
      <c r="O1100" s="108" t="str">
        <f>IF(Таблица97[[#This Row],[НК]]=1,Таблица97[[#This Row],[Маржа]],"")</f>
        <v/>
      </c>
    </row>
    <row r="1101" spans="1:15" ht="20.100000000000001" customHeight="1" x14ac:dyDescent="0.25">
      <c r="A1101" s="2">
        <v>212</v>
      </c>
      <c r="B1101" s="2" t="str">
        <f>TEXT(Таблица97[[#This Row],[Дата]],"ГГ")&amp;RIGHT("000"&amp;Таблица97[[#This Row],[Номер]],4)</f>
        <v>190212</v>
      </c>
      <c r="C1101" s="129">
        <v>43516</v>
      </c>
      <c r="D1101" s="2" t="s">
        <v>206</v>
      </c>
      <c r="E1101" s="108">
        <v>980</v>
      </c>
      <c r="F1101" s="129">
        <v>43551</v>
      </c>
      <c r="H1101" s="129">
        <v>43545</v>
      </c>
      <c r="I1101" s="108">
        <f t="shared" si="48"/>
        <v>980</v>
      </c>
      <c r="J1101" s="108" t="str">
        <f>IF(Таблица97[[#This Row],[НК]]=1,Таблица97[[#This Row],[Продажа]],"")</f>
        <v/>
      </c>
      <c r="M1101" s="108">
        <v>646</v>
      </c>
      <c r="N1101" s="108">
        <f>Таблица97[[#This Row],[Продажа]]-Таблица97[[#This Row],[Закупка]]</f>
        <v>334</v>
      </c>
      <c r="O1101" s="108" t="str">
        <f>IF(Таблица97[[#This Row],[НК]]=1,Таблица97[[#This Row],[Маржа]],"")</f>
        <v/>
      </c>
    </row>
    <row r="1102" spans="1:15" ht="20.100000000000001" customHeight="1" x14ac:dyDescent="0.25">
      <c r="A1102" s="2">
        <v>213</v>
      </c>
      <c r="B1102" s="2" t="str">
        <f>TEXT(Таблица97[[#This Row],[Дата]],"ГГ")&amp;RIGHT("000"&amp;Таблица97[[#This Row],[Номер]],4)</f>
        <v>190213</v>
      </c>
      <c r="C1102" s="129">
        <v>43516</v>
      </c>
      <c r="D1102" s="2" t="s">
        <v>375</v>
      </c>
      <c r="E1102" s="108">
        <v>19990</v>
      </c>
      <c r="F1102" s="129">
        <v>43551</v>
      </c>
      <c r="G1102" s="128">
        <v>1</v>
      </c>
      <c r="H1102" s="129">
        <v>43559</v>
      </c>
      <c r="I1102" s="108">
        <f t="shared" si="48"/>
        <v>19990</v>
      </c>
      <c r="J1102" s="108">
        <f>IF(Таблица97[[#This Row],[НК]]=1,Таблица97[[#This Row],[Продажа]],"")</f>
        <v>19990</v>
      </c>
      <c r="M1102" s="108">
        <v>14692</v>
      </c>
      <c r="N1102" s="108">
        <f>Таблица97[[#This Row],[Продажа]]-Таблица97[[#This Row],[Закупка]]</f>
        <v>5298</v>
      </c>
      <c r="O1102" s="108">
        <f>IF(Таблица97[[#This Row],[НК]]=1,Таблица97[[#This Row],[Маржа]],"")</f>
        <v>5298</v>
      </c>
    </row>
    <row r="1103" spans="1:15" ht="20.100000000000001" customHeight="1" x14ac:dyDescent="0.25">
      <c r="A1103" s="2">
        <v>242</v>
      </c>
      <c r="B1103" s="2" t="str">
        <f>TEXT(Таблица97[[#This Row],[Дата]],"ГГ")&amp;RIGHT("000"&amp;Таблица97[[#This Row],[Номер]],4)</f>
        <v>190242</v>
      </c>
      <c r="C1103" s="129">
        <v>43551</v>
      </c>
      <c r="D1103" s="2" t="s">
        <v>6</v>
      </c>
      <c r="E1103" s="108">
        <v>7700</v>
      </c>
      <c r="F1103" s="129">
        <v>43552</v>
      </c>
      <c r="H1103" s="129">
        <v>43552</v>
      </c>
      <c r="I1103" s="108">
        <f t="shared" si="48"/>
        <v>7700</v>
      </c>
      <c r="J1103" s="108" t="str">
        <f>IF(Таблица97[[#This Row],[НК]]=1,Таблица97[[#This Row],[Продажа]],"")</f>
        <v/>
      </c>
      <c r="M1103" s="108">
        <v>5476</v>
      </c>
      <c r="N1103" s="108">
        <f>Таблица97[[#This Row],[Продажа]]-Таблица97[[#This Row],[Закупка]]</f>
        <v>2224</v>
      </c>
      <c r="O1103" s="108" t="str">
        <f>IF(Таблица97[[#This Row],[НК]]=1,Таблица97[[#This Row],[Маржа]],"")</f>
        <v/>
      </c>
    </row>
    <row r="1104" spans="1:15" ht="20.100000000000001" customHeight="1" x14ac:dyDescent="0.25">
      <c r="A1104" s="2">
        <v>247</v>
      </c>
      <c r="B1104" s="2" t="str">
        <f>TEXT(Таблица97[[#This Row],[Дата]],"ГГ")&amp;RIGHT("000"&amp;Таблица97[[#This Row],[Номер]],4)</f>
        <v>190247</v>
      </c>
      <c r="C1104" s="129">
        <v>43552</v>
      </c>
      <c r="D1104" s="2" t="s">
        <v>194</v>
      </c>
      <c r="E1104" s="108">
        <v>1390</v>
      </c>
      <c r="F1104" s="129">
        <v>43552</v>
      </c>
      <c r="H1104" s="129">
        <v>43556</v>
      </c>
      <c r="I1104" s="108">
        <f t="shared" si="48"/>
        <v>1390</v>
      </c>
      <c r="J1104" s="108" t="str">
        <f>IF(Таблица97[[#This Row],[НК]]=1,Таблица97[[#This Row],[Продажа]],"")</f>
        <v/>
      </c>
      <c r="M1104" s="108">
        <v>1084</v>
      </c>
      <c r="N1104" s="108">
        <f>Таблица97[[#This Row],[Продажа]]-Таблица97[[#This Row],[Закупка]]</f>
        <v>306</v>
      </c>
      <c r="O1104" s="108" t="str">
        <f>IF(Таблица97[[#This Row],[НК]]=1,Таблица97[[#This Row],[Маржа]],"")</f>
        <v/>
      </c>
    </row>
    <row r="1105" spans="1:15" ht="20.100000000000001" customHeight="1" x14ac:dyDescent="0.25">
      <c r="A1105" s="2">
        <v>31</v>
      </c>
      <c r="B1105" s="2" t="str">
        <f>TEXT(Таблица97[[#This Row],[Дата]],"ГГ")&amp;RIGHT("000"&amp;Таблица97[[#This Row],[Номер]],4)</f>
        <v>190031</v>
      </c>
      <c r="C1105" s="129">
        <v>43515</v>
      </c>
      <c r="D1105" s="2" t="s">
        <v>65</v>
      </c>
      <c r="E1105" s="108">
        <v>371973</v>
      </c>
      <c r="F1105" s="129">
        <v>43553</v>
      </c>
      <c r="H1105" s="129">
        <v>43530</v>
      </c>
      <c r="I1105" s="108">
        <v>196722.6</v>
      </c>
      <c r="J1105" s="108" t="str">
        <f>IF(Таблица97[[#This Row],[НК]]=1,Таблица97[[#This Row],[Продажа]],"")</f>
        <v/>
      </c>
      <c r="L1105" s="108">
        <v>36600</v>
      </c>
      <c r="M1105" s="108">
        <v>108618</v>
      </c>
      <c r="N1105" s="108">
        <f>Таблица97[[#This Row],[Продажа]]-Таблица97[[#This Row],[Закупка]]</f>
        <v>88104.6</v>
      </c>
      <c r="O1105" s="108" t="str">
        <f>IF(Таблица97[[#This Row],[НК]]=1,Таблица97[[#This Row],[Маржа]],"")</f>
        <v/>
      </c>
    </row>
    <row r="1106" spans="1:15" ht="20.100000000000001" customHeight="1" x14ac:dyDescent="0.25">
      <c r="A1106" s="2">
        <v>244</v>
      </c>
      <c r="B1106" s="2" t="str">
        <f>TEXT(Таблица97[[#This Row],[Дата]],"ГГ")&amp;RIGHT("000"&amp;Таблица97[[#This Row],[Номер]],4)</f>
        <v>190244</v>
      </c>
      <c r="C1106" s="129">
        <v>43552</v>
      </c>
      <c r="D1106" s="2" t="s">
        <v>372</v>
      </c>
      <c r="E1106" s="108">
        <v>4613</v>
      </c>
      <c r="F1106" s="129">
        <v>43556</v>
      </c>
      <c r="H1106" s="129">
        <v>43565</v>
      </c>
      <c r="I1106" s="108">
        <f t="shared" ref="I1106:I1133" si="49">E1106</f>
        <v>4613</v>
      </c>
      <c r="J1106" s="108" t="str">
        <f>IF(Таблица97[[#This Row],[НК]]=1,Таблица97[[#This Row],[Продажа]],"")</f>
        <v/>
      </c>
      <c r="M1106" s="108">
        <v>3354</v>
      </c>
      <c r="N1106" s="108">
        <f>Таблица97[[#This Row],[Продажа]]-Таблица97[[#This Row],[Закупка]]</f>
        <v>1259</v>
      </c>
      <c r="O1106" s="108" t="str">
        <f>IF(Таблица97[[#This Row],[НК]]=1,Таблица97[[#This Row],[Маржа]],"")</f>
        <v/>
      </c>
    </row>
    <row r="1107" spans="1:15" ht="20.100000000000001" customHeight="1" x14ac:dyDescent="0.25">
      <c r="A1107" s="2">
        <v>205</v>
      </c>
      <c r="B1107" s="2" t="str">
        <f>TEXT(Таблица97[[#This Row],[Дата]],"ГГ")&amp;RIGHT("000"&amp;Таблица97[[#This Row],[Номер]],4)</f>
        <v>190205</v>
      </c>
      <c r="C1107" s="129">
        <v>43543</v>
      </c>
      <c r="D1107" s="2" t="s">
        <v>11</v>
      </c>
      <c r="E1107" s="108">
        <v>5822</v>
      </c>
      <c r="F1107" s="129">
        <v>43557</v>
      </c>
      <c r="H1107" s="129">
        <v>43560</v>
      </c>
      <c r="I1107" s="108">
        <f t="shared" si="49"/>
        <v>5822</v>
      </c>
      <c r="J1107" s="108" t="str">
        <f>IF(Таблица97[[#This Row],[НК]]=1,Таблица97[[#This Row],[Продажа]],"")</f>
        <v/>
      </c>
      <c r="M1107" s="108">
        <v>3841</v>
      </c>
      <c r="N1107" s="108">
        <f>Таблица97[[#This Row],[Продажа]]-Таблица97[[#This Row],[Закупка]]</f>
        <v>1981</v>
      </c>
      <c r="O1107" s="108" t="str">
        <f>IF(Таблица97[[#This Row],[НК]]=1,Таблица97[[#This Row],[Маржа]],"")</f>
        <v/>
      </c>
    </row>
    <row r="1108" spans="1:15" ht="20.100000000000001" customHeight="1" x14ac:dyDescent="0.25">
      <c r="A1108" s="2">
        <v>273</v>
      </c>
      <c r="B1108" s="2" t="str">
        <f>TEXT(Таблица97[[#This Row],[Дата]],"ГГ")&amp;RIGHT("000"&amp;Таблица97[[#This Row],[Номер]],4)</f>
        <v>190273</v>
      </c>
      <c r="C1108" s="129">
        <v>43559</v>
      </c>
      <c r="D1108" s="2" t="s">
        <v>376</v>
      </c>
      <c r="E1108" s="108">
        <v>122942.6</v>
      </c>
      <c r="F1108" s="129">
        <v>43560</v>
      </c>
      <c r="G1108" s="128">
        <v>1</v>
      </c>
      <c r="H1108" s="129">
        <v>43570</v>
      </c>
      <c r="I1108" s="108">
        <f t="shared" si="49"/>
        <v>122942.6</v>
      </c>
      <c r="J1108" s="108">
        <f>IF(Таблица97[[#This Row],[НК]]=1,Таблица97[[#This Row],[Продажа]],"")</f>
        <v>122942.6</v>
      </c>
      <c r="M1108" s="108">
        <v>96052</v>
      </c>
      <c r="N1108" s="108">
        <f>Таблица97[[#This Row],[Продажа]]-Таблица97[[#This Row],[Закупка]]</f>
        <v>26890.600000000006</v>
      </c>
      <c r="O1108" s="108">
        <f>IF(Таблица97[[#This Row],[НК]]=1,Таблица97[[#This Row],[Маржа]],"")</f>
        <v>26890.600000000006</v>
      </c>
    </row>
    <row r="1109" spans="1:15" ht="20.100000000000001" customHeight="1" x14ac:dyDescent="0.25">
      <c r="A1109" s="2">
        <v>267</v>
      </c>
      <c r="B1109" s="2" t="str">
        <f>TEXT(Таблица97[[#This Row],[Дата]],"ГГ")&amp;RIGHT("000"&amp;Таблица97[[#This Row],[Номер]],4)</f>
        <v>190267</v>
      </c>
      <c r="C1109" s="129">
        <v>43558</v>
      </c>
      <c r="D1109" s="2" t="s">
        <v>149</v>
      </c>
      <c r="E1109" s="108">
        <v>3387</v>
      </c>
      <c r="F1109" s="129">
        <v>43560</v>
      </c>
      <c r="H1109" s="129">
        <v>43570</v>
      </c>
      <c r="I1109" s="108">
        <f t="shared" si="49"/>
        <v>3387</v>
      </c>
      <c r="J1109" s="108" t="str">
        <f>IF(Таблица97[[#This Row],[НК]]=1,Таблица97[[#This Row],[Продажа]],"")</f>
        <v/>
      </c>
      <c r="M1109" s="108">
        <v>2640</v>
      </c>
      <c r="N1109" s="108">
        <f>Таблица97[[#This Row],[Продажа]]-Таблица97[[#This Row],[Закупка]]</f>
        <v>747</v>
      </c>
      <c r="O1109" s="108" t="str">
        <f>IF(Таблица97[[#This Row],[НК]]=1,Таблица97[[#This Row],[Маржа]],"")</f>
        <v/>
      </c>
    </row>
    <row r="1110" spans="1:15" ht="20.100000000000001" customHeight="1" x14ac:dyDescent="0.25">
      <c r="A1110" s="2">
        <v>282</v>
      </c>
      <c r="B1110" s="2" t="str">
        <f>TEXT(Таблица97[[#This Row],[Дата]],"ГГ")&amp;RIGHT("000"&amp;Таблица97[[#This Row],[Номер]],4)</f>
        <v>190282</v>
      </c>
      <c r="C1110" s="129">
        <v>43560</v>
      </c>
      <c r="D1110" s="2" t="s">
        <v>149</v>
      </c>
      <c r="E1110" s="108">
        <v>2556</v>
      </c>
      <c r="F1110" s="129">
        <v>43560</v>
      </c>
      <c r="H1110" s="129">
        <v>43563</v>
      </c>
      <c r="I1110" s="108">
        <f t="shared" si="49"/>
        <v>2556</v>
      </c>
      <c r="J1110" s="108" t="str">
        <f>IF(Таблица97[[#This Row],[НК]]=1,Таблица97[[#This Row],[Продажа]],"")</f>
        <v/>
      </c>
      <c r="M1110" s="108">
        <v>1992</v>
      </c>
      <c r="N1110" s="108">
        <f>Таблица97[[#This Row],[Продажа]]-Таблица97[[#This Row],[Закупка]]</f>
        <v>564</v>
      </c>
      <c r="O1110" s="108" t="str">
        <f>IF(Таблица97[[#This Row],[НК]]=1,Таблица97[[#This Row],[Маржа]],"")</f>
        <v/>
      </c>
    </row>
    <row r="1111" spans="1:15" ht="20.100000000000001" customHeight="1" x14ac:dyDescent="0.25">
      <c r="A1111" s="2">
        <v>230</v>
      </c>
      <c r="B1111" s="2" t="str">
        <f>TEXT(Таблица97[[#This Row],[Дата]],"ГГ")&amp;RIGHT("000"&amp;Таблица97[[#This Row],[Номер]],4)</f>
        <v>190230</v>
      </c>
      <c r="C1111" s="129">
        <v>43549</v>
      </c>
      <c r="D1111" s="2" t="s">
        <v>99</v>
      </c>
      <c r="E1111" s="108">
        <v>27880</v>
      </c>
      <c r="F1111" s="129">
        <v>43560</v>
      </c>
      <c r="H1111" s="129">
        <v>43556</v>
      </c>
      <c r="I1111" s="108">
        <f t="shared" si="49"/>
        <v>27880</v>
      </c>
      <c r="J1111" s="108" t="str">
        <f>IF(Таблица97[[#This Row],[НК]]=1,Таблица97[[#This Row],[Продажа]],"")</f>
        <v/>
      </c>
      <c r="M1111" s="108">
        <v>17260</v>
      </c>
      <c r="N1111" s="108">
        <f>Таблица97[[#This Row],[Продажа]]-Таблица97[[#This Row],[Закупка]]</f>
        <v>10620</v>
      </c>
      <c r="O1111" s="108" t="str">
        <f>IF(Таблица97[[#This Row],[НК]]=1,Таблица97[[#This Row],[Маржа]],"")</f>
        <v/>
      </c>
    </row>
    <row r="1112" spans="1:15" ht="20.100000000000001" customHeight="1" x14ac:dyDescent="0.25">
      <c r="A1112" s="2">
        <v>206</v>
      </c>
      <c r="B1112" s="2" t="str">
        <f>TEXT(Таблица97[[#This Row],[Дата]],"ГГ")&amp;RIGHT("000"&amp;Таблица97[[#This Row],[Номер]],4)</f>
        <v>190206</v>
      </c>
      <c r="C1112" s="129">
        <v>43543</v>
      </c>
      <c r="D1112" s="2" t="s">
        <v>99</v>
      </c>
      <c r="E1112" s="108">
        <v>216495</v>
      </c>
      <c r="F1112" s="129">
        <v>43560</v>
      </c>
      <c r="H1112" s="129">
        <v>43549</v>
      </c>
      <c r="I1112" s="108">
        <f t="shared" si="49"/>
        <v>216495</v>
      </c>
      <c r="J1112" s="108" t="str">
        <f>IF(Таблица97[[#This Row],[НК]]=1,Таблица97[[#This Row],[Продажа]],"")</f>
        <v/>
      </c>
      <c r="K1112" s="108">
        <v>45000</v>
      </c>
      <c r="M1112" s="108">
        <v>51203</v>
      </c>
      <c r="N1112" s="108">
        <f>Таблица97[[#This Row],[Продажа]]-Таблица97[[#This Row],[Закупка]]</f>
        <v>165292</v>
      </c>
      <c r="O1112" s="108" t="str">
        <f>IF(Таблица97[[#This Row],[НК]]=1,Таблица97[[#This Row],[Маржа]],"")</f>
        <v/>
      </c>
    </row>
    <row r="1113" spans="1:15" ht="20.100000000000001" customHeight="1" x14ac:dyDescent="0.25">
      <c r="A1113" s="2">
        <v>281</v>
      </c>
      <c r="B1113" s="2" t="str">
        <f>TEXT(Таблица97[[#This Row],[Дата]],"ГГ")&amp;RIGHT("000"&amp;Таблица97[[#This Row],[Номер]],4)</f>
        <v>190281</v>
      </c>
      <c r="C1113" s="129">
        <v>43560</v>
      </c>
      <c r="D1113" s="2" t="s">
        <v>118</v>
      </c>
      <c r="E1113" s="108">
        <v>24463</v>
      </c>
      <c r="F1113" s="129">
        <v>43560</v>
      </c>
      <c r="H1113" s="129">
        <v>43560</v>
      </c>
      <c r="I1113" s="108">
        <f t="shared" si="49"/>
        <v>24463</v>
      </c>
      <c r="J1113" s="108" t="str">
        <f>IF(Таблица97[[#This Row],[НК]]=1,Таблица97[[#This Row],[Продажа]],"")</f>
        <v/>
      </c>
      <c r="M1113" s="108">
        <v>20850</v>
      </c>
      <c r="N1113" s="108">
        <f>Таблица97[[#This Row],[Продажа]]-Таблица97[[#This Row],[Закупка]]</f>
        <v>3613</v>
      </c>
      <c r="O1113" s="108" t="str">
        <f>IF(Таблица97[[#This Row],[НК]]=1,Таблица97[[#This Row],[Маржа]],"")</f>
        <v/>
      </c>
    </row>
    <row r="1114" spans="1:15" ht="20.100000000000001" customHeight="1" x14ac:dyDescent="0.25">
      <c r="A1114" s="2">
        <v>284</v>
      </c>
      <c r="B1114" s="2" t="str">
        <f>TEXT(Таблица97[[#This Row],[Дата]],"ГГ")&amp;RIGHT("000"&amp;Таблица97[[#This Row],[Номер]],4)</f>
        <v>190284</v>
      </c>
      <c r="C1114" s="129">
        <v>43560</v>
      </c>
      <c r="D1114" s="2" t="s">
        <v>377</v>
      </c>
      <c r="E1114" s="108">
        <v>34990</v>
      </c>
      <c r="F1114" s="129">
        <v>43563</v>
      </c>
      <c r="G1114" s="128">
        <v>1</v>
      </c>
      <c r="H1114" s="129">
        <v>43565</v>
      </c>
      <c r="I1114" s="108">
        <f t="shared" si="49"/>
        <v>34990</v>
      </c>
      <c r="J1114" s="108">
        <f>IF(Таблица97[[#This Row],[НК]]=1,Таблица97[[#This Row],[Продажа]],"")</f>
        <v>34990</v>
      </c>
      <c r="M1114" s="108">
        <v>25717</v>
      </c>
      <c r="N1114" s="108">
        <f>Таблица97[[#This Row],[Продажа]]-Таблица97[[#This Row],[Закупка]]</f>
        <v>9273</v>
      </c>
      <c r="O1114" s="108">
        <f>IF(Таблица97[[#This Row],[НК]]=1,Таблица97[[#This Row],[Маржа]],"")</f>
        <v>9273</v>
      </c>
    </row>
    <row r="1115" spans="1:15" ht="20.100000000000001" customHeight="1" x14ac:dyDescent="0.25">
      <c r="A1115" s="2">
        <v>132</v>
      </c>
      <c r="B1115" s="2" t="str">
        <f>TEXT(Таблица97[[#This Row],[Дата]],"ГГ")&amp;RIGHT("000"&amp;Таблица97[[#This Row],[Номер]],4)</f>
        <v>190132</v>
      </c>
      <c r="C1115" s="129">
        <v>43522</v>
      </c>
      <c r="D1115" s="2" t="s">
        <v>56</v>
      </c>
      <c r="E1115" s="108">
        <v>28492</v>
      </c>
      <c r="F1115" s="129">
        <v>43565</v>
      </c>
      <c r="H1115" s="129">
        <v>43556</v>
      </c>
      <c r="I1115" s="108">
        <f t="shared" si="49"/>
        <v>28492</v>
      </c>
      <c r="J1115" s="108" t="str">
        <f>IF(Таблица97[[#This Row],[НК]]=1,Таблица97[[#This Row],[Продажа]],"")</f>
        <v/>
      </c>
      <c r="M1115" s="108">
        <v>22251</v>
      </c>
      <c r="N1115" s="108">
        <f>Таблица97[[#This Row],[Продажа]]-Таблица97[[#This Row],[Закупка]]</f>
        <v>6241</v>
      </c>
      <c r="O1115" s="108" t="str">
        <f>IF(Таблица97[[#This Row],[НК]]=1,Таблица97[[#This Row],[Маржа]],"")</f>
        <v/>
      </c>
    </row>
    <row r="1116" spans="1:15" ht="20.100000000000001" customHeight="1" x14ac:dyDescent="0.25">
      <c r="A1116" s="2">
        <v>207</v>
      </c>
      <c r="B1116" s="2" t="str">
        <f>TEXT(Таблица97[[#This Row],[Дата]],"ГГ")&amp;RIGHT("000"&amp;Таблица97[[#This Row],[Номер]],4)</f>
        <v>190207</v>
      </c>
      <c r="C1116" s="129">
        <v>43543</v>
      </c>
      <c r="D1116" s="2" t="s">
        <v>56</v>
      </c>
      <c r="E1116" s="108">
        <v>29843</v>
      </c>
      <c r="F1116" s="129">
        <v>43565</v>
      </c>
      <c r="H1116" s="129">
        <v>43556</v>
      </c>
      <c r="I1116" s="108">
        <f t="shared" si="49"/>
        <v>29843</v>
      </c>
      <c r="J1116" s="108" t="str">
        <f>IF(Таблица97[[#This Row],[НК]]=1,Таблица97[[#This Row],[Продажа]],"")</f>
        <v/>
      </c>
      <c r="M1116" s="108">
        <v>22885</v>
      </c>
      <c r="N1116" s="108">
        <f>Таблица97[[#This Row],[Продажа]]-Таблица97[[#This Row],[Закупка]]</f>
        <v>6958</v>
      </c>
      <c r="O1116" s="108" t="str">
        <f>IF(Таблица97[[#This Row],[НК]]=1,Таблица97[[#This Row],[Маржа]],"")</f>
        <v/>
      </c>
    </row>
    <row r="1117" spans="1:15" ht="20.100000000000001" customHeight="1" x14ac:dyDescent="0.25">
      <c r="A1117" s="2">
        <v>286</v>
      </c>
      <c r="B1117" s="2" t="str">
        <f>TEXT(Таблица97[[#This Row],[Дата]],"ГГ")&amp;RIGHT("000"&amp;Таблица97[[#This Row],[Номер]],4)</f>
        <v>190286</v>
      </c>
      <c r="C1117" s="129">
        <v>43563</v>
      </c>
      <c r="D1117" s="2" t="s">
        <v>209</v>
      </c>
      <c r="E1117" s="108">
        <v>10653.05</v>
      </c>
      <c r="F1117" s="129">
        <v>43565</v>
      </c>
      <c r="H1117" s="129">
        <v>43570</v>
      </c>
      <c r="I1117" s="108">
        <f t="shared" si="49"/>
        <v>10653.05</v>
      </c>
      <c r="J1117" s="108" t="str">
        <f>IF(Таблица97[[#This Row],[НК]]=1,Таблица97[[#This Row],[Продажа]],"")</f>
        <v/>
      </c>
      <c r="M1117" s="108">
        <v>9156</v>
      </c>
      <c r="N1117" s="108">
        <f>Таблица97[[#This Row],[Продажа]]-Таблица97[[#This Row],[Закупка]]</f>
        <v>1497.0499999999993</v>
      </c>
      <c r="O1117" s="108" t="str">
        <f>IF(Таблица97[[#This Row],[НК]]=1,Таблица97[[#This Row],[Маржа]],"")</f>
        <v/>
      </c>
    </row>
    <row r="1118" spans="1:15" ht="20.100000000000001" customHeight="1" x14ac:dyDescent="0.25">
      <c r="A1118" s="2">
        <v>38</v>
      </c>
      <c r="B1118" s="2" t="str">
        <f>TEXT(Таблица97[[#This Row],[Дата]],"ГГ")&amp;RIGHT("000"&amp;Таблица97[[#This Row],[Номер]],4)</f>
        <v>190038</v>
      </c>
      <c r="C1118" s="129">
        <v>43522</v>
      </c>
      <c r="D1118" s="2" t="s">
        <v>38</v>
      </c>
      <c r="E1118" s="108">
        <v>806556</v>
      </c>
      <c r="F1118" s="129">
        <v>43566</v>
      </c>
      <c r="H1118" s="129">
        <v>43551</v>
      </c>
      <c r="I1118" s="108">
        <f t="shared" si="49"/>
        <v>806556</v>
      </c>
      <c r="J1118" s="108" t="str">
        <f>IF(Таблица97[[#This Row],[НК]]=1,Таблица97[[#This Row],[Продажа]],"")</f>
        <v/>
      </c>
      <c r="M1118" s="108">
        <v>575070</v>
      </c>
      <c r="N1118" s="108">
        <f>Таблица97[[#This Row],[Продажа]]-Таблица97[[#This Row],[Закупка]]</f>
        <v>231486</v>
      </c>
      <c r="O1118" s="108" t="str">
        <f>IF(Таблица97[[#This Row],[НК]]=1,Таблица97[[#This Row],[Маржа]],"")</f>
        <v/>
      </c>
    </row>
    <row r="1119" spans="1:15" ht="20.100000000000001" customHeight="1" x14ac:dyDescent="0.25">
      <c r="A1119" s="2">
        <v>274</v>
      </c>
      <c r="B1119" s="2" t="str">
        <f>TEXT(Таблица97[[#This Row],[Дата]],"ГГ")&amp;RIGHT("000"&amp;Таблица97[[#This Row],[Номер]],4)</f>
        <v>190274</v>
      </c>
      <c r="C1119" s="129">
        <v>43559</v>
      </c>
      <c r="D1119" s="2" t="s">
        <v>49</v>
      </c>
      <c r="E1119" s="108">
        <v>205</v>
      </c>
      <c r="F1119" s="129">
        <v>43570</v>
      </c>
      <c r="H1119" s="129">
        <v>43571</v>
      </c>
      <c r="I1119" s="108">
        <f t="shared" si="49"/>
        <v>205</v>
      </c>
      <c r="J1119" s="108" t="str">
        <f>IF(Таблица97[[#This Row],[НК]]=1,Таблица97[[#This Row],[Продажа]],"")</f>
        <v/>
      </c>
      <c r="M1119" s="108">
        <v>135</v>
      </c>
      <c r="N1119" s="108">
        <f>Таблица97[[#This Row],[Продажа]]-Таблица97[[#This Row],[Закупка]]</f>
        <v>70</v>
      </c>
      <c r="O1119" s="108" t="str">
        <f>IF(Таблица97[[#This Row],[НК]]=1,Таблица97[[#This Row],[Маржа]],"")</f>
        <v/>
      </c>
    </row>
    <row r="1120" spans="1:15" ht="20.100000000000001" customHeight="1" x14ac:dyDescent="0.25">
      <c r="A1120" s="2">
        <v>313</v>
      </c>
      <c r="B1120" s="2" t="str">
        <f>TEXT(Таблица97[[#This Row],[Дата]],"ГГ")&amp;RIGHT("000"&amp;Таблица97[[#This Row],[Номер]],4)</f>
        <v>190313</v>
      </c>
      <c r="C1120" s="129">
        <v>43567</v>
      </c>
      <c r="D1120" s="2" t="s">
        <v>379</v>
      </c>
      <c r="E1120" s="108">
        <v>7689</v>
      </c>
      <c r="F1120" s="129">
        <v>43570</v>
      </c>
      <c r="G1120" s="128">
        <v>1</v>
      </c>
      <c r="H1120" s="129">
        <v>43571</v>
      </c>
      <c r="I1120" s="108">
        <f t="shared" si="49"/>
        <v>7689</v>
      </c>
      <c r="J1120" s="108">
        <f>IF(Таблица97[[#This Row],[НК]]=1,Таблица97[[#This Row],[Продажа]],"")</f>
        <v>7689</v>
      </c>
      <c r="M1120" s="108">
        <v>6026</v>
      </c>
      <c r="N1120" s="108">
        <f>Таблица97[[#This Row],[Продажа]]-Таблица97[[#This Row],[Закупка]]</f>
        <v>1663</v>
      </c>
      <c r="O1120" s="108">
        <f>IF(Таблица97[[#This Row],[НК]]=1,Таблица97[[#This Row],[Маржа]],"")</f>
        <v>1663</v>
      </c>
    </row>
    <row r="1121" spans="1:15" ht="20.100000000000001" customHeight="1" x14ac:dyDescent="0.25">
      <c r="A1121" s="2">
        <v>317</v>
      </c>
      <c r="B1121" s="2" t="str">
        <f>TEXT(Таблица97[[#This Row],[Дата]],"ГГ")&amp;RIGHT("000"&amp;Таблица97[[#This Row],[Номер]],4)</f>
        <v>190317</v>
      </c>
      <c r="C1121" s="129">
        <v>43570</v>
      </c>
      <c r="D1121" s="2" t="s">
        <v>307</v>
      </c>
      <c r="E1121" s="108">
        <v>5118</v>
      </c>
      <c r="F1121" s="129">
        <v>43570</v>
      </c>
      <c r="H1121" s="129">
        <v>43598</v>
      </c>
      <c r="I1121" s="108">
        <f t="shared" si="49"/>
        <v>5118</v>
      </c>
      <c r="J1121" s="108" t="str">
        <f>IF(Таблица97[[#This Row],[НК]]=1,Таблица97[[#This Row],[Продажа]],"")</f>
        <v/>
      </c>
      <c r="M1121" s="108">
        <v>3378</v>
      </c>
      <c r="N1121" s="108">
        <f>Таблица97[[#This Row],[Продажа]]-Таблица97[[#This Row],[Закупка]]</f>
        <v>1740</v>
      </c>
      <c r="O1121" s="108" t="str">
        <f>IF(Таблица97[[#This Row],[НК]]=1,Таблица97[[#This Row],[Маржа]],"")</f>
        <v/>
      </c>
    </row>
    <row r="1122" spans="1:15" ht="20.100000000000001" customHeight="1" x14ac:dyDescent="0.25">
      <c r="A1122" s="2">
        <v>324</v>
      </c>
      <c r="B1122" s="2" t="str">
        <f>TEXT(Таблица97[[#This Row],[Дата]],"ГГ")&amp;RIGHT("000"&amp;Таблица97[[#This Row],[Номер]],4)</f>
        <v>190324</v>
      </c>
      <c r="C1122" s="129">
        <v>43570</v>
      </c>
      <c r="D1122" s="2" t="s">
        <v>281</v>
      </c>
      <c r="E1122" s="108">
        <v>2258</v>
      </c>
      <c r="F1122" s="129">
        <v>43571</v>
      </c>
      <c r="H1122" s="129">
        <v>43577</v>
      </c>
      <c r="I1122" s="108">
        <f t="shared" si="49"/>
        <v>2258</v>
      </c>
      <c r="J1122" s="108" t="str">
        <f>IF(Таблица97[[#This Row],[НК]]=1,Таблица97[[#This Row],[Продажа]],"")</f>
        <v/>
      </c>
      <c r="M1122" s="108">
        <v>1760</v>
      </c>
      <c r="N1122" s="108">
        <f>Таблица97[[#This Row],[Продажа]]-Таблица97[[#This Row],[Закупка]]</f>
        <v>498</v>
      </c>
      <c r="O1122" s="108" t="str">
        <f>IF(Таблица97[[#This Row],[НК]]=1,Таблица97[[#This Row],[Маржа]],"")</f>
        <v/>
      </c>
    </row>
    <row r="1123" spans="1:15" ht="20.100000000000001" customHeight="1" x14ac:dyDescent="0.25">
      <c r="A1123" s="2">
        <v>328</v>
      </c>
      <c r="B1123" s="2" t="str">
        <f>TEXT(Таблица97[[#This Row],[Дата]],"ГГ")&amp;RIGHT("000"&amp;Таблица97[[#This Row],[Номер]],4)</f>
        <v>190328</v>
      </c>
      <c r="C1123" s="129">
        <v>43571</v>
      </c>
      <c r="D1123" s="2" t="s">
        <v>354</v>
      </c>
      <c r="E1123" s="108">
        <v>4050</v>
      </c>
      <c r="F1123" s="129">
        <v>43571</v>
      </c>
      <c r="H1123" s="129">
        <v>43573</v>
      </c>
      <c r="I1123" s="108">
        <f t="shared" si="49"/>
        <v>4050</v>
      </c>
      <c r="J1123" s="108" t="str">
        <f>IF(Таблица97[[#This Row],[НК]]=1,Таблица97[[#This Row],[Продажа]],"")</f>
        <v/>
      </c>
      <c r="M1123" s="108">
        <v>3378</v>
      </c>
      <c r="N1123" s="108">
        <f>Таблица97[[#This Row],[Продажа]]-Таблица97[[#This Row],[Закупка]]</f>
        <v>672</v>
      </c>
      <c r="O1123" s="108" t="str">
        <f>IF(Таблица97[[#This Row],[НК]]=1,Таблица97[[#This Row],[Маржа]],"")</f>
        <v/>
      </c>
    </row>
    <row r="1124" spans="1:15" ht="20.100000000000001" customHeight="1" x14ac:dyDescent="0.25">
      <c r="A1124" s="2">
        <v>285</v>
      </c>
      <c r="B1124" s="2" t="str">
        <f>TEXT(Таблица97[[#This Row],[Дата]],"ГГ")&amp;RIGHT("000"&amp;Таблица97[[#This Row],[Номер]],4)</f>
        <v>190285</v>
      </c>
      <c r="C1124" s="129">
        <v>43563</v>
      </c>
      <c r="D1124" s="2" t="s">
        <v>228</v>
      </c>
      <c r="E1124" s="108">
        <v>5176</v>
      </c>
      <c r="F1124" s="129">
        <v>43571</v>
      </c>
      <c r="H1124" s="129">
        <v>43572</v>
      </c>
      <c r="I1124" s="108">
        <f t="shared" si="49"/>
        <v>5176</v>
      </c>
      <c r="J1124" s="108" t="str">
        <f>IF(Таблица97[[#This Row],[НК]]=1,Таблица97[[#This Row],[Продажа]],"")</f>
        <v/>
      </c>
      <c r="M1124" s="108">
        <v>4036</v>
      </c>
      <c r="N1124" s="108">
        <f>Таблица97[[#This Row],[Продажа]]-Таблица97[[#This Row],[Закупка]]</f>
        <v>1140</v>
      </c>
      <c r="O1124" s="108" t="str">
        <f>IF(Таблица97[[#This Row],[НК]]=1,Таблица97[[#This Row],[Маржа]],"")</f>
        <v/>
      </c>
    </row>
    <row r="1125" spans="1:15" ht="20.100000000000001" customHeight="1" x14ac:dyDescent="0.25">
      <c r="A1125" s="2">
        <v>331</v>
      </c>
      <c r="B1125" s="2" t="str">
        <f>TEXT(Таблица97[[#This Row],[Дата]],"ГГ")&amp;RIGHT("000"&amp;Таблица97[[#This Row],[Номер]],4)</f>
        <v>190331</v>
      </c>
      <c r="C1125" s="129">
        <v>43571</v>
      </c>
      <c r="D1125" s="2" t="s">
        <v>16</v>
      </c>
      <c r="E1125" s="108">
        <v>1524</v>
      </c>
      <c r="F1125" s="129">
        <v>43571</v>
      </c>
      <c r="H1125" s="129">
        <v>43577</v>
      </c>
      <c r="I1125" s="108">
        <f t="shared" si="49"/>
        <v>1524</v>
      </c>
      <c r="J1125" s="108" t="str">
        <f>IF(Таблица97[[#This Row],[НК]]=1,Таблица97[[#This Row],[Продажа]],"")</f>
        <v/>
      </c>
      <c r="M1125" s="108">
        <v>1024</v>
      </c>
      <c r="N1125" s="108">
        <f>Таблица97[[#This Row],[Продажа]]-Таблица97[[#This Row],[Закупка]]</f>
        <v>500</v>
      </c>
      <c r="O1125" s="108" t="str">
        <f>IF(Таблица97[[#This Row],[НК]]=1,Таблица97[[#This Row],[Маржа]],"")</f>
        <v/>
      </c>
    </row>
    <row r="1126" spans="1:15" ht="20.100000000000001" customHeight="1" x14ac:dyDescent="0.25">
      <c r="A1126" s="2">
        <v>309</v>
      </c>
      <c r="B1126" s="2" t="str">
        <f>TEXT(Таблица97[[#This Row],[Дата]],"ГГ")&amp;RIGHT("000"&amp;Таблица97[[#This Row],[Номер]],4)</f>
        <v>190309</v>
      </c>
      <c r="C1126" s="129">
        <v>43566</v>
      </c>
      <c r="D1126" s="2" t="s">
        <v>378</v>
      </c>
      <c r="E1126" s="108">
        <v>17522</v>
      </c>
      <c r="F1126" s="129">
        <v>43572</v>
      </c>
      <c r="G1126" s="128">
        <v>1</v>
      </c>
      <c r="H1126" s="129">
        <v>43567</v>
      </c>
      <c r="I1126" s="108">
        <f t="shared" si="49"/>
        <v>17522</v>
      </c>
      <c r="J1126" s="108">
        <f>IF(Таблица97[[#This Row],[НК]]=1,Таблица97[[#This Row],[Продажа]],"")</f>
        <v>17522</v>
      </c>
      <c r="M1126" s="108">
        <v>14549</v>
      </c>
      <c r="N1126" s="108">
        <f>Таблица97[[#This Row],[Продажа]]-Таблица97[[#This Row],[Закупка]]</f>
        <v>2973</v>
      </c>
      <c r="O1126" s="108">
        <f>IF(Таблица97[[#This Row],[НК]]=1,Таблица97[[#This Row],[Маржа]],"")</f>
        <v>2973</v>
      </c>
    </row>
    <row r="1127" spans="1:15" ht="20.100000000000001" customHeight="1" x14ac:dyDescent="0.25">
      <c r="A1127" s="2">
        <v>339</v>
      </c>
      <c r="B1127" s="2" t="str">
        <f>TEXT(Таблица97[[#This Row],[Дата]],"ГГ")&amp;RIGHT("000"&amp;Таблица97[[#This Row],[Номер]],4)</f>
        <v>190339</v>
      </c>
      <c r="C1127" s="129">
        <v>43572</v>
      </c>
      <c r="D1127" s="2" t="s">
        <v>380</v>
      </c>
      <c r="E1127" s="108">
        <v>13770</v>
      </c>
      <c r="F1127" s="129">
        <v>43573</v>
      </c>
      <c r="G1127" s="128">
        <v>1</v>
      </c>
      <c r="H1127" s="129">
        <v>43573</v>
      </c>
      <c r="I1127" s="108">
        <f t="shared" si="49"/>
        <v>13770</v>
      </c>
      <c r="J1127" s="108">
        <f>IF(Таблица97[[#This Row],[НК]]=1,Таблица97[[#This Row],[Продажа]],"")</f>
        <v>13770</v>
      </c>
      <c r="M1127" s="108">
        <v>10112</v>
      </c>
      <c r="N1127" s="108">
        <f>Таблица97[[#This Row],[Продажа]]-Таблица97[[#This Row],[Закупка]]</f>
        <v>3658</v>
      </c>
      <c r="O1127" s="108">
        <f>IF(Таблица97[[#This Row],[НК]]=1,Таблица97[[#This Row],[Маржа]],"")</f>
        <v>3658</v>
      </c>
    </row>
    <row r="1128" spans="1:15" ht="20.100000000000001" customHeight="1" x14ac:dyDescent="0.25">
      <c r="A1128" s="2">
        <v>326</v>
      </c>
      <c r="B1128" s="2" t="str">
        <f>TEXT(Таблица97[[#This Row],[Дата]],"ГГ")&amp;RIGHT("000"&amp;Таблица97[[#This Row],[Номер]],4)</f>
        <v>190326</v>
      </c>
      <c r="C1128" s="129">
        <v>43571</v>
      </c>
      <c r="D1128" s="2" t="s">
        <v>49</v>
      </c>
      <c r="E1128" s="108">
        <v>869</v>
      </c>
      <c r="F1128" s="129">
        <v>43573</v>
      </c>
      <c r="H1128" s="129">
        <v>43571</v>
      </c>
      <c r="I1128" s="108">
        <f t="shared" si="49"/>
        <v>869</v>
      </c>
      <c r="J1128" s="108" t="str">
        <f>IF(Таблица97[[#This Row],[НК]]=1,Таблица97[[#This Row],[Продажа]],"")</f>
        <v/>
      </c>
      <c r="M1128" s="108">
        <v>648</v>
      </c>
      <c r="N1128" s="108">
        <f>Таблица97[[#This Row],[Продажа]]-Таблица97[[#This Row],[Закупка]]</f>
        <v>221</v>
      </c>
      <c r="O1128" s="108" t="str">
        <f>IF(Таблица97[[#This Row],[НК]]=1,Таблица97[[#This Row],[Маржа]],"")</f>
        <v/>
      </c>
    </row>
    <row r="1129" spans="1:15" ht="20.100000000000001" customHeight="1" x14ac:dyDescent="0.25">
      <c r="A1129" s="2">
        <v>338</v>
      </c>
      <c r="B1129" s="2" t="str">
        <f>TEXT(Таблица97[[#This Row],[Дата]],"ГГ")&amp;RIGHT("000"&amp;Таблица97[[#This Row],[Номер]],4)</f>
        <v>190338</v>
      </c>
      <c r="C1129" s="129">
        <v>43572</v>
      </c>
      <c r="D1129" s="2" t="s">
        <v>169</v>
      </c>
      <c r="E1129" s="108">
        <v>15078</v>
      </c>
      <c r="F1129" s="129">
        <v>43573</v>
      </c>
      <c r="H1129" s="129">
        <v>43591</v>
      </c>
      <c r="I1129" s="108">
        <f t="shared" si="49"/>
        <v>15078</v>
      </c>
      <c r="J1129" s="108" t="str">
        <f>IF(Таблица97[[#This Row],[НК]]=1,Таблица97[[#This Row],[Продажа]],"")</f>
        <v/>
      </c>
      <c r="M1129" s="108">
        <v>11185</v>
      </c>
      <c r="N1129" s="108">
        <f>Таблица97[[#This Row],[Продажа]]-Таблица97[[#This Row],[Закупка]]</f>
        <v>3893</v>
      </c>
      <c r="O1129" s="108" t="str">
        <f>IF(Таблица97[[#This Row],[НК]]=1,Таблица97[[#This Row],[Маржа]],"")</f>
        <v/>
      </c>
    </row>
    <row r="1130" spans="1:15" ht="20.100000000000001" customHeight="1" x14ac:dyDescent="0.25">
      <c r="A1130" s="2">
        <v>325</v>
      </c>
      <c r="B1130" s="2" t="str">
        <f>TEXT(Таблица97[[#This Row],[Дата]],"ГГ")&amp;RIGHT("000"&amp;Таблица97[[#This Row],[Номер]],4)</f>
        <v>190325</v>
      </c>
      <c r="C1130" s="129">
        <v>43571</v>
      </c>
      <c r="D1130" s="2" t="s">
        <v>363</v>
      </c>
      <c r="E1130" s="108">
        <v>10760</v>
      </c>
      <c r="F1130" s="129">
        <v>43573</v>
      </c>
      <c r="H1130" s="129">
        <v>43571</v>
      </c>
      <c r="I1130" s="108">
        <f t="shared" si="49"/>
        <v>10760</v>
      </c>
      <c r="J1130" s="108" t="str">
        <f>IF(Таблица97[[#This Row],[НК]]=1,Таблица97[[#This Row],[Продажа]],"")</f>
        <v/>
      </c>
      <c r="M1130" s="108">
        <v>8728</v>
      </c>
      <c r="N1130" s="108">
        <f>Таблица97[[#This Row],[Продажа]]-Таблица97[[#This Row],[Закупка]]</f>
        <v>2032</v>
      </c>
      <c r="O1130" s="108" t="str">
        <f>IF(Таблица97[[#This Row],[НК]]=1,Таблица97[[#This Row],[Маржа]],"")</f>
        <v/>
      </c>
    </row>
    <row r="1131" spans="1:15" ht="20.100000000000001" customHeight="1" x14ac:dyDescent="0.25">
      <c r="A1131" s="2">
        <v>183</v>
      </c>
      <c r="B1131" s="2" t="str">
        <f>TEXT(Таблица97[[#This Row],[Дата]],"ГГ")&amp;RIGHT("000"&amp;Таблица97[[#This Row],[Номер]],4)</f>
        <v>190183</v>
      </c>
      <c r="C1131" s="129">
        <v>43560</v>
      </c>
      <c r="D1131" s="2" t="s">
        <v>180</v>
      </c>
      <c r="E1131" s="108">
        <v>5551</v>
      </c>
      <c r="F1131" s="129">
        <v>43573</v>
      </c>
      <c r="H1131" s="129">
        <v>43565</v>
      </c>
      <c r="I1131" s="108">
        <f t="shared" si="49"/>
        <v>5551</v>
      </c>
      <c r="J1131" s="108" t="str">
        <f>IF(Таблица97[[#This Row],[НК]]=1,Таблица97[[#This Row],[Продажа]],"")</f>
        <v/>
      </c>
      <c r="M1131" s="108">
        <v>4329</v>
      </c>
      <c r="N1131" s="108">
        <f>Таблица97[[#This Row],[Продажа]]-Таблица97[[#This Row],[Закупка]]</f>
        <v>1222</v>
      </c>
      <c r="O1131" s="108" t="str">
        <f>IF(Таблица97[[#This Row],[НК]]=1,Таблица97[[#This Row],[Маржа]],"")</f>
        <v/>
      </c>
    </row>
    <row r="1132" spans="1:15" ht="20.100000000000001" customHeight="1" x14ac:dyDescent="0.25">
      <c r="A1132" s="2">
        <v>283</v>
      </c>
      <c r="B1132" s="2" t="str">
        <f>TEXT(Таблица97[[#This Row],[Дата]],"ГГ")&amp;RIGHT("000"&amp;Таблица97[[#This Row],[Номер]],4)</f>
        <v>190283</v>
      </c>
      <c r="C1132" s="129">
        <v>43560</v>
      </c>
      <c r="D1132" s="2" t="s">
        <v>180</v>
      </c>
      <c r="E1132" s="108">
        <v>5490</v>
      </c>
      <c r="F1132" s="129">
        <v>43573</v>
      </c>
      <c r="H1132" s="129">
        <v>43565</v>
      </c>
      <c r="I1132" s="108">
        <f t="shared" si="49"/>
        <v>5490</v>
      </c>
      <c r="J1132" s="108" t="str">
        <f>IF(Таблица97[[#This Row],[НК]]=1,Таблица97[[#This Row],[Продажа]],"")</f>
        <v/>
      </c>
      <c r="M1132" s="108">
        <v>4031</v>
      </c>
      <c r="N1132" s="108">
        <f>Таблица97[[#This Row],[Продажа]]-Таблица97[[#This Row],[Закупка]]</f>
        <v>1459</v>
      </c>
      <c r="O1132" s="108" t="str">
        <f>IF(Таблица97[[#This Row],[НК]]=1,Таблица97[[#This Row],[Маржа]],"")</f>
        <v/>
      </c>
    </row>
    <row r="1133" spans="1:15" ht="20.100000000000001" customHeight="1" x14ac:dyDescent="0.25">
      <c r="A1133" s="2">
        <v>129</v>
      </c>
      <c r="B1133" s="2" t="str">
        <f>TEXT(Таблица97[[#This Row],[Дата]],"ГГ")&amp;RIGHT("000"&amp;Таблица97[[#This Row],[Номер]],4)</f>
        <v>190129</v>
      </c>
      <c r="C1133" s="129">
        <v>43515</v>
      </c>
      <c r="D1133" s="2" t="s">
        <v>65</v>
      </c>
      <c r="E1133" s="108">
        <v>127056</v>
      </c>
      <c r="F1133" s="129">
        <v>43573</v>
      </c>
      <c r="H1133" s="129">
        <v>43542</v>
      </c>
      <c r="I1133" s="108">
        <f t="shared" si="49"/>
        <v>127056</v>
      </c>
      <c r="J1133" s="108" t="str">
        <f>IF(Таблица97[[#This Row],[НК]]=1,Таблица97[[#This Row],[Продажа]],"")</f>
        <v/>
      </c>
      <c r="M1133" s="108">
        <v>91984</v>
      </c>
      <c r="N1133" s="108">
        <f>Таблица97[[#This Row],[Продажа]]-Таблица97[[#This Row],[Закупка]]</f>
        <v>35072</v>
      </c>
      <c r="O1133" s="108" t="str">
        <f>IF(Таблица97[[#This Row],[НК]]=1,Таблица97[[#This Row],[Маржа]],"")</f>
        <v/>
      </c>
    </row>
    <row r="1134" spans="1:15" ht="20.100000000000001" customHeight="1" x14ac:dyDescent="0.25">
      <c r="A1134" s="2">
        <v>31</v>
      </c>
      <c r="B1134" s="2" t="str">
        <f>TEXT(Таблица97[[#This Row],[Дата]],"ГГ")&amp;RIGHT("000"&amp;Таблица97[[#This Row],[Номер]],4)</f>
        <v>190031</v>
      </c>
      <c r="C1134" s="129">
        <v>43515</v>
      </c>
      <c r="D1134" s="2" t="s">
        <v>65</v>
      </c>
      <c r="E1134" s="108">
        <v>371973</v>
      </c>
      <c r="F1134" s="129">
        <v>43573</v>
      </c>
      <c r="H1134" s="129">
        <v>43542</v>
      </c>
      <c r="I1134" s="108">
        <v>154046.39999999999</v>
      </c>
      <c r="J1134" s="108" t="str">
        <f>IF(Таблица97[[#This Row],[НК]]=1,Таблица97[[#This Row],[Продажа]],"")</f>
        <v/>
      </c>
      <c r="M1134" s="108">
        <v>123408</v>
      </c>
      <c r="N1134" s="108">
        <f>Таблица97[[#This Row],[Продажа]]-Таблица97[[#This Row],[Закупка]]</f>
        <v>30638.399999999994</v>
      </c>
      <c r="O1134" s="108" t="str">
        <f>IF(Таблица97[[#This Row],[НК]]=1,Таблица97[[#This Row],[Маржа]],"")</f>
        <v/>
      </c>
    </row>
    <row r="1135" spans="1:15" ht="20.100000000000001" customHeight="1" x14ac:dyDescent="0.25">
      <c r="A1135" s="2">
        <v>339</v>
      </c>
      <c r="B1135" s="2" t="str">
        <f>TEXT(Таблица97[[#This Row],[Дата]],"ГГ")&amp;RIGHT("000"&amp;Таблица97[[#This Row],[Номер]],4)</f>
        <v>190339</v>
      </c>
      <c r="C1135" s="129">
        <v>43572</v>
      </c>
      <c r="D1135" s="2" t="s">
        <v>381</v>
      </c>
      <c r="E1135" s="108">
        <v>12490</v>
      </c>
      <c r="F1135" s="129">
        <v>43574</v>
      </c>
      <c r="G1135" s="128">
        <v>1</v>
      </c>
      <c r="H1135" s="129">
        <v>43577</v>
      </c>
      <c r="I1135" s="108">
        <f>E1135</f>
        <v>12490</v>
      </c>
      <c r="J1135" s="108">
        <f>IF(Таблица97[[#This Row],[НК]]=1,Таблица97[[#This Row],[Продажа]],"")</f>
        <v>12490</v>
      </c>
      <c r="M1135" s="108">
        <v>9180</v>
      </c>
      <c r="N1135" s="108">
        <f>Таблица97[[#This Row],[Продажа]]-Таблица97[[#This Row],[Закупка]]</f>
        <v>3310</v>
      </c>
      <c r="O1135" s="108">
        <f>IF(Таблица97[[#This Row],[НК]]=1,Таблица97[[#This Row],[Маржа]],"")</f>
        <v>3310</v>
      </c>
    </row>
    <row r="1136" spans="1:15" ht="20.100000000000001" customHeight="1" x14ac:dyDescent="0.25">
      <c r="A1136" s="2">
        <v>310</v>
      </c>
      <c r="B1136" s="2" t="str">
        <f>TEXT(Таблица97[[#This Row],[Дата]],"ГГ")&amp;RIGHT("000"&amp;Таблица97[[#This Row],[Номер]],4)</f>
        <v>190310</v>
      </c>
      <c r="C1136" s="129">
        <v>43567</v>
      </c>
      <c r="D1136" s="2" t="s">
        <v>383</v>
      </c>
      <c r="E1136" s="108">
        <v>1150</v>
      </c>
      <c r="F1136" s="129">
        <v>43579</v>
      </c>
      <c r="H1136" s="129">
        <v>43599</v>
      </c>
      <c r="I1136" s="108">
        <f>E1136</f>
        <v>1150</v>
      </c>
      <c r="J1136" s="108" t="str">
        <f>IF(Таблица97[[#This Row],[НК]]=1,Таблица97[[#This Row],[Продажа]],"")</f>
        <v/>
      </c>
      <c r="M1136" s="108">
        <v>820</v>
      </c>
      <c r="N1136" s="108">
        <f>Таблица97[[#This Row],[Продажа]]-Таблица97[[#This Row],[Закупка]]</f>
        <v>330</v>
      </c>
      <c r="O1136" s="108" t="str">
        <f>IF(Таблица97[[#This Row],[НК]]=1,Таблица97[[#This Row],[Маржа]],"")</f>
        <v/>
      </c>
    </row>
    <row r="1137" spans="1:15" ht="20.100000000000001" customHeight="1" x14ac:dyDescent="0.25">
      <c r="A1137" s="2">
        <v>355</v>
      </c>
      <c r="B1137" s="2" t="str">
        <f>TEXT(Таблица97[[#This Row],[Дата]],"ГГ")&amp;RIGHT("000"&amp;Таблица97[[#This Row],[Номер]],4)</f>
        <v>190355</v>
      </c>
      <c r="C1137" s="129">
        <v>43578</v>
      </c>
      <c r="D1137" s="2" t="s">
        <v>382</v>
      </c>
      <c r="E1137" s="108">
        <v>11119</v>
      </c>
      <c r="F1137" s="129">
        <v>43580</v>
      </c>
      <c r="G1137" s="128">
        <v>1</v>
      </c>
      <c r="H1137" s="129">
        <v>43579</v>
      </c>
      <c r="I1137" s="108">
        <f>E1137</f>
        <v>11119</v>
      </c>
      <c r="J1137" s="108">
        <f>IF(Таблица97[[#This Row],[НК]]=1,Таблица97[[#This Row],[Продажа]],"")</f>
        <v>11119</v>
      </c>
      <c r="M1137" s="108">
        <v>8216</v>
      </c>
      <c r="N1137" s="108">
        <f>Таблица97[[#This Row],[Продажа]]-Таблица97[[#This Row],[Закупка]]</f>
        <v>2903</v>
      </c>
      <c r="O1137" s="108">
        <f>IF(Таблица97[[#This Row],[НК]]=1,Таблица97[[#This Row],[Маржа]],"")</f>
        <v>2903</v>
      </c>
    </row>
    <row r="1138" spans="1:15" ht="20.100000000000001" customHeight="1" x14ac:dyDescent="0.25">
      <c r="A1138" s="2">
        <v>145</v>
      </c>
      <c r="B1138" s="2" t="str">
        <f>TEXT(Таблица97[[#This Row],[Дата]],"ГГ")&amp;RIGHT("000"&amp;Таблица97[[#This Row],[Номер]],4)</f>
        <v>190145</v>
      </c>
      <c r="C1138" s="129">
        <v>43522</v>
      </c>
      <c r="D1138" s="2" t="s">
        <v>38</v>
      </c>
      <c r="E1138" s="108">
        <v>290937.5</v>
      </c>
      <c r="F1138" s="129">
        <v>43580</v>
      </c>
      <c r="H1138" s="129">
        <v>43549</v>
      </c>
      <c r="I1138" s="108">
        <f>E1138</f>
        <v>290937.5</v>
      </c>
      <c r="J1138" s="108" t="str">
        <f>IF(Таблица97[[#This Row],[НК]]=1,Таблица97[[#This Row],[Продажа]],"")</f>
        <v/>
      </c>
      <c r="M1138" s="108">
        <v>218876</v>
      </c>
      <c r="N1138" s="108">
        <f>Таблица97[[#This Row],[Продажа]]-Таблица97[[#This Row],[Закупка]]</f>
        <v>72061.5</v>
      </c>
      <c r="O1138" s="108" t="str">
        <f>IF(Таблица97[[#This Row],[НК]]=1,Таблица97[[#This Row],[Маржа]],"")</f>
        <v/>
      </c>
    </row>
    <row r="1139" spans="1:15" ht="20.100000000000001" customHeight="1" x14ac:dyDescent="0.25">
      <c r="A1139" s="2">
        <v>31</v>
      </c>
      <c r="B1139" s="2" t="str">
        <f>TEXT(Таблица97[[#This Row],[Дата]],"ГГ")&amp;RIGHT("000"&amp;Таблица97[[#This Row],[Номер]],4)</f>
        <v>190031</v>
      </c>
      <c r="C1139" s="129">
        <v>43515</v>
      </c>
      <c r="D1139" s="2" t="s">
        <v>65</v>
      </c>
      <c r="E1139" s="108">
        <v>371973</v>
      </c>
      <c r="F1139" s="129">
        <v>43580</v>
      </c>
      <c r="H1139" s="129">
        <v>43556</v>
      </c>
      <c r="I1139" s="108">
        <v>21204</v>
      </c>
      <c r="J1139" s="108" t="str">
        <f>IF(Таблица97[[#This Row],[НК]]=1,Таблица97[[#This Row],[Продажа]],"")</f>
        <v/>
      </c>
      <c r="M1139" s="108">
        <v>17631</v>
      </c>
      <c r="N1139" s="108">
        <f>Таблица97[[#This Row],[Продажа]]-Таблица97[[#This Row],[Закупка]]</f>
        <v>3573</v>
      </c>
      <c r="O1139" s="108" t="str">
        <f>IF(Таблица97[[#This Row],[НК]]=1,Таблица97[[#This Row],[Маржа]],"")</f>
        <v/>
      </c>
    </row>
    <row r="1140" spans="1:15" ht="20.100000000000001" customHeight="1" x14ac:dyDescent="0.25">
      <c r="A1140" s="2">
        <v>314</v>
      </c>
      <c r="B1140" s="2" t="str">
        <f>TEXT(Таблица97[[#This Row],[Дата]],"ГГ")&amp;RIGHT("000"&amp;Таблица97[[#This Row],[Номер]],4)</f>
        <v>190314</v>
      </c>
      <c r="C1140" s="129">
        <v>43567</v>
      </c>
      <c r="D1140" s="2" t="s">
        <v>180</v>
      </c>
      <c r="E1140" s="108">
        <v>1688</v>
      </c>
      <c r="F1140" s="129">
        <v>43580</v>
      </c>
      <c r="H1140" s="129">
        <v>43572</v>
      </c>
      <c r="I1140" s="108">
        <f t="shared" ref="I1140:I1146" si="50">E1140</f>
        <v>1688</v>
      </c>
      <c r="J1140" s="108" t="str">
        <f>IF(Таблица97[[#This Row],[НК]]=1,Таблица97[[#This Row],[Продажа]],"")</f>
        <v/>
      </c>
      <c r="M1140" s="108">
        <v>748</v>
      </c>
      <c r="N1140" s="108">
        <f>Таблица97[[#This Row],[Продажа]]-Таблица97[[#This Row],[Закупка]]</f>
        <v>940</v>
      </c>
      <c r="O1140" s="108" t="str">
        <f>IF(Таблица97[[#This Row],[НК]]=1,Таблица97[[#This Row],[Маржа]],"")</f>
        <v/>
      </c>
    </row>
    <row r="1141" spans="1:15" ht="20.100000000000001" customHeight="1" x14ac:dyDescent="0.25">
      <c r="A1141" s="2">
        <v>356</v>
      </c>
      <c r="B1141" s="2" t="str">
        <f>TEXT(Таблица97[[#This Row],[Дата]],"ГГ")&amp;RIGHT("000"&amp;Таблица97[[#This Row],[Номер]],4)</f>
        <v>190356</v>
      </c>
      <c r="C1141" s="129">
        <v>43579</v>
      </c>
      <c r="D1141" s="2" t="s">
        <v>45</v>
      </c>
      <c r="E1141" s="108">
        <v>3148</v>
      </c>
      <c r="F1141" s="129">
        <v>43581</v>
      </c>
      <c r="H1141" s="129">
        <v>43584</v>
      </c>
      <c r="I1141" s="108">
        <f t="shared" si="50"/>
        <v>3148</v>
      </c>
      <c r="J1141" s="108" t="str">
        <f>IF(Таблица97[[#This Row],[НК]]=1,Таблица97[[#This Row],[Продажа]],"")</f>
        <v/>
      </c>
      <c r="M1141" s="108">
        <v>2350</v>
      </c>
      <c r="N1141" s="108">
        <f>Таблица97[[#This Row],[Продажа]]-Таблица97[[#This Row],[Закупка]]</f>
        <v>798</v>
      </c>
      <c r="O1141" s="108" t="str">
        <f>IF(Таблица97[[#This Row],[НК]]=1,Таблица97[[#This Row],[Маржа]],"")</f>
        <v/>
      </c>
    </row>
    <row r="1142" spans="1:15" ht="20.100000000000001" customHeight="1" x14ac:dyDescent="0.25">
      <c r="A1142" s="2">
        <v>334</v>
      </c>
      <c r="B1142" s="2" t="str">
        <f>TEXT(Таблица97[[#This Row],[Дата]],"ГГ")&amp;RIGHT("000"&amp;Таблица97[[#This Row],[Номер]],4)</f>
        <v>190334</v>
      </c>
      <c r="C1142" s="129">
        <v>43572</v>
      </c>
      <c r="D1142" s="2" t="s">
        <v>45</v>
      </c>
      <c r="E1142" s="108">
        <v>1232</v>
      </c>
      <c r="F1142" s="129">
        <v>43581</v>
      </c>
      <c r="H1142" s="129">
        <v>43592</v>
      </c>
      <c r="I1142" s="108">
        <f t="shared" si="50"/>
        <v>1232</v>
      </c>
      <c r="J1142" s="108" t="str">
        <f>IF(Таблица97[[#This Row],[НК]]=1,Таблица97[[#This Row],[Продажа]],"")</f>
        <v/>
      </c>
      <c r="M1142" s="108">
        <v>961</v>
      </c>
      <c r="N1142" s="108">
        <f>Таблица97[[#This Row],[Продажа]]-Таблица97[[#This Row],[Закупка]]</f>
        <v>271</v>
      </c>
      <c r="O1142" s="108" t="str">
        <f>IF(Таблица97[[#This Row],[НК]]=1,Таблица97[[#This Row],[Маржа]],"")</f>
        <v/>
      </c>
    </row>
    <row r="1143" spans="1:15" ht="20.100000000000001" customHeight="1" x14ac:dyDescent="0.25">
      <c r="A1143" s="2">
        <v>373</v>
      </c>
      <c r="B1143" s="2" t="str">
        <f>TEXT(Таблица97[[#This Row],[Дата]],"ГГ")&amp;RIGHT("000"&amp;Таблица97[[#This Row],[Номер]],4)</f>
        <v>190373</v>
      </c>
      <c r="C1143" s="129">
        <v>43581</v>
      </c>
      <c r="D1143" s="2" t="s">
        <v>149</v>
      </c>
      <c r="E1143" s="108">
        <v>2001</v>
      </c>
      <c r="F1143" s="129">
        <v>43581</v>
      </c>
      <c r="H1143" s="129">
        <v>43585</v>
      </c>
      <c r="I1143" s="108">
        <f t="shared" si="50"/>
        <v>2001</v>
      </c>
      <c r="J1143" s="108" t="str">
        <f>IF(Таблица97[[#This Row],[НК]]=1,Таблица97[[#This Row],[Продажа]],"")</f>
        <v/>
      </c>
      <c r="M1143" s="108">
        <v>1376</v>
      </c>
      <c r="N1143" s="108">
        <f>Таблица97[[#This Row],[Продажа]]-Таблица97[[#This Row],[Закупка]]</f>
        <v>625</v>
      </c>
      <c r="O1143" s="108" t="str">
        <f>IF(Таблица97[[#This Row],[НК]]=1,Таблица97[[#This Row],[Маржа]],"")</f>
        <v/>
      </c>
    </row>
    <row r="1144" spans="1:15" ht="20.100000000000001" customHeight="1" x14ac:dyDescent="0.25">
      <c r="A1144" s="2">
        <v>379</v>
      </c>
      <c r="B1144" s="2" t="str">
        <f>TEXT(Таблица97[[#This Row],[Дата]],"ГГ")&amp;RIGHT("000"&amp;Таблица97[[#This Row],[Номер]],4)</f>
        <v>190379</v>
      </c>
      <c r="C1144" s="129">
        <v>43584</v>
      </c>
      <c r="D1144" s="2" t="s">
        <v>12</v>
      </c>
      <c r="E1144" s="108">
        <v>5000</v>
      </c>
      <c r="F1144" s="129">
        <v>43584</v>
      </c>
      <c r="H1144" s="129">
        <v>43584</v>
      </c>
      <c r="I1144" s="108">
        <f t="shared" si="50"/>
        <v>5000</v>
      </c>
      <c r="J1144" s="108" t="str">
        <f>IF(Таблица97[[#This Row],[НК]]=1,Таблица97[[#This Row],[Продажа]],"")</f>
        <v/>
      </c>
      <c r="M1144" s="108">
        <v>3000</v>
      </c>
      <c r="N1144" s="108">
        <f>Таблица97[[#This Row],[Продажа]]-Таблица97[[#This Row],[Закупка]]</f>
        <v>2000</v>
      </c>
      <c r="O1144" s="108" t="str">
        <f>IF(Таблица97[[#This Row],[НК]]=1,Таблица97[[#This Row],[Маржа]],"")</f>
        <v/>
      </c>
    </row>
    <row r="1145" spans="1:15" ht="20.100000000000001" customHeight="1" x14ac:dyDescent="0.25">
      <c r="A1145" s="2">
        <v>377</v>
      </c>
      <c r="B1145" s="2" t="str">
        <f>TEXT(Таблица97[[#This Row],[Дата]],"ГГ")&amp;RIGHT("000"&amp;Таблица97[[#This Row],[Номер]],4)</f>
        <v>190377</v>
      </c>
      <c r="C1145" s="129">
        <v>43581</v>
      </c>
      <c r="D1145" s="2" t="s">
        <v>216</v>
      </c>
      <c r="E1145" s="108">
        <v>1278</v>
      </c>
      <c r="F1145" s="129">
        <v>43584</v>
      </c>
      <c r="H1145" s="129">
        <v>43591</v>
      </c>
      <c r="I1145" s="108">
        <f t="shared" si="50"/>
        <v>1278</v>
      </c>
      <c r="J1145" s="108" t="str">
        <f>IF(Таблица97[[#This Row],[НК]]=1,Таблица97[[#This Row],[Продажа]],"")</f>
        <v/>
      </c>
      <c r="M1145" s="108">
        <v>996</v>
      </c>
      <c r="N1145" s="108">
        <f>Таблица97[[#This Row],[Продажа]]-Таблица97[[#This Row],[Закупка]]</f>
        <v>282</v>
      </c>
      <c r="O1145" s="108" t="str">
        <f>IF(Таблица97[[#This Row],[НК]]=1,Таблица97[[#This Row],[Маржа]],"")</f>
        <v/>
      </c>
    </row>
    <row r="1146" spans="1:15" ht="20.100000000000001" customHeight="1" x14ac:dyDescent="0.25">
      <c r="A1146" s="2">
        <v>386</v>
      </c>
      <c r="B1146" s="2" t="str">
        <f>TEXT(Таблица97[[#This Row],[Дата]],"ГГ")&amp;RIGHT("000"&amp;Таблица97[[#This Row],[Номер]],4)</f>
        <v>190386</v>
      </c>
      <c r="C1146" s="129">
        <v>43585</v>
      </c>
      <c r="D1146" s="2" t="s">
        <v>384</v>
      </c>
      <c r="E1146" s="108">
        <v>103113</v>
      </c>
      <c r="F1146" s="129">
        <v>43585</v>
      </c>
      <c r="G1146" s="128">
        <v>1</v>
      </c>
      <c r="H1146" s="129">
        <v>43585</v>
      </c>
      <c r="I1146" s="108">
        <f t="shared" si="50"/>
        <v>103113</v>
      </c>
      <c r="J1146" s="108">
        <f>IF(Таблица97[[#This Row],[НК]]=1,Таблица97[[#This Row],[Продажа]],"")</f>
        <v>103113</v>
      </c>
      <c r="M1146" s="108">
        <v>82680</v>
      </c>
      <c r="N1146" s="108">
        <f>Таблица97[[#This Row],[Продажа]]-Таблица97[[#This Row],[Закупка]]</f>
        <v>20433</v>
      </c>
      <c r="O1146" s="108">
        <f>IF(Таблица97[[#This Row],[НК]]=1,Таблица97[[#This Row],[Маржа]],"")</f>
        <v>20433</v>
      </c>
    </row>
    <row r="1147" spans="1:15" ht="20.100000000000001" customHeight="1" x14ac:dyDescent="0.25">
      <c r="A1147" s="2">
        <v>374</v>
      </c>
      <c r="B1147" s="2" t="str">
        <f>TEXT(Таблица97[[#This Row],[Дата]],"ГГ")&amp;RIGHT("000"&amp;Таблица97[[#This Row],[Номер]],4)</f>
        <v>190374</v>
      </c>
      <c r="C1147" s="129">
        <v>43581</v>
      </c>
      <c r="D1147" s="2" t="s">
        <v>385</v>
      </c>
      <c r="E1147" s="108">
        <v>31890</v>
      </c>
      <c r="F1147" s="129">
        <v>43591</v>
      </c>
      <c r="G1147" s="128">
        <v>1</v>
      </c>
      <c r="H1147" s="129">
        <v>43599</v>
      </c>
      <c r="I1147" s="108">
        <f t="shared" ref="I1147:I1171" si="51">E1147</f>
        <v>31890</v>
      </c>
      <c r="J1147" s="108">
        <f>IF(Таблица97[[#This Row],[НК]]=1,Таблица97[[#This Row],[Продажа]],"")</f>
        <v>31890</v>
      </c>
      <c r="M1147" s="108">
        <v>20996</v>
      </c>
      <c r="N1147" s="108">
        <f>Таблица97[[#This Row],[Продажа]]-Таблица97[[#This Row],[Закупка]]</f>
        <v>10894</v>
      </c>
      <c r="O1147" s="108">
        <f>IF(Таблица97[[#This Row],[НК]]=1,Таблица97[[#This Row],[Маржа]],"")</f>
        <v>10894</v>
      </c>
    </row>
    <row r="1148" spans="1:15" ht="20.100000000000001" customHeight="1" x14ac:dyDescent="0.25">
      <c r="A1148" s="2">
        <v>144</v>
      </c>
      <c r="B1148" s="2" t="str">
        <f>TEXT(Таблица97[[#This Row],[Дата]],"ГГ")&amp;RIGHT("000"&amp;Таблица97[[#This Row],[Номер]],4)</f>
        <v>190144</v>
      </c>
      <c r="C1148" s="129">
        <v>43524</v>
      </c>
      <c r="D1148" s="2" t="s">
        <v>38</v>
      </c>
      <c r="E1148" s="108">
        <v>21404</v>
      </c>
      <c r="F1148" s="129">
        <v>43592</v>
      </c>
      <c r="H1148" s="129">
        <v>43570</v>
      </c>
      <c r="I1148" s="108">
        <f t="shared" si="51"/>
        <v>21404</v>
      </c>
      <c r="J1148" s="108" t="str">
        <f>IF(Таблица97[[#This Row],[НК]]=1,Таблица97[[#This Row],[Продажа]],"")</f>
        <v/>
      </c>
      <c r="M1148" s="108">
        <v>16443</v>
      </c>
      <c r="N1148" s="108">
        <f>Таблица97[[#This Row],[Продажа]]-Таблица97[[#This Row],[Закупка]]</f>
        <v>4961</v>
      </c>
      <c r="O1148" s="108" t="str">
        <f>IF(Таблица97[[#This Row],[НК]]=1,Таблица97[[#This Row],[Маржа]],"")</f>
        <v/>
      </c>
    </row>
    <row r="1149" spans="1:15" ht="20.100000000000001" customHeight="1" x14ac:dyDescent="0.25">
      <c r="A1149" s="2">
        <v>191</v>
      </c>
      <c r="B1149" s="2" t="str">
        <f>TEXT(Таблица97[[#This Row],[Дата]],"ГГ")&amp;RIGHT("000"&amp;Таблица97[[#This Row],[Номер]],4)</f>
        <v>190191</v>
      </c>
      <c r="C1149" s="129">
        <v>43544</v>
      </c>
      <c r="D1149" s="2" t="s">
        <v>38</v>
      </c>
      <c r="E1149" s="108">
        <v>36921</v>
      </c>
      <c r="F1149" s="129">
        <v>43592</v>
      </c>
      <c r="H1149" s="129">
        <v>43570</v>
      </c>
      <c r="I1149" s="108">
        <f t="shared" si="51"/>
        <v>36921</v>
      </c>
      <c r="J1149" s="108" t="str">
        <f>IF(Таблица97[[#This Row],[НК]]=1,Таблица97[[#This Row],[Продажа]],"")</f>
        <v/>
      </c>
      <c r="M1149" s="108">
        <v>28797</v>
      </c>
      <c r="N1149" s="108">
        <f>Таблица97[[#This Row],[Продажа]]-Таблица97[[#This Row],[Закупка]]</f>
        <v>8124</v>
      </c>
      <c r="O1149" s="108" t="str">
        <f>IF(Таблица97[[#This Row],[НК]]=1,Таблица97[[#This Row],[Маржа]],"")</f>
        <v/>
      </c>
    </row>
    <row r="1150" spans="1:15" ht="20.100000000000001" customHeight="1" x14ac:dyDescent="0.25">
      <c r="A1150" s="2">
        <v>192</v>
      </c>
      <c r="B1150" s="2" t="str">
        <f>TEXT(Таблица97[[#This Row],[Дата]],"ГГ")&amp;RIGHT("000"&amp;Таблица97[[#This Row],[Номер]],4)</f>
        <v>190192</v>
      </c>
      <c r="C1150" s="129">
        <v>43544</v>
      </c>
      <c r="D1150" s="2" t="s">
        <v>38</v>
      </c>
      <c r="E1150" s="108">
        <v>63990</v>
      </c>
      <c r="F1150" s="129">
        <v>43592</v>
      </c>
      <c r="H1150" s="129">
        <v>43570</v>
      </c>
      <c r="I1150" s="108">
        <f t="shared" si="51"/>
        <v>63990</v>
      </c>
      <c r="J1150" s="108" t="str">
        <f>IF(Таблица97[[#This Row],[НК]]=1,Таблица97[[#This Row],[Продажа]],"")</f>
        <v/>
      </c>
      <c r="M1150" s="108">
        <v>48840</v>
      </c>
      <c r="N1150" s="108">
        <f>Таблица97[[#This Row],[Продажа]]-Таблица97[[#This Row],[Закупка]]</f>
        <v>15150</v>
      </c>
      <c r="O1150" s="108" t="str">
        <f>IF(Таблица97[[#This Row],[НК]]=1,Таблица97[[#This Row],[Маржа]],"")</f>
        <v/>
      </c>
    </row>
    <row r="1151" spans="1:15" ht="20.100000000000001" customHeight="1" x14ac:dyDescent="0.25">
      <c r="A1151" s="2">
        <v>397</v>
      </c>
      <c r="B1151" s="2" t="str">
        <f>TEXT(Таблица97[[#This Row],[Дата]],"ГГ")&amp;RIGHT("000"&amp;Таблица97[[#This Row],[Номер]],4)</f>
        <v>190397</v>
      </c>
      <c r="C1151" s="129">
        <v>43585</v>
      </c>
      <c r="D1151" s="2" t="s">
        <v>91</v>
      </c>
      <c r="E1151" s="108">
        <v>10034</v>
      </c>
      <c r="F1151" s="129">
        <v>43598</v>
      </c>
      <c r="H1151" s="129">
        <v>43585</v>
      </c>
      <c r="I1151" s="108">
        <f t="shared" si="51"/>
        <v>10034</v>
      </c>
      <c r="J1151" s="108" t="str">
        <f>IF(Таблица97[[#This Row],[НК]]=1,Таблица97[[#This Row],[Продажа]],"")</f>
        <v/>
      </c>
      <c r="M1151" s="108">
        <v>7824</v>
      </c>
      <c r="N1151" s="108">
        <f>Таблица97[[#This Row],[Продажа]]-Таблица97[[#This Row],[Закупка]]</f>
        <v>2210</v>
      </c>
      <c r="O1151" s="108" t="str">
        <f>IF(Таблица97[[#This Row],[НК]]=1,Таблица97[[#This Row],[Маржа]],"")</f>
        <v/>
      </c>
    </row>
    <row r="1152" spans="1:15" ht="20.100000000000001" customHeight="1" x14ac:dyDescent="0.25">
      <c r="A1152" s="2">
        <v>387</v>
      </c>
      <c r="B1152" s="2" t="str">
        <f>TEXT(Таблица97[[#This Row],[Дата]],"ГГ")&amp;RIGHT("000"&amp;Таблица97[[#This Row],[Номер]],4)</f>
        <v>190387</v>
      </c>
      <c r="C1152" s="129">
        <v>43585</v>
      </c>
      <c r="D1152" s="2" t="s">
        <v>149</v>
      </c>
      <c r="E1152" s="108">
        <v>4224</v>
      </c>
      <c r="F1152" s="129">
        <v>43598</v>
      </c>
      <c r="H1152" s="129">
        <v>43609</v>
      </c>
      <c r="I1152" s="108">
        <f t="shared" si="51"/>
        <v>4224</v>
      </c>
      <c r="J1152" s="108" t="str">
        <f>IF(Таблица97[[#This Row],[НК]]=1,Таблица97[[#This Row],[Продажа]],"")</f>
        <v/>
      </c>
      <c r="M1152" s="108">
        <v>2788</v>
      </c>
      <c r="N1152" s="108">
        <f>Таблица97[[#This Row],[Продажа]]-Таблица97[[#This Row],[Закупка]]</f>
        <v>1436</v>
      </c>
      <c r="O1152" s="108" t="str">
        <f>IF(Таблица97[[#This Row],[НК]]=1,Таблица97[[#This Row],[Маржа]],"")</f>
        <v/>
      </c>
    </row>
    <row r="1153" spans="1:15" ht="20.100000000000001" customHeight="1" x14ac:dyDescent="0.25">
      <c r="A1153" s="2">
        <v>404</v>
      </c>
      <c r="B1153" s="2" t="str">
        <f>TEXT(Таблица97[[#This Row],[Дата]],"ГГ")&amp;RIGHT("000"&amp;Таблица97[[#This Row],[Номер]],4)</f>
        <v>190404</v>
      </c>
      <c r="C1153" s="129">
        <v>43591</v>
      </c>
      <c r="D1153" s="2" t="s">
        <v>228</v>
      </c>
      <c r="E1153" s="108">
        <v>25165</v>
      </c>
      <c r="F1153" s="129">
        <v>43599</v>
      </c>
      <c r="H1153" s="129">
        <v>43629</v>
      </c>
      <c r="I1153" s="108">
        <f t="shared" si="51"/>
        <v>25165</v>
      </c>
      <c r="J1153" s="108" t="str">
        <f>IF(Таблица97[[#This Row],[НК]]=1,Таблица97[[#This Row],[Продажа]],"")</f>
        <v/>
      </c>
      <c r="M1153" s="108">
        <v>18254</v>
      </c>
      <c r="N1153" s="108">
        <f>Таблица97[[#This Row],[Продажа]]-Таблица97[[#This Row],[Закупка]]</f>
        <v>6911</v>
      </c>
      <c r="O1153" s="108" t="str">
        <f>IF(Таблица97[[#This Row],[НК]]=1,Таблица97[[#This Row],[Маржа]],"")</f>
        <v/>
      </c>
    </row>
    <row r="1154" spans="1:15" ht="20.100000000000001" customHeight="1" x14ac:dyDescent="0.25">
      <c r="A1154" s="2">
        <v>427</v>
      </c>
      <c r="B1154" s="2" t="str">
        <f>TEXT(Таблица97[[#This Row],[Дата]],"ГГ")&amp;RIGHT("000"&amp;Таблица97[[#This Row],[Номер]],4)</f>
        <v>190427</v>
      </c>
      <c r="C1154" s="129">
        <v>43599</v>
      </c>
      <c r="D1154" s="2" t="s">
        <v>372</v>
      </c>
      <c r="E1154" s="108">
        <v>6929</v>
      </c>
      <c r="F1154" s="129">
        <v>43600</v>
      </c>
      <c r="H1154" s="129">
        <v>43601</v>
      </c>
      <c r="I1154" s="108">
        <f t="shared" si="51"/>
        <v>6929</v>
      </c>
      <c r="J1154" s="108" t="str">
        <f>IF(Таблица97[[#This Row],[НК]]=1,Таблица97[[#This Row],[Продажа]],"")</f>
        <v/>
      </c>
      <c r="M1154" s="108">
        <v>5039</v>
      </c>
      <c r="N1154" s="108">
        <f>Таблица97[[#This Row],[Продажа]]-Таблица97[[#This Row],[Закупка]]</f>
        <v>1890</v>
      </c>
      <c r="O1154" s="108" t="str">
        <f>IF(Таблица97[[#This Row],[НК]]=1,Таблица97[[#This Row],[Маржа]],"")</f>
        <v/>
      </c>
    </row>
    <row r="1155" spans="1:15" ht="20.100000000000001" customHeight="1" x14ac:dyDescent="0.25">
      <c r="A1155" s="2">
        <v>322</v>
      </c>
      <c r="B1155" s="2" t="str">
        <f>TEXT(Таблица97[[#This Row],[Дата]],"ГГ")&amp;RIGHT("000"&amp;Таблица97[[#This Row],[Номер]],4)</f>
        <v>190322</v>
      </c>
      <c r="C1155" s="129">
        <v>43570</v>
      </c>
      <c r="D1155" s="2" t="s">
        <v>209</v>
      </c>
      <c r="E1155" s="108">
        <v>2190</v>
      </c>
      <c r="F1155" s="129">
        <v>43600</v>
      </c>
      <c r="H1155" s="129">
        <v>43570</v>
      </c>
      <c r="I1155" s="108">
        <f t="shared" si="51"/>
        <v>2190</v>
      </c>
      <c r="J1155" s="108" t="str">
        <f>IF(Таблица97[[#This Row],[НК]]=1,Таблица97[[#This Row],[Продажа]],"")</f>
        <v/>
      </c>
      <c r="M1155" s="108">
        <v>1358</v>
      </c>
      <c r="N1155" s="108">
        <f>Таблица97[[#This Row],[Продажа]]-Таблица97[[#This Row],[Закупка]]</f>
        <v>832</v>
      </c>
      <c r="O1155" s="108" t="str">
        <f>IF(Таблица97[[#This Row],[НК]]=1,Таблица97[[#This Row],[Маржа]],"")</f>
        <v/>
      </c>
    </row>
    <row r="1156" spans="1:15" ht="20.100000000000001" customHeight="1" x14ac:dyDescent="0.25">
      <c r="A1156" s="2">
        <v>435</v>
      </c>
      <c r="B1156" s="2" t="str">
        <f>TEXT(Таблица97[[#This Row],[Дата]],"ГГ")&amp;RIGHT("000"&amp;Таблица97[[#This Row],[Номер]],4)</f>
        <v>190435</v>
      </c>
      <c r="C1156" s="129">
        <v>43601</v>
      </c>
      <c r="D1156" s="2" t="s">
        <v>386</v>
      </c>
      <c r="E1156" s="108">
        <v>3142</v>
      </c>
      <c r="F1156" s="129">
        <v>43601</v>
      </c>
      <c r="G1156" s="128">
        <v>1</v>
      </c>
      <c r="H1156" s="129">
        <v>43601</v>
      </c>
      <c r="I1156" s="108">
        <f t="shared" si="51"/>
        <v>3142</v>
      </c>
      <c r="J1156" s="108">
        <f>IF(Таблица97[[#This Row],[НК]]=1,Таблица97[[#This Row],[Продажа]],"")</f>
        <v>3142</v>
      </c>
      <c r="M1156" s="108">
        <v>2450</v>
      </c>
      <c r="N1156" s="108">
        <f>Таблица97[[#This Row],[Продажа]]-Таблица97[[#This Row],[Закупка]]</f>
        <v>692</v>
      </c>
      <c r="O1156" s="108">
        <f>IF(Таблица97[[#This Row],[НК]]=1,Таблица97[[#This Row],[Маржа]],"")</f>
        <v>692</v>
      </c>
    </row>
    <row r="1157" spans="1:15" ht="20.100000000000001" customHeight="1" x14ac:dyDescent="0.25">
      <c r="A1157" s="2">
        <v>410</v>
      </c>
      <c r="B1157" s="2" t="str">
        <f>TEXT(Таблица97[[#This Row],[Дата]],"ГГ")&amp;RIGHT("000"&amp;Таблица97[[#This Row],[Номер]],4)</f>
        <v>190410</v>
      </c>
      <c r="C1157" s="129">
        <v>43592</v>
      </c>
      <c r="D1157" s="2" t="s">
        <v>387</v>
      </c>
      <c r="E1157" s="108">
        <v>44619</v>
      </c>
      <c r="F1157" s="129">
        <v>43601</v>
      </c>
      <c r="G1157" s="128">
        <v>1</v>
      </c>
      <c r="H1157" s="129">
        <v>43622</v>
      </c>
      <c r="I1157" s="108">
        <f t="shared" si="51"/>
        <v>44619</v>
      </c>
      <c r="J1157" s="108">
        <f>IF(Таблица97[[#This Row],[НК]]=1,Таблица97[[#This Row],[Продажа]],"")</f>
        <v>44619</v>
      </c>
      <c r="M1157" s="108">
        <v>33010</v>
      </c>
      <c r="N1157" s="108">
        <f>Таблица97[[#This Row],[Продажа]]-Таблица97[[#This Row],[Закупка]]</f>
        <v>11609</v>
      </c>
      <c r="O1157" s="108">
        <f>IF(Таблица97[[#This Row],[НК]]=1,Таблица97[[#This Row],[Маржа]],"")</f>
        <v>11609</v>
      </c>
    </row>
    <row r="1158" spans="1:15" ht="20.100000000000001" customHeight="1" x14ac:dyDescent="0.25">
      <c r="A1158" s="2">
        <v>416</v>
      </c>
      <c r="B1158" s="2" t="str">
        <f>TEXT(Таблица97[[#This Row],[Дата]],"ГГ")&amp;RIGHT("000"&amp;Таблица97[[#This Row],[Номер]],4)</f>
        <v>190416</v>
      </c>
      <c r="C1158" s="129">
        <v>43593</v>
      </c>
      <c r="D1158" s="2" t="s">
        <v>230</v>
      </c>
      <c r="E1158" s="108">
        <v>34990</v>
      </c>
      <c r="F1158" s="129">
        <v>43605</v>
      </c>
      <c r="H1158" s="129">
        <v>43609</v>
      </c>
      <c r="I1158" s="108">
        <f t="shared" si="51"/>
        <v>34990</v>
      </c>
      <c r="J1158" s="108" t="str">
        <f>IF(Таблица97[[#This Row],[НК]]=1,Таблица97[[#This Row],[Продажа]],"")</f>
        <v/>
      </c>
      <c r="M1158" s="108">
        <v>25717</v>
      </c>
      <c r="N1158" s="108">
        <f>Таблица97[[#This Row],[Продажа]]-Таблица97[[#This Row],[Закупка]]</f>
        <v>9273</v>
      </c>
      <c r="O1158" s="108" t="str">
        <f>IF(Таблица97[[#This Row],[НК]]=1,Таблица97[[#This Row],[Маржа]],"")</f>
        <v/>
      </c>
    </row>
    <row r="1159" spans="1:15" ht="20.100000000000001" customHeight="1" x14ac:dyDescent="0.25">
      <c r="A1159" s="2">
        <v>441</v>
      </c>
      <c r="B1159" s="2" t="str">
        <f>TEXT(Таблица97[[#This Row],[Дата]],"ГГ")&amp;RIGHT("000"&amp;Таблица97[[#This Row],[Номер]],4)</f>
        <v>190441</v>
      </c>
      <c r="C1159" s="129">
        <v>43602</v>
      </c>
      <c r="D1159" s="2" t="s">
        <v>49</v>
      </c>
      <c r="E1159" s="108">
        <v>17815</v>
      </c>
      <c r="F1159" s="129">
        <v>43606</v>
      </c>
      <c r="H1159" s="129">
        <v>43622</v>
      </c>
      <c r="I1159" s="108">
        <f t="shared" si="51"/>
        <v>17815</v>
      </c>
      <c r="J1159" s="108" t="str">
        <f>IF(Таблица97[[#This Row],[НК]]=1,Таблица97[[#This Row],[Продажа]],"")</f>
        <v/>
      </c>
      <c r="M1159" s="108">
        <v>11582</v>
      </c>
      <c r="N1159" s="108">
        <f>Таблица97[[#This Row],[Продажа]]-Таблица97[[#This Row],[Закупка]]</f>
        <v>6233</v>
      </c>
      <c r="O1159" s="108" t="str">
        <f>IF(Таблица97[[#This Row],[НК]]=1,Таблица97[[#This Row],[Маржа]],"")</f>
        <v/>
      </c>
    </row>
    <row r="1160" spans="1:15" ht="20.100000000000001" customHeight="1" x14ac:dyDescent="0.25">
      <c r="A1160" s="2">
        <v>459</v>
      </c>
      <c r="B1160" s="2" t="str">
        <f>TEXT(Таблица97[[#This Row],[Дата]],"ГГ")&amp;RIGHT("000"&amp;Таблица97[[#This Row],[Номер]],4)</f>
        <v>190459</v>
      </c>
      <c r="C1160" s="129">
        <v>43606</v>
      </c>
      <c r="D1160" s="2" t="s">
        <v>149</v>
      </c>
      <c r="E1160" s="108">
        <v>4224</v>
      </c>
      <c r="F1160" s="129">
        <v>43606</v>
      </c>
      <c r="H1160" s="129">
        <v>43615</v>
      </c>
      <c r="I1160" s="108">
        <f t="shared" si="51"/>
        <v>4224</v>
      </c>
      <c r="J1160" s="108" t="str">
        <f>IF(Таблица97[[#This Row],[НК]]=1,Таблица97[[#This Row],[Продажа]],"")</f>
        <v/>
      </c>
      <c r="M1160" s="108">
        <v>2788</v>
      </c>
      <c r="N1160" s="108">
        <f>Таблица97[[#This Row],[Продажа]]-Таблица97[[#This Row],[Закупка]]</f>
        <v>1436</v>
      </c>
      <c r="O1160" s="108" t="str">
        <f>IF(Таблица97[[#This Row],[НК]]=1,Таблица97[[#This Row],[Маржа]],"")</f>
        <v/>
      </c>
    </row>
    <row r="1161" spans="1:15" ht="20.100000000000001" customHeight="1" x14ac:dyDescent="0.25">
      <c r="A1161" s="2">
        <v>450</v>
      </c>
      <c r="B1161" s="2" t="str">
        <f>TEXT(Таблица97[[#This Row],[Дата]],"ГГ")&amp;RIGHT("000"&amp;Таблица97[[#This Row],[Номер]],4)</f>
        <v>190450</v>
      </c>
      <c r="C1161" s="129">
        <v>43605</v>
      </c>
      <c r="D1161" s="2" t="s">
        <v>370</v>
      </c>
      <c r="E1161" s="108">
        <v>4820</v>
      </c>
      <c r="F1161" s="129">
        <v>43607</v>
      </c>
      <c r="H1161" s="129">
        <v>43605</v>
      </c>
      <c r="I1161" s="108">
        <f t="shared" si="51"/>
        <v>4820</v>
      </c>
      <c r="J1161" s="108" t="str">
        <f>IF(Таблица97[[#This Row],[НК]]=1,Таблица97[[#This Row],[Продажа]],"")</f>
        <v/>
      </c>
      <c r="M1161" s="108">
        <v>3759</v>
      </c>
      <c r="N1161" s="108">
        <f>Таблица97[[#This Row],[Продажа]]-Таблица97[[#This Row],[Закупка]]</f>
        <v>1061</v>
      </c>
      <c r="O1161" s="108" t="str">
        <f>IF(Таблица97[[#This Row],[НК]]=1,Таблица97[[#This Row],[Маржа]],"")</f>
        <v/>
      </c>
    </row>
    <row r="1162" spans="1:15" ht="20.100000000000001" customHeight="1" x14ac:dyDescent="0.25">
      <c r="A1162" s="2">
        <v>443</v>
      </c>
      <c r="B1162" s="2" t="str">
        <f>TEXT(Таблица97[[#This Row],[Дата]],"ГГ")&amp;RIGHT("000"&amp;Таблица97[[#This Row],[Номер]],4)</f>
        <v>190443</v>
      </c>
      <c r="C1162" s="129">
        <v>43602</v>
      </c>
      <c r="D1162" s="2" t="s">
        <v>45</v>
      </c>
      <c r="E1162" s="108">
        <v>4360</v>
      </c>
      <c r="F1162" s="129">
        <v>43607</v>
      </c>
      <c r="H1162" s="129">
        <v>43633</v>
      </c>
      <c r="I1162" s="108">
        <f t="shared" si="51"/>
        <v>4360</v>
      </c>
      <c r="J1162" s="108" t="str">
        <f>IF(Таблица97[[#This Row],[НК]]=1,Таблица97[[#This Row],[Продажа]],"")</f>
        <v/>
      </c>
      <c r="M1162" s="108">
        <v>3375</v>
      </c>
      <c r="N1162" s="108">
        <f>Таблица97[[#This Row],[Продажа]]-Таблица97[[#This Row],[Закупка]]</f>
        <v>985</v>
      </c>
      <c r="O1162" s="108" t="str">
        <f>IF(Таблица97[[#This Row],[НК]]=1,Таблица97[[#This Row],[Маржа]],"")</f>
        <v/>
      </c>
    </row>
    <row r="1163" spans="1:15" ht="20.100000000000001" customHeight="1" x14ac:dyDescent="0.25">
      <c r="A1163" s="2">
        <v>351</v>
      </c>
      <c r="B1163" s="2" t="str">
        <f>TEXT(Таблица97[[#This Row],[Дата]],"ГГ")&amp;RIGHT("000"&amp;Таблица97[[#This Row],[Номер]],4)</f>
        <v>190351</v>
      </c>
      <c r="C1163" s="129">
        <v>43577</v>
      </c>
      <c r="D1163" s="2" t="s">
        <v>13</v>
      </c>
      <c r="E1163" s="108">
        <v>7700</v>
      </c>
      <c r="F1163" s="129">
        <v>43607</v>
      </c>
      <c r="H1163" s="129">
        <v>43593</v>
      </c>
      <c r="I1163" s="108">
        <f t="shared" si="51"/>
        <v>7700</v>
      </c>
      <c r="J1163" s="108" t="str">
        <f>IF(Таблица97[[#This Row],[НК]]=1,Таблица97[[#This Row],[Продажа]],"")</f>
        <v/>
      </c>
      <c r="M1163" s="108">
        <v>6005</v>
      </c>
      <c r="N1163" s="108">
        <f>Таблица97[[#This Row],[Продажа]]-Таблица97[[#This Row],[Закупка]]</f>
        <v>1695</v>
      </c>
      <c r="O1163" s="108" t="str">
        <f>IF(Таблица97[[#This Row],[НК]]=1,Таблица97[[#This Row],[Маржа]],"")</f>
        <v/>
      </c>
    </row>
    <row r="1164" spans="1:15" ht="20.100000000000001" customHeight="1" x14ac:dyDescent="0.25">
      <c r="A1164" s="2">
        <v>476</v>
      </c>
      <c r="B1164" s="2" t="str">
        <f>TEXT(Таблица97[[#This Row],[Дата]],"ГГ")&amp;RIGHT("000"&amp;Таблица97[[#This Row],[Номер]],4)</f>
        <v>190476</v>
      </c>
      <c r="C1164" s="129">
        <v>43605</v>
      </c>
      <c r="D1164" s="2" t="s">
        <v>281</v>
      </c>
      <c r="E1164" s="108">
        <v>2258</v>
      </c>
      <c r="F1164" s="129">
        <v>43607</v>
      </c>
      <c r="H1164" s="129">
        <v>43608</v>
      </c>
      <c r="I1164" s="108">
        <f t="shared" si="51"/>
        <v>2258</v>
      </c>
      <c r="J1164" s="108" t="str">
        <f>IF(Таблица97[[#This Row],[НК]]=1,Таблица97[[#This Row],[Продажа]],"")</f>
        <v/>
      </c>
      <c r="M1164" s="108">
        <v>1760</v>
      </c>
      <c r="N1164" s="108">
        <f>Таблица97[[#This Row],[Продажа]]-Таблица97[[#This Row],[Закупка]]</f>
        <v>498</v>
      </c>
      <c r="O1164" s="108" t="str">
        <f>IF(Таблица97[[#This Row],[НК]]=1,Таблица97[[#This Row],[Маржа]],"")</f>
        <v/>
      </c>
    </row>
    <row r="1165" spans="1:15" ht="20.100000000000001" customHeight="1" x14ac:dyDescent="0.25">
      <c r="A1165" s="2">
        <v>478</v>
      </c>
      <c r="B1165" s="2" t="str">
        <f>TEXT(Таблица97[[#This Row],[Дата]],"ГГ")&amp;RIGHT("000"&amp;Таблица97[[#This Row],[Номер]],4)</f>
        <v>190478</v>
      </c>
      <c r="C1165" s="129">
        <v>43608</v>
      </c>
      <c r="D1165" s="2" t="s">
        <v>388</v>
      </c>
      <c r="E1165" s="108">
        <v>13770</v>
      </c>
      <c r="F1165" s="129">
        <v>43608</v>
      </c>
      <c r="G1165" s="128">
        <v>1</v>
      </c>
      <c r="H1165" s="129">
        <v>43609</v>
      </c>
      <c r="I1165" s="108">
        <f t="shared" si="51"/>
        <v>13770</v>
      </c>
      <c r="J1165" s="108">
        <f>IF(Таблица97[[#This Row],[НК]]=1,Таблица97[[#This Row],[Продажа]],"")</f>
        <v>13770</v>
      </c>
      <c r="M1165" s="108">
        <v>10112</v>
      </c>
      <c r="N1165" s="108">
        <f>Таблица97[[#This Row],[Продажа]]-Таблица97[[#This Row],[Закупка]]</f>
        <v>3658</v>
      </c>
      <c r="O1165" s="108">
        <f>IF(Таблица97[[#This Row],[НК]]=1,Таблица97[[#This Row],[Маржа]],"")</f>
        <v>3658</v>
      </c>
    </row>
    <row r="1166" spans="1:15" ht="20.100000000000001" customHeight="1" x14ac:dyDescent="0.25">
      <c r="A1166" s="2">
        <v>473</v>
      </c>
      <c r="B1166" s="2" t="str">
        <f>TEXT(Таблица97[[#This Row],[Дата]],"ГГ")&amp;RIGHT("000"&amp;Таблица97[[#This Row],[Номер]],4)</f>
        <v>190473</v>
      </c>
      <c r="C1166" s="129">
        <v>43607</v>
      </c>
      <c r="D1166" s="2" t="s">
        <v>83</v>
      </c>
      <c r="E1166" s="108">
        <v>4000</v>
      </c>
      <c r="F1166" s="129">
        <v>43608</v>
      </c>
      <c r="H1166" s="129">
        <v>43613</v>
      </c>
      <c r="I1166" s="108">
        <f t="shared" si="51"/>
        <v>4000</v>
      </c>
      <c r="J1166" s="108" t="str">
        <f>IF(Таблица97[[#This Row],[НК]]=1,Таблица97[[#This Row],[Продажа]],"")</f>
        <v/>
      </c>
      <c r="L1166" s="108">
        <v>600</v>
      </c>
      <c r="M1166" s="108">
        <v>1574</v>
      </c>
      <c r="N1166" s="108">
        <f>Таблица97[[#This Row],[Продажа]]-Таблица97[[#This Row],[Закупка]]</f>
        <v>2426</v>
      </c>
      <c r="O1166" s="108" t="str">
        <f>IF(Таблица97[[#This Row],[НК]]=1,Таблица97[[#This Row],[Маржа]],"")</f>
        <v/>
      </c>
    </row>
    <row r="1167" spans="1:15" ht="20.100000000000001" customHeight="1" x14ac:dyDescent="0.25">
      <c r="A1167" s="2">
        <v>481</v>
      </c>
      <c r="B1167" s="2" t="str">
        <f>TEXT(Таблица97[[#This Row],[Дата]],"ГГ")&amp;RIGHT("000"&amp;Таблица97[[#This Row],[Номер]],4)</f>
        <v>190481</v>
      </c>
      <c r="C1167" s="129">
        <v>43608</v>
      </c>
      <c r="D1167" s="2" t="s">
        <v>389</v>
      </c>
      <c r="E1167" s="108">
        <v>55580</v>
      </c>
      <c r="F1167" s="129">
        <v>43608</v>
      </c>
      <c r="G1167" s="128">
        <v>1</v>
      </c>
      <c r="H1167" s="129">
        <v>43609</v>
      </c>
      <c r="I1167" s="108">
        <f t="shared" si="51"/>
        <v>55580</v>
      </c>
      <c r="J1167" s="108">
        <f>IF(Таблица97[[#This Row],[НК]]=1,Таблица97[[#This Row],[Продажа]],"")</f>
        <v>55580</v>
      </c>
      <c r="M1167" s="108">
        <v>40474</v>
      </c>
      <c r="N1167" s="108">
        <f>Таблица97[[#This Row],[Продажа]]-Таблица97[[#This Row],[Закупка]]</f>
        <v>15106</v>
      </c>
      <c r="O1167" s="108">
        <f>IF(Таблица97[[#This Row],[НК]]=1,Таблица97[[#This Row],[Маржа]],"")</f>
        <v>15106</v>
      </c>
    </row>
    <row r="1168" spans="1:15" ht="20.100000000000001" customHeight="1" x14ac:dyDescent="0.25">
      <c r="A1168" s="2">
        <v>452</v>
      </c>
      <c r="B1168" s="2" t="str">
        <f>TEXT(Таблица97[[#This Row],[Дата]],"ГГ")&amp;RIGHT("000"&amp;Таблица97[[#This Row],[Номер]],4)</f>
        <v>190452</v>
      </c>
      <c r="C1168" s="129">
        <v>43605</v>
      </c>
      <c r="D1168" s="2" t="s">
        <v>270</v>
      </c>
      <c r="E1168" s="108">
        <v>3387</v>
      </c>
      <c r="F1168" s="129">
        <v>43612</v>
      </c>
      <c r="H1168" s="129">
        <v>43605</v>
      </c>
      <c r="I1168" s="108">
        <f t="shared" si="51"/>
        <v>3387</v>
      </c>
      <c r="J1168" s="108" t="str">
        <f>IF(Таблица97[[#This Row],[НК]]=1,Таблица97[[#This Row],[Продажа]],"")</f>
        <v/>
      </c>
      <c r="M1168" s="108">
        <v>2640</v>
      </c>
      <c r="N1168" s="108">
        <f>Таблица97[[#This Row],[Продажа]]-Таблица97[[#This Row],[Закупка]]</f>
        <v>747</v>
      </c>
      <c r="O1168" s="108" t="str">
        <f>IF(Таблица97[[#This Row],[НК]]=1,Таблица97[[#This Row],[Маржа]],"")</f>
        <v/>
      </c>
    </row>
    <row r="1169" spans="1:15" ht="20.100000000000001" customHeight="1" x14ac:dyDescent="0.25">
      <c r="A1169" s="2">
        <v>256</v>
      </c>
      <c r="B1169" s="2" t="str">
        <f>TEXT(Таблица97[[#This Row],[Дата]],"ГГ")&amp;RIGHT("000"&amp;Таблица97[[#This Row],[Номер]],4)</f>
        <v>190256</v>
      </c>
      <c r="C1169" s="129">
        <v>43602</v>
      </c>
      <c r="D1169" s="2" t="s">
        <v>99</v>
      </c>
      <c r="E1169" s="108">
        <v>208464</v>
      </c>
      <c r="F1169" s="129">
        <v>43613</v>
      </c>
      <c r="H1169" s="129">
        <v>43602</v>
      </c>
      <c r="I1169" s="108">
        <f t="shared" si="51"/>
        <v>208464</v>
      </c>
      <c r="J1169" s="108" t="str">
        <f>IF(Таблица97[[#This Row],[НК]]=1,Таблица97[[#This Row],[Продажа]],"")</f>
        <v/>
      </c>
      <c r="K1169" s="108">
        <v>39000</v>
      </c>
      <c r="L1169" s="108">
        <f>13*600</f>
        <v>7800</v>
      </c>
      <c r="M1169" s="108">
        <v>60357</v>
      </c>
      <c r="N1169" s="108">
        <f>Таблица97[[#This Row],[Продажа]]-Таблица97[[#This Row],[Закупка]]</f>
        <v>148107</v>
      </c>
      <c r="O1169" s="108" t="str">
        <f>IF(Таблица97[[#This Row],[НК]]=1,Таблица97[[#This Row],[Маржа]],"")</f>
        <v/>
      </c>
    </row>
    <row r="1170" spans="1:15" ht="20.100000000000001" customHeight="1" x14ac:dyDescent="0.25">
      <c r="A1170" s="2">
        <v>502</v>
      </c>
      <c r="B1170" s="2" t="str">
        <f>TEXT(Таблица97[[#This Row],[Дата]],"ГГ")&amp;RIGHT("000"&amp;Таблица97[[#This Row],[Номер]],4)</f>
        <v>190502</v>
      </c>
      <c r="C1170" s="129">
        <v>43614</v>
      </c>
      <c r="D1170" s="2" t="s">
        <v>390</v>
      </c>
      <c r="E1170" s="108">
        <v>36990</v>
      </c>
      <c r="F1170" s="129">
        <v>43614</v>
      </c>
      <c r="G1170" s="128">
        <v>1</v>
      </c>
      <c r="H1170" s="129">
        <v>43615</v>
      </c>
      <c r="I1170" s="108">
        <f t="shared" si="51"/>
        <v>36990</v>
      </c>
      <c r="J1170" s="108">
        <f>IF(Таблица97[[#This Row],[НК]]=1,Таблица97[[#This Row],[Продажа]],"")</f>
        <v>36990</v>
      </c>
      <c r="M1170" s="108">
        <v>27165</v>
      </c>
      <c r="N1170" s="108">
        <f>Таблица97[[#This Row],[Продажа]]-Таблица97[[#This Row],[Закупка]]</f>
        <v>9825</v>
      </c>
      <c r="O1170" s="108">
        <f>IF(Таблица97[[#This Row],[НК]]=1,Таблица97[[#This Row],[Маржа]],"")</f>
        <v>9825</v>
      </c>
    </row>
    <row r="1171" spans="1:15" ht="20.100000000000001" customHeight="1" x14ac:dyDescent="0.25">
      <c r="A1171" s="2">
        <v>503</v>
      </c>
      <c r="B1171" s="2" t="str">
        <f>TEXT(Таблица97[[#This Row],[Дата]],"ГГ")&amp;RIGHT("000"&amp;Таблица97[[#This Row],[Номер]],4)</f>
        <v>190503</v>
      </c>
      <c r="C1171" s="129">
        <v>43614</v>
      </c>
      <c r="D1171" s="2" t="s">
        <v>391</v>
      </c>
      <c r="E1171" s="108">
        <v>14490</v>
      </c>
      <c r="F1171" s="129">
        <v>43615</v>
      </c>
      <c r="G1171" s="128">
        <v>1</v>
      </c>
      <c r="H1171" s="129">
        <v>43619</v>
      </c>
      <c r="I1171" s="108">
        <f t="shared" si="51"/>
        <v>14490</v>
      </c>
      <c r="J1171" s="108">
        <f>IF(Таблица97[[#This Row],[НК]]=1,Таблица97[[#This Row],[Продажа]],"")</f>
        <v>14490</v>
      </c>
      <c r="M1171" s="108">
        <v>10650</v>
      </c>
      <c r="N1171" s="108">
        <f>Таблица97[[#This Row],[Продажа]]-Таблица97[[#This Row],[Закупка]]</f>
        <v>3840</v>
      </c>
      <c r="O1171" s="108">
        <f>IF(Таблица97[[#This Row],[НК]]=1,Таблица97[[#This Row],[Маржа]],"")</f>
        <v>3840</v>
      </c>
    </row>
    <row r="1172" spans="1:15" ht="20.100000000000001" customHeight="1" x14ac:dyDescent="0.25">
      <c r="A1172" s="2">
        <v>426</v>
      </c>
      <c r="B1172" s="2" t="str">
        <f>TEXT(Таблица97[[#This Row],[Дата]],"ГГ")&amp;RIGHT("000"&amp;Таблица97[[#This Row],[Номер]],4)</f>
        <v>190426</v>
      </c>
      <c r="C1172" s="129">
        <v>43599</v>
      </c>
      <c r="D1172" s="2" t="s">
        <v>392</v>
      </c>
      <c r="E1172" s="108">
        <v>17640</v>
      </c>
      <c r="F1172" s="129">
        <v>43619</v>
      </c>
      <c r="G1172" s="128">
        <v>1</v>
      </c>
      <c r="H1172" s="129">
        <v>43622</v>
      </c>
      <c r="I1172" s="108">
        <f t="shared" ref="I1172:I1200" si="52">E1172</f>
        <v>17640</v>
      </c>
      <c r="J1172" s="108">
        <f>IF(Таблица97[[#This Row],[НК]]=1,Таблица97[[#This Row],[Продажа]],"")</f>
        <v>17640</v>
      </c>
      <c r="M1172" s="108">
        <v>12676</v>
      </c>
      <c r="N1172" s="108">
        <f>Таблица97[[#This Row],[Продажа]]-Таблица97[[#This Row],[Закупка]]</f>
        <v>4964</v>
      </c>
      <c r="O1172" s="108">
        <f>IF(Таблица97[[#This Row],[НК]]=1,Таблица97[[#This Row],[Маржа]],"")</f>
        <v>4964</v>
      </c>
    </row>
    <row r="1173" spans="1:15" ht="20.100000000000001" customHeight="1" x14ac:dyDescent="0.25">
      <c r="A1173" s="2">
        <v>500</v>
      </c>
      <c r="B1173" s="2" t="str">
        <f>TEXT(Таблица97[[#This Row],[Дата]],"ГГ")&amp;RIGHT("000"&amp;Таблица97[[#This Row],[Номер]],4)</f>
        <v>190500</v>
      </c>
      <c r="C1173" s="129">
        <v>43613</v>
      </c>
      <c r="D1173" s="2" t="s">
        <v>45</v>
      </c>
      <c r="E1173" s="108">
        <v>8078</v>
      </c>
      <c r="F1173" s="129">
        <v>43619</v>
      </c>
      <c r="H1173" s="129">
        <v>43633</v>
      </c>
      <c r="I1173" s="108">
        <f t="shared" si="52"/>
        <v>8078</v>
      </c>
      <c r="J1173" s="108" t="str">
        <f>IF(Таблица97[[#This Row],[НК]]=1,Таблица97[[#This Row],[Продажа]],"")</f>
        <v/>
      </c>
      <c r="M1173" s="108">
        <v>6301</v>
      </c>
      <c r="N1173" s="108">
        <f>Таблица97[[#This Row],[Продажа]]-Таблица97[[#This Row],[Закупка]]</f>
        <v>1777</v>
      </c>
      <c r="O1173" s="108" t="str">
        <f>IF(Таблица97[[#This Row],[НК]]=1,Таблица97[[#This Row],[Маржа]],"")</f>
        <v/>
      </c>
    </row>
    <row r="1174" spans="1:15" ht="20.100000000000001" customHeight="1" x14ac:dyDescent="0.25">
      <c r="A1174" s="2">
        <v>515</v>
      </c>
      <c r="B1174" s="2" t="str">
        <f>TEXT(Таблица97[[#This Row],[Дата]],"ГГ")&amp;RIGHT("000"&amp;Таблица97[[#This Row],[Номер]],4)</f>
        <v>190515</v>
      </c>
      <c r="C1174" s="129">
        <v>43619</v>
      </c>
      <c r="D1174" s="2" t="s">
        <v>40</v>
      </c>
      <c r="E1174" s="108">
        <v>22180</v>
      </c>
      <c r="F1174" s="129">
        <v>43620</v>
      </c>
      <c r="H1174" s="129">
        <v>43619</v>
      </c>
      <c r="I1174" s="108">
        <f t="shared" si="52"/>
        <v>22180</v>
      </c>
      <c r="J1174" s="108" t="str">
        <f>IF(Таблица97[[#This Row],[НК]]=1,Таблица97[[#This Row],[Продажа]],"")</f>
        <v/>
      </c>
      <c r="M1174" s="108">
        <v>16429</v>
      </c>
      <c r="N1174" s="108">
        <f>Таблица97[[#This Row],[Продажа]]-Таблица97[[#This Row],[Закупка]]</f>
        <v>5751</v>
      </c>
      <c r="O1174" s="108" t="str">
        <f>IF(Таблица97[[#This Row],[НК]]=1,Таблица97[[#This Row],[Маржа]],"")</f>
        <v/>
      </c>
    </row>
    <row r="1175" spans="1:15" ht="20.100000000000001" customHeight="1" x14ac:dyDescent="0.25">
      <c r="A1175" s="2">
        <v>516</v>
      </c>
      <c r="B1175" s="2" t="str">
        <f>TEXT(Таблица97[[#This Row],[Дата]],"ГГ")&amp;RIGHT("000"&amp;Таблица97[[#This Row],[Номер]],4)</f>
        <v>190516</v>
      </c>
      <c r="C1175" s="129">
        <v>43619</v>
      </c>
      <c r="D1175" s="2" t="s">
        <v>40</v>
      </c>
      <c r="E1175" s="108">
        <v>3860</v>
      </c>
      <c r="F1175" s="129">
        <v>43620</v>
      </c>
      <c r="H1175" s="129">
        <v>43619</v>
      </c>
      <c r="I1175" s="108">
        <f t="shared" si="52"/>
        <v>3860</v>
      </c>
      <c r="J1175" s="108" t="str">
        <f>IF(Таблица97[[#This Row],[НК]]=1,Таблица97[[#This Row],[Продажа]],"")</f>
        <v/>
      </c>
      <c r="M1175" s="108">
        <v>3010</v>
      </c>
      <c r="N1175" s="108">
        <f>Таблица97[[#This Row],[Продажа]]-Таблица97[[#This Row],[Закупка]]</f>
        <v>850</v>
      </c>
      <c r="O1175" s="108" t="str">
        <f>IF(Таблица97[[#This Row],[НК]]=1,Таблица97[[#This Row],[Маржа]],"")</f>
        <v/>
      </c>
    </row>
    <row r="1176" spans="1:15" ht="20.100000000000001" customHeight="1" x14ac:dyDescent="0.25">
      <c r="A1176" s="2">
        <v>466</v>
      </c>
      <c r="B1176" s="2" t="str">
        <f>TEXT(Таблица97[[#This Row],[Дата]],"ГГ")&amp;RIGHT("000"&amp;Таблица97[[#This Row],[Номер]],4)</f>
        <v>190466</v>
      </c>
      <c r="C1176" s="129">
        <v>43619</v>
      </c>
      <c r="D1176" s="2" t="s">
        <v>365</v>
      </c>
      <c r="E1176" s="108">
        <v>4990</v>
      </c>
      <c r="F1176" s="129">
        <v>43621</v>
      </c>
      <c r="H1176" s="129">
        <v>43627</v>
      </c>
      <c r="I1176" s="108">
        <f t="shared" si="52"/>
        <v>4990</v>
      </c>
      <c r="J1176" s="108" t="str">
        <f>IF(Таблица97[[#This Row],[НК]]=1,Таблица97[[#This Row],[Продажа]],"")</f>
        <v/>
      </c>
      <c r="M1176" s="108">
        <v>3667</v>
      </c>
      <c r="N1176" s="108">
        <f>Таблица97[[#This Row],[Продажа]]-Таблица97[[#This Row],[Закупка]]</f>
        <v>1323</v>
      </c>
      <c r="O1176" s="108" t="str">
        <f>IF(Таблица97[[#This Row],[НК]]=1,Таблица97[[#This Row],[Маржа]],"")</f>
        <v/>
      </c>
    </row>
    <row r="1177" spans="1:15" ht="20.100000000000001" customHeight="1" x14ac:dyDescent="0.25">
      <c r="A1177" s="2">
        <v>501</v>
      </c>
      <c r="B1177" s="2" t="str">
        <f>TEXT(Таблица97[[#This Row],[Дата]],"ГГ")&amp;RIGHT("000"&amp;Таблица97[[#This Row],[Номер]],4)</f>
        <v>190501</v>
      </c>
      <c r="C1177" s="129">
        <v>43613</v>
      </c>
      <c r="D1177" s="2" t="s">
        <v>228</v>
      </c>
      <c r="E1177" s="108">
        <v>10255</v>
      </c>
      <c r="F1177" s="129">
        <v>43621</v>
      </c>
      <c r="H1177" s="129">
        <v>43629</v>
      </c>
      <c r="I1177" s="108">
        <f t="shared" si="52"/>
        <v>10255</v>
      </c>
      <c r="J1177" s="108" t="str">
        <f>IF(Таблица97[[#This Row],[НК]]=1,Таблица97[[#This Row],[Продажа]],"")</f>
        <v/>
      </c>
      <c r="M1177" s="108">
        <v>7998</v>
      </c>
      <c r="N1177" s="108">
        <f>Таблица97[[#This Row],[Продажа]]-Таблица97[[#This Row],[Закупка]]</f>
        <v>2257</v>
      </c>
      <c r="O1177" s="108" t="str">
        <f>IF(Таблица97[[#This Row],[НК]]=1,Таблица97[[#This Row],[Маржа]],"")</f>
        <v/>
      </c>
    </row>
    <row r="1178" spans="1:15" ht="20.100000000000001" customHeight="1" x14ac:dyDescent="0.25">
      <c r="A1178" s="2">
        <v>451</v>
      </c>
      <c r="B1178" s="2" t="str">
        <f>TEXT(Таблица97[[#This Row],[Дата]],"ГГ")&amp;RIGHT("000"&amp;Таблица97[[#This Row],[Номер]],4)</f>
        <v>190451</v>
      </c>
      <c r="C1178" s="129">
        <v>43605</v>
      </c>
      <c r="D1178" s="2" t="s">
        <v>393</v>
      </c>
      <c r="E1178" s="108">
        <v>22653</v>
      </c>
      <c r="F1178" s="129">
        <v>43621</v>
      </c>
      <c r="G1178" s="128">
        <v>1</v>
      </c>
      <c r="H1178" s="129">
        <v>43634</v>
      </c>
      <c r="I1178" s="108">
        <f t="shared" si="52"/>
        <v>22653</v>
      </c>
      <c r="J1178" s="108">
        <f>IF(Таблица97[[#This Row],[НК]]=1,Таблица97[[#This Row],[Продажа]],"")</f>
        <v>22653</v>
      </c>
      <c r="M1178" s="108">
        <v>16312</v>
      </c>
      <c r="N1178" s="108">
        <f>Таблица97[[#This Row],[Продажа]]-Таблица97[[#This Row],[Закупка]]</f>
        <v>6341</v>
      </c>
      <c r="O1178" s="108">
        <f>IF(Таблица97[[#This Row],[НК]]=1,Таблица97[[#This Row],[Маржа]],"")</f>
        <v>6341</v>
      </c>
    </row>
    <row r="1179" spans="1:15" ht="20.100000000000001" customHeight="1" x14ac:dyDescent="0.25">
      <c r="A1179" s="2">
        <v>529</v>
      </c>
      <c r="B1179" s="2" t="str">
        <f>TEXT(Таблица97[[#This Row],[Дата]],"ГГ")&amp;RIGHT("000"&amp;Таблица97[[#This Row],[Номер]],4)</f>
        <v>190529</v>
      </c>
      <c r="C1179" s="129">
        <v>43621</v>
      </c>
      <c r="D1179" s="2" t="s">
        <v>149</v>
      </c>
      <c r="E1179" s="108">
        <v>1002</v>
      </c>
      <c r="F1179" s="129">
        <v>43622</v>
      </c>
      <c r="H1179" s="129">
        <v>43635</v>
      </c>
      <c r="I1179" s="108">
        <f t="shared" si="52"/>
        <v>1002</v>
      </c>
      <c r="J1179" s="108" t="str">
        <f>IF(Таблица97[[#This Row],[НК]]=1,Таблица97[[#This Row],[Продажа]],"")</f>
        <v/>
      </c>
      <c r="M1179" s="108">
        <v>661</v>
      </c>
      <c r="N1179" s="108">
        <f>Таблица97[[#This Row],[Продажа]]-Таблица97[[#This Row],[Закупка]]</f>
        <v>341</v>
      </c>
      <c r="O1179" s="108" t="str">
        <f>IF(Таблица97[[#This Row],[НК]]=1,Таблица97[[#This Row],[Маржа]],"")</f>
        <v/>
      </c>
    </row>
    <row r="1180" spans="1:15" ht="20.100000000000001" customHeight="1" x14ac:dyDescent="0.25">
      <c r="A1180" s="2">
        <v>534</v>
      </c>
      <c r="B1180" s="2" t="str">
        <f>TEXT(Таблица97[[#This Row],[Дата]],"ГГ")&amp;RIGHT("000"&amp;Таблица97[[#This Row],[Номер]],4)</f>
        <v>190534</v>
      </c>
      <c r="C1180" s="129">
        <v>43622</v>
      </c>
      <c r="D1180" s="2" t="s">
        <v>394</v>
      </c>
      <c r="E1180" s="108">
        <v>108390</v>
      </c>
      <c r="F1180" s="129">
        <v>43623</v>
      </c>
      <c r="H1180" s="129">
        <v>43626</v>
      </c>
      <c r="I1180" s="108">
        <f t="shared" si="52"/>
        <v>108390</v>
      </c>
      <c r="J1180" s="108" t="str">
        <f>IF(Таблица97[[#This Row],[НК]]=1,Таблица97[[#This Row],[Продажа]],"")</f>
        <v/>
      </c>
      <c r="M1180" s="108">
        <v>67276</v>
      </c>
      <c r="N1180" s="108">
        <f>Таблица97[[#This Row],[Продажа]]-Таблица97[[#This Row],[Закупка]]</f>
        <v>41114</v>
      </c>
      <c r="O1180" s="108" t="str">
        <f>IF(Таблица97[[#This Row],[НК]]=1,Таблица97[[#This Row],[Маржа]],"")</f>
        <v/>
      </c>
    </row>
    <row r="1181" spans="1:15" ht="20.100000000000001" customHeight="1" x14ac:dyDescent="0.25">
      <c r="A1181" s="2">
        <v>460</v>
      </c>
      <c r="B1181" s="2" t="str">
        <f>TEXT(Таблица97[[#This Row],[Дата]],"ГГ")&amp;RIGHT("000"&amp;Таблица97[[#This Row],[Номер]],4)</f>
        <v>190460</v>
      </c>
      <c r="C1181" s="129">
        <v>43606</v>
      </c>
      <c r="D1181" s="2" t="s">
        <v>66</v>
      </c>
      <c r="E1181" s="108">
        <v>32022</v>
      </c>
      <c r="F1181" s="129">
        <v>43627</v>
      </c>
      <c r="H1181" s="129">
        <v>43607</v>
      </c>
      <c r="I1181" s="108">
        <f t="shared" si="52"/>
        <v>32022</v>
      </c>
      <c r="J1181" s="108" t="str">
        <f>IF(Таблица97[[#This Row],[НК]]=1,Таблица97[[#This Row],[Продажа]],"")</f>
        <v/>
      </c>
      <c r="M1181" s="108">
        <v>24581</v>
      </c>
      <c r="N1181" s="108">
        <f>Таблица97[[#This Row],[Продажа]]-Таблица97[[#This Row],[Закупка]]</f>
        <v>7441</v>
      </c>
      <c r="O1181" s="108" t="str">
        <f>IF(Таблица97[[#This Row],[НК]]=1,Таблица97[[#This Row],[Маржа]],"")</f>
        <v/>
      </c>
    </row>
    <row r="1182" spans="1:15" ht="20.100000000000001" customHeight="1" x14ac:dyDescent="0.25">
      <c r="A1182" s="2">
        <v>475</v>
      </c>
      <c r="B1182" s="2" t="str">
        <f>TEXT(Таблица97[[#This Row],[Дата]],"ГГ")&amp;RIGHT("000"&amp;Таблица97[[#This Row],[Номер]],4)</f>
        <v>190475</v>
      </c>
      <c r="C1182" s="129">
        <v>43608</v>
      </c>
      <c r="D1182" s="2" t="s">
        <v>395</v>
      </c>
      <c r="E1182" s="108">
        <v>96790</v>
      </c>
      <c r="F1182" s="129">
        <v>43629</v>
      </c>
      <c r="G1182" s="128">
        <v>1</v>
      </c>
      <c r="H1182" s="129">
        <v>43630</v>
      </c>
      <c r="I1182" s="108">
        <f t="shared" si="52"/>
        <v>96790</v>
      </c>
      <c r="J1182" s="108">
        <f>IF(Таблица97[[#This Row],[НК]]=1,Таблица97[[#This Row],[Продажа]],"")</f>
        <v>96790</v>
      </c>
      <c r="M1182" s="108">
        <v>70224</v>
      </c>
      <c r="N1182" s="108">
        <f>Таблица97[[#This Row],[Продажа]]-Таблица97[[#This Row],[Закупка]]</f>
        <v>26566</v>
      </c>
      <c r="O1182" s="108">
        <f>IF(Таблица97[[#This Row],[НК]]=1,Таблица97[[#This Row],[Маржа]],"")</f>
        <v>26566</v>
      </c>
    </row>
    <row r="1183" spans="1:15" ht="20.100000000000001" customHeight="1" x14ac:dyDescent="0.25">
      <c r="A1183" s="2">
        <v>555</v>
      </c>
      <c r="B1183" s="2" t="str">
        <f>TEXT(Таблица97[[#This Row],[Дата]],"ГГ")&amp;RIGHT("000"&amp;Таблица97[[#This Row],[Номер]],4)</f>
        <v>190555</v>
      </c>
      <c r="C1183" s="129">
        <v>43627</v>
      </c>
      <c r="D1183" s="2" t="s">
        <v>49</v>
      </c>
      <c r="E1183" s="108">
        <v>1252</v>
      </c>
      <c r="F1183" s="129">
        <v>43629</v>
      </c>
      <c r="H1183" s="129">
        <v>43637</v>
      </c>
      <c r="I1183" s="108">
        <f t="shared" si="52"/>
        <v>1252</v>
      </c>
      <c r="J1183" s="108" t="str">
        <f>IF(Таблица97[[#This Row],[НК]]=1,Таблица97[[#This Row],[Продажа]],"")</f>
        <v/>
      </c>
      <c r="M1183" s="108">
        <v>826</v>
      </c>
      <c r="N1183" s="108">
        <f>Таблица97[[#This Row],[Продажа]]-Таблица97[[#This Row],[Закупка]]</f>
        <v>426</v>
      </c>
      <c r="O1183" s="108" t="str">
        <f>IF(Таблица97[[#This Row],[НК]]=1,Таблица97[[#This Row],[Маржа]],"")</f>
        <v/>
      </c>
    </row>
    <row r="1184" spans="1:15" ht="20.100000000000001" customHeight="1" x14ac:dyDescent="0.25">
      <c r="A1184" s="2">
        <v>559</v>
      </c>
      <c r="B1184" s="2" t="str">
        <f>TEXT(Таблица97[[#This Row],[Дата]],"ГГ")&amp;RIGHT("000"&amp;Таблица97[[#This Row],[Номер]],4)</f>
        <v>190559</v>
      </c>
      <c r="C1184" s="129">
        <v>43627</v>
      </c>
      <c r="D1184" s="2" t="s">
        <v>396</v>
      </c>
      <c r="E1184" s="108">
        <v>9990</v>
      </c>
      <c r="F1184" s="129">
        <v>43630</v>
      </c>
      <c r="G1184" s="128">
        <v>1</v>
      </c>
      <c r="H1184" s="129">
        <v>43634</v>
      </c>
      <c r="I1184" s="108">
        <f t="shared" si="52"/>
        <v>9990</v>
      </c>
      <c r="J1184" s="108">
        <f>IF(Таблица97[[#This Row],[НК]]=1,Таблица97[[#This Row],[Продажа]],"")</f>
        <v>9990</v>
      </c>
      <c r="M1184" s="108">
        <v>7342</v>
      </c>
      <c r="N1184" s="108">
        <f>Таблица97[[#This Row],[Продажа]]-Таблица97[[#This Row],[Закупка]]</f>
        <v>2648</v>
      </c>
      <c r="O1184" s="108">
        <f>IF(Таблица97[[#This Row],[НК]]=1,Таблица97[[#This Row],[Маржа]],"")</f>
        <v>2648</v>
      </c>
    </row>
    <row r="1185" spans="1:15" ht="20.100000000000001" customHeight="1" x14ac:dyDescent="0.25">
      <c r="A1185" s="2">
        <v>584</v>
      </c>
      <c r="B1185" s="2" t="str">
        <f>TEXT(Таблица97[[#This Row],[Дата]],"ГГ")&amp;RIGHT("000"&amp;Таблица97[[#This Row],[Номер]],4)</f>
        <v>190584</v>
      </c>
      <c r="C1185" s="129">
        <v>43630</v>
      </c>
      <c r="D1185" s="2" t="s">
        <v>386</v>
      </c>
      <c r="E1185" s="108">
        <v>3142</v>
      </c>
      <c r="F1185" s="129">
        <v>43631</v>
      </c>
      <c r="H1185" s="129">
        <v>43630</v>
      </c>
      <c r="I1185" s="108">
        <f t="shared" si="52"/>
        <v>3142</v>
      </c>
      <c r="J1185" s="108" t="str">
        <f>IF(Таблица97[[#This Row],[НК]]=1,Таблица97[[#This Row],[Продажа]],"")</f>
        <v/>
      </c>
      <c r="M1185" s="108">
        <v>2450</v>
      </c>
      <c r="N1185" s="108">
        <f>Таблица97[[#This Row],[Продажа]]-Таблица97[[#This Row],[Закупка]]</f>
        <v>692</v>
      </c>
      <c r="O1185" s="108" t="str">
        <f>IF(Таблица97[[#This Row],[НК]]=1,Таблица97[[#This Row],[Маржа]],"")</f>
        <v/>
      </c>
    </row>
    <row r="1186" spans="1:15" ht="20.100000000000001" customHeight="1" x14ac:dyDescent="0.25">
      <c r="A1186" s="2">
        <v>514</v>
      </c>
      <c r="B1186" s="2" t="str">
        <f>TEXT(Таблица97[[#This Row],[Дата]],"ГГ")&amp;RIGHT("000"&amp;Таблица97[[#This Row],[Номер]],4)</f>
        <v>190514</v>
      </c>
      <c r="C1186" s="129">
        <v>43619</v>
      </c>
      <c r="D1186" s="2" t="s">
        <v>363</v>
      </c>
      <c r="E1186" s="108">
        <v>10760</v>
      </c>
      <c r="F1186" s="129">
        <v>43634</v>
      </c>
      <c r="H1186" s="129">
        <v>43619</v>
      </c>
      <c r="I1186" s="108">
        <f t="shared" si="52"/>
        <v>10760</v>
      </c>
      <c r="J1186" s="108" t="str">
        <f>IF(Таблица97[[#This Row],[НК]]=1,Таблица97[[#This Row],[Продажа]],"")</f>
        <v/>
      </c>
      <c r="M1186" s="108">
        <v>9528</v>
      </c>
      <c r="N1186" s="108">
        <f>Таблица97[[#This Row],[Продажа]]-Таблица97[[#This Row],[Закупка]]</f>
        <v>1232</v>
      </c>
      <c r="O1186" s="108" t="str">
        <f>IF(Таблица97[[#This Row],[НК]]=1,Таблица97[[#This Row],[Маржа]],"")</f>
        <v/>
      </c>
    </row>
    <row r="1187" spans="1:15" ht="20.100000000000001" customHeight="1" x14ac:dyDescent="0.25">
      <c r="A1187" s="2">
        <v>581</v>
      </c>
      <c r="B1187" s="2" t="str">
        <f>TEXT(Таблица97[[#This Row],[Дата]],"ГГ")&amp;RIGHT("000"&amp;Таблица97[[#This Row],[Номер]],4)</f>
        <v>190581</v>
      </c>
      <c r="C1187" s="129">
        <v>43630</v>
      </c>
      <c r="D1187" s="2" t="s">
        <v>139</v>
      </c>
      <c r="E1187" s="108">
        <v>41390</v>
      </c>
      <c r="F1187" s="129">
        <v>43634</v>
      </c>
      <c r="H1187" s="129">
        <v>43636</v>
      </c>
      <c r="I1187" s="108">
        <f t="shared" si="52"/>
        <v>41390</v>
      </c>
      <c r="J1187" s="108" t="str">
        <f>IF(Таблица97[[#This Row],[НК]]=1,Таблица97[[#This Row],[Продажа]],"")</f>
        <v/>
      </c>
      <c r="M1187" s="108">
        <v>30708</v>
      </c>
      <c r="N1187" s="108">
        <f>Таблица97[[#This Row],[Продажа]]-Таблица97[[#This Row],[Закупка]]</f>
        <v>10682</v>
      </c>
      <c r="O1187" s="108" t="str">
        <f>IF(Таблица97[[#This Row],[НК]]=1,Таблица97[[#This Row],[Маржа]],"")</f>
        <v/>
      </c>
    </row>
    <row r="1188" spans="1:15" ht="20.100000000000001" customHeight="1" x14ac:dyDescent="0.25">
      <c r="A1188" s="2">
        <v>589</v>
      </c>
      <c r="B1188" s="2" t="str">
        <f>TEXT(Таблица97[[#This Row],[Дата]],"ГГ")&amp;RIGHT("000"&amp;Таблица97[[#This Row],[Номер]],4)</f>
        <v>190589</v>
      </c>
      <c r="C1188" s="129">
        <v>43633</v>
      </c>
      <c r="D1188" s="2" t="s">
        <v>372</v>
      </c>
      <c r="E1188" s="108">
        <v>5040</v>
      </c>
      <c r="F1188" s="129">
        <v>43634</v>
      </c>
      <c r="H1188" s="129">
        <v>43651</v>
      </c>
      <c r="I1188" s="108">
        <f t="shared" si="52"/>
        <v>5040</v>
      </c>
      <c r="J1188" s="108" t="str">
        <f>IF(Таблица97[[#This Row],[НК]]=1,Таблица97[[#This Row],[Продажа]],"")</f>
        <v/>
      </c>
      <c r="M1188" s="108">
        <v>3931</v>
      </c>
      <c r="N1188" s="108">
        <f>Таблица97[[#This Row],[Продажа]]-Таблица97[[#This Row],[Закупка]]</f>
        <v>1109</v>
      </c>
      <c r="O1188" s="108" t="str">
        <f>IF(Таблица97[[#This Row],[НК]]=1,Таблица97[[#This Row],[Маржа]],"")</f>
        <v/>
      </c>
    </row>
    <row r="1189" spans="1:15" ht="20.100000000000001" customHeight="1" x14ac:dyDescent="0.25">
      <c r="A1189" s="2">
        <v>599</v>
      </c>
      <c r="B1189" s="2" t="str">
        <f>TEXT(Таблица97[[#This Row],[Дата]],"ГГ")&amp;RIGHT("000"&amp;Таблица97[[#This Row],[Номер]],4)</f>
        <v>190599</v>
      </c>
      <c r="C1189" s="129">
        <v>43635</v>
      </c>
      <c r="D1189" s="2" t="s">
        <v>380</v>
      </c>
      <c r="E1189" s="108">
        <v>45818</v>
      </c>
      <c r="F1189" s="129">
        <v>43635</v>
      </c>
      <c r="H1189" s="129">
        <v>43656</v>
      </c>
      <c r="I1189" s="108">
        <f t="shared" si="52"/>
        <v>45818</v>
      </c>
      <c r="J1189" s="108" t="str">
        <f>IF(Таблица97[[#This Row],[НК]]=1,Таблица97[[#This Row],[Продажа]],"")</f>
        <v/>
      </c>
      <c r="M1189" s="108">
        <v>32824</v>
      </c>
      <c r="N1189" s="108">
        <f>Таблица97[[#This Row],[Продажа]]-Таблица97[[#This Row],[Закупка]]</f>
        <v>12994</v>
      </c>
      <c r="O1189" s="108" t="str">
        <f>IF(Таблица97[[#This Row],[НК]]=1,Таблица97[[#This Row],[Маржа]],"")</f>
        <v/>
      </c>
    </row>
    <row r="1190" spans="1:15" ht="20.100000000000001" customHeight="1" x14ac:dyDescent="0.25">
      <c r="A1190" s="2">
        <v>573</v>
      </c>
      <c r="B1190" s="2" t="str">
        <f>TEXT(Таблица97[[#This Row],[Дата]],"ГГ")&amp;RIGHT("000"&amp;Таблица97[[#This Row],[Номер]],4)</f>
        <v>190573</v>
      </c>
      <c r="C1190" s="129">
        <v>43630</v>
      </c>
      <c r="D1190" s="2" t="s">
        <v>139</v>
      </c>
      <c r="E1190" s="108">
        <v>292890</v>
      </c>
      <c r="F1190" s="129">
        <v>43635</v>
      </c>
      <c r="H1190" s="129">
        <v>43636</v>
      </c>
      <c r="I1190" s="108">
        <f t="shared" si="52"/>
        <v>292890</v>
      </c>
      <c r="J1190" s="108" t="str">
        <f>IF(Таблица97[[#This Row],[НК]]=1,Таблица97[[#This Row],[Продажа]],"")</f>
        <v/>
      </c>
      <c r="M1190" s="108">
        <v>178000</v>
      </c>
      <c r="N1190" s="108">
        <f>Таблица97[[#This Row],[Продажа]]-Таблица97[[#This Row],[Закупка]]</f>
        <v>114890</v>
      </c>
      <c r="O1190" s="108" t="str">
        <f>IF(Таблица97[[#This Row],[НК]]=1,Таблица97[[#This Row],[Маржа]],"")</f>
        <v/>
      </c>
    </row>
    <row r="1191" spans="1:15" ht="20.100000000000001" customHeight="1" x14ac:dyDescent="0.25">
      <c r="A1191" s="2">
        <v>601</v>
      </c>
      <c r="B1191" s="2" t="str">
        <f>TEXT(Таблица97[[#This Row],[Дата]],"ГГ")&amp;RIGHT("000"&amp;Таблица97[[#This Row],[Номер]],4)</f>
        <v>190601</v>
      </c>
      <c r="C1191" s="129">
        <v>43635</v>
      </c>
      <c r="D1191" s="2" t="s">
        <v>397</v>
      </c>
      <c r="E1191" s="108">
        <v>10490</v>
      </c>
      <c r="F1191" s="129">
        <v>43635</v>
      </c>
      <c r="H1191" s="129">
        <v>43636</v>
      </c>
      <c r="I1191" s="108">
        <f t="shared" si="52"/>
        <v>10490</v>
      </c>
      <c r="J1191" s="108" t="str">
        <f>IF(Таблица97[[#This Row],[НК]]=1,Таблица97[[#This Row],[Продажа]],"")</f>
        <v/>
      </c>
      <c r="M1191" s="108">
        <v>7703</v>
      </c>
      <c r="N1191" s="108">
        <f>Таблица97[[#This Row],[Продажа]]-Таблица97[[#This Row],[Закупка]]</f>
        <v>2787</v>
      </c>
      <c r="O1191" s="108" t="str">
        <f>IF(Таблица97[[#This Row],[НК]]=1,Таблица97[[#This Row],[Маржа]],"")</f>
        <v/>
      </c>
    </row>
    <row r="1192" spans="1:15" ht="20.100000000000001" customHeight="1" x14ac:dyDescent="0.25">
      <c r="A1192" s="2">
        <v>517</v>
      </c>
      <c r="B1192" s="2" t="str">
        <f>TEXT(Таблица97[[#This Row],[Дата]],"ГГ")&amp;RIGHT("000"&amp;Таблица97[[#This Row],[Номер]],4)</f>
        <v>190517</v>
      </c>
      <c r="C1192" s="129">
        <v>43619</v>
      </c>
      <c r="D1192" s="2" t="s">
        <v>11</v>
      </c>
      <c r="E1192" s="108">
        <v>2412</v>
      </c>
      <c r="F1192" s="129">
        <v>43635</v>
      </c>
      <c r="H1192" s="129">
        <v>43643</v>
      </c>
      <c r="I1192" s="108">
        <f t="shared" si="52"/>
        <v>2412</v>
      </c>
      <c r="J1192" s="108" t="str">
        <f>IF(Таблица97[[#This Row],[НК]]=1,Таблица97[[#This Row],[Продажа]],"")</f>
        <v/>
      </c>
      <c r="M1192" s="108">
        <v>1584</v>
      </c>
      <c r="N1192" s="108">
        <f>Таблица97[[#This Row],[Продажа]]-Таблица97[[#This Row],[Закупка]]</f>
        <v>828</v>
      </c>
      <c r="O1192" s="108" t="str">
        <f>IF(Таблица97[[#This Row],[НК]]=1,Таблица97[[#This Row],[Маржа]],"")</f>
        <v/>
      </c>
    </row>
    <row r="1193" spans="1:15" ht="20.100000000000001" customHeight="1" x14ac:dyDescent="0.25">
      <c r="A1193" s="2">
        <v>449</v>
      </c>
      <c r="B1193" s="2" t="str">
        <f>TEXT(Таблица97[[#This Row],[Дата]],"ГГ")&amp;RIGHT("000"&amp;Таблица97[[#This Row],[Номер]],4)</f>
        <v>190449</v>
      </c>
      <c r="C1193" s="129">
        <v>43622</v>
      </c>
      <c r="D1193" s="2" t="s">
        <v>99</v>
      </c>
      <c r="E1193" s="108">
        <v>159515</v>
      </c>
      <c r="F1193" s="129">
        <v>43636</v>
      </c>
      <c r="H1193" s="129">
        <v>43622</v>
      </c>
      <c r="I1193" s="108">
        <f t="shared" si="52"/>
        <v>159515</v>
      </c>
      <c r="J1193" s="108" t="str">
        <f>IF(Таблица97[[#This Row],[НК]]=1,Таблица97[[#This Row],[Продажа]],"")</f>
        <v/>
      </c>
      <c r="K1193" s="108">
        <v>33000</v>
      </c>
      <c r="L1193" s="108">
        <v>4400</v>
      </c>
      <c r="M1193" s="108">
        <v>38412</v>
      </c>
      <c r="N1193" s="108">
        <f>Таблица97[[#This Row],[Продажа]]-Таблица97[[#This Row],[Закупка]]</f>
        <v>121103</v>
      </c>
      <c r="O1193" s="108" t="str">
        <f>IF(Таблица97[[#This Row],[НК]]=1,Таблица97[[#This Row],[Маржа]],"")</f>
        <v/>
      </c>
    </row>
    <row r="1194" spans="1:15" ht="20.100000000000001" customHeight="1" x14ac:dyDescent="0.25">
      <c r="A1194" s="2">
        <v>613</v>
      </c>
      <c r="B1194" s="2" t="str">
        <f>TEXT(Таблица97[[#This Row],[Дата]],"ГГ")&amp;RIGHT("000"&amp;Таблица97[[#This Row],[Номер]],4)</f>
        <v>190613</v>
      </c>
      <c r="C1194" s="129">
        <v>43636</v>
      </c>
      <c r="D1194" s="2" t="s">
        <v>398</v>
      </c>
      <c r="E1194" s="108">
        <v>19990</v>
      </c>
      <c r="F1194" s="129">
        <v>43636</v>
      </c>
      <c r="H1194" s="129">
        <v>43636</v>
      </c>
      <c r="I1194" s="108">
        <f t="shared" si="52"/>
        <v>19990</v>
      </c>
      <c r="J1194" s="108" t="str">
        <f>IF(Таблица97[[#This Row],[НК]]=1,Таблица97[[#This Row],[Продажа]],"")</f>
        <v/>
      </c>
      <c r="M1194" s="108">
        <v>14692</v>
      </c>
      <c r="N1194" s="108">
        <f>Таблица97[[#This Row],[Продажа]]-Таблица97[[#This Row],[Закупка]]</f>
        <v>5298</v>
      </c>
      <c r="O1194" s="108" t="str">
        <f>IF(Таблица97[[#This Row],[НК]]=1,Таблица97[[#This Row],[Маржа]],"")</f>
        <v/>
      </c>
    </row>
    <row r="1195" spans="1:15" ht="20.100000000000001" customHeight="1" x14ac:dyDescent="0.25">
      <c r="A1195" s="2">
        <v>588</v>
      </c>
      <c r="B1195" s="2" t="str">
        <f>TEXT(Таблица97[[#This Row],[Дата]],"ГГ")&amp;RIGHT("000"&amp;Таблица97[[#This Row],[Номер]],4)</f>
        <v>190588</v>
      </c>
      <c r="C1195" s="129">
        <v>43633</v>
      </c>
      <c r="D1195" s="2" t="s">
        <v>175</v>
      </c>
      <c r="E1195" s="108">
        <v>22450.400000000001</v>
      </c>
      <c r="F1195" s="129">
        <v>43636</v>
      </c>
      <c r="H1195" s="129">
        <v>43654</v>
      </c>
      <c r="I1195" s="108">
        <f t="shared" si="52"/>
        <v>22450.400000000001</v>
      </c>
      <c r="J1195" s="108" t="str">
        <f>IF(Таблица97[[#This Row],[НК]]=1,Таблица97[[#This Row],[Продажа]],"")</f>
        <v/>
      </c>
      <c r="M1195" s="108">
        <v>14476</v>
      </c>
      <c r="N1195" s="108">
        <f>Таблица97[[#This Row],[Продажа]]-Таблица97[[#This Row],[Закупка]]</f>
        <v>7974.4000000000015</v>
      </c>
      <c r="O1195" s="108" t="str">
        <f>IF(Таблица97[[#This Row],[НК]]=1,Таблица97[[#This Row],[Маржа]],"")</f>
        <v/>
      </c>
    </row>
    <row r="1196" spans="1:15" ht="20.100000000000001" customHeight="1" x14ac:dyDescent="0.25">
      <c r="A1196" s="2">
        <v>570</v>
      </c>
      <c r="B1196" s="2" t="str">
        <f>TEXT(Таблица97[[#This Row],[Дата]],"ГГ")&amp;RIGHT("000"&amp;Таблица97[[#This Row],[Номер]],4)</f>
        <v>190570</v>
      </c>
      <c r="C1196" s="129">
        <v>43629</v>
      </c>
      <c r="D1196" s="2" t="s">
        <v>209</v>
      </c>
      <c r="E1196" s="108">
        <v>3735.5</v>
      </c>
      <c r="F1196" s="129">
        <v>43637</v>
      </c>
      <c r="H1196" s="129">
        <v>43641</v>
      </c>
      <c r="I1196" s="108">
        <f t="shared" si="52"/>
        <v>3735.5</v>
      </c>
      <c r="J1196" s="108" t="str">
        <f>IF(Таблица97[[#This Row],[НК]]=1,Таблица97[[#This Row],[Продажа]],"")</f>
        <v/>
      </c>
      <c r="M1196" s="108">
        <v>3190</v>
      </c>
      <c r="N1196" s="108">
        <f>Таблица97[[#This Row],[Продажа]]-Таблица97[[#This Row],[Закупка]]</f>
        <v>545.5</v>
      </c>
      <c r="O1196" s="108" t="str">
        <f>IF(Таблица97[[#This Row],[НК]]=1,Таблица97[[#This Row],[Маржа]],"")</f>
        <v/>
      </c>
    </row>
    <row r="1197" spans="1:15" ht="20.100000000000001" customHeight="1" x14ac:dyDescent="0.25">
      <c r="A1197" s="2">
        <v>594</v>
      </c>
      <c r="B1197" s="2" t="str">
        <f>TEXT(Таблица97[[#This Row],[Дата]],"ГГ")&amp;RIGHT("000"&amp;Таблица97[[#This Row],[Номер]],4)</f>
        <v>190594</v>
      </c>
      <c r="C1197" s="129">
        <v>43634</v>
      </c>
      <c r="D1197" s="2" t="s">
        <v>45</v>
      </c>
      <c r="E1197" s="108">
        <v>2183</v>
      </c>
      <c r="F1197" s="129">
        <v>43637</v>
      </c>
      <c r="H1197" s="129">
        <v>43656</v>
      </c>
      <c r="I1197" s="108">
        <f t="shared" si="52"/>
        <v>2183</v>
      </c>
      <c r="J1197" s="108" t="str">
        <f>IF(Таблица97[[#This Row],[НК]]=1,Таблица97[[#This Row],[Продажа]],"")</f>
        <v/>
      </c>
      <c r="M1197" s="108">
        <v>1441</v>
      </c>
      <c r="N1197" s="108">
        <f>Таблица97[[#This Row],[Продажа]]-Таблица97[[#This Row],[Закупка]]</f>
        <v>742</v>
      </c>
      <c r="O1197" s="108" t="str">
        <f>IF(Таблица97[[#This Row],[НК]]=1,Таблица97[[#This Row],[Маржа]],"")</f>
        <v/>
      </c>
    </row>
    <row r="1198" spans="1:15" ht="20.100000000000001" customHeight="1" x14ac:dyDescent="0.25">
      <c r="A1198" s="2">
        <v>621</v>
      </c>
      <c r="B1198" s="2" t="str">
        <f>TEXT(Таблица97[[#This Row],[Дата]],"ГГ")&amp;RIGHT("000"&amp;Таблица97[[#This Row],[Номер]],4)</f>
        <v>190621</v>
      </c>
      <c r="C1198" s="129">
        <v>43637</v>
      </c>
      <c r="D1198" s="2" t="s">
        <v>346</v>
      </c>
      <c r="E1198" s="108">
        <v>8388</v>
      </c>
      <c r="F1198" s="129">
        <v>43637</v>
      </c>
      <c r="H1198" s="129">
        <v>43649</v>
      </c>
      <c r="I1198" s="108">
        <f t="shared" si="52"/>
        <v>8388</v>
      </c>
      <c r="J1198" s="108" t="str">
        <f>IF(Таблица97[[#This Row],[НК]]=1,Таблица97[[#This Row],[Продажа]],"")</f>
        <v/>
      </c>
      <c r="M1198" s="108">
        <v>6477</v>
      </c>
      <c r="N1198" s="108">
        <f>Таблица97[[#This Row],[Продажа]]-Таблица97[[#This Row],[Закупка]]</f>
        <v>1911</v>
      </c>
      <c r="O1198" s="108" t="str">
        <f>IF(Таблица97[[#This Row],[НК]]=1,Таблица97[[#This Row],[Маржа]],"")</f>
        <v/>
      </c>
    </row>
    <row r="1199" spans="1:15" ht="20.100000000000001" customHeight="1" x14ac:dyDescent="0.25">
      <c r="A1199" s="2">
        <v>630</v>
      </c>
      <c r="B1199" s="2" t="str">
        <f>TEXT(Таблица97[[#This Row],[Дата]],"ГГ")&amp;RIGHT("000"&amp;Таблица97[[#This Row],[Номер]],4)</f>
        <v>190630</v>
      </c>
      <c r="C1199" s="129">
        <v>43642</v>
      </c>
      <c r="D1199" s="2" t="s">
        <v>399</v>
      </c>
      <c r="E1199" s="108">
        <v>6508</v>
      </c>
      <c r="F1199" s="129">
        <v>43642</v>
      </c>
      <c r="G1199" s="128">
        <v>1</v>
      </c>
      <c r="H1199" s="129">
        <v>43657</v>
      </c>
      <c r="I1199" s="108">
        <f t="shared" si="52"/>
        <v>6508</v>
      </c>
      <c r="J1199" s="108">
        <f>IF(Таблица97[[#This Row],[НК]]=1,Таблица97[[#This Row],[Продажа]],"")</f>
        <v>6508</v>
      </c>
      <c r="L1199" s="108">
        <v>600</v>
      </c>
      <c r="M1199" s="108">
        <v>3361</v>
      </c>
      <c r="N1199" s="108">
        <f>Таблица97[[#This Row],[Продажа]]-Таблица97[[#This Row],[Закупка]]</f>
        <v>3147</v>
      </c>
      <c r="O1199" s="108">
        <f>IF(Таблица97[[#This Row],[НК]]=1,Таблица97[[#This Row],[Маржа]],"")</f>
        <v>3147</v>
      </c>
    </row>
    <row r="1200" spans="1:15" ht="20.100000000000001" customHeight="1" x14ac:dyDescent="0.25">
      <c r="A1200" s="2">
        <v>631</v>
      </c>
      <c r="B1200" s="2" t="str">
        <f>TEXT(Таблица97[[#This Row],[Дата]],"ГГ")&amp;RIGHT("000"&amp;Таблица97[[#This Row],[Номер]],4)</f>
        <v>190631</v>
      </c>
      <c r="C1200" s="129">
        <v>43642</v>
      </c>
      <c r="D1200" s="2" t="s">
        <v>400</v>
      </c>
      <c r="E1200" s="108">
        <v>15519</v>
      </c>
      <c r="F1200" s="129">
        <v>43642</v>
      </c>
      <c r="G1200" s="128">
        <v>1</v>
      </c>
      <c r="H1200" s="129">
        <v>43643</v>
      </c>
      <c r="I1200" s="108">
        <f t="shared" si="52"/>
        <v>15519</v>
      </c>
      <c r="J1200" s="108">
        <f>IF(Таблица97[[#This Row],[НК]]=1,Таблица97[[#This Row],[Продажа]],"")</f>
        <v>15519</v>
      </c>
      <c r="M1200" s="108">
        <v>11448</v>
      </c>
      <c r="N1200" s="108">
        <f>Таблица97[[#This Row],[Продажа]]-Таблица97[[#This Row],[Закупка]]</f>
        <v>4071</v>
      </c>
      <c r="O1200" s="108">
        <f>IF(Таблица97[[#This Row],[НК]]=1,Таблица97[[#This Row],[Маржа]],"")</f>
        <v>4071</v>
      </c>
    </row>
    <row r="1201" spans="1:15" ht="20.100000000000001" customHeight="1" x14ac:dyDescent="0.25">
      <c r="A1201" s="2">
        <v>489</v>
      </c>
      <c r="B1201" s="2" t="str">
        <f>TEXT(Таблица97[[#This Row],[Дата]],"ГГ")&amp;RIGHT("000"&amp;Таблица97[[#This Row],[Номер]],4)</f>
        <v>190489</v>
      </c>
      <c r="C1201" s="129">
        <v>43612</v>
      </c>
      <c r="D1201" s="2" t="s">
        <v>65</v>
      </c>
      <c r="E1201" s="108">
        <v>275817.59999999998</v>
      </c>
      <c r="F1201" s="129">
        <v>43643</v>
      </c>
      <c r="H1201" s="129">
        <v>43622</v>
      </c>
      <c r="I1201" s="108">
        <v>137266.79999999999</v>
      </c>
      <c r="J1201" s="108" t="str">
        <f>IF(Таблица97[[#This Row],[НК]]=1,Таблица97[[#This Row],[Продажа]],"")</f>
        <v/>
      </c>
      <c r="L1201" s="108">
        <v>6400</v>
      </c>
      <c r="M1201" s="108">
        <v>78204</v>
      </c>
      <c r="N1201" s="108">
        <f>Таблица97[[#This Row],[Продажа]]-Таблица97[[#This Row],[Закупка]]</f>
        <v>59062.799999999988</v>
      </c>
      <c r="O1201" s="108" t="str">
        <f>IF(Таблица97[[#This Row],[НК]]=1,Таблица97[[#This Row],[Маржа]],"")</f>
        <v/>
      </c>
    </row>
    <row r="1202" spans="1:15" ht="20.100000000000001" customHeight="1" x14ac:dyDescent="0.25">
      <c r="A1202" s="2">
        <v>629</v>
      </c>
      <c r="B1202" s="2" t="str">
        <f>TEXT(Таблица97[[#This Row],[Дата]],"ГГ")&amp;RIGHT("000"&amp;Таблица97[[#This Row],[Номер]],4)</f>
        <v>190629</v>
      </c>
      <c r="C1202" s="129">
        <v>43643</v>
      </c>
      <c r="D1202" s="2" t="s">
        <v>401</v>
      </c>
      <c r="E1202" s="108">
        <v>10490</v>
      </c>
      <c r="F1202" s="129">
        <v>43644</v>
      </c>
      <c r="G1202" s="128">
        <v>1</v>
      </c>
      <c r="H1202" s="129">
        <v>43654</v>
      </c>
      <c r="I1202" s="108">
        <f>E1202</f>
        <v>10490</v>
      </c>
      <c r="J1202" s="108">
        <f>IF(Таблица97[[#This Row],[НК]]=1,Таблица97[[#This Row],[Продажа]],"")</f>
        <v>10490</v>
      </c>
      <c r="M1202" s="108">
        <v>7703</v>
      </c>
      <c r="N1202" s="108">
        <f>Таблица97[[#This Row],[Продажа]]-Таблица97[[#This Row],[Закупка]]</f>
        <v>2787</v>
      </c>
      <c r="O1202" s="108">
        <f>IF(Таблица97[[#This Row],[НК]]=1,Таблица97[[#This Row],[Маржа]],"")</f>
        <v>2787</v>
      </c>
    </row>
    <row r="1203" spans="1:15" ht="20.100000000000001" customHeight="1" x14ac:dyDescent="0.25">
      <c r="A1203" s="2">
        <v>477</v>
      </c>
      <c r="B1203" s="2" t="str">
        <f>TEXT(Таблица97[[#This Row],[Дата]],"ГГ")&amp;RIGHT("000"&amp;Таблица97[[#This Row],[Номер]],4)</f>
        <v>190477</v>
      </c>
      <c r="C1203" s="129">
        <v>43635</v>
      </c>
      <c r="D1203" s="2" t="s">
        <v>395</v>
      </c>
      <c r="E1203" s="108">
        <v>25202</v>
      </c>
      <c r="F1203" s="129">
        <v>43644</v>
      </c>
      <c r="G1203" s="128">
        <v>1</v>
      </c>
      <c r="H1203" s="129">
        <v>43696</v>
      </c>
      <c r="I1203" s="108">
        <f>E1203</f>
        <v>25202</v>
      </c>
      <c r="J1203" s="108">
        <f>IF(Таблица97[[#This Row],[НК]]=1,Таблица97[[#This Row],[Продажа]],"")</f>
        <v>25202</v>
      </c>
      <c r="L1203" s="108">
        <v>1200</v>
      </c>
      <c r="M1203" s="108">
        <v>13479</v>
      </c>
      <c r="N1203" s="108">
        <f>Таблица97[[#This Row],[Продажа]]-Таблица97[[#This Row],[Закупка]]</f>
        <v>11723</v>
      </c>
      <c r="O1203" s="108">
        <f>IF(Таблица97[[#This Row],[НК]]=1,Таблица97[[#This Row],[Маржа]],"")</f>
        <v>11723</v>
      </c>
    </row>
    <row r="1204" spans="1:15" ht="20.100000000000001" customHeight="1" x14ac:dyDescent="0.25">
      <c r="A1204" s="2">
        <v>628</v>
      </c>
      <c r="B1204" s="2" t="str">
        <f>TEXT(Таблица97[[#This Row],[Дата]],"ГГ")&amp;RIGHT("000"&amp;Таблица97[[#This Row],[Номер]],4)</f>
        <v>190628</v>
      </c>
      <c r="C1204" s="129">
        <v>43641</v>
      </c>
      <c r="D1204" s="2" t="s">
        <v>251</v>
      </c>
      <c r="E1204" s="108">
        <v>9076</v>
      </c>
      <c r="F1204" s="129">
        <v>43644</v>
      </c>
      <c r="H1204" s="129">
        <v>43654</v>
      </c>
      <c r="I1204" s="108">
        <f>E1204</f>
        <v>9076</v>
      </c>
      <c r="J1204" s="108" t="str">
        <f>IF(Таблица97[[#This Row],[НК]]=1,Таблица97[[#This Row],[Продажа]],"")</f>
        <v/>
      </c>
      <c r="M1204" s="108">
        <v>7078</v>
      </c>
      <c r="N1204" s="108">
        <f>Таблица97[[#This Row],[Продажа]]-Таблица97[[#This Row],[Закупка]]</f>
        <v>1998</v>
      </c>
      <c r="O1204" s="108" t="str">
        <f>IF(Таблица97[[#This Row],[НК]]=1,Таблица97[[#This Row],[Маржа]],"")</f>
        <v/>
      </c>
    </row>
    <row r="1205" spans="1:15" ht="20.100000000000001" customHeight="1" x14ac:dyDescent="0.25">
      <c r="A1205" s="2">
        <v>635</v>
      </c>
      <c r="B1205" s="2" t="str">
        <f>TEXT(Таблица97[[#This Row],[Дата]],"ГГ")&amp;RIGHT("000"&amp;Таблица97[[#This Row],[Номер]],4)</f>
        <v>190635</v>
      </c>
      <c r="C1205" s="129">
        <v>43644</v>
      </c>
      <c r="D1205" s="2" t="s">
        <v>209</v>
      </c>
      <c r="E1205" s="108">
        <v>7269.5</v>
      </c>
      <c r="F1205" s="129">
        <v>43644</v>
      </c>
      <c r="H1205" s="129">
        <v>43655</v>
      </c>
      <c r="I1205" s="108">
        <f>E1205</f>
        <v>7269.5</v>
      </c>
      <c r="J1205" s="108" t="str">
        <f>IF(Таблица97[[#This Row],[НК]]=1,Таблица97[[#This Row],[Продажа]],"")</f>
        <v/>
      </c>
      <c r="M1205" s="108">
        <v>6497</v>
      </c>
      <c r="N1205" s="108">
        <f>Таблица97[[#This Row],[Продажа]]-Таблица97[[#This Row],[Закупка]]</f>
        <v>772.5</v>
      </c>
      <c r="O1205" s="108" t="str">
        <f>IF(Таблица97[[#This Row],[НК]]=1,Таблица97[[#This Row],[Маржа]],"")</f>
        <v/>
      </c>
    </row>
    <row r="1206" spans="1:15" ht="20.100000000000001" customHeight="1" x14ac:dyDescent="0.25">
      <c r="A1206" s="2">
        <v>647</v>
      </c>
      <c r="B1206" s="2" t="str">
        <f>TEXT(Таблица97[[#This Row],[Дата]],"ГГ")&amp;RIGHT("000"&amp;Таблица97[[#This Row],[Номер]],4)</f>
        <v>190647</v>
      </c>
      <c r="C1206" s="129">
        <v>43647</v>
      </c>
      <c r="D1206" s="2" t="s">
        <v>402</v>
      </c>
      <c r="E1206" s="108">
        <v>37962</v>
      </c>
      <c r="F1206" s="129">
        <v>43647</v>
      </c>
      <c r="G1206" s="128">
        <v>1</v>
      </c>
      <c r="H1206" s="129">
        <v>43665</v>
      </c>
      <c r="I1206" s="108">
        <f t="shared" ref="I1206:I1228" si="53">E1206</f>
        <v>37962</v>
      </c>
      <c r="J1206" s="108">
        <f>IF(Таблица97[[#This Row],[НК]]=1,Таблица97[[#This Row],[Продажа]],"")</f>
        <v>37962</v>
      </c>
      <c r="M1206" s="108">
        <v>27923</v>
      </c>
      <c r="N1206" s="108">
        <f>Таблица97[[#This Row],[Продажа]]-Таблица97[[#This Row],[Закупка]]</f>
        <v>10039</v>
      </c>
      <c r="O1206" s="108">
        <f>IF(Таблица97[[#This Row],[НК]]=1,Таблица97[[#This Row],[Маржа]],"")</f>
        <v>10039</v>
      </c>
    </row>
    <row r="1207" spans="1:15" ht="20.100000000000001" customHeight="1" x14ac:dyDescent="0.25">
      <c r="A1207" s="2">
        <v>640</v>
      </c>
      <c r="B1207" s="2" t="str">
        <f>TEXT(Таблица97[[#This Row],[Дата]],"ГГ")&amp;RIGHT("000"&amp;Таблица97[[#This Row],[Номер]],4)</f>
        <v>190640</v>
      </c>
      <c r="C1207" s="129">
        <v>43644</v>
      </c>
      <c r="D1207" s="2" t="s">
        <v>281</v>
      </c>
      <c r="E1207" s="108">
        <v>14390</v>
      </c>
      <c r="F1207" s="129">
        <v>43647</v>
      </c>
      <c r="H1207" s="129">
        <v>43648</v>
      </c>
      <c r="I1207" s="108">
        <f t="shared" si="53"/>
        <v>14390</v>
      </c>
      <c r="J1207" s="108" t="str">
        <f>IF(Таблица97[[#This Row],[НК]]=1,Таблица97[[#This Row],[Продажа]],"")</f>
        <v/>
      </c>
      <c r="M1207" s="108">
        <v>10568</v>
      </c>
      <c r="N1207" s="108">
        <f>Таблица97[[#This Row],[Продажа]]-Таблица97[[#This Row],[Закупка]]</f>
        <v>3822</v>
      </c>
      <c r="O1207" s="108" t="str">
        <f>IF(Таблица97[[#This Row],[НК]]=1,Таблица97[[#This Row],[Маржа]],"")</f>
        <v/>
      </c>
    </row>
    <row r="1208" spans="1:15" ht="20.100000000000001" customHeight="1" x14ac:dyDescent="0.25">
      <c r="A1208" s="2">
        <v>384</v>
      </c>
      <c r="B1208" s="2" t="str">
        <f>TEXT(Таблица97[[#This Row],[Дата]],"ГГ")&amp;RIGHT("000"&amp;Таблица97[[#This Row],[Номер]],4)</f>
        <v>190384</v>
      </c>
      <c r="C1208" s="129">
        <v>43585</v>
      </c>
      <c r="D1208" s="2" t="s">
        <v>56</v>
      </c>
      <c r="E1208" s="108">
        <v>26438</v>
      </c>
      <c r="F1208" s="129">
        <v>43648</v>
      </c>
      <c r="H1208" s="129">
        <v>43609</v>
      </c>
      <c r="I1208" s="108">
        <f t="shared" si="53"/>
        <v>26438</v>
      </c>
      <c r="J1208" s="108" t="str">
        <f>IF(Таблица97[[#This Row],[НК]]=1,Таблица97[[#This Row],[Продажа]],"")</f>
        <v/>
      </c>
      <c r="M1208" s="108">
        <v>19658</v>
      </c>
      <c r="N1208" s="108">
        <f>Таблица97[[#This Row],[Продажа]]-Таблица97[[#This Row],[Закупка]]</f>
        <v>6780</v>
      </c>
      <c r="O1208" s="108" t="str">
        <f>IF(Таблица97[[#This Row],[НК]]=1,Таблица97[[#This Row],[Маржа]],"")</f>
        <v/>
      </c>
    </row>
    <row r="1209" spans="1:15" ht="20.100000000000001" customHeight="1" x14ac:dyDescent="0.25">
      <c r="A1209" s="2">
        <v>623</v>
      </c>
      <c r="B1209" s="2" t="str">
        <f>TEXT(Таблица97[[#This Row],[Дата]],"ГГ")&amp;RIGHT("000"&amp;Таблица97[[#This Row],[Номер]],4)</f>
        <v>190623</v>
      </c>
      <c r="C1209" s="129">
        <v>43640</v>
      </c>
      <c r="D1209" s="2" t="s">
        <v>403</v>
      </c>
      <c r="E1209" s="108">
        <v>5431</v>
      </c>
      <c r="F1209" s="129">
        <v>43648</v>
      </c>
      <c r="G1209" s="128">
        <v>1</v>
      </c>
      <c r="H1209" s="129">
        <v>43651</v>
      </c>
      <c r="I1209" s="108">
        <f t="shared" si="53"/>
        <v>5431</v>
      </c>
      <c r="J1209" s="108">
        <f>IF(Таблица97[[#This Row],[НК]]=1,Таблица97[[#This Row],[Продажа]],"")</f>
        <v>5431</v>
      </c>
      <c r="M1209" s="108">
        <v>3927</v>
      </c>
      <c r="N1209" s="108">
        <f>Таблица97[[#This Row],[Продажа]]-Таблица97[[#This Row],[Закупка]]</f>
        <v>1504</v>
      </c>
      <c r="O1209" s="108">
        <f>IF(Таблица97[[#This Row],[НК]]=1,Таблица97[[#This Row],[Маржа]],"")</f>
        <v>1504</v>
      </c>
    </row>
    <row r="1210" spans="1:15" ht="20.100000000000001" customHeight="1" x14ac:dyDescent="0.25">
      <c r="A1210" s="2">
        <v>649</v>
      </c>
      <c r="B1210" s="2" t="str">
        <f>TEXT(Таблица97[[#This Row],[Дата]],"ГГ")&amp;RIGHT("000"&amp;Таблица97[[#This Row],[Номер]],4)</f>
        <v>190649</v>
      </c>
      <c r="C1210" s="129">
        <v>43647</v>
      </c>
      <c r="D1210" s="2" t="s">
        <v>77</v>
      </c>
      <c r="E1210" s="108">
        <v>3194</v>
      </c>
      <c r="F1210" s="129">
        <v>43648</v>
      </c>
      <c r="H1210" s="129">
        <v>43650</v>
      </c>
      <c r="I1210" s="108">
        <f t="shared" si="53"/>
        <v>3194</v>
      </c>
      <c r="J1210" s="108" t="str">
        <f>IF(Таблица97[[#This Row],[НК]]=1,Таблица97[[#This Row],[Продажа]],"")</f>
        <v/>
      </c>
      <c r="M1210" s="108">
        <v>2490</v>
      </c>
      <c r="N1210" s="108">
        <f>Таблица97[[#This Row],[Продажа]]-Таблица97[[#This Row],[Закупка]]</f>
        <v>704</v>
      </c>
      <c r="O1210" s="108" t="str">
        <f>IF(Таблица97[[#This Row],[НК]]=1,Таблица97[[#This Row],[Маржа]],"")</f>
        <v/>
      </c>
    </row>
    <row r="1211" spans="1:15" ht="20.100000000000001" customHeight="1" x14ac:dyDescent="0.25">
      <c r="A1211" s="2">
        <v>634</v>
      </c>
      <c r="B1211" s="2" t="str">
        <f>TEXT(Таблица97[[#This Row],[Дата]],"ГГ")&amp;RIGHT("000"&amp;Таблица97[[#This Row],[Номер]],4)</f>
        <v>190634</v>
      </c>
      <c r="C1211" s="129">
        <v>43642</v>
      </c>
      <c r="D1211" s="2" t="s">
        <v>275</v>
      </c>
      <c r="E1211" s="108">
        <v>37681</v>
      </c>
      <c r="F1211" s="129">
        <v>43648</v>
      </c>
      <c r="H1211" s="129">
        <v>43655</v>
      </c>
      <c r="I1211" s="108">
        <f t="shared" si="53"/>
        <v>37681</v>
      </c>
      <c r="J1211" s="108" t="str">
        <f>IF(Таблица97[[#This Row],[НК]]=1,Таблица97[[#This Row],[Продажа]],"")</f>
        <v/>
      </c>
      <c r="L1211" s="108">
        <v>4800</v>
      </c>
      <c r="M1211" s="108">
        <v>18120</v>
      </c>
      <c r="N1211" s="108">
        <f>Таблица97[[#This Row],[Продажа]]-Таблица97[[#This Row],[Закупка]]</f>
        <v>19561</v>
      </c>
      <c r="O1211" s="108" t="str">
        <f>IF(Таблица97[[#This Row],[НК]]=1,Таблица97[[#This Row],[Маржа]],"")</f>
        <v/>
      </c>
    </row>
    <row r="1212" spans="1:15" ht="20.100000000000001" customHeight="1" x14ac:dyDescent="0.25">
      <c r="A1212" s="2">
        <v>648</v>
      </c>
      <c r="B1212" s="2" t="str">
        <f>TEXT(Таблица97[[#This Row],[Дата]],"ГГ")&amp;RIGHT("000"&amp;Таблица97[[#This Row],[Номер]],4)</f>
        <v>190648</v>
      </c>
      <c r="C1212" s="129">
        <v>43647</v>
      </c>
      <c r="D1212" s="2" t="s">
        <v>175</v>
      </c>
      <c r="E1212" s="108">
        <v>3667</v>
      </c>
      <c r="F1212" s="129">
        <v>43648</v>
      </c>
      <c r="H1212" s="129">
        <v>43650</v>
      </c>
      <c r="I1212" s="108">
        <f t="shared" si="53"/>
        <v>3667</v>
      </c>
      <c r="J1212" s="108" t="str">
        <f>IF(Таблица97[[#This Row],[НК]]=1,Таблица97[[#This Row],[Продажа]],"")</f>
        <v/>
      </c>
      <c r="M1212" s="108">
        <v>3010</v>
      </c>
      <c r="N1212" s="108">
        <f>Таблица97[[#This Row],[Продажа]]-Таблица97[[#This Row],[Закупка]]</f>
        <v>657</v>
      </c>
      <c r="O1212" s="108" t="str">
        <f>IF(Таблица97[[#This Row],[НК]]=1,Таблица97[[#This Row],[Маржа]],"")</f>
        <v/>
      </c>
    </row>
    <row r="1213" spans="1:15" ht="20.100000000000001" customHeight="1" x14ac:dyDescent="0.25">
      <c r="A1213" s="2">
        <v>654</v>
      </c>
      <c r="B1213" s="2" t="str">
        <f>TEXT(Таблица97[[#This Row],[Дата]],"ГГ")&amp;RIGHT("000"&amp;Таблица97[[#This Row],[Номер]],4)</f>
        <v>190654</v>
      </c>
      <c r="C1213" s="129">
        <v>43648</v>
      </c>
      <c r="D1213" s="2" t="s">
        <v>91</v>
      </c>
      <c r="E1213" s="108">
        <v>5176</v>
      </c>
      <c r="F1213" s="129">
        <v>43649</v>
      </c>
      <c r="H1213" s="129">
        <v>43654</v>
      </c>
      <c r="I1213" s="108">
        <f t="shared" si="53"/>
        <v>5176</v>
      </c>
      <c r="J1213" s="108" t="str">
        <f>IF(Таблица97[[#This Row],[НК]]=1,Таблица97[[#This Row],[Продажа]],"")</f>
        <v/>
      </c>
      <c r="M1213" s="108">
        <v>4036</v>
      </c>
      <c r="N1213" s="108">
        <f>Таблица97[[#This Row],[Продажа]]-Таблица97[[#This Row],[Закупка]]</f>
        <v>1140</v>
      </c>
      <c r="O1213" s="108" t="str">
        <f>IF(Таблица97[[#This Row],[НК]]=1,Таблица97[[#This Row],[Маржа]],"")</f>
        <v/>
      </c>
    </row>
    <row r="1214" spans="1:15" ht="20.100000000000001" customHeight="1" x14ac:dyDescent="0.25">
      <c r="A1214" s="2">
        <v>655</v>
      </c>
      <c r="B1214" s="2" t="str">
        <f>TEXT(Таблица97[[#This Row],[Дата]],"ГГ")&amp;RIGHT("000"&amp;Таблица97[[#This Row],[Номер]],4)</f>
        <v>190655</v>
      </c>
      <c r="C1214" s="129">
        <v>43648</v>
      </c>
      <c r="D1214" s="2" t="s">
        <v>404</v>
      </c>
      <c r="E1214" s="108">
        <v>14390</v>
      </c>
      <c r="F1214" s="129">
        <v>43649</v>
      </c>
      <c r="H1214" s="129">
        <v>43663</v>
      </c>
      <c r="I1214" s="108">
        <f t="shared" si="53"/>
        <v>14390</v>
      </c>
      <c r="J1214" s="108" t="str">
        <f>IF(Таблица97[[#This Row],[НК]]=1,Таблица97[[#This Row],[Продажа]],"")</f>
        <v/>
      </c>
      <c r="M1214" s="108">
        <v>10568</v>
      </c>
      <c r="N1214" s="108">
        <f>Таблица97[[#This Row],[Продажа]]-Таблица97[[#This Row],[Закупка]]</f>
        <v>3822</v>
      </c>
      <c r="O1214" s="108" t="str">
        <f>IF(Таблица97[[#This Row],[НК]]=1,Таблица97[[#This Row],[Маржа]],"")</f>
        <v/>
      </c>
    </row>
    <row r="1215" spans="1:15" ht="20.100000000000001" customHeight="1" x14ac:dyDescent="0.25">
      <c r="A1215" s="2">
        <v>664</v>
      </c>
      <c r="B1215" s="2" t="str">
        <f>TEXT(Таблица97[[#This Row],[Дата]],"ГГ")&amp;RIGHT("000"&amp;Таблица97[[#This Row],[Номер]],4)</f>
        <v>190664</v>
      </c>
      <c r="C1215" s="129">
        <v>43650</v>
      </c>
      <c r="D1215" s="2" t="s">
        <v>396</v>
      </c>
      <c r="E1215" s="108">
        <v>9990</v>
      </c>
      <c r="F1215" s="129">
        <v>43650</v>
      </c>
      <c r="H1215" s="129">
        <v>43655</v>
      </c>
      <c r="I1215" s="108">
        <f t="shared" si="53"/>
        <v>9990</v>
      </c>
      <c r="J1215" s="108" t="str">
        <f>IF(Таблица97[[#This Row],[НК]]=1,Таблица97[[#This Row],[Продажа]],"")</f>
        <v/>
      </c>
      <c r="M1215" s="108">
        <v>7342</v>
      </c>
      <c r="N1215" s="108">
        <f>Таблица97[[#This Row],[Продажа]]-Таблица97[[#This Row],[Закупка]]</f>
        <v>2648</v>
      </c>
      <c r="O1215" s="108" t="str">
        <f>IF(Таблица97[[#This Row],[НК]]=1,Таблица97[[#This Row],[Маржа]],"")</f>
        <v/>
      </c>
    </row>
    <row r="1216" spans="1:15" ht="20.100000000000001" customHeight="1" x14ac:dyDescent="0.25">
      <c r="A1216" s="2">
        <v>656</v>
      </c>
      <c r="B1216" s="2" t="str">
        <f>TEXT(Таблица97[[#This Row],[Дата]],"ГГ")&amp;RIGHT("000"&amp;Таблица97[[#This Row],[Номер]],4)</f>
        <v>190656</v>
      </c>
      <c r="C1216" s="129">
        <v>43648</v>
      </c>
      <c r="D1216" s="2" t="s">
        <v>16</v>
      </c>
      <c r="E1216" s="108">
        <v>19705.2</v>
      </c>
      <c r="F1216" s="129">
        <v>43650</v>
      </c>
      <c r="H1216" s="129">
        <v>43656</v>
      </c>
      <c r="I1216" s="108">
        <f t="shared" si="53"/>
        <v>19705.2</v>
      </c>
      <c r="J1216" s="108" t="str">
        <f>IF(Таблица97[[#This Row],[НК]]=1,Таблица97[[#This Row],[Продажа]],"")</f>
        <v/>
      </c>
      <c r="M1216" s="108">
        <v>14451</v>
      </c>
      <c r="N1216" s="108">
        <f>Таблица97[[#This Row],[Продажа]]-Таблица97[[#This Row],[Закупка]]</f>
        <v>5254.2000000000007</v>
      </c>
      <c r="O1216" s="108" t="str">
        <f>IF(Таблица97[[#This Row],[НК]]=1,Таблица97[[#This Row],[Маржа]],"")</f>
        <v/>
      </c>
    </row>
    <row r="1217" spans="1:15" ht="20.100000000000001" customHeight="1" x14ac:dyDescent="0.25">
      <c r="A1217" s="2">
        <v>616</v>
      </c>
      <c r="B1217" s="2" t="str">
        <f>TEXT(Таблица97[[#This Row],[Дата]],"ГГ")&amp;RIGHT("000"&amp;Таблица97[[#This Row],[Номер]],4)</f>
        <v>190616</v>
      </c>
      <c r="C1217" s="129">
        <v>43636</v>
      </c>
      <c r="D1217" s="2" t="s">
        <v>60</v>
      </c>
      <c r="E1217" s="108">
        <v>442</v>
      </c>
      <c r="F1217" s="129">
        <v>43651</v>
      </c>
      <c r="H1217" s="129">
        <v>43637</v>
      </c>
      <c r="I1217" s="108">
        <f t="shared" si="53"/>
        <v>442</v>
      </c>
      <c r="J1217" s="108" t="str">
        <f>IF(Таблица97[[#This Row],[НК]]=1,Таблица97[[#This Row],[Продажа]],"")</f>
        <v/>
      </c>
      <c r="M1217" s="108">
        <v>290</v>
      </c>
      <c r="N1217" s="108">
        <f>Таблица97[[#This Row],[Продажа]]-Таблица97[[#This Row],[Закупка]]</f>
        <v>152</v>
      </c>
      <c r="O1217" s="108" t="str">
        <f>IF(Таблица97[[#This Row],[НК]]=1,Таблица97[[#This Row],[Маржа]],"")</f>
        <v/>
      </c>
    </row>
    <row r="1218" spans="1:15" ht="20.100000000000001" customHeight="1" x14ac:dyDescent="0.25">
      <c r="A1218" s="2">
        <v>677</v>
      </c>
      <c r="B1218" s="2" t="str">
        <f>TEXT(Таблица97[[#This Row],[Дата]],"ГГ")&amp;RIGHT("000"&amp;Таблица97[[#This Row],[Номер]],4)</f>
        <v>190677</v>
      </c>
      <c r="C1218" s="129">
        <v>43652</v>
      </c>
      <c r="D1218" s="2" t="s">
        <v>386</v>
      </c>
      <c r="E1218" s="108">
        <v>34990</v>
      </c>
      <c r="F1218" s="129">
        <v>43652</v>
      </c>
      <c r="H1218" s="129">
        <v>43652</v>
      </c>
      <c r="I1218" s="108">
        <f t="shared" si="53"/>
        <v>34990</v>
      </c>
      <c r="J1218" s="108" t="str">
        <f>IF(Таблица97[[#This Row],[НК]]=1,Таблица97[[#This Row],[Продажа]],"")</f>
        <v/>
      </c>
      <c r="M1218" s="108">
        <v>25717</v>
      </c>
      <c r="N1218" s="108">
        <f>Таблица97[[#This Row],[Продажа]]-Таблица97[[#This Row],[Закупка]]</f>
        <v>9273</v>
      </c>
      <c r="O1218" s="108" t="str">
        <f>IF(Таблица97[[#This Row],[НК]]=1,Таблица97[[#This Row],[Маржа]],"")</f>
        <v/>
      </c>
    </row>
    <row r="1219" spans="1:15" ht="20.100000000000001" customHeight="1" x14ac:dyDescent="0.25">
      <c r="A1219" s="2">
        <v>659</v>
      </c>
      <c r="B1219" s="2" t="str">
        <f>TEXT(Таблица97[[#This Row],[Дата]],"ГГ")&amp;RIGHT("000"&amp;Таблица97[[#This Row],[Номер]],4)</f>
        <v>190659</v>
      </c>
      <c r="C1219" s="129">
        <v>43649</v>
      </c>
      <c r="D1219" s="2" t="s">
        <v>405</v>
      </c>
      <c r="E1219" s="108">
        <v>24990</v>
      </c>
      <c r="F1219" s="129">
        <v>43655</v>
      </c>
      <c r="G1219" s="128">
        <v>1</v>
      </c>
      <c r="H1219" s="129">
        <v>43657</v>
      </c>
      <c r="I1219" s="108">
        <f t="shared" si="53"/>
        <v>24990</v>
      </c>
      <c r="J1219" s="108">
        <f>IF(Таблица97[[#This Row],[НК]]=1,Таблица97[[#This Row],[Продажа]],"")</f>
        <v>24990</v>
      </c>
      <c r="M1219" s="108">
        <v>19740.88</v>
      </c>
      <c r="N1219" s="108">
        <f>Таблица97[[#This Row],[Продажа]]-Таблица97[[#This Row],[Закупка]]</f>
        <v>5249.119999999999</v>
      </c>
      <c r="O1219" s="108">
        <f>IF(Таблица97[[#This Row],[НК]]=1,Таблица97[[#This Row],[Маржа]],"")</f>
        <v>5249.119999999999</v>
      </c>
    </row>
    <row r="1220" spans="1:15" ht="20.100000000000001" customHeight="1" x14ac:dyDescent="0.25">
      <c r="A1220" s="2">
        <v>598</v>
      </c>
      <c r="B1220" s="2" t="str">
        <f>TEXT(Таблица97[[#This Row],[Дата]],"ГГ")&amp;RIGHT("000"&amp;Таблица97[[#This Row],[Номер]],4)</f>
        <v>190598</v>
      </c>
      <c r="C1220" s="129">
        <v>43635</v>
      </c>
      <c r="D1220" s="2" t="s">
        <v>182</v>
      </c>
      <c r="E1220" s="108">
        <v>306429</v>
      </c>
      <c r="F1220" s="129">
        <v>43655</v>
      </c>
      <c r="H1220" s="129">
        <v>43684</v>
      </c>
      <c r="I1220" s="108">
        <f t="shared" si="53"/>
        <v>306429</v>
      </c>
      <c r="J1220" s="108" t="str">
        <f>IF(Таблица97[[#This Row],[НК]]=1,Таблица97[[#This Row],[Продажа]],"")</f>
        <v/>
      </c>
      <c r="L1220" s="108">
        <v>600</v>
      </c>
      <c r="M1220" s="108">
        <v>223768</v>
      </c>
      <c r="N1220" s="108">
        <f>Таблица97[[#This Row],[Продажа]]-Таблица97[[#This Row],[Закупка]]</f>
        <v>82661</v>
      </c>
      <c r="O1220" s="108" t="str">
        <f>IF(Таблица97[[#This Row],[НК]]=1,Таблица97[[#This Row],[Маржа]],"")</f>
        <v/>
      </c>
    </row>
    <row r="1221" spans="1:15" ht="20.100000000000001" customHeight="1" x14ac:dyDescent="0.25">
      <c r="A1221" s="2">
        <v>649</v>
      </c>
      <c r="B1221" s="2" t="str">
        <f>TEXT(Таблица97[[#This Row],[Дата]],"ГГ")&amp;RIGHT("000"&amp;Таблица97[[#This Row],[Номер]],4)</f>
        <v>190649</v>
      </c>
      <c r="C1221" s="129">
        <v>43647</v>
      </c>
      <c r="D1221" s="2" t="s">
        <v>14</v>
      </c>
      <c r="E1221" s="108">
        <v>5000</v>
      </c>
      <c r="F1221" s="129">
        <v>43657</v>
      </c>
      <c r="H1221" s="129">
        <v>43658</v>
      </c>
      <c r="I1221" s="108">
        <f t="shared" si="53"/>
        <v>5000</v>
      </c>
      <c r="J1221" s="108" t="str">
        <f>IF(Таблица97[[#This Row],[НК]]=1,Таблица97[[#This Row],[Продажа]],"")</f>
        <v/>
      </c>
      <c r="L1221" s="108">
        <v>600</v>
      </c>
      <c r="M1221" s="108">
        <v>1982</v>
      </c>
      <c r="N1221" s="108">
        <f>Таблица97[[#This Row],[Продажа]]-Таблица97[[#This Row],[Закупка]]</f>
        <v>3018</v>
      </c>
      <c r="O1221" s="108" t="str">
        <f>IF(Таблица97[[#This Row],[НК]]=1,Таблица97[[#This Row],[Маржа]],"")</f>
        <v/>
      </c>
    </row>
    <row r="1222" spans="1:15" ht="20.100000000000001" customHeight="1" x14ac:dyDescent="0.25">
      <c r="A1222" s="2">
        <v>697</v>
      </c>
      <c r="B1222" s="2" t="str">
        <f>TEXT(Таблица97[[#This Row],[Дата]],"ГГ")&amp;RIGHT("000"&amp;Таблица97[[#This Row],[Номер]],4)</f>
        <v>190697</v>
      </c>
      <c r="C1222" s="129">
        <v>43657</v>
      </c>
      <c r="D1222" s="2" t="s">
        <v>216</v>
      </c>
      <c r="E1222" s="108">
        <v>284</v>
      </c>
      <c r="F1222" s="129">
        <v>43658</v>
      </c>
      <c r="H1222" s="129">
        <v>43705</v>
      </c>
      <c r="I1222" s="108">
        <f t="shared" si="53"/>
        <v>284</v>
      </c>
      <c r="J1222" s="108" t="str">
        <f>IF(Таблица97[[#This Row],[НК]]=1,Таблица97[[#This Row],[Продажа]],"")</f>
        <v/>
      </c>
      <c r="M1222" s="108">
        <v>188</v>
      </c>
      <c r="N1222" s="108">
        <f>Таблица97[[#This Row],[Продажа]]-Таблица97[[#This Row],[Закупка]]</f>
        <v>96</v>
      </c>
      <c r="O1222" s="108" t="str">
        <f>IF(Таблица97[[#This Row],[НК]]=1,Таблица97[[#This Row],[Маржа]],"")</f>
        <v/>
      </c>
    </row>
    <row r="1223" spans="1:15" ht="20.100000000000001" customHeight="1" x14ac:dyDescent="0.25">
      <c r="A1223" s="2">
        <v>702</v>
      </c>
      <c r="B1223" s="2" t="str">
        <f>TEXT(Таблица97[[#This Row],[Дата]],"ГГ")&amp;RIGHT("000"&amp;Таблица97[[#This Row],[Номер]],4)</f>
        <v>190702</v>
      </c>
      <c r="C1223" s="129">
        <v>43658</v>
      </c>
      <c r="D1223" s="2" t="s">
        <v>71</v>
      </c>
      <c r="E1223" s="108">
        <v>4792</v>
      </c>
      <c r="F1223" s="129">
        <v>43661</v>
      </c>
      <c r="H1223" s="129">
        <v>43661</v>
      </c>
      <c r="I1223" s="108">
        <f t="shared" si="53"/>
        <v>4792</v>
      </c>
      <c r="J1223" s="108" t="str">
        <f>IF(Таблица97[[#This Row],[НК]]=1,Таблица97[[#This Row],[Продажа]],"")</f>
        <v/>
      </c>
      <c r="M1223" s="108">
        <v>3508</v>
      </c>
      <c r="N1223" s="108">
        <f>Таблица97[[#This Row],[Продажа]]-Таблица97[[#This Row],[Закупка]]</f>
        <v>1284</v>
      </c>
      <c r="O1223" s="108" t="str">
        <f>IF(Таблица97[[#This Row],[НК]]=1,Таблица97[[#This Row],[Маржа]],"")</f>
        <v/>
      </c>
    </row>
    <row r="1224" spans="1:15" ht="20.100000000000001" customHeight="1" x14ac:dyDescent="0.25">
      <c r="A1224" s="2">
        <v>703</v>
      </c>
      <c r="B1224" s="2" t="str">
        <f>TEXT(Таблица97[[#This Row],[Дата]],"ГГ")&amp;RIGHT("000"&amp;Таблица97[[#This Row],[Номер]],4)</f>
        <v>190703</v>
      </c>
      <c r="C1224" s="129">
        <v>43658</v>
      </c>
      <c r="D1224" s="2" t="s">
        <v>71</v>
      </c>
      <c r="E1224" s="108">
        <v>8724</v>
      </c>
      <c r="F1224" s="129">
        <v>43661</v>
      </c>
      <c r="H1224" s="129">
        <v>43693</v>
      </c>
      <c r="I1224" s="108">
        <f t="shared" si="53"/>
        <v>8724</v>
      </c>
      <c r="J1224" s="108" t="str">
        <f>IF(Таблица97[[#This Row],[НК]]=1,Таблица97[[#This Row],[Продажа]],"")</f>
        <v/>
      </c>
      <c r="M1224" s="108">
        <v>6804</v>
      </c>
      <c r="N1224" s="108">
        <f>Таблица97[[#This Row],[Продажа]]-Таблица97[[#This Row],[Закупка]]</f>
        <v>1920</v>
      </c>
      <c r="O1224" s="108" t="str">
        <f>IF(Таблица97[[#This Row],[НК]]=1,Таблица97[[#This Row],[Маржа]],"")</f>
        <v/>
      </c>
    </row>
    <row r="1225" spans="1:15" ht="20.100000000000001" customHeight="1" x14ac:dyDescent="0.25">
      <c r="A1225" s="2">
        <v>687</v>
      </c>
      <c r="B1225" s="2" t="str">
        <f>TEXT(Таблица97[[#This Row],[Дата]],"ГГ")&amp;RIGHT("000"&amp;Таблица97[[#This Row],[Номер]],4)</f>
        <v>190687</v>
      </c>
      <c r="C1225" s="129">
        <v>43655</v>
      </c>
      <c r="D1225" s="2" t="s">
        <v>147</v>
      </c>
      <c r="E1225" s="108">
        <v>10352</v>
      </c>
      <c r="F1225" s="129">
        <v>43662</v>
      </c>
      <c r="H1225" s="129">
        <v>43663</v>
      </c>
      <c r="I1225" s="108">
        <f t="shared" si="53"/>
        <v>10352</v>
      </c>
      <c r="J1225" s="108" t="str">
        <f>IF(Таблица97[[#This Row],[НК]]=1,Таблица97[[#This Row],[Продажа]],"")</f>
        <v/>
      </c>
      <c r="M1225" s="108">
        <v>8072</v>
      </c>
      <c r="N1225" s="108">
        <f>Таблица97[[#This Row],[Продажа]]-Таблица97[[#This Row],[Закупка]]</f>
        <v>2280</v>
      </c>
      <c r="O1225" s="108" t="str">
        <f>IF(Таблица97[[#This Row],[НК]]=1,Таблица97[[#This Row],[Маржа]],"")</f>
        <v/>
      </c>
    </row>
    <row r="1226" spans="1:15" ht="20.100000000000001" customHeight="1" x14ac:dyDescent="0.25">
      <c r="A1226" s="2">
        <v>535</v>
      </c>
      <c r="B1226" s="2" t="str">
        <f>TEXT(Таблица97[[#This Row],[Дата]],"ГГ")&amp;RIGHT("000"&amp;Таблица97[[#This Row],[Номер]],4)</f>
        <v>190535</v>
      </c>
      <c r="C1226" s="129">
        <v>43634</v>
      </c>
      <c r="D1226" s="2" t="s">
        <v>99</v>
      </c>
      <c r="E1226" s="108">
        <v>183658</v>
      </c>
      <c r="F1226" s="129">
        <v>43663</v>
      </c>
      <c r="H1226" s="129">
        <v>43635</v>
      </c>
      <c r="I1226" s="108">
        <f t="shared" si="53"/>
        <v>183658</v>
      </c>
      <c r="J1226" s="108" t="str">
        <f>IF(Таблица97[[#This Row],[НК]]=1,Таблица97[[#This Row],[Продажа]],"")</f>
        <v/>
      </c>
      <c r="K1226" s="108">
        <v>27000</v>
      </c>
      <c r="L1226" s="108">
        <v>3600</v>
      </c>
      <c r="M1226" s="108">
        <v>73284</v>
      </c>
      <c r="N1226" s="108">
        <f>Таблица97[[#This Row],[Продажа]]-Таблица97[[#This Row],[Закупка]]</f>
        <v>110374</v>
      </c>
      <c r="O1226" s="108" t="str">
        <f>IF(Таблица97[[#This Row],[НК]]=1,Таблица97[[#This Row],[Маржа]],"")</f>
        <v/>
      </c>
    </row>
    <row r="1227" spans="1:15" ht="20.100000000000001" customHeight="1" x14ac:dyDescent="0.25">
      <c r="A1227" s="2">
        <v>602</v>
      </c>
      <c r="B1227" s="2" t="str">
        <f>TEXT(Таблица97[[#This Row],[Дата]],"ГГ")&amp;RIGHT("000"&amp;Таблица97[[#This Row],[Номер]],4)</f>
        <v>190602</v>
      </c>
      <c r="C1227" s="129">
        <v>43634</v>
      </c>
      <c r="D1227" s="2" t="s">
        <v>99</v>
      </c>
      <c r="E1227" s="108">
        <v>1812</v>
      </c>
      <c r="F1227" s="129">
        <v>43663</v>
      </c>
      <c r="H1227" s="129">
        <v>43655</v>
      </c>
      <c r="I1227" s="108">
        <f t="shared" si="53"/>
        <v>1812</v>
      </c>
      <c r="J1227" s="108" t="str">
        <f>IF(Таблица97[[#This Row],[НК]]=1,Таблица97[[#This Row],[Продажа]],"")</f>
        <v/>
      </c>
      <c r="M1227" s="108">
        <v>1376</v>
      </c>
      <c r="N1227" s="108">
        <f>Таблица97[[#This Row],[Продажа]]-Таблица97[[#This Row],[Закупка]]</f>
        <v>436</v>
      </c>
      <c r="O1227" s="108" t="str">
        <f>IF(Таблица97[[#This Row],[НК]]=1,Таблица97[[#This Row],[Маржа]],"")</f>
        <v/>
      </c>
    </row>
    <row r="1228" spans="1:15" ht="20.100000000000001" customHeight="1" x14ac:dyDescent="0.25">
      <c r="A1228" s="2">
        <v>724</v>
      </c>
      <c r="B1228" s="2" t="str">
        <f>TEXT(Таблица97[[#This Row],[Дата]],"ГГ")&amp;RIGHT("000"&amp;Таблица97[[#This Row],[Номер]],4)</f>
        <v>190724</v>
      </c>
      <c r="C1228" s="129">
        <v>43662</v>
      </c>
      <c r="D1228" s="2" t="s">
        <v>286</v>
      </c>
      <c r="E1228" s="108">
        <v>18598</v>
      </c>
      <c r="F1228" s="129">
        <v>43663</v>
      </c>
      <c r="H1228" s="129">
        <v>43664</v>
      </c>
      <c r="I1228" s="108">
        <f t="shared" si="53"/>
        <v>18598</v>
      </c>
      <c r="J1228" s="108" t="str">
        <f>IF(Таблица97[[#This Row],[НК]]=1,Таблица97[[#This Row],[Продажа]],"")</f>
        <v/>
      </c>
      <c r="M1228" s="108">
        <v>14642</v>
      </c>
      <c r="N1228" s="108">
        <f>Таблица97[[#This Row],[Продажа]]-Таблица97[[#This Row],[Закупка]]</f>
        <v>3956</v>
      </c>
      <c r="O1228" s="108" t="str">
        <f>IF(Таблица97[[#This Row],[НК]]=1,Таблица97[[#This Row],[Маржа]],"")</f>
        <v/>
      </c>
    </row>
    <row r="1229" spans="1:15" ht="20.100000000000001" customHeight="1" x14ac:dyDescent="0.25">
      <c r="A1229" s="2">
        <v>489</v>
      </c>
      <c r="B1229" s="2" t="str">
        <f>TEXT(Таблица97[[#This Row],[Дата]],"ГГ")&amp;RIGHT("000"&amp;Таблица97[[#This Row],[Номер]],4)</f>
        <v>190489</v>
      </c>
      <c r="C1229" s="129">
        <v>43612</v>
      </c>
      <c r="D1229" s="2" t="s">
        <v>65</v>
      </c>
      <c r="E1229" s="108">
        <v>275817.59999999998</v>
      </c>
      <c r="F1229" s="129">
        <v>43664</v>
      </c>
      <c r="H1229" s="129">
        <v>43633</v>
      </c>
      <c r="I1229" s="108">
        <v>138550.79999999999</v>
      </c>
      <c r="J1229" s="108" t="str">
        <f>IF(Таблица97[[#This Row],[НК]]=1,Таблица97[[#This Row],[Продажа]],"")</f>
        <v/>
      </c>
      <c r="M1229" s="108">
        <v>119124</v>
      </c>
      <c r="N1229" s="108">
        <f>Таблица97[[#This Row],[Продажа]]-Таблица97[[#This Row],[Закупка]]</f>
        <v>19426.799999999988</v>
      </c>
      <c r="O1229" s="108" t="str">
        <f>IF(Таблица97[[#This Row],[НК]]=1,Таблица97[[#This Row],[Маржа]],"")</f>
        <v/>
      </c>
    </row>
    <row r="1230" spans="1:15" ht="20.100000000000001" customHeight="1" x14ac:dyDescent="0.25">
      <c r="A1230" s="2">
        <v>718</v>
      </c>
      <c r="B1230" s="2" t="str">
        <f>TEXT(Таблица97[[#This Row],[Дата]],"ГГ")&amp;RIGHT("000"&amp;Таблица97[[#This Row],[Номер]],4)</f>
        <v>190718</v>
      </c>
      <c r="C1230" s="129">
        <v>43662</v>
      </c>
      <c r="D1230" s="2" t="s">
        <v>386</v>
      </c>
      <c r="E1230" s="108">
        <v>3142</v>
      </c>
      <c r="F1230" s="129">
        <v>43665</v>
      </c>
      <c r="H1230" s="129">
        <v>43662</v>
      </c>
      <c r="I1230" s="108">
        <f t="shared" ref="I1230:I1244" si="54">E1230</f>
        <v>3142</v>
      </c>
      <c r="J1230" s="108" t="str">
        <f>IF(Таблица97[[#This Row],[НК]]=1,Таблица97[[#This Row],[Продажа]],"")</f>
        <v/>
      </c>
      <c r="M1230" s="108">
        <v>2450</v>
      </c>
      <c r="N1230" s="108">
        <f>Таблица97[[#This Row],[Продажа]]-Таблица97[[#This Row],[Закупка]]</f>
        <v>692</v>
      </c>
      <c r="O1230" s="108" t="str">
        <f>IF(Таблица97[[#This Row],[НК]]=1,Таблица97[[#This Row],[Маржа]],"")</f>
        <v/>
      </c>
    </row>
    <row r="1231" spans="1:15" ht="20.100000000000001" customHeight="1" x14ac:dyDescent="0.25">
      <c r="A1231" s="2">
        <v>735</v>
      </c>
      <c r="B1231" s="2" t="str">
        <f>TEXT(Таблица97[[#This Row],[Дата]],"ГГ")&amp;RIGHT("000"&amp;Таблица97[[#This Row],[Номер]],4)</f>
        <v>190735</v>
      </c>
      <c r="C1231" s="129">
        <v>43665</v>
      </c>
      <c r="D1231" s="2" t="s">
        <v>386</v>
      </c>
      <c r="E1231" s="108">
        <v>3142</v>
      </c>
      <c r="F1231" s="129">
        <v>43665</v>
      </c>
      <c r="H1231" s="129">
        <v>43665</v>
      </c>
      <c r="I1231" s="108">
        <f t="shared" si="54"/>
        <v>3142</v>
      </c>
      <c r="J1231" s="108" t="str">
        <f>IF(Таблица97[[#This Row],[НК]]=1,Таблица97[[#This Row],[Продажа]],"")</f>
        <v/>
      </c>
      <c r="M1231" s="108">
        <v>2450</v>
      </c>
      <c r="N1231" s="108">
        <f>Таблица97[[#This Row],[Продажа]]-Таблица97[[#This Row],[Закупка]]</f>
        <v>692</v>
      </c>
      <c r="O1231" s="108" t="str">
        <f>IF(Таблица97[[#This Row],[НК]]=1,Таблица97[[#This Row],[Маржа]],"")</f>
        <v/>
      </c>
    </row>
    <row r="1232" spans="1:15" ht="20.100000000000001" customHeight="1" x14ac:dyDescent="0.25">
      <c r="A1232" s="2">
        <v>527</v>
      </c>
      <c r="B1232" s="2" t="str">
        <f>TEXT(Таблица97[[#This Row],[Дата]],"ГГ")&amp;RIGHT("000"&amp;Таблица97[[#This Row],[Номер]],4)</f>
        <v>190527</v>
      </c>
      <c r="C1232" s="129">
        <v>43621</v>
      </c>
      <c r="D1232" s="2" t="s">
        <v>56</v>
      </c>
      <c r="E1232" s="108">
        <v>21124</v>
      </c>
      <c r="F1232" s="129">
        <v>43665</v>
      </c>
      <c r="H1232" s="129">
        <v>43635</v>
      </c>
      <c r="I1232" s="108">
        <f t="shared" si="54"/>
        <v>21124</v>
      </c>
      <c r="J1232" s="108" t="str">
        <f>IF(Таблица97[[#This Row],[НК]]=1,Таблица97[[#This Row],[Продажа]],"")</f>
        <v/>
      </c>
      <c r="M1232" s="108">
        <v>16426</v>
      </c>
      <c r="N1232" s="108">
        <f>Таблица97[[#This Row],[Продажа]]-Таблица97[[#This Row],[Закупка]]</f>
        <v>4698</v>
      </c>
      <c r="O1232" s="108" t="str">
        <f>IF(Таблица97[[#This Row],[НК]]=1,Таблица97[[#This Row],[Маржа]],"")</f>
        <v/>
      </c>
    </row>
    <row r="1233" spans="1:15" ht="20.100000000000001" customHeight="1" x14ac:dyDescent="0.25">
      <c r="A1233" s="2">
        <v>582</v>
      </c>
      <c r="B1233" s="2" t="str">
        <f>TEXT(Таблица97[[#This Row],[Дата]],"ГГ")&amp;RIGHT("000"&amp;Таблица97[[#This Row],[Номер]],4)</f>
        <v>190582</v>
      </c>
      <c r="C1233" s="129">
        <v>43630</v>
      </c>
      <c r="D1233" s="2" t="s">
        <v>56</v>
      </c>
      <c r="E1233" s="108">
        <v>43487</v>
      </c>
      <c r="F1233" s="129">
        <v>43665</v>
      </c>
      <c r="H1233" s="129">
        <v>43655</v>
      </c>
      <c r="I1233" s="108">
        <f t="shared" si="54"/>
        <v>43487</v>
      </c>
      <c r="J1233" s="108" t="str">
        <f>IF(Таблица97[[#This Row],[НК]]=1,Таблица97[[#This Row],[Продажа]],"")</f>
        <v/>
      </c>
      <c r="M1233" s="108">
        <v>32942</v>
      </c>
      <c r="N1233" s="108">
        <f>Таблица97[[#This Row],[Продажа]]-Таблица97[[#This Row],[Закупка]]</f>
        <v>10545</v>
      </c>
      <c r="O1233" s="108" t="str">
        <f>IF(Таблица97[[#This Row],[НК]]=1,Таблица97[[#This Row],[Маржа]],"")</f>
        <v/>
      </c>
    </row>
    <row r="1234" spans="1:15" ht="20.100000000000001" customHeight="1" x14ac:dyDescent="0.25">
      <c r="A1234" s="2">
        <v>719</v>
      </c>
      <c r="B1234" s="2" t="str">
        <f>TEXT(Таблица97[[#This Row],[Дата]],"ГГ")&amp;RIGHT("000"&amp;Таблица97[[#This Row],[Номер]],4)</f>
        <v>190719</v>
      </c>
      <c r="C1234" s="129">
        <v>43662</v>
      </c>
      <c r="D1234" s="2" t="s">
        <v>258</v>
      </c>
      <c r="E1234" s="108">
        <v>1355</v>
      </c>
      <c r="F1234" s="129">
        <v>43665</v>
      </c>
      <c r="H1234" s="129">
        <v>43683</v>
      </c>
      <c r="I1234" s="108">
        <f t="shared" si="54"/>
        <v>1355</v>
      </c>
      <c r="J1234" s="108" t="str">
        <f>IF(Таблица97[[#This Row],[НК]]=1,Таблица97[[#This Row],[Продажа]],"")</f>
        <v/>
      </c>
      <c r="M1234" s="108">
        <v>1057</v>
      </c>
      <c r="N1234" s="108">
        <f>Таблица97[[#This Row],[Продажа]]-Таблица97[[#This Row],[Закупка]]</f>
        <v>298</v>
      </c>
      <c r="O1234" s="108" t="str">
        <f>IF(Таблица97[[#This Row],[НК]]=1,Таблица97[[#This Row],[Маржа]],"")</f>
        <v/>
      </c>
    </row>
    <row r="1235" spans="1:15" ht="20.100000000000001" customHeight="1" x14ac:dyDescent="0.25">
      <c r="A1235" s="2">
        <v>750</v>
      </c>
      <c r="B1235" s="2" t="str">
        <f>TEXT(Таблица97[[#This Row],[Дата]],"ГГ")&amp;RIGHT("000"&amp;Таблица97[[#This Row],[Номер]],4)</f>
        <v>190750</v>
      </c>
      <c r="C1235" s="129">
        <v>43669</v>
      </c>
      <c r="D1235" s="2" t="s">
        <v>407</v>
      </c>
      <c r="E1235" s="108">
        <v>17990</v>
      </c>
      <c r="F1235" s="129">
        <v>43669</v>
      </c>
      <c r="G1235" s="128">
        <v>1</v>
      </c>
      <c r="H1235" s="129">
        <v>43671</v>
      </c>
      <c r="I1235" s="108">
        <f t="shared" si="54"/>
        <v>17990</v>
      </c>
      <c r="J1235" s="108">
        <f>IF(Таблица97[[#This Row],[НК]]=1,Таблица97[[#This Row],[Продажа]],"")</f>
        <v>17990</v>
      </c>
      <c r="M1235" s="108">
        <v>14168</v>
      </c>
      <c r="N1235" s="108">
        <f>Таблица97[[#This Row],[Продажа]]-Таблица97[[#This Row],[Закупка]]</f>
        <v>3822</v>
      </c>
      <c r="O1235" s="108">
        <f>IF(Таблица97[[#This Row],[НК]]=1,Таблица97[[#This Row],[Маржа]],"")</f>
        <v>3822</v>
      </c>
    </row>
    <row r="1236" spans="1:15" ht="20.100000000000001" customHeight="1" x14ac:dyDescent="0.25">
      <c r="A1236" s="2">
        <v>754</v>
      </c>
      <c r="B1236" s="2" t="str">
        <f>TEXT(Таблица97[[#This Row],[Дата]],"ГГ")&amp;RIGHT("000"&amp;Таблица97[[#This Row],[Номер]],4)</f>
        <v>190754</v>
      </c>
      <c r="C1236" s="129">
        <v>43670</v>
      </c>
      <c r="D1236" s="2" t="s">
        <v>149</v>
      </c>
      <c r="E1236" s="108">
        <v>5138</v>
      </c>
      <c r="F1236" s="129">
        <v>43670</v>
      </c>
      <c r="H1236" s="129">
        <v>43696</v>
      </c>
      <c r="I1236" s="108">
        <f t="shared" si="54"/>
        <v>5138</v>
      </c>
      <c r="J1236" s="108" t="str">
        <f>IF(Таблица97[[#This Row],[НК]]=1,Таблица97[[#This Row],[Продажа]],"")</f>
        <v/>
      </c>
      <c r="M1236" s="108">
        <v>4007</v>
      </c>
      <c r="N1236" s="108">
        <f>Таблица97[[#This Row],[Продажа]]-Таблица97[[#This Row],[Закупка]]</f>
        <v>1131</v>
      </c>
      <c r="O1236" s="108" t="str">
        <f>IF(Таблица97[[#This Row],[НК]]=1,Таблица97[[#This Row],[Маржа]],"")</f>
        <v/>
      </c>
    </row>
    <row r="1237" spans="1:15" ht="20.100000000000001" customHeight="1" x14ac:dyDescent="0.25">
      <c r="A1237" s="2">
        <v>695</v>
      </c>
      <c r="B1237" s="2" t="str">
        <f>TEXT(Таблица97[[#This Row],[Дата]],"ГГ")&amp;RIGHT("000"&amp;Таблица97[[#This Row],[Номер]],4)</f>
        <v>190695</v>
      </c>
      <c r="C1237" s="129">
        <v>43657</v>
      </c>
      <c r="D1237" s="2" t="s">
        <v>11</v>
      </c>
      <c r="E1237" s="108">
        <v>9285</v>
      </c>
      <c r="F1237" s="129">
        <v>43671</v>
      </c>
      <c r="H1237" s="129">
        <v>43703</v>
      </c>
      <c r="I1237" s="108">
        <f t="shared" si="54"/>
        <v>9285</v>
      </c>
      <c r="J1237" s="108" t="str">
        <f>IF(Таблица97[[#This Row],[НК]]=1,Таблица97[[#This Row],[Продажа]],"")</f>
        <v/>
      </c>
      <c r="M1237" s="108">
        <v>5325</v>
      </c>
      <c r="N1237" s="108">
        <f>Таблица97[[#This Row],[Продажа]]-Таблица97[[#This Row],[Закупка]]</f>
        <v>3960</v>
      </c>
      <c r="O1237" s="108" t="str">
        <f>IF(Таблица97[[#This Row],[НК]]=1,Таблица97[[#This Row],[Маржа]],"")</f>
        <v/>
      </c>
    </row>
    <row r="1238" spans="1:15" ht="20.100000000000001" customHeight="1" x14ac:dyDescent="0.25">
      <c r="A1238" s="2">
        <v>759</v>
      </c>
      <c r="B1238" s="2" t="str">
        <f>TEXT(Таблица97[[#This Row],[Дата]],"ГГ")&amp;RIGHT("000"&amp;Таблица97[[#This Row],[Номер]],4)</f>
        <v>190759</v>
      </c>
      <c r="C1238" s="129">
        <v>43671</v>
      </c>
      <c r="D1238" s="2" t="s">
        <v>408</v>
      </c>
      <c r="E1238" s="108">
        <v>30389</v>
      </c>
      <c r="F1238" s="129">
        <v>43671</v>
      </c>
      <c r="G1238" s="128">
        <v>1</v>
      </c>
      <c r="H1238" s="129">
        <v>43672</v>
      </c>
      <c r="I1238" s="108">
        <f t="shared" si="54"/>
        <v>30389</v>
      </c>
      <c r="J1238" s="108">
        <f>IF(Таблица97[[#This Row],[НК]]=1,Таблица97[[#This Row],[Продажа]],"")</f>
        <v>30389</v>
      </c>
      <c r="M1238" s="108">
        <v>21089</v>
      </c>
      <c r="N1238" s="108">
        <f>Таблица97[[#This Row],[Продажа]]-Таблица97[[#This Row],[Закупка]]</f>
        <v>9300</v>
      </c>
      <c r="O1238" s="108">
        <f>IF(Таблица97[[#This Row],[НК]]=1,Таблица97[[#This Row],[Маржа]],"")</f>
        <v>9300</v>
      </c>
    </row>
    <row r="1239" spans="1:15" ht="20.100000000000001" customHeight="1" x14ac:dyDescent="0.25">
      <c r="A1239" s="2">
        <v>756</v>
      </c>
      <c r="B1239" s="2" t="str">
        <f>TEXT(Таблица97[[#This Row],[Дата]],"ГГ")&amp;RIGHT("000"&amp;Таблица97[[#This Row],[Номер]],4)</f>
        <v>190756</v>
      </c>
      <c r="C1239" s="129">
        <v>43670</v>
      </c>
      <c r="D1239" s="2" t="s">
        <v>243</v>
      </c>
      <c r="E1239" s="108">
        <v>10352</v>
      </c>
      <c r="F1239" s="129">
        <v>43671</v>
      </c>
      <c r="H1239" s="129">
        <v>43683</v>
      </c>
      <c r="I1239" s="108">
        <f t="shared" si="54"/>
        <v>10352</v>
      </c>
      <c r="J1239" s="108" t="str">
        <f>IF(Таблица97[[#This Row],[НК]]=1,Таблица97[[#This Row],[Продажа]],"")</f>
        <v/>
      </c>
      <c r="M1239" s="108">
        <v>8072</v>
      </c>
      <c r="N1239" s="108">
        <f>Таблица97[[#This Row],[Продажа]]-Таблица97[[#This Row],[Закупка]]</f>
        <v>2280</v>
      </c>
      <c r="O1239" s="108" t="str">
        <f>IF(Таблица97[[#This Row],[НК]]=1,Таблица97[[#This Row],[Маржа]],"")</f>
        <v/>
      </c>
    </row>
    <row r="1240" spans="1:15" ht="20.100000000000001" customHeight="1" x14ac:dyDescent="0.25">
      <c r="A1240" s="2">
        <v>714</v>
      </c>
      <c r="B1240" s="2" t="str">
        <f>TEXT(Таблица97[[#This Row],[Дата]],"ГГ")&amp;RIGHT("000"&amp;Таблица97[[#This Row],[Номер]],4)</f>
        <v>190714</v>
      </c>
      <c r="C1240" s="129">
        <v>43661</v>
      </c>
      <c r="D1240" s="2" t="s">
        <v>409</v>
      </c>
      <c r="E1240" s="108">
        <v>27149</v>
      </c>
      <c r="F1240" s="129">
        <v>43672</v>
      </c>
      <c r="G1240" s="128">
        <v>1</v>
      </c>
      <c r="H1240" s="129">
        <v>43677</v>
      </c>
      <c r="I1240" s="108">
        <f t="shared" si="54"/>
        <v>27149</v>
      </c>
      <c r="J1240" s="108">
        <f>IF(Таблица97[[#This Row],[НК]]=1,Таблица97[[#This Row],[Продажа]],"")</f>
        <v>27149</v>
      </c>
      <c r="L1240" s="108">
        <v>600</v>
      </c>
      <c r="M1240" s="108">
        <v>19148</v>
      </c>
      <c r="N1240" s="108">
        <f>Таблица97[[#This Row],[Продажа]]-Таблица97[[#This Row],[Закупка]]</f>
        <v>8001</v>
      </c>
      <c r="O1240" s="108">
        <f>IF(Таблица97[[#This Row],[НК]]=1,Таблица97[[#This Row],[Маржа]],"")</f>
        <v>8001</v>
      </c>
    </row>
    <row r="1241" spans="1:15" ht="20.100000000000001" customHeight="1" x14ac:dyDescent="0.25">
      <c r="A1241" s="2">
        <v>622</v>
      </c>
      <c r="B1241" s="2" t="str">
        <f>TEXT(Таблица97[[#This Row],[Дата]],"ГГ")&amp;RIGHT("000"&amp;Таблица97[[#This Row],[Номер]],4)</f>
        <v>190622</v>
      </c>
      <c r="C1241" s="129">
        <v>43649</v>
      </c>
      <c r="D1241" s="2" t="s">
        <v>99</v>
      </c>
      <c r="E1241" s="108">
        <v>136296</v>
      </c>
      <c r="F1241" s="129">
        <v>43675</v>
      </c>
      <c r="H1241" s="129">
        <v>43655</v>
      </c>
      <c r="I1241" s="108">
        <f t="shared" si="54"/>
        <v>136296</v>
      </c>
      <c r="J1241" s="108" t="str">
        <f>IF(Таблица97[[#This Row],[НК]]=1,Таблица97[[#This Row],[Продажа]],"")</f>
        <v/>
      </c>
      <c r="K1241" s="108">
        <v>27000</v>
      </c>
      <c r="L1241" s="108">
        <f>9*600</f>
        <v>5400</v>
      </c>
      <c r="M1241" s="108">
        <v>36002</v>
      </c>
      <c r="N1241" s="108">
        <f>Таблица97[[#This Row],[Продажа]]-Таблица97[[#This Row],[Закупка]]</f>
        <v>100294</v>
      </c>
      <c r="O1241" s="108" t="str">
        <f>IF(Таблица97[[#This Row],[НК]]=1,Таблица97[[#This Row],[Маржа]],"")</f>
        <v/>
      </c>
    </row>
    <row r="1242" spans="1:15" ht="20.100000000000001" customHeight="1" x14ac:dyDescent="0.25">
      <c r="A1242" s="2">
        <v>767</v>
      </c>
      <c r="B1242" s="2" t="str">
        <f>TEXT(Таблица97[[#This Row],[Дата]],"ГГ")&amp;RIGHT("000"&amp;Таблица97[[#This Row],[Номер]],4)</f>
        <v>190767</v>
      </c>
      <c r="C1242" s="129">
        <v>43675</v>
      </c>
      <c r="D1242" s="2" t="s">
        <v>370</v>
      </c>
      <c r="E1242" s="108">
        <v>3142</v>
      </c>
      <c r="F1242" s="129">
        <v>43677</v>
      </c>
      <c r="H1242" s="129">
        <v>43677</v>
      </c>
      <c r="I1242" s="108">
        <f t="shared" si="54"/>
        <v>3142</v>
      </c>
      <c r="J1242" s="108" t="str">
        <f>IF(Таблица97[[#This Row],[НК]]=1,Таблица97[[#This Row],[Продажа]],"")</f>
        <v/>
      </c>
      <c r="M1242" s="108">
        <v>2450</v>
      </c>
      <c r="N1242" s="108">
        <f>Таблица97[[#This Row],[Продажа]]-Таблица97[[#This Row],[Закупка]]</f>
        <v>692</v>
      </c>
      <c r="O1242" s="108" t="str">
        <f>IF(Таблица97[[#This Row],[НК]]=1,Таблица97[[#This Row],[Маржа]],"")</f>
        <v/>
      </c>
    </row>
    <row r="1243" spans="1:15" ht="20.100000000000001" customHeight="1" x14ac:dyDescent="0.25">
      <c r="A1243" s="2">
        <v>769</v>
      </c>
      <c r="B1243" s="2" t="str">
        <f>TEXT(Таблица97[[#This Row],[Дата]],"ГГ")&amp;RIGHT("000"&amp;Таблица97[[#This Row],[Номер]],4)</f>
        <v>190769</v>
      </c>
      <c r="C1243" s="129">
        <v>43676</v>
      </c>
      <c r="D1243" s="2" t="s">
        <v>209</v>
      </c>
      <c r="E1243" s="108">
        <v>8292.61</v>
      </c>
      <c r="F1243" s="129">
        <v>43677</v>
      </c>
      <c r="H1243" s="129">
        <v>43677</v>
      </c>
      <c r="I1243" s="108">
        <f t="shared" si="54"/>
        <v>8292.61</v>
      </c>
      <c r="J1243" s="108" t="str">
        <f>IF(Таблица97[[#This Row],[НК]]=1,Таблица97[[#This Row],[Продажа]],"")</f>
        <v/>
      </c>
      <c r="M1243" s="108">
        <v>7462</v>
      </c>
      <c r="N1243" s="108">
        <f>Таблица97[[#This Row],[Продажа]]-Таблица97[[#This Row],[Закупка]]</f>
        <v>830.61000000000058</v>
      </c>
      <c r="O1243" s="108" t="str">
        <f>IF(Таблица97[[#This Row],[НК]]=1,Таблица97[[#This Row],[Маржа]],"")</f>
        <v/>
      </c>
    </row>
    <row r="1244" spans="1:15" ht="20.100000000000001" customHeight="1" x14ac:dyDescent="0.25">
      <c r="A1244" s="2">
        <v>774</v>
      </c>
      <c r="B1244" s="2" t="str">
        <f>TEXT(Таблица97[[#This Row],[Дата]],"ГГ")&amp;RIGHT("000"&amp;Таблица97[[#This Row],[Номер]],4)</f>
        <v>190774</v>
      </c>
      <c r="C1244" s="129">
        <v>43677</v>
      </c>
      <c r="D1244" s="2" t="s">
        <v>411</v>
      </c>
      <c r="E1244" s="108">
        <v>17990</v>
      </c>
      <c r="F1244" s="129">
        <v>43677</v>
      </c>
      <c r="G1244" s="128">
        <v>1</v>
      </c>
      <c r="H1244" s="129">
        <v>43678</v>
      </c>
      <c r="I1244" s="108">
        <f t="shared" si="54"/>
        <v>17990</v>
      </c>
      <c r="J1244" s="108">
        <f>IF(Таблица97[[#This Row],[НК]]=1,Таблица97[[#This Row],[Продажа]],"")</f>
        <v>17990</v>
      </c>
      <c r="M1244" s="108">
        <v>14168</v>
      </c>
      <c r="N1244" s="108">
        <f>Таблица97[[#This Row],[Продажа]]-Таблица97[[#This Row],[Закупка]]</f>
        <v>3822</v>
      </c>
      <c r="O1244" s="108">
        <f>IF(Таблица97[[#This Row],[НК]]=1,Таблица97[[#This Row],[Маржа]],"")</f>
        <v>3822</v>
      </c>
    </row>
    <row r="1245" spans="1:15" ht="20.100000000000001" customHeight="1" x14ac:dyDescent="0.25">
      <c r="A1245" s="2">
        <v>764</v>
      </c>
      <c r="B1245" s="2" t="str">
        <f>TEXT(Таблица97[[#This Row],[Дата]],"ГГ")&amp;RIGHT("000"&amp;Таблица97[[#This Row],[Номер]],4)</f>
        <v>190764</v>
      </c>
      <c r="C1245" s="129">
        <v>43672</v>
      </c>
      <c r="D1245" s="2" t="s">
        <v>410</v>
      </c>
      <c r="E1245" s="108">
        <v>2001050</v>
      </c>
      <c r="F1245" s="129">
        <v>43676</v>
      </c>
      <c r="G1245" s="128">
        <v>1</v>
      </c>
      <c r="H1245" s="129">
        <v>43706</v>
      </c>
      <c r="I1245" s="108">
        <f>E1245</f>
        <v>2001050</v>
      </c>
      <c r="J1245" s="108">
        <f>IF(Таблица97[[#This Row],[НК]]=1,Таблица97[[#This Row],[Продажа]],"")</f>
        <v>2001050</v>
      </c>
      <c r="K1245" s="108">
        <v>30000</v>
      </c>
      <c r="M1245" s="108">
        <v>1730224</v>
      </c>
      <c r="N1245" s="108">
        <f>Таблица97[[#This Row],[Продажа]]-Таблица97[[#This Row],[Закупка]]</f>
        <v>270826</v>
      </c>
      <c r="O1245" s="108">
        <f>IF(Таблица97[[#This Row],[НК]]=1,Таблица97[[#This Row],[Маржа]],"")</f>
        <v>270826</v>
      </c>
    </row>
    <row r="1246" spans="1:15" ht="20.100000000000001" customHeight="1" x14ac:dyDescent="0.25">
      <c r="A1246" s="2">
        <v>785</v>
      </c>
      <c r="B1246" s="2" t="str">
        <f>TEXT(Таблица97[[#This Row],[Дата]],"ГГ")&amp;RIGHT("000"&amp;Таблица97[[#This Row],[Номер]],4)</f>
        <v>190785</v>
      </c>
      <c r="C1246" s="129">
        <v>43678</v>
      </c>
      <c r="D1246" s="2" t="s">
        <v>393</v>
      </c>
      <c r="E1246" s="108">
        <v>1314</v>
      </c>
      <c r="F1246" s="129">
        <v>43679</v>
      </c>
      <c r="H1246" s="129">
        <v>43682</v>
      </c>
      <c r="I1246" s="108">
        <f>E1246</f>
        <v>1314</v>
      </c>
      <c r="J1246" s="108" t="str">
        <f>IF(Таблица97[[#This Row],[НК]]=1,Таблица97[[#This Row],[Продажа]],"")</f>
        <v/>
      </c>
      <c r="M1246" s="108">
        <v>670</v>
      </c>
      <c r="N1246" s="108">
        <f>Таблица97[[#This Row],[Продажа]]-Таблица97[[#This Row],[Закупка]]</f>
        <v>644</v>
      </c>
      <c r="O1246" s="108" t="str">
        <f>IF(Таблица97[[#This Row],[НК]]=1,Таблица97[[#This Row],[Маржа]],"")</f>
        <v/>
      </c>
    </row>
    <row r="1247" spans="1:15" ht="20.100000000000001" customHeight="1" x14ac:dyDescent="0.25">
      <c r="A1247" s="2">
        <v>791</v>
      </c>
      <c r="B1247" s="2" t="str">
        <f>TEXT(Таблица97[[#This Row],[Дата]],"ГГ")&amp;RIGHT("000"&amp;Таблица97[[#This Row],[Номер]],4)</f>
        <v>190791</v>
      </c>
      <c r="C1247" s="129">
        <v>43682</v>
      </c>
      <c r="D1247" s="2" t="s">
        <v>77</v>
      </c>
      <c r="E1247" s="108">
        <v>34990</v>
      </c>
      <c r="F1247" s="129">
        <v>43682</v>
      </c>
      <c r="H1247" s="129">
        <v>43683</v>
      </c>
      <c r="I1247" s="108">
        <f>E1247</f>
        <v>34990</v>
      </c>
      <c r="J1247" s="108" t="str">
        <f>IF(Таблица97[[#This Row],[НК]]=1,Таблица97[[#This Row],[Продажа]],"")</f>
        <v/>
      </c>
      <c r="M1247" s="108">
        <v>25717</v>
      </c>
      <c r="N1247" s="108">
        <f>Таблица97[[#This Row],[Продажа]]-Таблица97[[#This Row],[Закупка]]</f>
        <v>9273</v>
      </c>
      <c r="O1247" s="108" t="str">
        <f>IF(Таблица97[[#This Row],[НК]]=1,Таблица97[[#This Row],[Маржа]],"")</f>
        <v/>
      </c>
    </row>
    <row r="1248" spans="1:15" ht="20.100000000000001" customHeight="1" x14ac:dyDescent="0.25">
      <c r="A1248" s="2">
        <v>772</v>
      </c>
      <c r="B1248" s="2" t="str">
        <f>TEXT(Таблица97[[#This Row],[Дата]],"ГГ")&amp;RIGHT("000"&amp;Таблица97[[#This Row],[Номер]],4)</f>
        <v>190772</v>
      </c>
      <c r="C1248" s="129">
        <v>43677</v>
      </c>
      <c r="D1248" s="2" t="s">
        <v>139</v>
      </c>
      <c r="E1248" s="108">
        <v>2162</v>
      </c>
      <c r="F1248" s="129">
        <v>43683</v>
      </c>
      <c r="H1248" s="129">
        <v>43710</v>
      </c>
      <c r="I1248" s="108">
        <f>E1248</f>
        <v>2162</v>
      </c>
      <c r="J1248" s="108" t="str">
        <f>IF(Таблица97[[#This Row],[НК]]=1,Таблица97[[#This Row],[Продажа]],"")</f>
        <v/>
      </c>
      <c r="M1248" s="108">
        <v>1426</v>
      </c>
      <c r="N1248" s="108">
        <f>Таблица97[[#This Row],[Продажа]]-Таблица97[[#This Row],[Закупка]]</f>
        <v>736</v>
      </c>
      <c r="O1248" s="108" t="str">
        <f>IF(Таблица97[[#This Row],[НК]]=1,Таблица97[[#This Row],[Маржа]],"")</f>
        <v/>
      </c>
    </row>
    <row r="1249" spans="1:15" ht="20.100000000000001" customHeight="1" x14ac:dyDescent="0.25">
      <c r="A1249" s="2">
        <v>792</v>
      </c>
      <c r="B1249" s="2" t="str">
        <f>TEXT(Таблица97[[#This Row],[Дата]],"ГГ")&amp;RIGHT("000"&amp;Таблица97[[#This Row],[Номер]],4)</f>
        <v>190792</v>
      </c>
      <c r="C1249" s="129">
        <v>43682</v>
      </c>
      <c r="D1249" s="2" t="s">
        <v>286</v>
      </c>
      <c r="E1249" s="108">
        <v>4986</v>
      </c>
      <c r="F1249" s="129">
        <v>43685</v>
      </c>
      <c r="H1249" s="129">
        <v>43686</v>
      </c>
      <c r="I1249" s="108">
        <f>E1249</f>
        <v>4986</v>
      </c>
      <c r="J1249" s="108" t="str">
        <f>IF(Таблица97[[#This Row],[НК]]=1,Таблица97[[#This Row],[Продажа]],"")</f>
        <v/>
      </c>
      <c r="M1249" s="108">
        <v>4194</v>
      </c>
      <c r="N1249" s="108">
        <f>Таблица97[[#This Row],[Продажа]]-Таблица97[[#This Row],[Закупка]]</f>
        <v>792</v>
      </c>
      <c r="O1249" s="108" t="str">
        <f>IF(Таблица97[[#This Row],[НК]]=1,Таблица97[[#This Row],[Маржа]],"")</f>
        <v/>
      </c>
    </row>
    <row r="1250" spans="1:15" ht="20.100000000000001" customHeight="1" x14ac:dyDescent="0.25">
      <c r="A1250" s="2">
        <v>721</v>
      </c>
      <c r="B1250" s="2" t="str">
        <f>TEXT(Таблица97[[#This Row],[Дата]],"ГГ")&amp;RIGHT("000"&amp;Таблица97[[#This Row],[Номер]],4)</f>
        <v>190721</v>
      </c>
      <c r="C1250" s="129">
        <v>43662</v>
      </c>
      <c r="D1250" s="2" t="s">
        <v>179</v>
      </c>
      <c r="E1250" s="108">
        <v>310000</v>
      </c>
      <c r="F1250" s="129">
        <v>43685</v>
      </c>
      <c r="H1250" s="129">
        <v>43697</v>
      </c>
      <c r="I1250" s="108">
        <v>248000</v>
      </c>
      <c r="J1250" s="108" t="str">
        <f>IF(Таблица97[[#This Row],[НК]]=1,Таблица97[[#This Row],[Продажа]],"")</f>
        <v/>
      </c>
      <c r="M1250" s="108">
        <v>191000</v>
      </c>
      <c r="N1250" s="108">
        <f>Таблица97[[#This Row],[Продажа]]-Таблица97[[#This Row],[Закупка]]</f>
        <v>57000</v>
      </c>
      <c r="O1250" s="108" t="str">
        <f>IF(Таблица97[[#This Row],[НК]]=1,Таблица97[[#This Row],[Маржа]],"")</f>
        <v/>
      </c>
    </row>
    <row r="1251" spans="1:15" ht="20.100000000000001" customHeight="1" x14ac:dyDescent="0.25">
      <c r="A1251" s="2">
        <v>638</v>
      </c>
      <c r="B1251" s="2" t="str">
        <f>TEXT(Таблица97[[#This Row],[Дата]],"ГГ")&amp;RIGHT("000"&amp;Таблица97[[#This Row],[Номер]],4)</f>
        <v>190638</v>
      </c>
      <c r="C1251" s="129">
        <v>43647</v>
      </c>
      <c r="D1251" s="2" t="s">
        <v>38</v>
      </c>
      <c r="E1251" s="108">
        <v>81758</v>
      </c>
      <c r="F1251" s="129">
        <v>43686</v>
      </c>
      <c r="H1251" s="129">
        <v>43656</v>
      </c>
      <c r="I1251" s="108">
        <f>E1251</f>
        <v>81758</v>
      </c>
      <c r="J1251" s="108" t="str">
        <f>IF(Таблица97[[#This Row],[НК]]=1,Таблица97[[#This Row],[Продажа]],"")</f>
        <v/>
      </c>
      <c r="M1251" s="108">
        <v>61044</v>
      </c>
      <c r="N1251" s="108">
        <f>Таблица97[[#This Row],[Продажа]]-Таблица97[[#This Row],[Закупка]]</f>
        <v>20714</v>
      </c>
      <c r="O1251" s="108" t="str">
        <f>IF(Таблица97[[#This Row],[НК]]=1,Таблица97[[#This Row],[Маржа]],"")</f>
        <v/>
      </c>
    </row>
    <row r="1252" spans="1:15" ht="20.100000000000001" customHeight="1" x14ac:dyDescent="0.25">
      <c r="A1252" s="2">
        <v>802</v>
      </c>
      <c r="B1252" s="2" t="str">
        <f>TEXT(Таблица97[[#This Row],[Дата]],"ГГ")&amp;RIGHT("000"&amp;Таблица97[[#This Row],[Номер]],4)</f>
        <v>190802</v>
      </c>
      <c r="C1252" s="129">
        <v>43686</v>
      </c>
      <c r="D1252" s="2" t="s">
        <v>169</v>
      </c>
      <c r="E1252" s="108">
        <v>66090</v>
      </c>
      <c r="F1252" s="129">
        <v>43689</v>
      </c>
      <c r="H1252" s="129">
        <v>43692</v>
      </c>
      <c r="I1252" s="108">
        <f>E1252</f>
        <v>66090</v>
      </c>
      <c r="J1252" s="108" t="str">
        <f>IF(Таблица97[[#This Row],[НК]]=1,Таблица97[[#This Row],[Продажа]],"")</f>
        <v/>
      </c>
      <c r="M1252" s="108">
        <v>48320</v>
      </c>
      <c r="N1252" s="108">
        <f>Таблица97[[#This Row],[Продажа]]-Таблица97[[#This Row],[Закупка]]</f>
        <v>17770</v>
      </c>
      <c r="O1252" s="108" t="str">
        <f>IF(Таблица97[[#This Row],[НК]]=1,Таблица97[[#This Row],[Маржа]],"")</f>
        <v/>
      </c>
    </row>
    <row r="1253" spans="1:15" ht="20.100000000000001" customHeight="1" x14ac:dyDescent="0.25">
      <c r="A1253" s="2">
        <v>790</v>
      </c>
      <c r="B1253" s="2" t="str">
        <f>TEXT(Таблица97[[#This Row],[Дата]],"ГГ")&amp;RIGHT("000"&amp;Таблица97[[#This Row],[Номер]],4)</f>
        <v>190790</v>
      </c>
      <c r="C1253" s="129">
        <v>43682</v>
      </c>
      <c r="D1253" s="2" t="s">
        <v>228</v>
      </c>
      <c r="E1253" s="108">
        <v>30086</v>
      </c>
      <c r="F1253" s="129">
        <v>43690</v>
      </c>
      <c r="H1253" s="129">
        <v>43731</v>
      </c>
      <c r="I1253" s="108">
        <f>E1253</f>
        <v>30086</v>
      </c>
      <c r="J1253" s="108" t="str">
        <f>IF(Таблица97[[#This Row],[НК]]=1,Таблица97[[#This Row],[Продажа]],"")</f>
        <v/>
      </c>
      <c r="M1253" s="108">
        <v>16583</v>
      </c>
      <c r="N1253" s="108">
        <f>Таблица97[[#This Row],[Продажа]]-Таблица97[[#This Row],[Закупка]]</f>
        <v>13503</v>
      </c>
      <c r="O1253" s="108" t="str">
        <f>IF(Таблица97[[#This Row],[НК]]=1,Таблица97[[#This Row],[Маржа]],"")</f>
        <v/>
      </c>
    </row>
    <row r="1254" spans="1:15" ht="20.100000000000001" customHeight="1" x14ac:dyDescent="0.25">
      <c r="A1254" s="2">
        <v>795</v>
      </c>
      <c r="B1254" s="2" t="str">
        <f>TEXT(Таблица97[[#This Row],[Дата]],"ГГ")&amp;RIGHT("000"&amp;Таблица97[[#This Row],[Номер]],4)</f>
        <v>190795</v>
      </c>
      <c r="C1254" s="129">
        <v>43685</v>
      </c>
      <c r="D1254" s="2" t="s">
        <v>139</v>
      </c>
      <c r="E1254" s="108">
        <v>472173</v>
      </c>
      <c r="F1254" s="129">
        <v>43692</v>
      </c>
      <c r="H1254" s="129">
        <v>43710</v>
      </c>
      <c r="I1254" s="108">
        <f>E1254</f>
        <v>472173</v>
      </c>
      <c r="J1254" s="108" t="str">
        <f>IF(Таблица97[[#This Row],[НК]]=1,Таблица97[[#This Row],[Продажа]],"")</f>
        <v/>
      </c>
      <c r="M1254" s="108">
        <v>347643</v>
      </c>
      <c r="N1254" s="108">
        <f>Таблица97[[#This Row],[Продажа]]-Таблица97[[#This Row],[Закупка]]</f>
        <v>124530</v>
      </c>
      <c r="O1254" s="108" t="str">
        <f>IF(Таблица97[[#This Row],[НК]]=1,Таблица97[[#This Row],[Маржа]],"")</f>
        <v/>
      </c>
    </row>
    <row r="1255" spans="1:15" ht="20.100000000000001" customHeight="1" x14ac:dyDescent="0.25">
      <c r="A1255" s="2">
        <v>803</v>
      </c>
      <c r="B1255" s="2" t="str">
        <f>TEXT(Таблица97[[#This Row],[Дата]],"ГГ")&amp;RIGHT("000"&amp;Таблица97[[#This Row],[Номер]],4)</f>
        <v>190803</v>
      </c>
      <c r="C1255" s="129">
        <v>43686</v>
      </c>
      <c r="D1255" s="2" t="s">
        <v>139</v>
      </c>
      <c r="E1255" s="108">
        <v>3324</v>
      </c>
      <c r="F1255" s="129">
        <v>43692</v>
      </c>
      <c r="H1255" s="129">
        <v>43710</v>
      </c>
      <c r="I1255" s="108">
        <f>E1255</f>
        <v>3324</v>
      </c>
      <c r="J1255" s="108" t="str">
        <f>IF(Таблица97[[#This Row],[НК]]=1,Таблица97[[#This Row],[Продажа]],"")</f>
        <v/>
      </c>
      <c r="M1255" s="108">
        <v>2194</v>
      </c>
      <c r="N1255" s="108">
        <f>Таблица97[[#This Row],[Продажа]]-Таблица97[[#This Row],[Закупка]]</f>
        <v>1130</v>
      </c>
      <c r="O1255" s="108" t="str">
        <f>IF(Таблица97[[#This Row],[НК]]=1,Таблица97[[#This Row],[Маржа]],"")</f>
        <v/>
      </c>
    </row>
    <row r="1256" spans="1:15" ht="20.100000000000001" customHeight="1" x14ac:dyDescent="0.25">
      <c r="A1256" s="2">
        <v>721</v>
      </c>
      <c r="B1256" s="2" t="str">
        <f>TEXT(Таблица97[[#This Row],[Дата]],"ГГ")&amp;RIGHT("000"&amp;Таблица97[[#This Row],[Номер]],4)</f>
        <v>190721</v>
      </c>
      <c r="C1256" s="129">
        <v>43662</v>
      </c>
      <c r="D1256" s="2" t="s">
        <v>179</v>
      </c>
      <c r="E1256" s="108">
        <v>310000</v>
      </c>
      <c r="F1256" s="129">
        <v>43696</v>
      </c>
      <c r="H1256" s="129">
        <v>43697</v>
      </c>
      <c r="I1256" s="108">
        <v>62000</v>
      </c>
      <c r="J1256" s="108" t="str">
        <f>IF(Таблица97[[#This Row],[НК]]=1,Таблица97[[#This Row],[Продажа]],"")</f>
        <v/>
      </c>
      <c r="M1256" s="108">
        <v>48847</v>
      </c>
      <c r="N1256" s="108">
        <f>Таблица97[[#This Row],[Продажа]]-Таблица97[[#This Row],[Закупка]]</f>
        <v>13153</v>
      </c>
      <c r="O1256" s="108" t="str">
        <f>IF(Таблица97[[#This Row],[НК]]=1,Таблица97[[#This Row],[Маржа]],"")</f>
        <v/>
      </c>
    </row>
    <row r="1257" spans="1:15" ht="20.100000000000001" customHeight="1" x14ac:dyDescent="0.25">
      <c r="A1257" s="2">
        <v>833</v>
      </c>
      <c r="B1257" s="2" t="str">
        <f>TEXT(Таблица97[[#This Row],[Дата]],"ГГ")&amp;RIGHT("000"&amp;Таблица97[[#This Row],[Номер]],4)</f>
        <v>190833</v>
      </c>
      <c r="C1257" s="129">
        <v>43696</v>
      </c>
      <c r="D1257" s="2" t="s">
        <v>179</v>
      </c>
      <c r="E1257" s="108">
        <v>62666.75</v>
      </c>
      <c r="F1257" s="129">
        <v>43696</v>
      </c>
      <c r="H1257" s="129">
        <v>43707</v>
      </c>
      <c r="I1257" s="108">
        <f t="shared" ref="I1257:I1264" si="55">E1257</f>
        <v>62666.75</v>
      </c>
      <c r="J1257" s="108" t="str">
        <f>IF(Таблица97[[#This Row],[НК]]=1,Таблица97[[#This Row],[Продажа]],"")</f>
        <v/>
      </c>
      <c r="M1257" s="108">
        <v>49050</v>
      </c>
      <c r="N1257" s="108">
        <f>Таблица97[[#This Row],[Продажа]]-Таблица97[[#This Row],[Закупка]]</f>
        <v>13616.75</v>
      </c>
      <c r="O1257" s="108" t="str">
        <f>IF(Таблица97[[#This Row],[НК]]=1,Таблица97[[#This Row],[Маржа]],"")</f>
        <v/>
      </c>
    </row>
    <row r="1258" spans="1:15" ht="20.100000000000001" customHeight="1" x14ac:dyDescent="0.25">
      <c r="A1258" s="2">
        <v>832</v>
      </c>
      <c r="B1258" s="2" t="str">
        <f>TEXT(Таблица97[[#This Row],[Дата]],"ГГ")&amp;RIGHT("000"&amp;Таблица97[[#This Row],[Номер]],4)</f>
        <v>190832</v>
      </c>
      <c r="C1258" s="129">
        <v>43696</v>
      </c>
      <c r="D1258" s="2" t="s">
        <v>270</v>
      </c>
      <c r="E1258" s="108">
        <v>3387</v>
      </c>
      <c r="F1258" s="129">
        <v>43697</v>
      </c>
      <c r="H1258" s="129">
        <v>43707</v>
      </c>
      <c r="I1258" s="108">
        <f t="shared" si="55"/>
        <v>3387</v>
      </c>
      <c r="J1258" s="108" t="str">
        <f>IF(Таблица97[[#This Row],[НК]]=1,Таблица97[[#This Row],[Продажа]],"")</f>
        <v/>
      </c>
      <c r="M1258" s="108">
        <v>2643</v>
      </c>
      <c r="N1258" s="108">
        <f>Таблица97[[#This Row],[Продажа]]-Таблица97[[#This Row],[Закупка]]</f>
        <v>744</v>
      </c>
      <c r="O1258" s="108" t="str">
        <f>IF(Таблица97[[#This Row],[НК]]=1,Таблица97[[#This Row],[Маржа]],"")</f>
        <v/>
      </c>
    </row>
    <row r="1259" spans="1:15" ht="20.100000000000001" customHeight="1" x14ac:dyDescent="0.25">
      <c r="A1259" s="2">
        <v>840</v>
      </c>
      <c r="B1259" s="2" t="str">
        <f>TEXT(Таблица97[[#This Row],[Дата]],"ГГ")&amp;RIGHT("000"&amp;Таблица97[[#This Row],[Номер]],4)</f>
        <v>190840</v>
      </c>
      <c r="C1259" s="129">
        <v>43697</v>
      </c>
      <c r="D1259" s="2" t="s">
        <v>211</v>
      </c>
      <c r="E1259" s="108">
        <v>7730</v>
      </c>
      <c r="F1259" s="129">
        <v>43698</v>
      </c>
      <c r="H1259" s="129">
        <v>43719</v>
      </c>
      <c r="I1259" s="108">
        <f t="shared" si="55"/>
        <v>7730</v>
      </c>
      <c r="J1259" s="108" t="str">
        <f>IF(Таблица97[[#This Row],[НК]]=1,Таблица97[[#This Row],[Продажа]],"")</f>
        <v/>
      </c>
      <c r="M1259" s="108">
        <v>5952</v>
      </c>
      <c r="N1259" s="108">
        <f>Таблица97[[#This Row],[Продажа]]-Таблица97[[#This Row],[Закупка]]</f>
        <v>1778</v>
      </c>
      <c r="O1259" s="108" t="str">
        <f>IF(Таблица97[[#This Row],[НК]]=1,Таблица97[[#This Row],[Маржа]],"")</f>
        <v/>
      </c>
    </row>
    <row r="1260" spans="1:15" ht="20.100000000000001" customHeight="1" x14ac:dyDescent="0.25">
      <c r="A1260" s="2">
        <v>851</v>
      </c>
      <c r="B1260" s="2" t="str">
        <f>TEXT(Таблица97[[#This Row],[Дата]],"ГГ")&amp;RIGHT("000"&amp;Таблица97[[#This Row],[Номер]],4)</f>
        <v>190851</v>
      </c>
      <c r="C1260" s="129">
        <v>43698</v>
      </c>
      <c r="D1260" s="2" t="s">
        <v>6</v>
      </c>
      <c r="E1260" s="108">
        <v>3590</v>
      </c>
      <c r="F1260" s="129">
        <v>43698</v>
      </c>
      <c r="H1260" s="129">
        <v>43699</v>
      </c>
      <c r="I1260" s="108">
        <f t="shared" si="55"/>
        <v>3590</v>
      </c>
      <c r="J1260" s="108" t="str">
        <f>IF(Таблица97[[#This Row],[НК]]=1,Таблица97[[#This Row],[Продажа]],"")</f>
        <v/>
      </c>
      <c r="M1260" s="108">
        <v>2800</v>
      </c>
      <c r="N1260" s="108">
        <f>Таблица97[[#This Row],[Продажа]]-Таблица97[[#This Row],[Закупка]]</f>
        <v>790</v>
      </c>
      <c r="O1260" s="108" t="str">
        <f>IF(Таблица97[[#This Row],[НК]]=1,Таблица97[[#This Row],[Маржа]],"")</f>
        <v/>
      </c>
    </row>
    <row r="1261" spans="1:15" ht="20.100000000000001" customHeight="1" x14ac:dyDescent="0.25">
      <c r="A1261" s="2">
        <v>760</v>
      </c>
      <c r="B1261" s="2" t="str">
        <f>TEXT(Таблица97[[#This Row],[Дата]],"ГГ")&amp;RIGHT("000"&amp;Таблица97[[#This Row],[Номер]],4)</f>
        <v>190760</v>
      </c>
      <c r="C1261" s="129">
        <v>43697</v>
      </c>
      <c r="D1261" s="2" t="s">
        <v>334</v>
      </c>
      <c r="E1261" s="108">
        <v>6161</v>
      </c>
      <c r="F1261" s="129">
        <v>43698</v>
      </c>
      <c r="H1261" s="129">
        <v>43697</v>
      </c>
      <c r="I1261" s="108">
        <f t="shared" si="55"/>
        <v>6161</v>
      </c>
      <c r="J1261" s="108" t="str">
        <f>IF(Таблица97[[#This Row],[НК]]=1,Таблица97[[#This Row],[Продажа]],"")</f>
        <v/>
      </c>
      <c r="M1261" s="108">
        <v>4739</v>
      </c>
      <c r="N1261" s="108">
        <f>Таблица97[[#This Row],[Продажа]]-Таблица97[[#This Row],[Закупка]]</f>
        <v>1422</v>
      </c>
      <c r="O1261" s="108" t="str">
        <f>IF(Таблица97[[#This Row],[НК]]=1,Таблица97[[#This Row],[Маржа]],"")</f>
        <v/>
      </c>
    </row>
    <row r="1262" spans="1:15" ht="20.100000000000001" customHeight="1" x14ac:dyDescent="0.25">
      <c r="A1262" s="2">
        <v>844</v>
      </c>
      <c r="B1262" s="2" t="str">
        <f>TEXT(Таблица97[[#This Row],[Дата]],"ГГ")&amp;RIGHT("000"&amp;Таблица97[[#This Row],[Номер]],4)</f>
        <v>190844</v>
      </c>
      <c r="C1262" s="129">
        <v>43698</v>
      </c>
      <c r="D1262" s="2" t="s">
        <v>118</v>
      </c>
      <c r="E1262" s="108">
        <v>4696.5</v>
      </c>
      <c r="F1262" s="129">
        <v>43698</v>
      </c>
      <c r="H1262" s="129">
        <v>43698</v>
      </c>
      <c r="I1262" s="108">
        <f t="shared" si="55"/>
        <v>4696.5</v>
      </c>
      <c r="J1262" s="108" t="str">
        <f>IF(Таблица97[[#This Row],[НК]]=1,Таблица97[[#This Row],[Продажа]],"")</f>
        <v/>
      </c>
      <c r="M1262" s="108">
        <v>4143</v>
      </c>
      <c r="N1262" s="108">
        <f>Таблица97[[#This Row],[Продажа]]-Таблица97[[#This Row],[Закупка]]</f>
        <v>553.5</v>
      </c>
      <c r="O1262" s="108" t="str">
        <f>IF(Таблица97[[#This Row],[НК]]=1,Таблица97[[#This Row],[Маржа]],"")</f>
        <v/>
      </c>
    </row>
    <row r="1263" spans="1:15" ht="20.100000000000001" customHeight="1" x14ac:dyDescent="0.25">
      <c r="A1263" s="2">
        <v>847</v>
      </c>
      <c r="B1263" s="2" t="str">
        <f>TEXT(Таблица97[[#This Row],[Дата]],"ГГ")&amp;RIGHT("000"&amp;Таблица97[[#This Row],[Номер]],4)</f>
        <v>190847</v>
      </c>
      <c r="C1263" s="129">
        <v>43698</v>
      </c>
      <c r="D1263" s="2" t="s">
        <v>412</v>
      </c>
      <c r="E1263" s="108">
        <v>9440</v>
      </c>
      <c r="F1263" s="129">
        <v>43699</v>
      </c>
      <c r="H1263" s="129">
        <v>43700</v>
      </c>
      <c r="I1263" s="108">
        <f t="shared" si="55"/>
        <v>9440</v>
      </c>
      <c r="J1263" s="108" t="str">
        <f>IF(Таблица97[[#This Row],[НК]]=1,Таблица97[[#This Row],[Продажа]],"")</f>
        <v/>
      </c>
      <c r="M1263" s="108">
        <v>6536</v>
      </c>
      <c r="N1263" s="108">
        <f>Таблица97[[#This Row],[Продажа]]-Таблица97[[#This Row],[Закупка]]</f>
        <v>2904</v>
      </c>
      <c r="O1263" s="108" t="str">
        <f>IF(Таблица97[[#This Row],[НК]]=1,Таблица97[[#This Row],[Маржа]],"")</f>
        <v/>
      </c>
    </row>
    <row r="1264" spans="1:15" ht="20.100000000000001" customHeight="1" x14ac:dyDescent="0.25">
      <c r="A1264" s="2">
        <v>728</v>
      </c>
      <c r="B1264" s="2" t="str">
        <f>TEXT(Таблица97[[#This Row],[Дата]],"ГГ")&amp;RIGHT("000"&amp;Таблица97[[#This Row],[Номер]],4)</f>
        <v>190728</v>
      </c>
      <c r="C1264" s="129">
        <v>43663</v>
      </c>
      <c r="D1264" s="2" t="s">
        <v>406</v>
      </c>
      <c r="E1264" s="108">
        <v>78159</v>
      </c>
      <c r="F1264" s="129">
        <v>43699</v>
      </c>
      <c r="G1264" s="128">
        <v>1</v>
      </c>
      <c r="H1264" s="129">
        <v>43663</v>
      </c>
      <c r="I1264" s="108">
        <f t="shared" si="55"/>
        <v>78159</v>
      </c>
      <c r="J1264" s="108">
        <f>IF(Таблица97[[#This Row],[НК]]=1,Таблица97[[#This Row],[Продажа]],"")</f>
        <v>78159</v>
      </c>
      <c r="M1264" s="108">
        <v>57342</v>
      </c>
      <c r="N1264" s="108">
        <f>Таблица97[[#This Row],[Продажа]]-Таблица97[[#This Row],[Закупка]]</f>
        <v>20817</v>
      </c>
      <c r="O1264" s="108">
        <f>IF(Таблица97[[#This Row],[НК]]=1,Таблица97[[#This Row],[Маржа]],"")</f>
        <v>20817</v>
      </c>
    </row>
    <row r="1265" spans="1:15" ht="20.100000000000001" customHeight="1" x14ac:dyDescent="0.25">
      <c r="A1265" s="2">
        <v>642</v>
      </c>
      <c r="B1265" s="2" t="str">
        <f>TEXT(Таблица97[[#This Row],[Дата]],"ГГ")&amp;RIGHT("000"&amp;Таблица97[[#This Row],[Номер]],4)</f>
        <v>190642</v>
      </c>
      <c r="C1265" s="129">
        <v>43649</v>
      </c>
      <c r="D1265" s="2" t="s">
        <v>65</v>
      </c>
      <c r="E1265" s="108">
        <v>301672.8</v>
      </c>
      <c r="F1265" s="129">
        <v>43699</v>
      </c>
      <c r="H1265" s="129">
        <v>43656</v>
      </c>
      <c r="I1265" s="108">
        <f>155641.2+7473.6</f>
        <v>163114.80000000002</v>
      </c>
      <c r="J1265" s="108" t="str">
        <f>IF(Таблица97[[#This Row],[НК]]=1,Таблица97[[#This Row],[Продажа]],"")</f>
        <v/>
      </c>
      <c r="M1265" s="108">
        <v>130084</v>
      </c>
      <c r="N1265" s="108">
        <f>Таблица97[[#This Row],[Продажа]]-Таблица97[[#This Row],[Закупка]]</f>
        <v>33030.800000000017</v>
      </c>
      <c r="O1265" s="108" t="str">
        <f>IF(Таблица97[[#This Row],[НК]]=1,Таблица97[[#This Row],[Маржа]],"")</f>
        <v/>
      </c>
    </row>
    <row r="1266" spans="1:15" ht="20.100000000000001" customHeight="1" x14ac:dyDescent="0.25">
      <c r="A1266" s="2">
        <v>642</v>
      </c>
      <c r="B1266" s="2" t="str">
        <f>TEXT(Таблица97[[#This Row],[Дата]],"ГГ")&amp;RIGHT("000"&amp;Таблица97[[#This Row],[Номер]],4)</f>
        <v>190642</v>
      </c>
      <c r="C1266" s="129">
        <v>43649</v>
      </c>
      <c r="D1266" s="2" t="s">
        <v>65</v>
      </c>
      <c r="E1266" s="108">
        <v>301672.8</v>
      </c>
      <c r="F1266" s="129">
        <v>43699</v>
      </c>
      <c r="H1266" s="129">
        <v>43664</v>
      </c>
      <c r="I1266" s="108">
        <v>134619</v>
      </c>
      <c r="J1266" s="108" t="str">
        <f>IF(Таблица97[[#This Row],[НК]]=1,Таблица97[[#This Row],[Продажа]],"")</f>
        <v/>
      </c>
      <c r="M1266" s="108">
        <v>98873</v>
      </c>
      <c r="N1266" s="108">
        <f>Таблица97[[#This Row],[Продажа]]-Таблица97[[#This Row],[Закупка]]</f>
        <v>35746</v>
      </c>
      <c r="O1266" s="108" t="str">
        <f>IF(Таблица97[[#This Row],[НК]]=1,Таблица97[[#This Row],[Маржа]],"")</f>
        <v/>
      </c>
    </row>
    <row r="1267" spans="1:15" ht="20.100000000000001" customHeight="1" x14ac:dyDescent="0.25">
      <c r="A1267" s="2">
        <v>863</v>
      </c>
      <c r="B1267" s="2" t="str">
        <f>TEXT(Таблица97[[#This Row],[Дата]],"ГГ")&amp;RIGHT("000"&amp;Таблица97[[#This Row],[Номер]],4)</f>
        <v>190863</v>
      </c>
      <c r="C1267" s="129">
        <v>43700</v>
      </c>
      <c r="D1267" s="2" t="s">
        <v>360</v>
      </c>
      <c r="E1267" s="108">
        <v>7962</v>
      </c>
      <c r="F1267" s="129">
        <v>43703</v>
      </c>
      <c r="H1267" s="129">
        <v>43705</v>
      </c>
      <c r="I1267" s="108">
        <f>E1267</f>
        <v>7962</v>
      </c>
      <c r="J1267" s="108" t="str">
        <f>IF(Таблица97[[#This Row],[НК]]=1,Таблица97[[#This Row],[Продажа]],"")</f>
        <v/>
      </c>
      <c r="M1267" s="108">
        <v>6096.88</v>
      </c>
      <c r="N1267" s="108">
        <f>Таблица97[[#This Row],[Продажа]]-Таблица97[[#This Row],[Закупка]]</f>
        <v>1865.12</v>
      </c>
      <c r="O1267" s="108" t="str">
        <f>IF(Таблица97[[#This Row],[НК]]=1,Таблица97[[#This Row],[Маржа]],"")</f>
        <v/>
      </c>
    </row>
    <row r="1268" spans="1:15" ht="20.100000000000001" customHeight="1" x14ac:dyDescent="0.25">
      <c r="A1268" s="2">
        <v>867</v>
      </c>
      <c r="B1268" s="2" t="str">
        <f>TEXT(Таблица97[[#This Row],[Дата]],"ГГ")&amp;RIGHT("000"&amp;Таблица97[[#This Row],[Номер]],4)</f>
        <v>190867</v>
      </c>
      <c r="C1268" s="129">
        <v>43703</v>
      </c>
      <c r="D1268" s="2" t="s">
        <v>149</v>
      </c>
      <c r="E1268" s="108">
        <v>5400</v>
      </c>
      <c r="F1268" s="129">
        <v>43703</v>
      </c>
      <c r="H1268" s="129">
        <v>43705</v>
      </c>
      <c r="I1268" s="108">
        <f>E1268</f>
        <v>5400</v>
      </c>
      <c r="J1268" s="108" t="str">
        <f>IF(Таблица97[[#This Row],[НК]]=1,Таблица97[[#This Row],[Продажа]],"")</f>
        <v/>
      </c>
      <c r="M1268" s="108">
        <v>3564</v>
      </c>
      <c r="N1268" s="108">
        <f>Таблица97[[#This Row],[Продажа]]-Таблица97[[#This Row],[Закупка]]</f>
        <v>1836</v>
      </c>
      <c r="O1268" s="108" t="str">
        <f>IF(Таблица97[[#This Row],[НК]]=1,Таблица97[[#This Row],[Маржа]],"")</f>
        <v/>
      </c>
    </row>
    <row r="1269" spans="1:15" ht="20.100000000000001" customHeight="1" x14ac:dyDescent="0.25">
      <c r="A1269" s="2">
        <v>780</v>
      </c>
      <c r="B1269" s="2" t="str">
        <f>TEXT(Таблица97[[#This Row],[Дата]],"ГГ")&amp;RIGHT("000"&amp;Таблица97[[#This Row],[Номер]],4)</f>
        <v>190780</v>
      </c>
      <c r="C1269" s="129">
        <v>43677</v>
      </c>
      <c r="D1269" s="2" t="s">
        <v>209</v>
      </c>
      <c r="E1269" s="108">
        <v>998</v>
      </c>
      <c r="F1269" s="129">
        <v>43706</v>
      </c>
      <c r="H1269" s="129">
        <v>43677</v>
      </c>
      <c r="I1269" s="108">
        <f>E1269</f>
        <v>998</v>
      </c>
      <c r="J1269" s="108" t="str">
        <f>IF(Таблица97[[#This Row],[НК]]=1,Таблица97[[#This Row],[Продажа]],"")</f>
        <v/>
      </c>
      <c r="M1269" s="108">
        <v>650</v>
      </c>
      <c r="N1269" s="108">
        <f>Таблица97[[#This Row],[Продажа]]-Таблица97[[#This Row],[Закупка]]</f>
        <v>348</v>
      </c>
      <c r="O1269" s="108" t="str">
        <f>IF(Таблица97[[#This Row],[НК]]=1,Таблица97[[#This Row],[Маржа]],"")</f>
        <v/>
      </c>
    </row>
    <row r="1270" spans="1:15" ht="20.100000000000001" customHeight="1" x14ac:dyDescent="0.25">
      <c r="A1270" s="2">
        <v>872</v>
      </c>
      <c r="B1270" s="2" t="str">
        <f>TEXT(Таблица97[[#This Row],[Дата]],"ГГ")&amp;RIGHT("000"&amp;Таблица97[[#This Row],[Номер]],4)</f>
        <v>190872</v>
      </c>
      <c r="C1270" s="129">
        <v>43705</v>
      </c>
      <c r="D1270" s="2" t="s">
        <v>149</v>
      </c>
      <c r="E1270" s="108">
        <v>12678</v>
      </c>
      <c r="F1270" s="129">
        <v>43706</v>
      </c>
      <c r="H1270" s="129">
        <v>43710</v>
      </c>
      <c r="I1270" s="108">
        <f>E1270</f>
        <v>12678</v>
      </c>
      <c r="J1270" s="108" t="str">
        <f>IF(Таблица97[[#This Row],[НК]]=1,Таблица97[[#This Row],[Продажа]],"")</f>
        <v/>
      </c>
      <c r="M1270" s="108">
        <v>9429</v>
      </c>
      <c r="N1270" s="108">
        <f>Таблица97[[#This Row],[Продажа]]-Таблица97[[#This Row],[Закупка]]</f>
        <v>3249</v>
      </c>
      <c r="O1270" s="108" t="str">
        <f>IF(Таблица97[[#This Row],[НК]]=1,Таблица97[[#This Row],[Маржа]],"")</f>
        <v/>
      </c>
    </row>
    <row r="1271" spans="1:15" ht="20.100000000000001" customHeight="1" x14ac:dyDescent="0.25">
      <c r="A1271" s="2">
        <v>722</v>
      </c>
      <c r="B1271" s="2" t="str">
        <f>TEXT(Таблица97[[#This Row],[Дата]],"ГГ")&amp;RIGHT("000"&amp;Таблица97[[#This Row],[Номер]],4)</f>
        <v>190722</v>
      </c>
      <c r="C1271" s="129">
        <v>43662</v>
      </c>
      <c r="D1271" s="2" t="s">
        <v>83</v>
      </c>
      <c r="E1271" s="108">
        <v>2588</v>
      </c>
      <c r="F1271" s="129">
        <v>43706</v>
      </c>
      <c r="H1271" s="129">
        <v>43662</v>
      </c>
      <c r="I1271" s="108">
        <f>E1271</f>
        <v>2588</v>
      </c>
      <c r="J1271" s="108" t="str">
        <f>IF(Таблица97[[#This Row],[НК]]=1,Таблица97[[#This Row],[Продажа]],"")</f>
        <v/>
      </c>
      <c r="M1271" s="108">
        <v>2018</v>
      </c>
      <c r="N1271" s="108">
        <f>Таблица97[[#This Row],[Продажа]]-Таблица97[[#This Row],[Закупка]]</f>
        <v>570</v>
      </c>
      <c r="O1271" s="108" t="str">
        <f>IF(Таблица97[[#This Row],[НК]]=1,Таблица97[[#This Row],[Маржа]],"")</f>
        <v/>
      </c>
    </row>
    <row r="1272" spans="1:15" ht="20.100000000000001" customHeight="1" x14ac:dyDescent="0.25">
      <c r="A1272" s="2">
        <v>880</v>
      </c>
      <c r="B1272" s="2" t="str">
        <f>TEXT(Таблица97[[#This Row],[Дата]],"ГГ")&amp;RIGHT("000"&amp;Таблица97[[#This Row],[Номер]],4)</f>
        <v>190880</v>
      </c>
      <c r="C1272" s="129">
        <v>43707</v>
      </c>
      <c r="D1272" s="2" t="s">
        <v>372</v>
      </c>
      <c r="E1272" s="108">
        <v>2588</v>
      </c>
      <c r="F1272" s="129">
        <v>43710</v>
      </c>
      <c r="H1272" s="129">
        <v>43711</v>
      </c>
      <c r="I1272" s="108">
        <f t="shared" ref="I1272:I1281" si="56">E1272</f>
        <v>2588</v>
      </c>
      <c r="J1272" s="108" t="str">
        <f>IF(Таблица97[[#This Row],[НК]]=1,Таблица97[[#This Row],[Продажа]],"")</f>
        <v/>
      </c>
      <c r="M1272" s="108">
        <v>2018</v>
      </c>
      <c r="N1272" s="108">
        <f>Таблица97[[#This Row],[Продажа]]-Таблица97[[#This Row],[Закупка]]</f>
        <v>570</v>
      </c>
      <c r="O1272" s="108" t="str">
        <f>IF(Таблица97[[#This Row],[НК]]=1,Таблица97[[#This Row],[Маржа]],"")</f>
        <v/>
      </c>
    </row>
    <row r="1273" spans="1:15" ht="20.100000000000001" customHeight="1" x14ac:dyDescent="0.25">
      <c r="A1273" s="2">
        <v>866</v>
      </c>
      <c r="B1273" s="2" t="str">
        <f>TEXT(Таблица97[[#This Row],[Дата]],"ГГ")&amp;RIGHT("000"&amp;Таблица97[[#This Row],[Номер]],4)</f>
        <v>190866</v>
      </c>
      <c r="C1273" s="129">
        <v>43703</v>
      </c>
      <c r="D1273" s="2" t="s">
        <v>128</v>
      </c>
      <c r="E1273" s="108">
        <v>12658</v>
      </c>
      <c r="F1273" s="129">
        <v>43710</v>
      </c>
      <c r="H1273" s="129">
        <v>43745</v>
      </c>
      <c r="I1273" s="108">
        <f t="shared" si="56"/>
        <v>12658</v>
      </c>
      <c r="J1273" s="108" t="str">
        <f>IF(Таблица97[[#This Row],[НК]]=1,Таблица97[[#This Row],[Продажа]],"")</f>
        <v/>
      </c>
      <c r="M1273" s="108">
        <v>9746</v>
      </c>
      <c r="N1273" s="108">
        <f>Таблица97[[#This Row],[Продажа]]-Таблица97[[#This Row],[Закупка]]</f>
        <v>2912</v>
      </c>
      <c r="O1273" s="108" t="str">
        <f>IF(Таблица97[[#This Row],[НК]]=1,Таблица97[[#This Row],[Маржа]],"")</f>
        <v/>
      </c>
    </row>
    <row r="1274" spans="1:15" ht="20.100000000000001" customHeight="1" x14ac:dyDescent="0.25">
      <c r="A1274" s="2">
        <v>869</v>
      </c>
      <c r="B1274" s="2" t="str">
        <f>TEXT(Таблица97[[#This Row],[Дата]],"ГГ")&amp;RIGHT("000"&amp;Таблица97[[#This Row],[Номер]],4)</f>
        <v>190869</v>
      </c>
      <c r="C1274" s="129">
        <v>43704</v>
      </c>
      <c r="D1274" s="2" t="s">
        <v>403</v>
      </c>
      <c r="E1274" s="108">
        <v>5431</v>
      </c>
      <c r="F1274" s="129">
        <v>43710</v>
      </c>
      <c r="H1274" s="129">
        <v>43713</v>
      </c>
      <c r="I1274" s="108">
        <f t="shared" si="56"/>
        <v>5431</v>
      </c>
      <c r="J1274" s="108" t="str">
        <f>IF(Таблица97[[#This Row],[НК]]=1,Таблица97[[#This Row],[Продажа]],"")</f>
        <v/>
      </c>
      <c r="M1274" s="108">
        <v>3927</v>
      </c>
      <c r="N1274" s="108">
        <f>Таблица97[[#This Row],[Продажа]]-Таблица97[[#This Row],[Закупка]]</f>
        <v>1504</v>
      </c>
      <c r="O1274" s="108" t="str">
        <f>IF(Таблица97[[#This Row],[НК]]=1,Таблица97[[#This Row],[Маржа]],"")</f>
        <v/>
      </c>
    </row>
    <row r="1275" spans="1:15" ht="20.100000000000001" customHeight="1" x14ac:dyDescent="0.25">
      <c r="A1275" s="2">
        <v>834</v>
      </c>
      <c r="B1275" s="2" t="str">
        <f>TEXT(Таблица97[[#This Row],[Дата]],"ГГ")&amp;RIGHT("000"&amp;Таблица97[[#This Row],[Номер]],4)</f>
        <v>190834</v>
      </c>
      <c r="C1275" s="129">
        <v>43696</v>
      </c>
      <c r="D1275" s="2" t="s">
        <v>392</v>
      </c>
      <c r="E1275" s="108">
        <v>17108</v>
      </c>
      <c r="F1275" s="129">
        <v>43711</v>
      </c>
      <c r="H1275" s="129">
        <v>43726</v>
      </c>
      <c r="I1275" s="108">
        <f t="shared" si="56"/>
        <v>17108</v>
      </c>
      <c r="J1275" s="108" t="str">
        <f>IF(Таблица97[[#This Row],[НК]]=1,Таблица97[[#This Row],[Продажа]],"")</f>
        <v/>
      </c>
      <c r="M1275" s="108">
        <v>11291</v>
      </c>
      <c r="N1275" s="108">
        <f>Таблица97[[#This Row],[Продажа]]-Таблица97[[#This Row],[Закупка]]</f>
        <v>5817</v>
      </c>
      <c r="O1275" s="108" t="str">
        <f>IF(Таблица97[[#This Row],[НК]]=1,Таблица97[[#This Row],[Маржа]],"")</f>
        <v/>
      </c>
    </row>
    <row r="1276" spans="1:15" ht="20.100000000000001" customHeight="1" x14ac:dyDescent="0.25">
      <c r="A1276" s="2">
        <v>742</v>
      </c>
      <c r="B1276" s="2" t="str">
        <f>TEXT(Таблица97[[#This Row],[Дата]],"ГГ")&amp;RIGHT("000"&amp;Таблица97[[#This Row],[Номер]],4)</f>
        <v>190742</v>
      </c>
      <c r="C1276" s="129">
        <v>43668</v>
      </c>
      <c r="D1276" s="2" t="s">
        <v>56</v>
      </c>
      <c r="E1276" s="108">
        <v>147765</v>
      </c>
      <c r="F1276" s="129">
        <v>43711</v>
      </c>
      <c r="H1276" s="129">
        <v>43683</v>
      </c>
      <c r="I1276" s="108">
        <f t="shared" si="56"/>
        <v>147765</v>
      </c>
      <c r="J1276" s="108" t="str">
        <f>IF(Таблица97[[#This Row],[НК]]=1,Таблица97[[#This Row],[Продажа]],"")</f>
        <v/>
      </c>
      <c r="M1276" s="108">
        <v>105129</v>
      </c>
      <c r="N1276" s="108">
        <f>Таблица97[[#This Row],[Продажа]]-Таблица97[[#This Row],[Закупка]]</f>
        <v>42636</v>
      </c>
      <c r="O1276" s="108" t="str">
        <f>IF(Таблица97[[#This Row],[НК]]=1,Таблица97[[#This Row],[Маржа]],"")</f>
        <v/>
      </c>
    </row>
    <row r="1277" spans="1:15" ht="20.100000000000001" customHeight="1" x14ac:dyDescent="0.25">
      <c r="A1277" s="2">
        <v>881</v>
      </c>
      <c r="B1277" s="2" t="str">
        <f>TEXT(Таблица97[[#This Row],[Дата]],"ГГ")&amp;RIGHT("000"&amp;Таблица97[[#This Row],[Номер]],4)</f>
        <v>190881</v>
      </c>
      <c r="C1277" s="129">
        <v>43707</v>
      </c>
      <c r="D1277" s="2" t="s">
        <v>45</v>
      </c>
      <c r="E1277" s="108">
        <v>350850</v>
      </c>
      <c r="F1277" s="129">
        <v>43712</v>
      </c>
      <c r="H1277" s="129">
        <v>43788</v>
      </c>
      <c r="I1277" s="108">
        <f t="shared" si="56"/>
        <v>350850</v>
      </c>
      <c r="J1277" s="108" t="str">
        <f>IF(Таблица97[[#This Row],[НК]]=1,Таблица97[[#This Row],[Продажа]],"")</f>
        <v/>
      </c>
      <c r="M1277" s="108">
        <v>259127</v>
      </c>
      <c r="N1277" s="108">
        <f>Таблица97[[#This Row],[Продажа]]-Таблица97[[#This Row],[Закупка]]</f>
        <v>91723</v>
      </c>
      <c r="O1277" s="108" t="str">
        <f>IF(Таблица97[[#This Row],[НК]]=1,Таблица97[[#This Row],[Маржа]],"")</f>
        <v/>
      </c>
    </row>
    <row r="1278" spans="1:15" ht="20.100000000000001" customHeight="1" x14ac:dyDescent="0.25">
      <c r="A1278" s="2">
        <v>796</v>
      </c>
      <c r="B1278" s="2" t="str">
        <f>TEXT(Таблица97[[#This Row],[Дата]],"ГГ")&amp;RIGHT("000"&amp;Таблица97[[#This Row],[Номер]],4)</f>
        <v>190796</v>
      </c>
      <c r="C1278" s="129">
        <v>43685</v>
      </c>
      <c r="D1278" s="2" t="s">
        <v>11</v>
      </c>
      <c r="E1278" s="108">
        <v>15220</v>
      </c>
      <c r="F1278" s="129">
        <v>43712</v>
      </c>
      <c r="H1278" s="129">
        <v>43714</v>
      </c>
      <c r="I1278" s="108">
        <f t="shared" si="56"/>
        <v>15220</v>
      </c>
      <c r="J1278" s="108" t="str">
        <f>IF(Таблица97[[#This Row],[НК]]=1,Таблица97[[#This Row],[Продажа]],"")</f>
        <v/>
      </c>
      <c r="M1278" s="108">
        <v>11871</v>
      </c>
      <c r="N1278" s="108">
        <f>Таблица97[[#This Row],[Продажа]]-Таблица97[[#This Row],[Закупка]]</f>
        <v>3349</v>
      </c>
      <c r="O1278" s="108" t="str">
        <f>IF(Таблица97[[#This Row],[НК]]=1,Таблица97[[#This Row],[Маржа]],"")</f>
        <v/>
      </c>
    </row>
    <row r="1279" spans="1:15" ht="20.100000000000001" customHeight="1" x14ac:dyDescent="0.25">
      <c r="A1279" s="2">
        <v>900</v>
      </c>
      <c r="B1279" s="2" t="str">
        <f>TEXT(Таблица97[[#This Row],[Дата]],"ГГ")&amp;RIGHT("000"&amp;Таблица97[[#This Row],[Номер]],4)</f>
        <v>190900</v>
      </c>
      <c r="C1279" s="129">
        <v>43712</v>
      </c>
      <c r="D1279" s="2" t="s">
        <v>413</v>
      </c>
      <c r="E1279" s="108">
        <v>31104</v>
      </c>
      <c r="F1279" s="129">
        <v>43712</v>
      </c>
      <c r="G1279" s="128">
        <v>1</v>
      </c>
      <c r="H1279" s="129">
        <v>43713</v>
      </c>
      <c r="I1279" s="108">
        <f t="shared" si="56"/>
        <v>31104</v>
      </c>
      <c r="J1279" s="108">
        <f>IF(Таблица97[[#This Row],[НК]]=1,Таблица97[[#This Row],[Продажа]],"")</f>
        <v>31104</v>
      </c>
      <c r="M1279" s="108">
        <v>23011</v>
      </c>
      <c r="N1279" s="108">
        <f>Таблица97[[#This Row],[Продажа]]-Таблица97[[#This Row],[Закупка]]</f>
        <v>8093</v>
      </c>
      <c r="O1279" s="108">
        <f>IF(Таблица97[[#This Row],[НК]]=1,Таблица97[[#This Row],[Маржа]],"")</f>
        <v>8093</v>
      </c>
    </row>
    <row r="1280" spans="1:15" ht="20.100000000000001" customHeight="1" x14ac:dyDescent="0.25">
      <c r="A1280" s="2">
        <v>797</v>
      </c>
      <c r="B1280" s="2" t="str">
        <f>TEXT(Таблица97[[#This Row],[Дата]],"ГГ")&amp;RIGHT("000"&amp;Таблица97[[#This Row],[Номер]],4)</f>
        <v>190797</v>
      </c>
      <c r="C1280" s="129">
        <v>43685</v>
      </c>
      <c r="D1280" s="2" t="s">
        <v>99</v>
      </c>
      <c r="E1280" s="108">
        <v>182248</v>
      </c>
      <c r="F1280" s="129">
        <v>43713</v>
      </c>
      <c r="H1280" s="129">
        <v>43697</v>
      </c>
      <c r="I1280" s="108">
        <f t="shared" si="56"/>
        <v>182248</v>
      </c>
      <c r="J1280" s="108" t="str">
        <f>IF(Таблица97[[#This Row],[НК]]=1,Таблица97[[#This Row],[Продажа]],"")</f>
        <v/>
      </c>
      <c r="K1280" s="108">
        <v>24000</v>
      </c>
      <c r="L1280" s="108">
        <v>3200</v>
      </c>
      <c r="M1280" s="108">
        <v>79298</v>
      </c>
      <c r="N1280" s="108">
        <f>Таблица97[[#This Row],[Продажа]]-Таблица97[[#This Row],[Закупка]]</f>
        <v>102950</v>
      </c>
      <c r="O1280" s="108" t="str">
        <f>IF(Таблица97[[#This Row],[НК]]=1,Таблица97[[#This Row],[Маржа]],"")</f>
        <v/>
      </c>
    </row>
    <row r="1281" spans="1:15" ht="20.100000000000001" customHeight="1" x14ac:dyDescent="0.25">
      <c r="A1281" s="2">
        <v>836</v>
      </c>
      <c r="B1281" s="2" t="str">
        <f>TEXT(Таблица97[[#This Row],[Дата]],"ГГ")&amp;RIGHT("000"&amp;Таблица97[[#This Row],[Номер]],4)</f>
        <v>190836</v>
      </c>
      <c r="C1281" s="129">
        <v>43697</v>
      </c>
      <c r="D1281" s="2" t="s">
        <v>99</v>
      </c>
      <c r="E1281" s="108">
        <v>5000</v>
      </c>
      <c r="F1281" s="129">
        <v>43713</v>
      </c>
      <c r="H1281" s="129">
        <v>43710</v>
      </c>
      <c r="I1281" s="108">
        <f t="shared" si="56"/>
        <v>5000</v>
      </c>
      <c r="J1281" s="108" t="str">
        <f>IF(Таблица97[[#This Row],[НК]]=1,Таблица97[[#This Row],[Продажа]],"")</f>
        <v/>
      </c>
      <c r="M1281" s="108">
        <v>2550</v>
      </c>
      <c r="N1281" s="108">
        <f>Таблица97[[#This Row],[Продажа]]-Таблица97[[#This Row],[Закупка]]</f>
        <v>2450</v>
      </c>
      <c r="O1281" s="108" t="str">
        <f>IF(Таблица97[[#This Row],[НК]]=1,Таблица97[[#This Row],[Маржа]],"")</f>
        <v/>
      </c>
    </row>
    <row r="1282" spans="1:15" ht="20.100000000000001" customHeight="1" x14ac:dyDescent="0.25">
      <c r="A1282" s="2">
        <v>642</v>
      </c>
      <c r="B1282" s="2" t="str">
        <f>TEXT(Таблица97[[#This Row],[Дата]],"ГГ")&amp;RIGHT("000"&amp;Таблица97[[#This Row],[Номер]],4)</f>
        <v>190642</v>
      </c>
      <c r="C1282" s="129">
        <v>43649</v>
      </c>
      <c r="D1282" s="2" t="s">
        <v>65</v>
      </c>
      <c r="E1282" s="108">
        <v>301672.8</v>
      </c>
      <c r="F1282" s="129">
        <v>43713</v>
      </c>
      <c r="H1282" s="129">
        <v>43683</v>
      </c>
      <c r="I1282" s="108">
        <v>3939</v>
      </c>
      <c r="J1282" s="108" t="str">
        <f>IF(Таблица97[[#This Row],[НК]]=1,Таблица97[[#This Row],[Продажа]],"")</f>
        <v/>
      </c>
      <c r="M1282" s="108">
        <v>3072</v>
      </c>
      <c r="N1282" s="108">
        <f>Таблица97[[#This Row],[Продажа]]-Таблица97[[#This Row],[Закупка]]</f>
        <v>867</v>
      </c>
      <c r="O1282" s="108" t="str">
        <f>IF(Таблица97[[#This Row],[НК]]=1,Таблица97[[#This Row],[Маржа]],"")</f>
        <v/>
      </c>
    </row>
    <row r="1283" spans="1:15" ht="20.100000000000001" customHeight="1" x14ac:dyDescent="0.25">
      <c r="A1283" s="2">
        <v>712</v>
      </c>
      <c r="B1283" s="2" t="str">
        <f>TEXT(Таблица97[[#This Row],[Дата]],"ГГ")&amp;RIGHT("000"&amp;Таблица97[[#This Row],[Номер]],4)</f>
        <v>190712</v>
      </c>
      <c r="C1283" s="129">
        <v>43658</v>
      </c>
      <c r="D1283" s="2" t="s">
        <v>65</v>
      </c>
      <c r="E1283" s="108">
        <v>66780</v>
      </c>
      <c r="F1283" s="129">
        <v>43713</v>
      </c>
      <c r="H1283" s="129">
        <v>43683</v>
      </c>
      <c r="I1283" s="108">
        <f t="shared" ref="I1283:I1303" si="57">E1283</f>
        <v>66780</v>
      </c>
      <c r="J1283" s="108" t="str">
        <f>IF(Таблица97[[#This Row],[НК]]=1,Таблица97[[#This Row],[Продажа]],"")</f>
        <v/>
      </c>
      <c r="M1283" s="108">
        <v>50180</v>
      </c>
      <c r="N1283" s="108">
        <f>Таблица97[[#This Row],[Продажа]]-Таблица97[[#This Row],[Закупка]]</f>
        <v>16600</v>
      </c>
      <c r="O1283" s="108" t="str">
        <f>IF(Таблица97[[#This Row],[НК]]=1,Таблица97[[#This Row],[Маржа]],"")</f>
        <v/>
      </c>
    </row>
    <row r="1284" spans="1:15" ht="20.100000000000001" customHeight="1" x14ac:dyDescent="0.25">
      <c r="A1284" s="2">
        <v>897</v>
      </c>
      <c r="B1284" s="2" t="str">
        <f>TEXT(Таблица97[[#This Row],[Дата]],"ГГ")&amp;RIGHT("000"&amp;Таблица97[[#This Row],[Номер]],4)</f>
        <v>190897</v>
      </c>
      <c r="C1284" s="129">
        <v>43711</v>
      </c>
      <c r="D1284" s="2" t="s">
        <v>139</v>
      </c>
      <c r="E1284" s="108">
        <v>6015</v>
      </c>
      <c r="F1284" s="129">
        <v>43713</v>
      </c>
      <c r="H1284" s="129">
        <v>43720</v>
      </c>
      <c r="I1284" s="108">
        <f t="shared" si="57"/>
        <v>6015</v>
      </c>
      <c r="J1284" s="108" t="str">
        <f>IF(Таблица97[[#This Row],[НК]]=1,Таблица97[[#This Row],[Продажа]],"")</f>
        <v/>
      </c>
      <c r="M1284" s="108">
        <v>4692</v>
      </c>
      <c r="N1284" s="108">
        <f>Таблица97[[#This Row],[Продажа]]-Таблица97[[#This Row],[Закупка]]</f>
        <v>1323</v>
      </c>
      <c r="O1284" s="108" t="str">
        <f>IF(Таблица97[[#This Row],[НК]]=1,Таблица97[[#This Row],[Маржа]],"")</f>
        <v/>
      </c>
    </row>
    <row r="1285" spans="1:15" ht="20.100000000000001" customHeight="1" x14ac:dyDescent="0.25">
      <c r="A1285" s="2">
        <v>883</v>
      </c>
      <c r="B1285" s="2" t="str">
        <f>TEXT(Таблица97[[#This Row],[Дата]],"ГГ")&amp;RIGHT("000"&amp;Таблица97[[#This Row],[Номер]],4)</f>
        <v>190883</v>
      </c>
      <c r="C1285" s="129">
        <v>43710</v>
      </c>
      <c r="D1285" s="2" t="s">
        <v>45</v>
      </c>
      <c r="E1285" s="108">
        <v>2183</v>
      </c>
      <c r="F1285" s="129">
        <v>43714</v>
      </c>
      <c r="H1285" s="129">
        <v>43728</v>
      </c>
      <c r="I1285" s="108">
        <f t="shared" si="57"/>
        <v>2183</v>
      </c>
      <c r="J1285" s="108" t="str">
        <f>IF(Таблица97[[#This Row],[НК]]=1,Таблица97[[#This Row],[Продажа]],"")</f>
        <v/>
      </c>
      <c r="M1285" s="108">
        <v>1440</v>
      </c>
      <c r="N1285" s="108">
        <f>Таблица97[[#This Row],[Продажа]]-Таблица97[[#This Row],[Закупка]]</f>
        <v>743</v>
      </c>
      <c r="O1285" s="108" t="str">
        <f>IF(Таблица97[[#This Row],[НК]]=1,Таблица97[[#This Row],[Маржа]],"")</f>
        <v/>
      </c>
    </row>
    <row r="1286" spans="1:15" ht="20.100000000000001" customHeight="1" x14ac:dyDescent="0.25">
      <c r="A1286" s="2">
        <v>905</v>
      </c>
      <c r="B1286" s="2" t="str">
        <f>TEXT(Таблица97[[#This Row],[Дата]],"ГГ")&amp;RIGHT("000"&amp;Таблица97[[#This Row],[Номер]],4)</f>
        <v>190905</v>
      </c>
      <c r="C1286" s="129">
        <v>43717</v>
      </c>
      <c r="D1286" s="2" t="s">
        <v>209</v>
      </c>
      <c r="E1286" s="108">
        <v>5604.05</v>
      </c>
      <c r="F1286" s="129">
        <v>43717</v>
      </c>
      <c r="H1286" s="129">
        <v>43719</v>
      </c>
      <c r="I1286" s="108">
        <f t="shared" si="57"/>
        <v>5604.05</v>
      </c>
      <c r="J1286" s="108" t="str">
        <f>IF(Таблица97[[#This Row],[НК]]=1,Таблица97[[#This Row],[Продажа]],"")</f>
        <v/>
      </c>
      <c r="M1286" s="108">
        <v>4868</v>
      </c>
      <c r="N1286" s="108">
        <f>Таблица97[[#This Row],[Продажа]]-Таблица97[[#This Row],[Закупка]]</f>
        <v>736.05000000000018</v>
      </c>
      <c r="O1286" s="108" t="str">
        <f>IF(Таблица97[[#This Row],[НК]]=1,Таблица97[[#This Row],[Маржа]],"")</f>
        <v/>
      </c>
    </row>
    <row r="1287" spans="1:15" ht="20.100000000000001" customHeight="1" x14ac:dyDescent="0.25">
      <c r="A1287" s="2">
        <v>859</v>
      </c>
      <c r="B1287" s="2" t="str">
        <f>TEXT(Таблица97[[#This Row],[Дата]],"ГГ")&amp;RIGHT("000"&amp;Таблица97[[#This Row],[Номер]],4)</f>
        <v>190859</v>
      </c>
      <c r="C1287" s="129">
        <v>43699</v>
      </c>
      <c r="D1287" s="2" t="s">
        <v>162</v>
      </c>
      <c r="E1287" s="108">
        <v>5786</v>
      </c>
      <c r="F1287" s="129">
        <v>43717</v>
      </c>
      <c r="H1287" s="129">
        <v>43720</v>
      </c>
      <c r="I1287" s="108">
        <f t="shared" si="57"/>
        <v>5786</v>
      </c>
      <c r="J1287" s="108" t="str">
        <f>IF(Таблица97[[#This Row],[НК]]=1,Таблица97[[#This Row],[Продажа]],"")</f>
        <v/>
      </c>
      <c r="M1287" s="108">
        <v>4513</v>
      </c>
      <c r="N1287" s="108">
        <f>Таблица97[[#This Row],[Продажа]]-Таблица97[[#This Row],[Закупка]]</f>
        <v>1273</v>
      </c>
      <c r="O1287" s="108" t="str">
        <f>IF(Таблица97[[#This Row],[НК]]=1,Таблица97[[#This Row],[Маржа]],"")</f>
        <v/>
      </c>
    </row>
    <row r="1288" spans="1:15" ht="20.100000000000001" customHeight="1" x14ac:dyDescent="0.25">
      <c r="A1288" s="2">
        <v>899</v>
      </c>
      <c r="B1288" s="2" t="str">
        <f>TEXT(Таблица97[[#This Row],[Дата]],"ГГ")&amp;RIGHT("000"&amp;Таблица97[[#This Row],[Номер]],4)</f>
        <v>190899</v>
      </c>
      <c r="C1288" s="129">
        <v>43712</v>
      </c>
      <c r="D1288" s="2" t="s">
        <v>368</v>
      </c>
      <c r="E1288" s="108">
        <v>49390</v>
      </c>
      <c r="F1288" s="129">
        <v>43719</v>
      </c>
      <c r="H1288" s="129">
        <v>43725</v>
      </c>
      <c r="I1288" s="108">
        <f t="shared" si="57"/>
        <v>49390</v>
      </c>
      <c r="J1288" s="108" t="str">
        <f>IF(Таблица97[[#This Row],[НК]]=1,Таблица97[[#This Row],[Продажа]],"")</f>
        <v/>
      </c>
      <c r="M1288" s="108">
        <v>36272</v>
      </c>
      <c r="N1288" s="108">
        <f>Таблица97[[#This Row],[Продажа]]-Таблица97[[#This Row],[Закупка]]</f>
        <v>13118</v>
      </c>
      <c r="O1288" s="108" t="str">
        <f>IF(Таблица97[[#This Row],[НК]]=1,Таблица97[[#This Row],[Маржа]],"")</f>
        <v/>
      </c>
    </row>
    <row r="1289" spans="1:15" ht="20.100000000000001" customHeight="1" x14ac:dyDescent="0.25">
      <c r="A1289" s="2">
        <v>882</v>
      </c>
      <c r="B1289" s="2" t="str">
        <f>TEXT(Таблица97[[#This Row],[Дата]],"ГГ")&amp;RIGHT("000"&amp;Таблица97[[#This Row],[Номер]],4)</f>
        <v>190882</v>
      </c>
      <c r="C1289" s="129">
        <v>43710</v>
      </c>
      <c r="D1289" s="2" t="s">
        <v>368</v>
      </c>
      <c r="E1289" s="108">
        <v>3868</v>
      </c>
      <c r="F1289" s="129">
        <v>43719</v>
      </c>
      <c r="H1289" s="129">
        <v>43725</v>
      </c>
      <c r="I1289" s="108">
        <f t="shared" si="57"/>
        <v>3868</v>
      </c>
      <c r="J1289" s="108" t="str">
        <f>IF(Таблица97[[#This Row],[НК]]=1,Таблица97[[#This Row],[Продажа]],"")</f>
        <v/>
      </c>
      <c r="M1289" s="108">
        <v>3016</v>
      </c>
      <c r="N1289" s="108">
        <f>Таблица97[[#This Row],[Продажа]]-Таблица97[[#This Row],[Закупка]]</f>
        <v>852</v>
      </c>
      <c r="O1289" s="108" t="str">
        <f>IF(Таблица97[[#This Row],[НК]]=1,Таблица97[[#This Row],[Маржа]],"")</f>
        <v/>
      </c>
    </row>
    <row r="1290" spans="1:15" ht="20.100000000000001" customHeight="1" x14ac:dyDescent="0.25">
      <c r="A1290" s="2">
        <v>896</v>
      </c>
      <c r="B1290" s="2" t="str">
        <f>TEXT(Таблица97[[#This Row],[Дата]],"ГГ")&amp;RIGHT("000"&amp;Таблица97[[#This Row],[Номер]],4)</f>
        <v>190896</v>
      </c>
      <c r="C1290" s="129">
        <v>43711</v>
      </c>
      <c r="D1290" s="2" t="s">
        <v>13</v>
      </c>
      <c r="E1290" s="108">
        <v>7764</v>
      </c>
      <c r="F1290" s="129">
        <v>43720</v>
      </c>
      <c r="H1290" s="129">
        <v>43721</v>
      </c>
      <c r="I1290" s="108">
        <f t="shared" si="57"/>
        <v>7764</v>
      </c>
      <c r="J1290" s="108" t="str">
        <f>IF(Таблица97[[#This Row],[НК]]=1,Таблица97[[#This Row],[Продажа]],"")</f>
        <v/>
      </c>
      <c r="M1290" s="108">
        <v>6054</v>
      </c>
      <c r="N1290" s="108">
        <f>Таблица97[[#This Row],[Продажа]]-Таблица97[[#This Row],[Закупка]]</f>
        <v>1710</v>
      </c>
      <c r="O1290" s="108" t="str">
        <f>IF(Таблица97[[#This Row],[НК]]=1,Таблица97[[#This Row],[Маржа]],"")</f>
        <v/>
      </c>
    </row>
    <row r="1291" spans="1:15" ht="20.100000000000001" customHeight="1" x14ac:dyDescent="0.25">
      <c r="A1291" s="2">
        <v>903</v>
      </c>
      <c r="B1291" s="2" t="str">
        <f>TEXT(Таблица97[[#This Row],[Дата]],"ГГ")&amp;RIGHT("000"&amp;Таблица97[[#This Row],[Номер]],4)</f>
        <v>190903</v>
      </c>
      <c r="C1291" s="129">
        <v>43714</v>
      </c>
      <c r="D1291" s="2" t="s">
        <v>353</v>
      </c>
      <c r="E1291" s="108">
        <v>18834</v>
      </c>
      <c r="F1291" s="129">
        <v>43720</v>
      </c>
      <c r="H1291" s="129">
        <v>43760</v>
      </c>
      <c r="I1291" s="108">
        <f t="shared" si="57"/>
        <v>18834</v>
      </c>
      <c r="J1291" s="108" t="str">
        <f>IF(Таблица97[[#This Row],[НК]]=1,Таблица97[[#This Row],[Продажа]],"")</f>
        <v/>
      </c>
      <c r="M1291" s="108">
        <v>14690</v>
      </c>
      <c r="N1291" s="108">
        <f>Таблица97[[#This Row],[Продажа]]-Таблица97[[#This Row],[Закупка]]</f>
        <v>4144</v>
      </c>
      <c r="O1291" s="108" t="str">
        <f>IF(Таблица97[[#This Row],[НК]]=1,Таблица97[[#This Row],[Маржа]],"")</f>
        <v/>
      </c>
    </row>
    <row r="1292" spans="1:15" ht="20.100000000000001" customHeight="1" x14ac:dyDescent="0.25">
      <c r="A1292" s="2">
        <v>927</v>
      </c>
      <c r="B1292" s="2" t="str">
        <f>TEXT(Таблица97[[#This Row],[Дата]],"ГГ")&amp;RIGHT("000"&amp;Таблица97[[#This Row],[Номер]],4)</f>
        <v>190927</v>
      </c>
      <c r="C1292" s="129">
        <v>43724</v>
      </c>
      <c r="D1292" s="2" t="s">
        <v>251</v>
      </c>
      <c r="E1292" s="108">
        <v>2690</v>
      </c>
      <c r="F1292" s="129">
        <v>43725</v>
      </c>
      <c r="H1292" s="129">
        <v>43728</v>
      </c>
      <c r="I1292" s="108">
        <f t="shared" si="57"/>
        <v>2690</v>
      </c>
      <c r="J1292" s="108" t="str">
        <f>IF(Таблица97[[#This Row],[НК]]=1,Таблица97[[#This Row],[Продажа]],"")</f>
        <v/>
      </c>
      <c r="M1292" s="108">
        <v>2382</v>
      </c>
      <c r="N1292" s="108">
        <f>Таблица97[[#This Row],[Продажа]]-Таблица97[[#This Row],[Закупка]]</f>
        <v>308</v>
      </c>
      <c r="O1292" s="108" t="str">
        <f>IF(Таблица97[[#This Row],[НК]]=1,Таблица97[[#This Row],[Маржа]],"")</f>
        <v/>
      </c>
    </row>
    <row r="1293" spans="1:15" ht="20.100000000000001" customHeight="1" x14ac:dyDescent="0.25">
      <c r="A1293" s="2">
        <v>928</v>
      </c>
      <c r="B1293" s="2" t="str">
        <f>TEXT(Таблица97[[#This Row],[Дата]],"ГГ")&amp;RIGHT("000"&amp;Таблица97[[#This Row],[Номер]],4)</f>
        <v>190928</v>
      </c>
      <c r="C1293" s="129">
        <v>43726</v>
      </c>
      <c r="D1293" s="2" t="s">
        <v>16</v>
      </c>
      <c r="E1293" s="108">
        <v>22094</v>
      </c>
      <c r="F1293" s="129">
        <v>43726</v>
      </c>
      <c r="H1293" s="129">
        <v>43756</v>
      </c>
      <c r="I1293" s="108">
        <f t="shared" si="57"/>
        <v>22094</v>
      </c>
      <c r="J1293" s="108" t="str">
        <f>IF(Таблица97[[#This Row],[НК]]=1,Таблица97[[#This Row],[Продажа]],"")</f>
        <v/>
      </c>
      <c r="M1293" s="108">
        <v>17234</v>
      </c>
      <c r="N1293" s="108">
        <f>Таблица97[[#This Row],[Продажа]]-Таблица97[[#This Row],[Закупка]]</f>
        <v>4860</v>
      </c>
      <c r="O1293" s="108" t="str">
        <f>IF(Таблица97[[#This Row],[НК]]=1,Таблица97[[#This Row],[Маржа]],"")</f>
        <v/>
      </c>
    </row>
    <row r="1294" spans="1:15" ht="20.100000000000001" customHeight="1" x14ac:dyDescent="0.25">
      <c r="A1294" s="2">
        <v>846</v>
      </c>
      <c r="B1294" s="2" t="str">
        <f>TEXT(Таблица97[[#This Row],[Дата]],"ГГ")&amp;RIGHT("000"&amp;Таблица97[[#This Row],[Номер]],4)</f>
        <v>190846</v>
      </c>
      <c r="C1294" s="129">
        <v>43698</v>
      </c>
      <c r="D1294" s="2" t="s">
        <v>56</v>
      </c>
      <c r="E1294" s="108">
        <v>23309</v>
      </c>
      <c r="F1294" s="129">
        <v>43727</v>
      </c>
      <c r="H1294" s="129">
        <v>43710</v>
      </c>
      <c r="I1294" s="108">
        <f t="shared" si="57"/>
        <v>23309</v>
      </c>
      <c r="J1294" s="108" t="str">
        <f>IF(Таблица97[[#This Row],[НК]]=1,Таблица97[[#This Row],[Продажа]],"")</f>
        <v/>
      </c>
      <c r="M1294" s="108">
        <v>16455</v>
      </c>
      <c r="N1294" s="108">
        <f>Таблица97[[#This Row],[Продажа]]-Таблица97[[#This Row],[Закупка]]</f>
        <v>6854</v>
      </c>
      <c r="O1294" s="108" t="str">
        <f>IF(Таблица97[[#This Row],[НК]]=1,Таблица97[[#This Row],[Маржа]],"")</f>
        <v/>
      </c>
    </row>
    <row r="1295" spans="1:15" ht="20.100000000000001" customHeight="1" x14ac:dyDescent="0.25">
      <c r="A1295" s="2">
        <v>848</v>
      </c>
      <c r="B1295" s="2" t="str">
        <f>TEXT(Таблица97[[#This Row],[Дата]],"ГГ")&amp;RIGHT("000"&amp;Таблица97[[#This Row],[Номер]],4)</f>
        <v>190848</v>
      </c>
      <c r="C1295" s="129">
        <v>43698</v>
      </c>
      <c r="D1295" s="2" t="s">
        <v>56</v>
      </c>
      <c r="E1295" s="108">
        <v>5000</v>
      </c>
      <c r="F1295" s="129">
        <v>43727</v>
      </c>
      <c r="H1295" s="129">
        <v>43710</v>
      </c>
      <c r="I1295" s="108">
        <f t="shared" si="57"/>
        <v>5000</v>
      </c>
      <c r="J1295" s="108" t="str">
        <f>IF(Таблица97[[#This Row],[НК]]=1,Таблица97[[#This Row],[Продажа]],"")</f>
        <v/>
      </c>
      <c r="M1295" s="108">
        <v>2550</v>
      </c>
      <c r="N1295" s="108">
        <f>Таблица97[[#This Row],[Продажа]]-Таблица97[[#This Row],[Закупка]]</f>
        <v>2450</v>
      </c>
      <c r="O1295" s="108" t="str">
        <f>IF(Таблица97[[#This Row],[НК]]=1,Таблица97[[#This Row],[Маржа]],"")</f>
        <v/>
      </c>
    </row>
    <row r="1296" spans="1:15" ht="20.100000000000001" customHeight="1" x14ac:dyDescent="0.25">
      <c r="A1296" s="2">
        <v>936</v>
      </c>
      <c r="B1296" s="2" t="str">
        <f>TEXT(Таблица97[[#This Row],[Дата]],"ГГ")&amp;RIGHT("000"&amp;Таблица97[[#This Row],[Номер]],4)</f>
        <v>190936</v>
      </c>
      <c r="C1296" s="129">
        <v>43726</v>
      </c>
      <c r="D1296" s="2" t="s">
        <v>91</v>
      </c>
      <c r="E1296" s="108">
        <v>7764</v>
      </c>
      <c r="F1296" s="129">
        <v>43727</v>
      </c>
      <c r="H1296" s="129">
        <v>43727</v>
      </c>
      <c r="I1296" s="108">
        <f t="shared" si="57"/>
        <v>7764</v>
      </c>
      <c r="J1296" s="108" t="str">
        <f>IF(Таблица97[[#This Row],[НК]]=1,Таблица97[[#This Row],[Продажа]],"")</f>
        <v/>
      </c>
      <c r="M1296" s="108">
        <v>6054</v>
      </c>
      <c r="N1296" s="108">
        <f>Таблица97[[#This Row],[Продажа]]-Таблица97[[#This Row],[Закупка]]</f>
        <v>1710</v>
      </c>
      <c r="O1296" s="108" t="str">
        <f>IF(Таблица97[[#This Row],[НК]]=1,Таблица97[[#This Row],[Маржа]],"")</f>
        <v/>
      </c>
    </row>
    <row r="1297" spans="1:15" ht="19.5" customHeight="1" x14ac:dyDescent="0.25">
      <c r="A1297" s="2">
        <v>943</v>
      </c>
      <c r="B1297" s="2" t="str">
        <f>TEXT(Таблица97[[#This Row],[Дата]],"ГГ")&amp;RIGHT("000"&amp;Таблица97[[#This Row],[Номер]],4)</f>
        <v>190943</v>
      </c>
      <c r="C1297" s="129">
        <v>43727</v>
      </c>
      <c r="D1297" s="2" t="s">
        <v>149</v>
      </c>
      <c r="E1297" s="108">
        <v>4814</v>
      </c>
      <c r="F1297" s="129">
        <v>43728</v>
      </c>
      <c r="H1297" s="129">
        <v>43728</v>
      </c>
      <c r="I1297" s="108">
        <f t="shared" si="57"/>
        <v>4814</v>
      </c>
      <c r="J1297" s="108" t="str">
        <f>IF(Таблица97[[#This Row],[НК]]=1,Таблица97[[#This Row],[Продажа]],"")</f>
        <v/>
      </c>
      <c r="M1297" s="108">
        <v>3752</v>
      </c>
      <c r="N1297" s="108">
        <f>Таблица97[[#This Row],[Продажа]]-Таблица97[[#This Row],[Закупка]]</f>
        <v>1062</v>
      </c>
      <c r="O1297" s="108" t="str">
        <f>IF(Таблица97[[#This Row],[НК]]=1,Таблица97[[#This Row],[Маржа]],"")</f>
        <v/>
      </c>
    </row>
    <row r="1298" spans="1:15" ht="19.5" customHeight="1" x14ac:dyDescent="0.25">
      <c r="A1298" s="2">
        <v>947</v>
      </c>
      <c r="B1298" s="2" t="str">
        <f>TEXT(Таблица97[[#This Row],[Дата]],"ГГ")&amp;RIGHT("000"&amp;Таблица97[[#This Row],[Номер]],4)</f>
        <v>190947</v>
      </c>
      <c r="C1298" s="129">
        <v>43728</v>
      </c>
      <c r="D1298" s="2" t="s">
        <v>414</v>
      </c>
      <c r="E1298" s="108">
        <v>65490</v>
      </c>
      <c r="F1298" s="129">
        <v>43728</v>
      </c>
      <c r="G1298" s="128">
        <v>1</v>
      </c>
      <c r="H1298" s="129">
        <v>43731</v>
      </c>
      <c r="I1298" s="108">
        <f t="shared" si="57"/>
        <v>65490</v>
      </c>
      <c r="J1298" s="108">
        <f>IF(Таблица97[[#This Row],[НК]]=1,Таблица97[[#This Row],[Продажа]],"")</f>
        <v>65490</v>
      </c>
      <c r="M1298" s="108">
        <v>48095</v>
      </c>
      <c r="N1298" s="108">
        <f>Таблица97[[#This Row],[Продажа]]-Таблица97[[#This Row],[Закупка]]</f>
        <v>17395</v>
      </c>
      <c r="O1298" s="108">
        <f>IF(Таблица97[[#This Row],[НК]]=1,Таблица97[[#This Row],[Маржа]],"")</f>
        <v>17395</v>
      </c>
    </row>
    <row r="1299" spans="1:15" ht="19.5" customHeight="1" x14ac:dyDescent="0.25">
      <c r="A1299" s="2">
        <v>948</v>
      </c>
      <c r="B1299" s="2" t="str">
        <f>TEXT(Таблица97[[#This Row],[Дата]],"ГГ")&amp;RIGHT("000"&amp;Таблица97[[#This Row],[Номер]],4)</f>
        <v>190948</v>
      </c>
      <c r="C1299" s="129">
        <v>43728</v>
      </c>
      <c r="D1299" s="2" t="s">
        <v>414</v>
      </c>
      <c r="E1299" s="108">
        <v>20333</v>
      </c>
      <c r="F1299" s="129">
        <v>43728</v>
      </c>
      <c r="G1299" s="128">
        <v>1</v>
      </c>
      <c r="H1299" s="129">
        <v>43731</v>
      </c>
      <c r="I1299" s="108">
        <f t="shared" si="57"/>
        <v>20333</v>
      </c>
      <c r="J1299" s="108">
        <f>IF(Таблица97[[#This Row],[НК]]=1,Таблица97[[#This Row],[Продажа]],"")</f>
        <v>20333</v>
      </c>
      <c r="L1299" s="108">
        <v>1200</v>
      </c>
      <c r="M1299" s="108">
        <v>9876</v>
      </c>
      <c r="N1299" s="108">
        <f>Таблица97[[#This Row],[Продажа]]-Таблица97[[#This Row],[Закупка]]</f>
        <v>10457</v>
      </c>
      <c r="O1299" s="108">
        <f>IF(Таблица97[[#This Row],[НК]]=1,Таблица97[[#This Row],[Маржа]],"")</f>
        <v>10457</v>
      </c>
    </row>
    <row r="1300" spans="1:15" ht="19.5" customHeight="1" x14ac:dyDescent="0.25">
      <c r="A1300" s="2">
        <v>935</v>
      </c>
      <c r="B1300" s="2" t="str">
        <f>TEXT(Таблица97[[#This Row],[Дата]],"ГГ")&amp;RIGHT("000"&amp;Таблица97[[#This Row],[Номер]],4)</f>
        <v>190935</v>
      </c>
      <c r="C1300" s="129">
        <v>43726</v>
      </c>
      <c r="D1300" s="2" t="s">
        <v>77</v>
      </c>
      <c r="E1300" s="108">
        <v>3194</v>
      </c>
      <c r="F1300" s="129">
        <v>43732</v>
      </c>
      <c r="H1300" s="129">
        <v>43733</v>
      </c>
      <c r="I1300" s="108">
        <f t="shared" si="57"/>
        <v>3194</v>
      </c>
      <c r="J1300" s="108" t="str">
        <f>IF(Таблица97[[#This Row],[НК]]=1,Таблица97[[#This Row],[Продажа]],"")</f>
        <v/>
      </c>
      <c r="M1300" s="108">
        <v>2490</v>
      </c>
      <c r="N1300" s="108">
        <f>Таблица97[[#This Row],[Продажа]]-Таблица97[[#This Row],[Закупка]]</f>
        <v>704</v>
      </c>
      <c r="O1300" s="108" t="str">
        <f>IF(Таблица97[[#This Row],[НК]]=1,Таблица97[[#This Row],[Маржа]],"")</f>
        <v/>
      </c>
    </row>
    <row r="1301" spans="1:15" ht="19.5" customHeight="1" x14ac:dyDescent="0.25">
      <c r="A1301" s="2">
        <v>925</v>
      </c>
      <c r="B1301" s="2" t="str">
        <f>TEXT(Таблица97[[#This Row],[Дата]],"ГГ")&amp;RIGHT("000"&amp;Таблица97[[#This Row],[Номер]],4)</f>
        <v>190925</v>
      </c>
      <c r="C1301" s="129">
        <v>43720</v>
      </c>
      <c r="D1301" s="2" t="s">
        <v>33</v>
      </c>
      <c r="E1301" s="108">
        <v>39725</v>
      </c>
      <c r="F1301" s="129">
        <v>43733</v>
      </c>
      <c r="H1301" s="129">
        <v>43787</v>
      </c>
      <c r="I1301" s="108">
        <f t="shared" si="57"/>
        <v>39725</v>
      </c>
      <c r="J1301" s="108" t="str">
        <f>IF(Таблица97[[#This Row],[НК]]=1,Таблица97[[#This Row],[Продажа]],"")</f>
        <v/>
      </c>
      <c r="M1301" s="108">
        <v>30157</v>
      </c>
      <c r="N1301" s="108">
        <f>Таблица97[[#This Row],[Продажа]]-Таблица97[[#This Row],[Закупка]]</f>
        <v>9568</v>
      </c>
      <c r="O1301" s="108" t="str">
        <f>IF(Таблица97[[#This Row],[НК]]=1,Таблица97[[#This Row],[Маржа]],"")</f>
        <v/>
      </c>
    </row>
    <row r="1302" spans="1:15" ht="19.5" customHeight="1" x14ac:dyDescent="0.25">
      <c r="A1302" s="2">
        <v>955</v>
      </c>
      <c r="B1302" s="2" t="str">
        <f>TEXT(Таблица97[[#This Row],[Дата]],"ГГ")&amp;RIGHT("000"&amp;Таблица97[[#This Row],[Номер]],4)</f>
        <v>190955</v>
      </c>
      <c r="C1302" s="129">
        <v>43731</v>
      </c>
      <c r="D1302" s="2" t="s">
        <v>353</v>
      </c>
      <c r="E1302" s="108">
        <v>11358</v>
      </c>
      <c r="F1302" s="129">
        <v>43733</v>
      </c>
      <c r="H1302" s="129">
        <v>43760</v>
      </c>
      <c r="I1302" s="108">
        <f t="shared" si="57"/>
        <v>11358</v>
      </c>
      <c r="J1302" s="108" t="str">
        <f>IF(Таблица97[[#This Row],[НК]]=1,Таблица97[[#This Row],[Продажа]],"")</f>
        <v/>
      </c>
      <c r="M1302" s="108">
        <v>8856</v>
      </c>
      <c r="N1302" s="108">
        <f>Таблица97[[#This Row],[Продажа]]-Таблица97[[#This Row],[Закупка]]</f>
        <v>2502</v>
      </c>
      <c r="O1302" s="108" t="str">
        <f>IF(Таблица97[[#This Row],[НК]]=1,Таблица97[[#This Row],[Маржа]],"")</f>
        <v/>
      </c>
    </row>
    <row r="1303" spans="1:15" ht="19.5" customHeight="1" x14ac:dyDescent="0.25">
      <c r="A1303" s="2">
        <v>959</v>
      </c>
      <c r="B1303" s="2" t="str">
        <f>TEXT(Таблица97[[#This Row],[Дата]],"ГГ")&amp;RIGHT("000"&amp;Таблица97[[#This Row],[Номер]],4)</f>
        <v>190959</v>
      </c>
      <c r="C1303" s="129">
        <v>43733</v>
      </c>
      <c r="D1303" s="2" t="s">
        <v>316</v>
      </c>
      <c r="E1303" s="108">
        <v>2700</v>
      </c>
      <c r="F1303" s="129">
        <v>43735</v>
      </c>
      <c r="H1303" s="129">
        <v>43745</v>
      </c>
      <c r="I1303" s="108">
        <f t="shared" si="57"/>
        <v>2700</v>
      </c>
      <c r="J1303" s="108" t="str">
        <f>IF(Таблица97[[#This Row],[НК]]=1,Таблица97[[#This Row],[Продажа]],"")</f>
        <v/>
      </c>
      <c r="M1303" s="108">
        <v>2307</v>
      </c>
      <c r="N1303" s="108">
        <f>Таблица97[[#This Row],[Продажа]]-Таблица97[[#This Row],[Закупка]]</f>
        <v>393</v>
      </c>
      <c r="O1303" s="108" t="str">
        <f>IF(Таблица97[[#This Row],[НК]]=1,Таблица97[[#This Row],[Маржа]],"")</f>
        <v/>
      </c>
    </row>
    <row r="1304" spans="1:15" ht="20.100000000000001" customHeight="1" x14ac:dyDescent="0.25">
      <c r="A1304" s="2">
        <v>971</v>
      </c>
      <c r="B1304" s="2" t="str">
        <f>TEXT(Таблица97[[#This Row],[Дата]],"ГГ")&amp;RIGHT("000"&amp;Таблица97[[#This Row],[Номер]],4)</f>
        <v>190971</v>
      </c>
      <c r="C1304" s="129">
        <v>43739</v>
      </c>
      <c r="D1304" s="2" t="s">
        <v>415</v>
      </c>
      <c r="E1304" s="108">
        <v>60750</v>
      </c>
      <c r="F1304" s="129">
        <v>43739</v>
      </c>
      <c r="G1304" s="128">
        <v>1</v>
      </c>
      <c r="H1304" s="129">
        <v>43739</v>
      </c>
      <c r="I1304" s="108">
        <f t="shared" ref="I1304:I1317" si="58">E1304</f>
        <v>60750</v>
      </c>
      <c r="J1304" s="108">
        <f>IF(Таблица97[[#This Row],[НК]]=1,Таблица97[[#This Row],[Продажа]],"")</f>
        <v>60750</v>
      </c>
      <c r="M1304" s="108">
        <v>44614</v>
      </c>
      <c r="N1304" s="108">
        <f>Таблица97[[#This Row],[Продажа]]-Таблица97[[#This Row],[Закупка]]</f>
        <v>16136</v>
      </c>
      <c r="O1304" s="108">
        <f>IF(Таблица97[[#This Row],[НК]]=1,Таблица97[[#This Row],[Маржа]],"")</f>
        <v>16136</v>
      </c>
    </row>
    <row r="1305" spans="1:15" ht="20.100000000000001" customHeight="1" x14ac:dyDescent="0.25">
      <c r="A1305" s="2">
        <v>957</v>
      </c>
      <c r="B1305" s="2" t="str">
        <f>TEXT(Таблица97[[#This Row],[Дата]],"ГГ")&amp;RIGHT("000"&amp;Таблица97[[#This Row],[Номер]],4)</f>
        <v>190957</v>
      </c>
      <c r="C1305" s="129">
        <v>43732</v>
      </c>
      <c r="D1305" s="2" t="s">
        <v>416</v>
      </c>
      <c r="E1305" s="108">
        <v>38490</v>
      </c>
      <c r="F1305" s="129">
        <v>43739</v>
      </c>
      <c r="G1305" s="128">
        <v>1</v>
      </c>
      <c r="H1305" s="129">
        <v>43741</v>
      </c>
      <c r="I1305" s="108">
        <f t="shared" si="58"/>
        <v>38490</v>
      </c>
      <c r="J1305" s="108">
        <f>IF(Таблица97[[#This Row],[НК]]=1,Таблица97[[#This Row],[Продажа]],"")</f>
        <v>38490</v>
      </c>
      <c r="M1305" s="108">
        <v>28290</v>
      </c>
      <c r="N1305" s="108">
        <f>Таблица97[[#This Row],[Продажа]]-Таблица97[[#This Row],[Закупка]]</f>
        <v>10200</v>
      </c>
      <c r="O1305" s="108">
        <f>IF(Таблица97[[#This Row],[НК]]=1,Таблица97[[#This Row],[Маржа]],"")</f>
        <v>10200</v>
      </c>
    </row>
    <row r="1306" spans="1:15" ht="20.100000000000001" customHeight="1" x14ac:dyDescent="0.25">
      <c r="A1306" s="2">
        <v>813</v>
      </c>
      <c r="B1306" s="2" t="str">
        <f>TEXT(Таблица97[[#This Row],[Дата]],"ГГ")&amp;RIGHT("000"&amp;Таблица97[[#This Row],[Номер]],4)</f>
        <v>190813</v>
      </c>
      <c r="C1306" s="129">
        <v>43689</v>
      </c>
      <c r="D1306" s="2" t="s">
        <v>60</v>
      </c>
      <c r="E1306" s="108">
        <v>10654</v>
      </c>
      <c r="F1306" s="129">
        <v>43739</v>
      </c>
      <c r="H1306" s="129">
        <v>43725</v>
      </c>
      <c r="I1306" s="108">
        <f t="shared" si="58"/>
        <v>10654</v>
      </c>
      <c r="J1306" s="108" t="str">
        <f>IF(Таблица97[[#This Row],[НК]]=1,Таблица97[[#This Row],[Продажа]],"")</f>
        <v/>
      </c>
      <c r="M1306" s="108">
        <v>8183</v>
      </c>
      <c r="N1306" s="108">
        <f>Таблица97[[#This Row],[Продажа]]-Таблица97[[#This Row],[Закупка]]</f>
        <v>2471</v>
      </c>
      <c r="O1306" s="108" t="str">
        <f>IF(Таблица97[[#This Row],[НК]]=1,Таблица97[[#This Row],[Маржа]],"")</f>
        <v/>
      </c>
    </row>
    <row r="1307" spans="1:15" ht="20.100000000000001" customHeight="1" x14ac:dyDescent="0.25">
      <c r="A1307" s="2">
        <v>976</v>
      </c>
      <c r="B1307" s="2" t="str">
        <f>TEXT(Таблица97[[#This Row],[Дата]],"ГГ")&amp;RIGHT("000"&amp;Таблица97[[#This Row],[Номер]],4)</f>
        <v>190976</v>
      </c>
      <c r="C1307" s="129">
        <v>43740</v>
      </c>
      <c r="D1307" s="2" t="s">
        <v>232</v>
      </c>
      <c r="E1307" s="108">
        <v>4880</v>
      </c>
      <c r="F1307" s="129">
        <v>43740</v>
      </c>
      <c r="G1307" s="128">
        <v>1</v>
      </c>
      <c r="H1307" s="129">
        <v>43741</v>
      </c>
      <c r="I1307" s="108">
        <f t="shared" si="58"/>
        <v>4880</v>
      </c>
      <c r="J1307" s="108">
        <f>IF(Таблица97[[#This Row],[НК]]=1,Таблица97[[#This Row],[Продажа]],"")</f>
        <v>4880</v>
      </c>
      <c r="M1307" s="108">
        <v>4119</v>
      </c>
      <c r="N1307" s="108">
        <f>Таблица97[[#This Row],[Продажа]]-Таблица97[[#This Row],[Закупка]]</f>
        <v>761</v>
      </c>
      <c r="O1307" s="108">
        <f>IF(Таблица97[[#This Row],[НК]]=1,Таблица97[[#This Row],[Маржа]],"")</f>
        <v>761</v>
      </c>
    </row>
    <row r="1308" spans="1:15" ht="20.100000000000001" customHeight="1" x14ac:dyDescent="0.25">
      <c r="A1308" s="2">
        <v>978</v>
      </c>
      <c r="B1308" s="2" t="str">
        <f>TEXT(Таблица97[[#This Row],[Дата]],"ГГ")&amp;RIGHT("000"&amp;Таблица97[[#This Row],[Номер]],4)</f>
        <v>190978</v>
      </c>
      <c r="C1308" s="129">
        <v>43740</v>
      </c>
      <c r="D1308" s="2" t="s">
        <v>281</v>
      </c>
      <c r="E1308" s="108">
        <v>2258</v>
      </c>
      <c r="F1308" s="129">
        <v>43741</v>
      </c>
      <c r="H1308" s="129">
        <v>43742</v>
      </c>
      <c r="I1308" s="108">
        <f t="shared" si="58"/>
        <v>2258</v>
      </c>
      <c r="J1308" s="108" t="str">
        <f>IF(Таблица97[[#This Row],[НК]]=1,Таблица97[[#This Row],[Продажа]],"")</f>
        <v/>
      </c>
      <c r="M1308" s="108">
        <v>1760</v>
      </c>
      <c r="N1308" s="108">
        <f>Таблица97[[#This Row],[Продажа]]-Таблица97[[#This Row],[Закупка]]</f>
        <v>498</v>
      </c>
      <c r="O1308" s="108" t="str">
        <f>IF(Таблица97[[#This Row],[НК]]=1,Таблица97[[#This Row],[Маржа]],"")</f>
        <v/>
      </c>
    </row>
    <row r="1309" spans="1:15" ht="20.100000000000001" customHeight="1" x14ac:dyDescent="0.25">
      <c r="A1309" s="2">
        <v>942</v>
      </c>
      <c r="B1309" s="2" t="str">
        <f>TEXT(Таблица97[[#This Row],[Дата]],"ГГ")&amp;RIGHT("000"&amp;Таблица97[[#This Row],[Номер]],4)</f>
        <v>190942</v>
      </c>
      <c r="C1309" s="129">
        <v>43727</v>
      </c>
      <c r="D1309" s="2" t="s">
        <v>363</v>
      </c>
      <c r="E1309" s="108">
        <v>10760</v>
      </c>
      <c r="F1309" s="129">
        <v>43742</v>
      </c>
      <c r="H1309" s="129">
        <v>43742</v>
      </c>
      <c r="I1309" s="108">
        <f t="shared" si="58"/>
        <v>10760</v>
      </c>
      <c r="J1309" s="108" t="str">
        <f>IF(Таблица97[[#This Row],[НК]]=1,Таблица97[[#This Row],[Продажа]],"")</f>
        <v/>
      </c>
      <c r="M1309" s="108">
        <v>9528</v>
      </c>
      <c r="N1309" s="108">
        <f>Таблица97[[#This Row],[Продажа]]-Таблица97[[#This Row],[Закупка]]</f>
        <v>1232</v>
      </c>
      <c r="O1309" s="108" t="str">
        <f>IF(Таблица97[[#This Row],[НК]]=1,Таблица97[[#This Row],[Маржа]],"")</f>
        <v/>
      </c>
    </row>
    <row r="1310" spans="1:15" ht="20.100000000000001" customHeight="1" x14ac:dyDescent="0.25">
      <c r="A1310" s="2">
        <v>988</v>
      </c>
      <c r="B1310" s="2" t="str">
        <f>TEXT(Таблица97[[#This Row],[Дата]],"ГГ")&amp;RIGHT("000"&amp;Таблица97[[#This Row],[Номер]],4)</f>
        <v>190988</v>
      </c>
      <c r="C1310" s="129">
        <v>43745</v>
      </c>
      <c r="D1310" s="2" t="s">
        <v>417</v>
      </c>
      <c r="E1310" s="108">
        <v>12007</v>
      </c>
      <c r="F1310" s="129">
        <v>43745</v>
      </c>
      <c r="G1310" s="128">
        <v>1</v>
      </c>
      <c r="H1310" s="129">
        <v>43746</v>
      </c>
      <c r="I1310" s="108">
        <f t="shared" si="58"/>
        <v>12007</v>
      </c>
      <c r="J1310" s="108">
        <f>IF(Таблица97[[#This Row],[НК]]=1,Таблица97[[#This Row],[Продажа]],"")</f>
        <v>12007</v>
      </c>
      <c r="M1310" s="108">
        <v>8886</v>
      </c>
      <c r="N1310" s="108">
        <f>Таблица97[[#This Row],[Продажа]]-Таблица97[[#This Row],[Закупка]]</f>
        <v>3121</v>
      </c>
      <c r="O1310" s="108">
        <f>IF(Таблица97[[#This Row],[НК]]=1,Таблица97[[#This Row],[Маржа]],"")</f>
        <v>3121</v>
      </c>
    </row>
    <row r="1311" spans="1:15" ht="20.100000000000001" customHeight="1" x14ac:dyDescent="0.25">
      <c r="A1311" s="2">
        <v>970</v>
      </c>
      <c r="B1311" s="2" t="str">
        <f>TEXT(Таблица97[[#This Row],[Дата]],"ГГ")&amp;RIGHT("000"&amp;Таблица97[[#This Row],[Номер]],4)</f>
        <v>190970</v>
      </c>
      <c r="C1311" s="129">
        <v>43738</v>
      </c>
      <c r="D1311" s="2" t="s">
        <v>418</v>
      </c>
      <c r="E1311" s="108">
        <v>4909</v>
      </c>
      <c r="F1311" s="129">
        <v>43745</v>
      </c>
      <c r="G1311" s="128">
        <v>1</v>
      </c>
      <c r="H1311" s="129">
        <v>43770</v>
      </c>
      <c r="I1311" s="108">
        <f t="shared" si="58"/>
        <v>4909</v>
      </c>
      <c r="J1311" s="108">
        <f>IF(Таблица97[[#This Row],[НК]]=1,Таблица97[[#This Row],[Продажа]],"")</f>
        <v>4909</v>
      </c>
      <c r="M1311" s="108">
        <v>3780</v>
      </c>
      <c r="N1311" s="108">
        <f>Таблица97[[#This Row],[Продажа]]-Таблица97[[#This Row],[Закупка]]</f>
        <v>1129</v>
      </c>
      <c r="O1311" s="108">
        <f>IF(Таблица97[[#This Row],[НК]]=1,Таблица97[[#This Row],[Маржа]],"")</f>
        <v>1129</v>
      </c>
    </row>
    <row r="1312" spans="1:15" ht="20.100000000000001" customHeight="1" x14ac:dyDescent="0.25">
      <c r="A1312" s="2">
        <v>962</v>
      </c>
      <c r="B1312" s="2" t="str">
        <f>TEXT(Таблица97[[#This Row],[Дата]],"ГГ")&amp;RIGHT("000"&amp;Таблица97[[#This Row],[Номер]],4)</f>
        <v>190962</v>
      </c>
      <c r="C1312" s="129">
        <v>43735</v>
      </c>
      <c r="D1312" s="2" t="s">
        <v>416</v>
      </c>
      <c r="E1312" s="108">
        <v>4374</v>
      </c>
      <c r="F1312" s="129">
        <v>43747</v>
      </c>
      <c r="G1312" s="128">
        <v>1</v>
      </c>
      <c r="H1312" s="129">
        <v>43770</v>
      </c>
      <c r="I1312" s="108">
        <f t="shared" si="58"/>
        <v>4374</v>
      </c>
      <c r="J1312" s="108">
        <f>IF(Таблица97[[#This Row],[НК]]=1,Таблица97[[#This Row],[Продажа]],"")</f>
        <v>4374</v>
      </c>
      <c r="M1312" s="108">
        <v>2413</v>
      </c>
      <c r="N1312" s="108">
        <f>Таблица97[[#This Row],[Продажа]]-Таблица97[[#This Row],[Закупка]]</f>
        <v>1961</v>
      </c>
      <c r="O1312" s="108">
        <f>IF(Таблица97[[#This Row],[НК]]=1,Таблица97[[#This Row],[Маржа]],"")</f>
        <v>1961</v>
      </c>
    </row>
    <row r="1313" spans="1:15" ht="20.100000000000001" customHeight="1" x14ac:dyDescent="0.25">
      <c r="A1313" s="2">
        <v>996</v>
      </c>
      <c r="B1313" s="2" t="str">
        <f>TEXT(Таблица97[[#This Row],[Дата]],"ГГ")&amp;RIGHT("000"&amp;Таблица97[[#This Row],[Номер]],4)</f>
        <v>190996</v>
      </c>
      <c r="C1313" s="129">
        <v>43749</v>
      </c>
      <c r="D1313" s="2" t="s">
        <v>300</v>
      </c>
      <c r="E1313" s="108">
        <v>8223</v>
      </c>
      <c r="F1313" s="129">
        <v>43752</v>
      </c>
      <c r="H1313" s="129">
        <v>43769</v>
      </c>
      <c r="I1313" s="108">
        <f t="shared" si="58"/>
        <v>8223</v>
      </c>
      <c r="J1313" s="108" t="str">
        <f>IF(Таблица97[[#This Row],[НК]]=1,Таблица97[[#This Row],[Продажа]],"")</f>
        <v/>
      </c>
      <c r="M1313" s="108">
        <v>6414</v>
      </c>
      <c r="N1313" s="108">
        <f>Таблица97[[#This Row],[Продажа]]-Таблица97[[#This Row],[Закупка]]</f>
        <v>1809</v>
      </c>
      <c r="O1313" s="108" t="str">
        <f>IF(Таблица97[[#This Row],[НК]]=1,Таблица97[[#This Row],[Маржа]],"")</f>
        <v/>
      </c>
    </row>
    <row r="1314" spans="1:15" ht="20.100000000000001" customHeight="1" x14ac:dyDescent="0.25">
      <c r="A1314" s="2">
        <v>940</v>
      </c>
      <c r="B1314" s="2" t="str">
        <f>TEXT(Таблица97[[#This Row],[Дата]],"ГГ")&amp;RIGHT("000"&amp;Таблица97[[#This Row],[Номер]],4)</f>
        <v>190940</v>
      </c>
      <c r="C1314" s="129">
        <v>43727</v>
      </c>
      <c r="D1314" s="2" t="s">
        <v>11</v>
      </c>
      <c r="E1314" s="108">
        <v>4570</v>
      </c>
      <c r="F1314" s="129">
        <v>43753</v>
      </c>
      <c r="H1314" s="129">
        <v>43756</v>
      </c>
      <c r="I1314" s="108">
        <f t="shared" si="58"/>
        <v>4570</v>
      </c>
      <c r="J1314" s="108" t="str">
        <f>IF(Таблица97[[#This Row],[НК]]=1,Таблица97[[#This Row],[Продажа]],"")</f>
        <v/>
      </c>
      <c r="M1314" s="108">
        <v>3560</v>
      </c>
      <c r="N1314" s="108">
        <f>Таблица97[[#This Row],[Продажа]]-Таблица97[[#This Row],[Закупка]]</f>
        <v>1010</v>
      </c>
      <c r="O1314" s="108" t="str">
        <f>IF(Таблица97[[#This Row],[НК]]=1,Таблица97[[#This Row],[Маржа]],"")</f>
        <v/>
      </c>
    </row>
    <row r="1315" spans="1:15" ht="20.100000000000001" customHeight="1" x14ac:dyDescent="0.25">
      <c r="A1315" s="2">
        <v>1015</v>
      </c>
      <c r="B1315" s="2" t="str">
        <f>TEXT(Таблица97[[#This Row],[Дата]],"ГГ")&amp;RIGHT("000"&amp;Таблица97[[#This Row],[Номер]],4)</f>
        <v>191015</v>
      </c>
      <c r="C1315" s="129">
        <v>43755</v>
      </c>
      <c r="D1315" s="2" t="s">
        <v>101</v>
      </c>
      <c r="E1315" s="108">
        <v>6450</v>
      </c>
      <c r="F1315" s="129">
        <v>43755</v>
      </c>
      <c r="H1315" s="129">
        <v>43755</v>
      </c>
      <c r="I1315" s="108">
        <f t="shared" si="58"/>
        <v>6450</v>
      </c>
      <c r="J1315" s="108" t="str">
        <f>IF(Таблица97[[#This Row],[НК]]=1,Таблица97[[#This Row],[Продажа]],"")</f>
        <v/>
      </c>
      <c r="M1315" s="108">
        <v>4963</v>
      </c>
      <c r="N1315" s="108">
        <f>Таблица97[[#This Row],[Продажа]]-Таблица97[[#This Row],[Закупка]]</f>
        <v>1487</v>
      </c>
      <c r="O1315" s="108" t="str">
        <f>IF(Таблица97[[#This Row],[НК]]=1,Таблица97[[#This Row],[Маржа]],"")</f>
        <v/>
      </c>
    </row>
    <row r="1316" spans="1:15" ht="20.100000000000001" customHeight="1" x14ac:dyDescent="0.25">
      <c r="A1316" s="2">
        <v>1016</v>
      </c>
      <c r="B1316" s="2" t="str">
        <f>TEXT(Таблица97[[#This Row],[Дата]],"ГГ")&amp;RIGHT("000"&amp;Таблица97[[#This Row],[Номер]],4)</f>
        <v>191016</v>
      </c>
      <c r="C1316" s="129">
        <v>43755</v>
      </c>
      <c r="D1316" s="2" t="s">
        <v>169</v>
      </c>
      <c r="E1316" s="108">
        <v>22111</v>
      </c>
      <c r="F1316" s="129">
        <v>43755</v>
      </c>
      <c r="H1316" s="129">
        <v>43755</v>
      </c>
      <c r="I1316" s="108">
        <f t="shared" si="58"/>
        <v>22111</v>
      </c>
      <c r="J1316" s="108" t="str">
        <f>IF(Таблица97[[#This Row],[НК]]=1,Таблица97[[#This Row],[Продажа]],"")</f>
        <v/>
      </c>
      <c r="M1316" s="108">
        <v>15998</v>
      </c>
      <c r="N1316" s="108">
        <f>Таблица97[[#This Row],[Продажа]]-Таблица97[[#This Row],[Закупка]]</f>
        <v>6113</v>
      </c>
      <c r="O1316" s="108" t="str">
        <f>IF(Таблица97[[#This Row],[НК]]=1,Таблица97[[#This Row],[Маржа]],"")</f>
        <v/>
      </c>
    </row>
    <row r="1317" spans="1:15" ht="20.100000000000001" customHeight="1" x14ac:dyDescent="0.25">
      <c r="A1317" s="2">
        <v>995</v>
      </c>
      <c r="B1317" s="2" t="str">
        <f>TEXT(Таблица97[[#This Row],[Дата]],"ГГ")&amp;RIGHT("000"&amp;Таблица97[[#This Row],[Номер]],4)</f>
        <v>190995</v>
      </c>
      <c r="C1317" s="129">
        <v>43748</v>
      </c>
      <c r="D1317" s="2" t="s">
        <v>206</v>
      </c>
      <c r="E1317" s="108">
        <v>2315</v>
      </c>
      <c r="F1317" s="129">
        <v>43755</v>
      </c>
      <c r="H1317" s="129">
        <v>43748</v>
      </c>
      <c r="I1317" s="108">
        <f t="shared" si="58"/>
        <v>2315</v>
      </c>
      <c r="J1317" s="108" t="str">
        <f>IF(Таблица97[[#This Row],[НК]]=1,Таблица97[[#This Row],[Продажа]],"")</f>
        <v/>
      </c>
      <c r="M1317" s="108">
        <v>1805</v>
      </c>
      <c r="N1317" s="108">
        <f>Таблица97[[#This Row],[Продажа]]-Таблица97[[#This Row],[Закупка]]</f>
        <v>510</v>
      </c>
      <c r="O1317" s="108" t="str">
        <f>IF(Таблица97[[#This Row],[НК]]=1,Таблица97[[#This Row],[Маржа]],"")</f>
        <v/>
      </c>
    </row>
    <row r="1318" spans="1:15" ht="20.100000000000001" customHeight="1" x14ac:dyDescent="0.25">
      <c r="A1318" s="2">
        <v>898</v>
      </c>
      <c r="B1318" s="2" t="str">
        <f>TEXT(Таблица97[[#This Row],[Дата]],"ГГ")&amp;RIGHT("000"&amp;Таблица97[[#This Row],[Номер]],4)</f>
        <v>190898</v>
      </c>
      <c r="C1318" s="129">
        <v>43712</v>
      </c>
      <c r="D1318" s="2" t="s">
        <v>65</v>
      </c>
      <c r="E1318" s="108">
        <v>194446.8</v>
      </c>
      <c r="F1318" s="129">
        <v>43755</v>
      </c>
      <c r="H1318" s="129">
        <v>43726</v>
      </c>
      <c r="I1318" s="108">
        <v>177622.8</v>
      </c>
      <c r="J1318" s="108" t="str">
        <f>IF(Таблица97[[#This Row],[НК]]=1,Таблица97[[#This Row],[Продажа]],"")</f>
        <v/>
      </c>
      <c r="L1318" s="108">
        <v>6400</v>
      </c>
      <c r="M1318" s="108">
        <v>107471</v>
      </c>
      <c r="N1318" s="108">
        <f>Таблица97[[#This Row],[Продажа]]-Таблица97[[#This Row],[Закупка]]</f>
        <v>70151.799999999988</v>
      </c>
      <c r="O1318" s="108" t="str">
        <f>IF(Таблица97[[#This Row],[НК]]=1,Таблица97[[#This Row],[Маржа]],"")</f>
        <v/>
      </c>
    </row>
    <row r="1319" spans="1:15" ht="20.100000000000001" customHeight="1" x14ac:dyDescent="0.25">
      <c r="A1319" s="2">
        <v>994</v>
      </c>
      <c r="B1319" s="2" t="str">
        <f>TEXT(Таблица97[[#This Row],[Дата]],"ГГ")&amp;RIGHT("000"&amp;Таблица97[[#This Row],[Номер]],4)</f>
        <v>190994</v>
      </c>
      <c r="C1319" s="129">
        <v>43747</v>
      </c>
      <c r="D1319" s="2" t="s">
        <v>13</v>
      </c>
      <c r="E1319" s="108">
        <v>12940</v>
      </c>
      <c r="F1319" s="129">
        <v>43756</v>
      </c>
      <c r="H1319" s="129">
        <v>43748</v>
      </c>
      <c r="I1319" s="108">
        <f t="shared" ref="I1319:I1327" si="59">E1319</f>
        <v>12940</v>
      </c>
      <c r="J1319" s="108" t="str">
        <f>IF(Таблица97[[#This Row],[НК]]=1,Таблица97[[#This Row],[Продажа]],"")</f>
        <v/>
      </c>
      <c r="M1319" s="108">
        <v>10090</v>
      </c>
      <c r="N1319" s="108">
        <f>Таблица97[[#This Row],[Продажа]]-Таблица97[[#This Row],[Закупка]]</f>
        <v>2850</v>
      </c>
      <c r="O1319" s="108" t="str">
        <f>IF(Таблица97[[#This Row],[НК]]=1,Таблица97[[#This Row],[Маржа]],"")</f>
        <v/>
      </c>
    </row>
    <row r="1320" spans="1:15" ht="20.100000000000001" customHeight="1" x14ac:dyDescent="0.25">
      <c r="A1320" s="2">
        <v>1019</v>
      </c>
      <c r="B1320" s="2" t="str">
        <f>TEXT(Таблица97[[#This Row],[Дата]],"ГГ")&amp;RIGHT("000"&amp;Таблица97[[#This Row],[Номер]],4)</f>
        <v>191019</v>
      </c>
      <c r="C1320" s="129">
        <v>43756</v>
      </c>
      <c r="D1320" s="2" t="s">
        <v>216</v>
      </c>
      <c r="E1320" s="108">
        <v>2895</v>
      </c>
      <c r="F1320" s="129">
        <v>43756</v>
      </c>
      <c r="H1320" s="129">
        <v>43763</v>
      </c>
      <c r="I1320" s="108">
        <f t="shared" si="59"/>
        <v>2895</v>
      </c>
      <c r="J1320" s="108" t="str">
        <f>IF(Таблица97[[#This Row],[НК]]=1,Таблица97[[#This Row],[Продажа]],"")</f>
        <v/>
      </c>
      <c r="M1320" s="108">
        <v>2050</v>
      </c>
      <c r="N1320" s="108">
        <f>Таблица97[[#This Row],[Продажа]]-Таблица97[[#This Row],[Закупка]]</f>
        <v>845</v>
      </c>
      <c r="O1320" s="108" t="str">
        <f>IF(Таблица97[[#This Row],[НК]]=1,Таблица97[[#This Row],[Маржа]],"")</f>
        <v/>
      </c>
    </row>
    <row r="1321" spans="1:15" ht="20.100000000000001" customHeight="1" x14ac:dyDescent="0.25">
      <c r="A1321" s="2">
        <v>843</v>
      </c>
      <c r="B1321" s="2" t="str">
        <f>TEXT(Таблица97[[#This Row],[Дата]],"ГГ")&amp;RIGHT("000"&amp;Таблица97[[#This Row],[Номер]],4)</f>
        <v>190843</v>
      </c>
      <c r="C1321" s="129">
        <v>43711</v>
      </c>
      <c r="D1321" s="2" t="s">
        <v>99</v>
      </c>
      <c r="E1321" s="108">
        <v>242962</v>
      </c>
      <c r="F1321" s="129">
        <v>43760</v>
      </c>
      <c r="H1321" s="129">
        <v>43714</v>
      </c>
      <c r="I1321" s="108">
        <f t="shared" si="59"/>
        <v>242962</v>
      </c>
      <c r="J1321" s="108" t="str">
        <f>IF(Таблица97[[#This Row],[НК]]=1,Таблица97[[#This Row],[Продажа]],"")</f>
        <v/>
      </c>
      <c r="K1321" s="108">
        <v>27000</v>
      </c>
      <c r="L1321" s="108">
        <v>3600</v>
      </c>
      <c r="M1321" s="108">
        <v>118715</v>
      </c>
      <c r="N1321" s="108">
        <f>Таблица97[[#This Row],[Продажа]]-Таблица97[[#This Row],[Закупка]]</f>
        <v>124247</v>
      </c>
      <c r="O1321" s="108" t="str">
        <f>IF(Таблица97[[#This Row],[НК]]=1,Таблица97[[#This Row],[Маржа]],"")</f>
        <v/>
      </c>
    </row>
    <row r="1322" spans="1:15" ht="20.100000000000001" customHeight="1" x14ac:dyDescent="0.25">
      <c r="A1322" s="2">
        <v>902</v>
      </c>
      <c r="B1322" s="2" t="str">
        <f>TEXT(Таблица97[[#This Row],[Дата]],"ГГ")&amp;RIGHT("000"&amp;Таблица97[[#This Row],[Номер]],4)</f>
        <v>190902</v>
      </c>
      <c r="C1322" s="129">
        <v>43714</v>
      </c>
      <c r="D1322" s="2" t="s">
        <v>99</v>
      </c>
      <c r="E1322" s="108">
        <v>20775</v>
      </c>
      <c r="F1322" s="129">
        <v>43760</v>
      </c>
      <c r="H1322" s="129">
        <v>43752</v>
      </c>
      <c r="I1322" s="108">
        <f t="shared" si="59"/>
        <v>20775</v>
      </c>
      <c r="J1322" s="108" t="str">
        <f>IF(Таблица97[[#This Row],[НК]]=1,Таблица97[[#This Row],[Продажа]],"")</f>
        <v/>
      </c>
      <c r="K1322" s="108">
        <v>3000</v>
      </c>
      <c r="M1322" s="108">
        <v>5503</v>
      </c>
      <c r="N1322" s="108">
        <f>Таблица97[[#This Row],[Продажа]]-Таблица97[[#This Row],[Закупка]]</f>
        <v>15272</v>
      </c>
      <c r="O1322" s="108" t="str">
        <f>IF(Таблица97[[#This Row],[НК]]=1,Таблица97[[#This Row],[Маржа]],"")</f>
        <v/>
      </c>
    </row>
    <row r="1323" spans="1:15" ht="20.100000000000001" customHeight="1" x14ac:dyDescent="0.25">
      <c r="A1323" s="2">
        <v>1031</v>
      </c>
      <c r="B1323" s="2" t="str">
        <f>TEXT(Таблица97[[#This Row],[Дата]],"ГГ")&amp;RIGHT("000"&amp;Таблица97[[#This Row],[Номер]],4)</f>
        <v>191031</v>
      </c>
      <c r="C1323" s="129">
        <v>43760</v>
      </c>
      <c r="D1323" s="2" t="s">
        <v>83</v>
      </c>
      <c r="E1323" s="108">
        <v>9706</v>
      </c>
      <c r="F1323" s="129">
        <v>43760</v>
      </c>
      <c r="H1323" s="129">
        <v>43760</v>
      </c>
      <c r="I1323" s="108">
        <f t="shared" si="59"/>
        <v>9706</v>
      </c>
      <c r="J1323" s="108" t="str">
        <f>IF(Таблица97[[#This Row],[НК]]=1,Таблица97[[#This Row],[Продажа]],"")</f>
        <v/>
      </c>
      <c r="M1323" s="108">
        <v>6947</v>
      </c>
      <c r="N1323" s="108">
        <f>Таблица97[[#This Row],[Продажа]]-Таблица97[[#This Row],[Закупка]]</f>
        <v>2759</v>
      </c>
      <c r="O1323" s="108" t="str">
        <f>IF(Таблица97[[#This Row],[НК]]=1,Таблица97[[#This Row],[Маржа]],"")</f>
        <v/>
      </c>
    </row>
    <row r="1324" spans="1:15" ht="20.100000000000001" customHeight="1" x14ac:dyDescent="0.25">
      <c r="A1324" s="2">
        <v>1028</v>
      </c>
      <c r="B1324" s="2" t="str">
        <f>TEXT(Таблица97[[#This Row],[Дата]],"ГГ")&amp;RIGHT("000"&amp;Таблица97[[#This Row],[Номер]],4)</f>
        <v>191028</v>
      </c>
      <c r="C1324" s="129">
        <v>43760</v>
      </c>
      <c r="D1324" s="2" t="s">
        <v>338</v>
      </c>
      <c r="E1324" s="108">
        <v>13294</v>
      </c>
      <c r="F1324" s="129">
        <v>43761</v>
      </c>
      <c r="H1324" s="129">
        <v>43767</v>
      </c>
      <c r="I1324" s="108">
        <f t="shared" si="59"/>
        <v>13294</v>
      </c>
      <c r="J1324" s="108" t="str">
        <f>IF(Таблица97[[#This Row],[НК]]=1,Таблица97[[#This Row],[Продажа]],"")</f>
        <v/>
      </c>
      <c r="L1324" s="108">
        <v>300</v>
      </c>
      <c r="M1324" s="108">
        <v>6402</v>
      </c>
      <c r="N1324" s="108">
        <f>Таблица97[[#This Row],[Продажа]]-Таблица97[[#This Row],[Закупка]]</f>
        <v>6892</v>
      </c>
      <c r="O1324" s="108" t="str">
        <f>IF(Таблица97[[#This Row],[НК]]=1,Таблица97[[#This Row],[Маржа]],"")</f>
        <v/>
      </c>
    </row>
    <row r="1325" spans="1:15" ht="20.100000000000001" customHeight="1" x14ac:dyDescent="0.25">
      <c r="A1325" s="2">
        <v>1030</v>
      </c>
      <c r="B1325" s="2" t="str">
        <f>TEXT(Таблица97[[#This Row],[Дата]],"ГГ")&amp;RIGHT("000"&amp;Таблица97[[#This Row],[Номер]],4)</f>
        <v>191030</v>
      </c>
      <c r="C1325" s="129">
        <v>43762</v>
      </c>
      <c r="D1325" s="2" t="s">
        <v>419</v>
      </c>
      <c r="E1325" s="108">
        <v>9184</v>
      </c>
      <c r="F1325" s="129">
        <v>43762</v>
      </c>
      <c r="H1325" s="129">
        <v>43763</v>
      </c>
      <c r="I1325" s="108">
        <f t="shared" si="59"/>
        <v>9184</v>
      </c>
      <c r="J1325" s="108" t="str">
        <f>IF(Таблица97[[#This Row],[НК]]=1,Таблица97[[#This Row],[Продажа]],"")</f>
        <v/>
      </c>
      <c r="L1325" s="108">
        <v>300</v>
      </c>
      <c r="M1325" s="108">
        <v>5424</v>
      </c>
      <c r="N1325" s="108">
        <f>Таблица97[[#This Row],[Продажа]]-Таблица97[[#This Row],[Закупка]]</f>
        <v>3760</v>
      </c>
      <c r="O1325" s="108" t="str">
        <f>IF(Таблица97[[#This Row],[НК]]=1,Таблица97[[#This Row],[Маржа]],"")</f>
        <v/>
      </c>
    </row>
    <row r="1326" spans="1:15" ht="20.100000000000001" customHeight="1" x14ac:dyDescent="0.25">
      <c r="A1326" s="2">
        <v>901</v>
      </c>
      <c r="B1326" s="2" t="str">
        <f>TEXT(Таблица97[[#This Row],[Дата]],"ГГ")&amp;RIGHT("000"&amp;Таблица97[[#This Row],[Номер]],4)</f>
        <v>190901</v>
      </c>
      <c r="C1326" s="129">
        <v>43714</v>
      </c>
      <c r="D1326" s="2" t="s">
        <v>248</v>
      </c>
      <c r="E1326" s="108">
        <v>9769</v>
      </c>
      <c r="F1326" s="129">
        <v>43763</v>
      </c>
      <c r="H1326" s="129">
        <v>43714</v>
      </c>
      <c r="I1326" s="108">
        <f t="shared" si="59"/>
        <v>9769</v>
      </c>
      <c r="J1326" s="108" t="str">
        <f>IF(Таблица97[[#This Row],[НК]]=1,Таблица97[[#This Row],[Продажа]],"")</f>
        <v/>
      </c>
      <c r="M1326" s="108">
        <v>7576</v>
      </c>
      <c r="N1326" s="108">
        <f>Таблица97[[#This Row],[Продажа]]-Таблица97[[#This Row],[Закупка]]</f>
        <v>2193</v>
      </c>
      <c r="O1326" s="108" t="str">
        <f>IF(Таблица97[[#This Row],[НК]]=1,Таблица97[[#This Row],[Маржа]],"")</f>
        <v/>
      </c>
    </row>
    <row r="1327" spans="1:15" ht="20.100000000000001" customHeight="1" x14ac:dyDescent="0.25">
      <c r="A1327" s="28">
        <v>858</v>
      </c>
      <c r="B1327" s="28" t="str">
        <f>TEXT(Таблица97[[#This Row],[Дата]],"ГГ")&amp;RIGHT("000"&amp;Таблица97[[#This Row],[Номер]],4)</f>
        <v>190858</v>
      </c>
      <c r="C1327" s="130">
        <v>43705</v>
      </c>
      <c r="D1327" s="28" t="s">
        <v>38</v>
      </c>
      <c r="E1327" s="132">
        <v>50611</v>
      </c>
      <c r="F1327" s="130">
        <v>43763</v>
      </c>
      <c r="G1327" s="131"/>
      <c r="H1327" s="130">
        <v>43734</v>
      </c>
      <c r="I1327" s="132">
        <f t="shared" si="59"/>
        <v>50611</v>
      </c>
      <c r="J1327" s="132" t="str">
        <f>IF(Таблица97[[#This Row],[НК]]=1,Таблица97[[#This Row],[Продажа]],"")</f>
        <v/>
      </c>
      <c r="K1327" s="132"/>
      <c r="L1327" s="132">
        <v>2400</v>
      </c>
      <c r="M1327" s="132">
        <v>19618</v>
      </c>
      <c r="N1327" s="108">
        <f>Таблица97[[#This Row],[Продажа]]-Таблица97[[#This Row],[Закупка]]</f>
        <v>30993</v>
      </c>
      <c r="O1327" s="108" t="str">
        <f>IF(Таблица97[[#This Row],[НК]]=1,Таблица97[[#This Row],[Маржа]],"")</f>
        <v/>
      </c>
    </row>
    <row r="1328" spans="1:15" ht="20.100000000000001" customHeight="1" x14ac:dyDescent="0.25">
      <c r="A1328" s="2">
        <v>898</v>
      </c>
      <c r="B1328" s="2" t="str">
        <f>TEXT(Таблица97[[#This Row],[Дата]],"ГГ")&amp;RIGHT("000"&amp;Таблица97[[#This Row],[Номер]],4)</f>
        <v>190898</v>
      </c>
      <c r="C1328" s="129">
        <v>43712</v>
      </c>
      <c r="D1328" s="2" t="s">
        <v>65</v>
      </c>
      <c r="E1328" s="108">
        <v>194446.8</v>
      </c>
      <c r="F1328" s="129">
        <v>43767</v>
      </c>
      <c r="H1328" s="129">
        <v>43739</v>
      </c>
      <c r="I1328" s="108">
        <v>16824</v>
      </c>
      <c r="J1328" s="108" t="str">
        <f>IF(Таблица97[[#This Row],[НК]]=1,Таблица97[[#This Row],[Продажа]],"")</f>
        <v/>
      </c>
      <c r="M1328" s="108">
        <v>13180</v>
      </c>
      <c r="N1328" s="108">
        <f>Таблица97[[#This Row],[Продажа]]-Таблица97[[#This Row],[Закупка]]</f>
        <v>3644</v>
      </c>
      <c r="O1328" s="108" t="str">
        <f>IF(Таблица97[[#This Row],[НК]]=1,Таблица97[[#This Row],[Маржа]],"")</f>
        <v/>
      </c>
    </row>
    <row r="1329" spans="1:15" ht="20.100000000000001" customHeight="1" x14ac:dyDescent="0.25">
      <c r="A1329" s="2">
        <v>990</v>
      </c>
      <c r="B1329" s="2" t="str">
        <f>TEXT(Таблица97[[#This Row],[Дата]],"ГГ")&amp;RIGHT("000"&amp;Таблица97[[#This Row],[Номер]],4)</f>
        <v>190990</v>
      </c>
      <c r="C1329" s="129">
        <v>43746</v>
      </c>
      <c r="D1329" s="2" t="s">
        <v>182</v>
      </c>
      <c r="E1329" s="108">
        <v>6990</v>
      </c>
      <c r="F1329" s="129">
        <v>43769</v>
      </c>
      <c r="H1329" s="129">
        <v>43777</v>
      </c>
      <c r="I1329" s="108">
        <f>E1329</f>
        <v>6990</v>
      </c>
      <c r="J1329" s="108" t="str">
        <f>IF(Таблица97[[#This Row],[НК]]=1,Таблица97[[#This Row],[Продажа]],"")</f>
        <v/>
      </c>
      <c r="M1329" s="108">
        <v>5872</v>
      </c>
      <c r="N1329" s="108">
        <f>Таблица97[[#This Row],[Продажа]]-Таблица97[[#This Row],[Закупка]]</f>
        <v>1118</v>
      </c>
      <c r="O1329" s="108" t="str">
        <f>IF(Таблица97[[#This Row],[НК]]=1,Таблица97[[#This Row],[Маржа]],"")</f>
        <v/>
      </c>
    </row>
    <row r="1330" spans="1:15" ht="20.100000000000001" customHeight="1" x14ac:dyDescent="0.25">
      <c r="A1330" s="2">
        <v>1037</v>
      </c>
      <c r="B1330" s="2" t="str">
        <f>TEXT(Таблица97[[#This Row],[Дата]],"ГГ")&amp;RIGHT("000"&amp;Таблица97[[#This Row],[Номер]],4)</f>
        <v>191037</v>
      </c>
      <c r="C1330" s="129">
        <v>43768</v>
      </c>
      <c r="D1330" s="2" t="s">
        <v>420</v>
      </c>
      <c r="E1330" s="108">
        <v>3142</v>
      </c>
      <c r="F1330" s="129">
        <v>43769</v>
      </c>
      <c r="G1330" s="128">
        <v>1</v>
      </c>
      <c r="H1330" s="129">
        <v>43770</v>
      </c>
      <c r="I1330" s="108">
        <f>E1330</f>
        <v>3142</v>
      </c>
      <c r="J1330" s="108">
        <f>IF(Таблица97[[#This Row],[НК]]=1,Таблица97[[#This Row],[Продажа]],"")</f>
        <v>3142</v>
      </c>
      <c r="M1330" s="108">
        <v>2450</v>
      </c>
      <c r="N1330" s="108">
        <f>Таблица97[[#This Row],[Продажа]]-Таблица97[[#This Row],[Закупка]]</f>
        <v>692</v>
      </c>
      <c r="O1330" s="108">
        <f>IF(Таблица97[[#This Row],[НК]]=1,Таблица97[[#This Row],[Маржа]],"")</f>
        <v>692</v>
      </c>
    </row>
    <row r="1331" spans="1:15" ht="20.100000000000001" customHeight="1" x14ac:dyDescent="0.25">
      <c r="A1331" s="2">
        <v>1059</v>
      </c>
      <c r="B1331" s="2" t="str">
        <f>TEXT(Таблица97[[#This Row],[Дата]],"ГГ")&amp;RIGHT("000"&amp;Таблица97[[#This Row],[Номер]],4)</f>
        <v>191059</v>
      </c>
      <c r="C1331" s="129">
        <v>43769</v>
      </c>
      <c r="D1331" s="2" t="s">
        <v>421</v>
      </c>
      <c r="E1331" s="108">
        <v>17190</v>
      </c>
      <c r="F1331" s="129">
        <v>43770</v>
      </c>
      <c r="G1331" s="128">
        <v>1</v>
      </c>
      <c r="H1331" s="129">
        <v>43774</v>
      </c>
      <c r="I1331" s="108">
        <f t="shared" ref="I1331:I1351" si="60">E1331</f>
        <v>17190</v>
      </c>
      <c r="J1331" s="108">
        <f>IF(Таблица97[[#This Row],[НК]]=1,Таблица97[[#This Row],[Продажа]],"")</f>
        <v>17190</v>
      </c>
      <c r="M1331" s="108">
        <v>12624</v>
      </c>
      <c r="N1331" s="108">
        <f>Таблица97[[#This Row],[Продажа]]-Таблица97[[#This Row],[Закупка]]</f>
        <v>4566</v>
      </c>
      <c r="O1331" s="108">
        <f>IF(Таблица97[[#This Row],[НК]]=1,Таблица97[[#This Row],[Маржа]],"")</f>
        <v>4566</v>
      </c>
    </row>
    <row r="1332" spans="1:15" ht="20.100000000000001" customHeight="1" x14ac:dyDescent="0.25">
      <c r="A1332" s="2">
        <v>1062</v>
      </c>
      <c r="B1332" s="2" t="str">
        <f>TEXT(Таблица97[[#This Row],[Дата]],"ГГ")&amp;RIGHT("000"&amp;Таблица97[[#This Row],[Номер]],4)</f>
        <v>191062</v>
      </c>
      <c r="C1332" s="129">
        <v>43770</v>
      </c>
      <c r="D1332" s="2" t="s">
        <v>139</v>
      </c>
      <c r="E1332" s="108">
        <v>2916</v>
      </c>
      <c r="F1332" s="129">
        <v>43774</v>
      </c>
      <c r="H1332" s="129">
        <v>43781</v>
      </c>
      <c r="I1332" s="108">
        <f t="shared" si="60"/>
        <v>2916</v>
      </c>
      <c r="J1332" s="108" t="str">
        <f>IF(Таблица97[[#This Row],[НК]]=1,Таблица97[[#This Row],[Продажа]],"")</f>
        <v/>
      </c>
      <c r="M1332" s="108">
        <v>2274</v>
      </c>
      <c r="N1332" s="108">
        <f>Таблица97[[#This Row],[Продажа]]-Таблица97[[#This Row],[Закупка]]</f>
        <v>642</v>
      </c>
      <c r="O1332" s="108" t="str">
        <f>IF(Таблица97[[#This Row],[НК]]=1,Таблица97[[#This Row],[Маржа]],"")</f>
        <v/>
      </c>
    </row>
    <row r="1333" spans="1:15" ht="20.100000000000001" customHeight="1" x14ac:dyDescent="0.25">
      <c r="A1333" s="2">
        <v>1020</v>
      </c>
      <c r="B1333" s="2" t="str">
        <f>TEXT(Таблица97[[#This Row],[Дата]],"ГГ")&amp;RIGHT("000"&amp;Таблица97[[#This Row],[Номер]],4)</f>
        <v>191020</v>
      </c>
      <c r="C1333" s="129">
        <v>43759</v>
      </c>
      <c r="D1333" s="2" t="s">
        <v>228</v>
      </c>
      <c r="E1333" s="108">
        <v>37619</v>
      </c>
      <c r="F1333" s="129">
        <v>43774</v>
      </c>
      <c r="H1333" s="129">
        <v>43777</v>
      </c>
      <c r="I1333" s="108">
        <f t="shared" si="60"/>
        <v>37619</v>
      </c>
      <c r="J1333" s="108" t="str">
        <f>IF(Таблица97[[#This Row],[НК]]=1,Таблица97[[#This Row],[Продажа]],"")</f>
        <v/>
      </c>
      <c r="M1333" s="108">
        <v>25363</v>
      </c>
      <c r="N1333" s="108">
        <f>Таблица97[[#This Row],[Продажа]]-Таблица97[[#This Row],[Закупка]]</f>
        <v>12256</v>
      </c>
      <c r="O1333" s="108" t="str">
        <f>IF(Таблица97[[#This Row],[НК]]=1,Таблица97[[#This Row],[Маржа]],"")</f>
        <v/>
      </c>
    </row>
    <row r="1334" spans="1:15" ht="20.100000000000001" customHeight="1" x14ac:dyDescent="0.25">
      <c r="A1334" s="2">
        <v>134</v>
      </c>
      <c r="B1334" s="2" t="str">
        <f>TEXT(Таблица97[[#This Row],[Дата]],"ГГ")&amp;RIGHT("000"&amp;Таблица97[[#This Row],[Номер]],4)</f>
        <v>190134</v>
      </c>
      <c r="C1334" s="129">
        <v>43517</v>
      </c>
      <c r="D1334" s="2" t="s">
        <v>228</v>
      </c>
      <c r="E1334" s="108">
        <v>8000</v>
      </c>
      <c r="F1334" s="129">
        <v>43775</v>
      </c>
      <c r="H1334" s="129">
        <v>43565</v>
      </c>
      <c r="I1334" s="108">
        <f t="shared" si="60"/>
        <v>8000</v>
      </c>
      <c r="J1334" s="108" t="str">
        <f>IF(Таблица97[[#This Row],[НК]]=1,Таблица97[[#This Row],[Продажа]],"")</f>
        <v/>
      </c>
      <c r="M1334" s="108">
        <v>5392</v>
      </c>
      <c r="N1334" s="108">
        <f>Таблица97[[#This Row],[Продажа]]-Таблица97[[#This Row],[Закупка]]</f>
        <v>2608</v>
      </c>
      <c r="O1334" s="108" t="str">
        <f>IF(Таблица97[[#This Row],[НК]]=1,Таблица97[[#This Row],[Маржа]],"")</f>
        <v/>
      </c>
    </row>
    <row r="1335" spans="1:15" ht="20.100000000000001" customHeight="1" x14ac:dyDescent="0.25">
      <c r="A1335" s="2">
        <v>1054</v>
      </c>
      <c r="B1335" s="2" t="str">
        <f>TEXT(Таблица97[[#This Row],[Дата]],"ГГ")&amp;RIGHT("000"&amp;Таблица97[[#This Row],[Номер]],4)</f>
        <v>191054</v>
      </c>
      <c r="C1335" s="129">
        <v>43768</v>
      </c>
      <c r="D1335" s="2" t="s">
        <v>422</v>
      </c>
      <c r="E1335" s="108">
        <v>13770</v>
      </c>
      <c r="F1335" s="129">
        <v>43775</v>
      </c>
      <c r="G1335" s="128">
        <v>1</v>
      </c>
      <c r="H1335" s="129">
        <v>43768</v>
      </c>
      <c r="I1335" s="108">
        <f t="shared" si="60"/>
        <v>13770</v>
      </c>
      <c r="J1335" s="108">
        <f>IF(Таблица97[[#This Row],[НК]]=1,Таблица97[[#This Row],[Продажа]],"")</f>
        <v>13770</v>
      </c>
      <c r="M1335" s="108">
        <v>10112</v>
      </c>
      <c r="N1335" s="108">
        <f>Таблица97[[#This Row],[Продажа]]-Таблица97[[#This Row],[Закупка]]</f>
        <v>3658</v>
      </c>
      <c r="O1335" s="108">
        <f>IF(Таблица97[[#This Row],[НК]]=1,Таблица97[[#This Row],[Маржа]],"")</f>
        <v>3658</v>
      </c>
    </row>
    <row r="1336" spans="1:15" ht="20.100000000000001" customHeight="1" x14ac:dyDescent="0.25">
      <c r="A1336" s="2">
        <v>1058</v>
      </c>
      <c r="B1336" s="2" t="str">
        <f>TEXT(Таблица97[[#This Row],[Дата]],"ГГ")&amp;RIGHT("000"&amp;Таблица97[[#This Row],[Номер]],4)</f>
        <v>191058</v>
      </c>
      <c r="C1336" s="129">
        <v>43769</v>
      </c>
      <c r="D1336" s="2" t="s">
        <v>319</v>
      </c>
      <c r="E1336" s="108">
        <v>4221</v>
      </c>
      <c r="F1336" s="129">
        <v>43776</v>
      </c>
      <c r="H1336" s="129">
        <v>43839</v>
      </c>
      <c r="I1336" s="108">
        <f t="shared" si="60"/>
        <v>4221</v>
      </c>
      <c r="J1336" s="108" t="str">
        <f>IF(Таблица97[[#This Row],[НК]]=1,Таблица97[[#This Row],[Продажа]],"")</f>
        <v/>
      </c>
      <c r="M1336" s="108">
        <v>3847</v>
      </c>
      <c r="N1336" s="108">
        <f>Таблица97[[#This Row],[Продажа]]-Таблица97[[#This Row],[Закупка]]</f>
        <v>374</v>
      </c>
      <c r="O1336" s="108" t="str">
        <f>IF(Таблица97[[#This Row],[НК]]=1,Таблица97[[#This Row],[Маржа]],"")</f>
        <v/>
      </c>
    </row>
    <row r="1337" spans="1:15" ht="20.100000000000001" customHeight="1" x14ac:dyDescent="0.25">
      <c r="A1337" s="2">
        <v>1083</v>
      </c>
      <c r="B1337" s="2" t="str">
        <f>TEXT(Таблица97[[#This Row],[Дата]],"ГГ")&amp;RIGHT("000"&amp;Таблица97[[#This Row],[Номер]],4)</f>
        <v>191083</v>
      </c>
      <c r="C1337" s="129">
        <v>43777</v>
      </c>
      <c r="D1337" s="2" t="s">
        <v>403</v>
      </c>
      <c r="E1337" s="108">
        <v>5431</v>
      </c>
      <c r="F1337" s="129">
        <v>43780</v>
      </c>
      <c r="H1337" s="129">
        <v>43782</v>
      </c>
      <c r="I1337" s="108">
        <f t="shared" si="60"/>
        <v>5431</v>
      </c>
      <c r="J1337" s="108" t="str">
        <f>IF(Таблица97[[#This Row],[НК]]=1,Таблица97[[#This Row],[Продажа]],"")</f>
        <v/>
      </c>
      <c r="M1337" s="108">
        <v>4181</v>
      </c>
      <c r="N1337" s="108">
        <f>Таблица97[[#This Row],[Продажа]]-Таблица97[[#This Row],[Закупка]]</f>
        <v>1250</v>
      </c>
      <c r="O1337" s="108" t="str">
        <f>IF(Таблица97[[#This Row],[НК]]=1,Таблица97[[#This Row],[Маржа]],"")</f>
        <v/>
      </c>
    </row>
    <row r="1338" spans="1:15" ht="20.100000000000001" customHeight="1" x14ac:dyDescent="0.25">
      <c r="A1338" s="2">
        <v>1106</v>
      </c>
      <c r="B1338" s="2" t="str">
        <f>TEXT(Таблица97[[#This Row],[Дата]],"ГГ")&amp;RIGHT("000"&amp;Таблица97[[#This Row],[Номер]],4)</f>
        <v>191106</v>
      </c>
      <c r="C1338" s="129">
        <v>43783</v>
      </c>
      <c r="D1338" s="2" t="s">
        <v>51</v>
      </c>
      <c r="E1338" s="108">
        <v>6950</v>
      </c>
      <c r="F1338" s="129">
        <v>43784</v>
      </c>
      <c r="H1338" s="129">
        <v>43805</v>
      </c>
      <c r="I1338" s="108">
        <f t="shared" si="60"/>
        <v>6950</v>
      </c>
      <c r="J1338" s="108" t="str">
        <f>IF(Таблица97[[#This Row],[НК]]=1,Таблица97[[#This Row],[Продажа]],"")</f>
        <v/>
      </c>
      <c r="M1338" s="108">
        <v>4587</v>
      </c>
      <c r="N1338" s="108">
        <f>Таблица97[[#This Row],[Продажа]]-Таблица97[[#This Row],[Закупка]]</f>
        <v>2363</v>
      </c>
      <c r="O1338" s="108" t="str">
        <f>IF(Таблица97[[#This Row],[НК]]=1,Таблица97[[#This Row],[Маржа]],"")</f>
        <v/>
      </c>
    </row>
    <row r="1339" spans="1:15" ht="20.100000000000001" customHeight="1" x14ac:dyDescent="0.25">
      <c r="A1339" s="2">
        <v>1108</v>
      </c>
      <c r="B1339" s="2" t="str">
        <f>TEXT(Таблица97[[#This Row],[Дата]],"ГГ")&amp;RIGHT("000"&amp;Таблица97[[#This Row],[Номер]],4)</f>
        <v>191108</v>
      </c>
      <c r="C1339" s="129">
        <v>43783</v>
      </c>
      <c r="D1339" s="2" t="s">
        <v>281</v>
      </c>
      <c r="E1339" s="108">
        <v>4500</v>
      </c>
      <c r="F1339" s="129">
        <v>43784</v>
      </c>
      <c r="H1339" s="129">
        <v>43805</v>
      </c>
      <c r="I1339" s="108">
        <f t="shared" si="60"/>
        <v>4500</v>
      </c>
      <c r="J1339" s="108" t="str">
        <f>IF(Таблица97[[#This Row],[НК]]=1,Таблица97[[#This Row],[Продажа]],"")</f>
        <v/>
      </c>
      <c r="M1339" s="108">
        <v>3511</v>
      </c>
      <c r="N1339" s="108">
        <f>Таблица97[[#This Row],[Продажа]]-Таблица97[[#This Row],[Закупка]]</f>
        <v>989</v>
      </c>
      <c r="O1339" s="108" t="str">
        <f>IF(Таблица97[[#This Row],[НК]]=1,Таблица97[[#This Row],[Маржа]],"")</f>
        <v/>
      </c>
    </row>
    <row r="1340" spans="1:15" ht="20.100000000000001" customHeight="1" x14ac:dyDescent="0.25">
      <c r="A1340" s="2">
        <v>1100</v>
      </c>
      <c r="B1340" s="2" t="str">
        <f>TEXT(Таблица97[[#This Row],[Дата]],"ГГ")&amp;RIGHT("000"&amp;Таблица97[[#This Row],[Номер]],4)</f>
        <v>191100</v>
      </c>
      <c r="C1340" s="129">
        <v>43781</v>
      </c>
      <c r="D1340" s="2" t="s">
        <v>228</v>
      </c>
      <c r="E1340" s="108">
        <v>9942</v>
      </c>
      <c r="F1340" s="129">
        <v>43788</v>
      </c>
      <c r="H1340" s="129">
        <v>43809</v>
      </c>
      <c r="I1340" s="108">
        <f t="shared" si="60"/>
        <v>9942</v>
      </c>
      <c r="J1340" s="108" t="str">
        <f>IF(Таблица97[[#This Row],[НК]]=1,Таблица97[[#This Row],[Продажа]],"")</f>
        <v/>
      </c>
      <c r="M1340" s="108">
        <v>6404</v>
      </c>
      <c r="N1340" s="108">
        <f>Таблица97[[#This Row],[Продажа]]-Таблица97[[#This Row],[Закупка]]</f>
        <v>3538</v>
      </c>
      <c r="O1340" s="108" t="str">
        <f>IF(Таблица97[[#This Row],[НК]]=1,Таблица97[[#This Row],[Маржа]],"")</f>
        <v/>
      </c>
    </row>
    <row r="1341" spans="1:15" ht="20.100000000000001" customHeight="1" x14ac:dyDescent="0.25">
      <c r="A1341" s="2">
        <v>1129</v>
      </c>
      <c r="B1341" s="2" t="str">
        <f>TEXT(Таблица97[[#This Row],[Дата]],"ГГ")&amp;RIGHT("000"&amp;Таблица97[[#This Row],[Номер]],4)</f>
        <v>191129</v>
      </c>
      <c r="C1341" s="129">
        <v>43789</v>
      </c>
      <c r="D1341" s="2" t="s">
        <v>423</v>
      </c>
      <c r="E1341" s="108">
        <v>65490</v>
      </c>
      <c r="F1341" s="129">
        <v>43790</v>
      </c>
      <c r="G1341" s="128">
        <v>1</v>
      </c>
      <c r="H1341" s="129">
        <v>43798</v>
      </c>
      <c r="I1341" s="108">
        <f t="shared" si="60"/>
        <v>65490</v>
      </c>
      <c r="J1341" s="108">
        <f>IF(Таблица97[[#This Row],[НК]]=1,Таблица97[[#This Row],[Продажа]],"")</f>
        <v>65490</v>
      </c>
      <c r="M1341" s="108">
        <v>48095</v>
      </c>
      <c r="N1341" s="108">
        <f>Таблица97[[#This Row],[Продажа]]-Таблица97[[#This Row],[Закупка]]</f>
        <v>17395</v>
      </c>
      <c r="O1341" s="108">
        <f>IF(Таблица97[[#This Row],[НК]]=1,Таблица97[[#This Row],[Маржа]],"")</f>
        <v>17395</v>
      </c>
    </row>
    <row r="1342" spans="1:15" ht="20.100000000000001" customHeight="1" x14ac:dyDescent="0.25">
      <c r="A1342" s="2">
        <v>1140</v>
      </c>
      <c r="B1342" s="2" t="str">
        <f>TEXT(Таблица97[[#This Row],[Дата]],"ГГ")&amp;RIGHT("000"&amp;Таблица97[[#This Row],[Номер]],4)</f>
        <v>191140</v>
      </c>
      <c r="C1342" s="129">
        <v>43791</v>
      </c>
      <c r="D1342" s="2" t="s">
        <v>278</v>
      </c>
      <c r="E1342" s="108">
        <v>12998</v>
      </c>
      <c r="F1342" s="129">
        <v>43794</v>
      </c>
      <c r="H1342" s="129">
        <v>43796</v>
      </c>
      <c r="I1342" s="108">
        <f t="shared" si="60"/>
        <v>12998</v>
      </c>
      <c r="J1342" s="108" t="str">
        <f>IF(Таблица97[[#This Row],[НК]]=1,Таблица97[[#This Row],[Продажа]],"")</f>
        <v/>
      </c>
      <c r="M1342" s="108">
        <v>6973</v>
      </c>
      <c r="N1342" s="108">
        <f>Таблица97[[#This Row],[Продажа]]-Таблица97[[#This Row],[Закупка]]</f>
        <v>6025</v>
      </c>
      <c r="O1342" s="108" t="str">
        <f>IF(Таблица97[[#This Row],[НК]]=1,Таблица97[[#This Row],[Маржа]],"")</f>
        <v/>
      </c>
    </row>
    <row r="1343" spans="1:15" ht="20.100000000000001" customHeight="1" x14ac:dyDescent="0.25">
      <c r="A1343" s="2">
        <v>1145</v>
      </c>
      <c r="B1343" s="2" t="str">
        <f>TEXT(Таблица97[[#This Row],[Дата]],"ГГ")&amp;RIGHT("000"&amp;Таблица97[[#This Row],[Номер]],4)</f>
        <v>191145</v>
      </c>
      <c r="C1343" s="129">
        <v>43794</v>
      </c>
      <c r="D1343" s="2" t="s">
        <v>149</v>
      </c>
      <c r="E1343" s="108">
        <v>3834</v>
      </c>
      <c r="F1343" s="129">
        <v>43795</v>
      </c>
      <c r="H1343" s="129">
        <v>43795</v>
      </c>
      <c r="I1343" s="108">
        <f t="shared" si="60"/>
        <v>3834</v>
      </c>
      <c r="J1343" s="108" t="str">
        <f>IF(Таблица97[[#This Row],[НК]]=1,Таблица97[[#This Row],[Продажа]],"")</f>
        <v/>
      </c>
      <c r="M1343" s="108">
        <v>2988</v>
      </c>
      <c r="N1343" s="108">
        <f>Таблица97[[#This Row],[Продажа]]-Таблица97[[#This Row],[Закупка]]</f>
        <v>846</v>
      </c>
      <c r="O1343" s="108" t="str">
        <f>IF(Таблица97[[#This Row],[НК]]=1,Таблица97[[#This Row],[Маржа]],"")</f>
        <v/>
      </c>
    </row>
    <row r="1344" spans="1:15" ht="20.100000000000001" customHeight="1" x14ac:dyDescent="0.25">
      <c r="A1344" s="2">
        <v>1142</v>
      </c>
      <c r="B1344" s="2" t="str">
        <f>TEXT(Таблица97[[#This Row],[Дата]],"ГГ")&amp;RIGHT("000"&amp;Таблица97[[#This Row],[Номер]],4)</f>
        <v>191142</v>
      </c>
      <c r="C1344" s="129">
        <v>43794</v>
      </c>
      <c r="D1344" s="2" t="s">
        <v>270</v>
      </c>
      <c r="E1344" s="108">
        <v>13770</v>
      </c>
      <c r="F1344" s="129">
        <v>43795</v>
      </c>
      <c r="H1344" s="129">
        <v>43795</v>
      </c>
      <c r="I1344" s="108">
        <f t="shared" si="60"/>
        <v>13770</v>
      </c>
      <c r="J1344" s="108" t="str">
        <f>IF(Таблица97[[#This Row],[НК]]=1,Таблица97[[#This Row],[Продажа]],"")</f>
        <v/>
      </c>
      <c r="M1344" s="108">
        <v>10112</v>
      </c>
      <c r="N1344" s="108">
        <f>Таблица97[[#This Row],[Продажа]]-Таблица97[[#This Row],[Закупка]]</f>
        <v>3658</v>
      </c>
      <c r="O1344" s="108" t="str">
        <f>IF(Таблица97[[#This Row],[НК]]=1,Таблица97[[#This Row],[Маржа]],"")</f>
        <v/>
      </c>
    </row>
    <row r="1345" spans="1:15" ht="20.100000000000001" customHeight="1" x14ac:dyDescent="0.25">
      <c r="A1345" s="2">
        <v>964</v>
      </c>
      <c r="B1345" s="2" t="str">
        <f>TEXT(Таблица97[[#This Row],[Дата]],"ГГ")&amp;RIGHT("000"&amp;Таблица97[[#This Row],[Номер]],4)</f>
        <v>190964</v>
      </c>
      <c r="C1345" s="129">
        <v>43738</v>
      </c>
      <c r="D1345" s="2" t="s">
        <v>270</v>
      </c>
      <c r="E1345" s="108">
        <v>14390</v>
      </c>
      <c r="F1345" s="129">
        <v>43795</v>
      </c>
      <c r="H1345" s="129">
        <v>43795</v>
      </c>
      <c r="I1345" s="108">
        <f t="shared" si="60"/>
        <v>14390</v>
      </c>
      <c r="J1345" s="108" t="str">
        <f>IF(Таблица97[[#This Row],[НК]]=1,Таблица97[[#This Row],[Продажа]],"")</f>
        <v/>
      </c>
      <c r="M1345" s="108">
        <v>10568</v>
      </c>
      <c r="N1345" s="108">
        <f>Таблица97[[#This Row],[Продажа]]-Таблица97[[#This Row],[Закупка]]</f>
        <v>3822</v>
      </c>
      <c r="O1345" s="108" t="str">
        <f>IF(Таблица97[[#This Row],[НК]]=1,Таблица97[[#This Row],[Маржа]],"")</f>
        <v/>
      </c>
    </row>
    <row r="1346" spans="1:15" ht="20.100000000000001" customHeight="1" x14ac:dyDescent="0.25">
      <c r="A1346" s="2">
        <v>1141</v>
      </c>
      <c r="B1346" s="2" t="str">
        <f>TEXT(Таблица97[[#This Row],[Дата]],"ГГ")&amp;RIGHT("000"&amp;Таблица97[[#This Row],[Номер]],4)</f>
        <v>191141</v>
      </c>
      <c r="C1346" s="129">
        <v>43791</v>
      </c>
      <c r="D1346" s="2" t="s">
        <v>179</v>
      </c>
      <c r="E1346" s="108">
        <v>10862</v>
      </c>
      <c r="F1346" s="129">
        <v>43795</v>
      </c>
      <c r="H1346" s="129">
        <v>43801</v>
      </c>
      <c r="I1346" s="108">
        <f t="shared" si="60"/>
        <v>10862</v>
      </c>
      <c r="J1346" s="108" t="str">
        <f>IF(Таблица97[[#This Row],[НК]]=1,Таблица97[[#This Row],[Продажа]],"")</f>
        <v/>
      </c>
      <c r="M1346" s="108">
        <v>8108</v>
      </c>
      <c r="N1346" s="108">
        <f>Таблица97[[#This Row],[Продажа]]-Таблица97[[#This Row],[Закупка]]</f>
        <v>2754</v>
      </c>
      <c r="O1346" s="108" t="str">
        <f>IF(Таблица97[[#This Row],[НК]]=1,Таблица97[[#This Row],[Маржа]],"")</f>
        <v/>
      </c>
    </row>
    <row r="1347" spans="1:15" ht="20.100000000000001" customHeight="1" x14ac:dyDescent="0.25">
      <c r="A1347" s="2">
        <v>965</v>
      </c>
      <c r="B1347" s="2" t="str">
        <f>TEXT(Таблица97[[#This Row],[Дата]],"ГГ")&amp;RIGHT("000"&amp;Таблица97[[#This Row],[Номер]],4)</f>
        <v>190965</v>
      </c>
      <c r="C1347" s="129">
        <v>43738</v>
      </c>
      <c r="D1347" s="2" t="s">
        <v>56</v>
      </c>
      <c r="E1347" s="108">
        <v>32877</v>
      </c>
      <c r="F1347" s="129">
        <v>43795</v>
      </c>
      <c r="H1347" s="129">
        <v>43754</v>
      </c>
      <c r="I1347" s="108">
        <f t="shared" si="60"/>
        <v>32877</v>
      </c>
      <c r="J1347" s="108" t="str">
        <f>IF(Таблица97[[#This Row],[НК]]=1,Таблица97[[#This Row],[Продажа]],"")</f>
        <v/>
      </c>
      <c r="M1347" s="108">
        <v>24840</v>
      </c>
      <c r="N1347" s="108">
        <f>Таблица97[[#This Row],[Продажа]]-Таблица97[[#This Row],[Закупка]]</f>
        <v>8037</v>
      </c>
      <c r="O1347" s="108" t="str">
        <f>IF(Таблица97[[#This Row],[НК]]=1,Таблица97[[#This Row],[Маржа]],"")</f>
        <v/>
      </c>
    </row>
    <row r="1348" spans="1:15" ht="20.100000000000001" customHeight="1" x14ac:dyDescent="0.25">
      <c r="A1348" s="2">
        <v>1052</v>
      </c>
      <c r="B1348" s="2" t="str">
        <f>TEXT(Таблица97[[#This Row],[Дата]],"ГГ")&amp;RIGHT("000"&amp;Таблица97[[#This Row],[Номер]],4)</f>
        <v>191052</v>
      </c>
      <c r="C1348" s="129">
        <v>43768</v>
      </c>
      <c r="D1348" s="2" t="s">
        <v>56</v>
      </c>
      <c r="E1348" s="108">
        <v>32961</v>
      </c>
      <c r="F1348" s="129">
        <v>43795</v>
      </c>
      <c r="H1348" s="129">
        <v>43781</v>
      </c>
      <c r="I1348" s="108">
        <f t="shared" si="60"/>
        <v>32961</v>
      </c>
      <c r="J1348" s="108" t="str">
        <f>IF(Таблица97[[#This Row],[НК]]=1,Таблица97[[#This Row],[Продажа]],"")</f>
        <v/>
      </c>
      <c r="M1348" s="108">
        <v>24358</v>
      </c>
      <c r="N1348" s="108">
        <f>Таблица97[[#This Row],[Продажа]]-Таблица97[[#This Row],[Закупка]]</f>
        <v>8603</v>
      </c>
      <c r="O1348" s="108" t="str">
        <f>IF(Таблица97[[#This Row],[НК]]=1,Таблица97[[#This Row],[Маржа]],"")</f>
        <v/>
      </c>
    </row>
    <row r="1349" spans="1:15" ht="20.100000000000001" customHeight="1" x14ac:dyDescent="0.25">
      <c r="A1349" s="2">
        <v>1149</v>
      </c>
      <c r="B1349" s="2" t="str">
        <f>TEXT(Таблица97[[#This Row],[Дата]],"ГГ")&amp;RIGHT("000"&amp;Таблица97[[#This Row],[Номер]],4)</f>
        <v>191149</v>
      </c>
      <c r="C1349" s="129">
        <v>43796</v>
      </c>
      <c r="D1349" s="2" t="s">
        <v>424</v>
      </c>
      <c r="E1349" s="108">
        <v>2609</v>
      </c>
      <c r="F1349" s="129">
        <v>43796</v>
      </c>
      <c r="H1349" s="129">
        <v>43808</v>
      </c>
      <c r="I1349" s="108">
        <f t="shared" si="60"/>
        <v>2609</v>
      </c>
      <c r="J1349" s="108" t="str">
        <f>IF(Таблица97[[#This Row],[НК]]=1,Таблица97[[#This Row],[Продажа]],"")</f>
        <v/>
      </c>
      <c r="M1349" s="108">
        <v>2034</v>
      </c>
      <c r="N1349" s="108">
        <f>Таблица97[[#This Row],[Продажа]]-Таблица97[[#This Row],[Закупка]]</f>
        <v>575</v>
      </c>
      <c r="O1349" s="108" t="str">
        <f>IF(Таблица97[[#This Row],[НК]]=1,Таблица97[[#This Row],[Маржа]],"")</f>
        <v/>
      </c>
    </row>
    <row r="1350" spans="1:15" ht="20.100000000000001" customHeight="1" x14ac:dyDescent="0.25">
      <c r="A1350" s="2">
        <v>1082</v>
      </c>
      <c r="B1350" s="2" t="str">
        <f>TEXT(Таблица97[[#This Row],[Дата]],"ГГ")&amp;RIGHT("000"&amp;Таблица97[[#This Row],[Номер]],4)</f>
        <v>191082</v>
      </c>
      <c r="C1350" s="129">
        <v>43776</v>
      </c>
      <c r="D1350" s="2" t="s">
        <v>13</v>
      </c>
      <c r="E1350" s="108">
        <v>21909</v>
      </c>
      <c r="F1350" s="129">
        <v>43798</v>
      </c>
      <c r="H1350" s="129">
        <v>43788</v>
      </c>
      <c r="I1350" s="108">
        <f t="shared" si="60"/>
        <v>21909</v>
      </c>
      <c r="J1350" s="108" t="str">
        <f>IF(Таблица97[[#This Row],[НК]]=1,Таблица97[[#This Row],[Продажа]],"")</f>
        <v/>
      </c>
      <c r="M1350" s="108">
        <v>17087</v>
      </c>
      <c r="N1350" s="108">
        <f>Таблица97[[#This Row],[Продажа]]-Таблица97[[#This Row],[Закупка]]</f>
        <v>4822</v>
      </c>
      <c r="O1350" s="108" t="str">
        <f>IF(Таблица97[[#This Row],[НК]]=1,Таблица97[[#This Row],[Маржа]],"")</f>
        <v/>
      </c>
    </row>
    <row r="1351" spans="1:15" ht="20.100000000000001" customHeight="1" x14ac:dyDescent="0.25">
      <c r="A1351" s="2">
        <v>1112</v>
      </c>
      <c r="B1351" s="2" t="str">
        <f>TEXT(Таблица97[[#This Row],[Дата]],"ГГ")&amp;RIGHT("000"&amp;Таблица97[[#This Row],[Номер]],4)</f>
        <v>191112</v>
      </c>
      <c r="C1351" s="129">
        <v>43784</v>
      </c>
      <c r="D1351" s="2" t="s">
        <v>338</v>
      </c>
      <c r="E1351" s="108">
        <v>5500</v>
      </c>
      <c r="F1351" s="129">
        <v>43798</v>
      </c>
      <c r="H1351" s="129">
        <v>43805</v>
      </c>
      <c r="I1351" s="108">
        <f t="shared" si="60"/>
        <v>5500</v>
      </c>
      <c r="J1351" s="108" t="str">
        <f>IF(Таблица97[[#This Row],[НК]]=1,Таблица97[[#This Row],[Продажа]],"")</f>
        <v/>
      </c>
      <c r="M1351" s="108">
        <v>2662</v>
      </c>
      <c r="N1351" s="108">
        <f>Таблица97[[#This Row],[Продажа]]-Таблица97[[#This Row],[Закупка]]</f>
        <v>2838</v>
      </c>
      <c r="O1351" s="108" t="str">
        <f>IF(Таблица97[[#This Row],[НК]]=1,Таблица97[[#This Row],[Маржа]],"")</f>
        <v/>
      </c>
    </row>
    <row r="1352" spans="1:15" ht="20.100000000000001" customHeight="1" x14ac:dyDescent="0.25">
      <c r="A1352" s="2">
        <v>1089</v>
      </c>
      <c r="B1352" s="2" t="str">
        <f>TEXT(Таблица97[[#This Row],[Дата]],"ГГ")&amp;RIGHT("000"&amp;Таблица97[[#This Row],[Номер]],4)</f>
        <v>191089</v>
      </c>
      <c r="C1352" s="129">
        <v>43794</v>
      </c>
      <c r="D1352" s="2" t="s">
        <v>302</v>
      </c>
      <c r="E1352" s="108">
        <v>6600</v>
      </c>
      <c r="F1352" s="129">
        <v>43803</v>
      </c>
      <c r="H1352" s="129">
        <v>43794</v>
      </c>
      <c r="I1352" s="108">
        <f t="shared" ref="I1352:I1360" si="61">E1352</f>
        <v>6600</v>
      </c>
      <c r="J1352" s="108" t="str">
        <f>IF(Таблица97[[#This Row],[НК]]=1,Таблица97[[#This Row],[Продажа]],"")</f>
        <v/>
      </c>
      <c r="M1352" s="108">
        <v>5071</v>
      </c>
      <c r="N1352" s="108">
        <f>Таблица97[[#This Row],[Продажа]]-Таблица97[[#This Row],[Закупка]]</f>
        <v>1529</v>
      </c>
      <c r="O1352" s="108" t="str">
        <f>IF(Таблица97[[#This Row],[НК]]=1,Таблица97[[#This Row],[Маржа]],"")</f>
        <v/>
      </c>
    </row>
    <row r="1353" spans="1:15" ht="20.100000000000001" customHeight="1" x14ac:dyDescent="0.25">
      <c r="A1353" s="2">
        <v>1138</v>
      </c>
      <c r="B1353" s="2" t="str">
        <f>TEXT(Таблица97[[#This Row],[Дата]],"ГГ")&amp;RIGHT("000"&amp;Таблица97[[#This Row],[Номер]],4)</f>
        <v>191138</v>
      </c>
      <c r="C1353" s="129">
        <v>43790</v>
      </c>
      <c r="D1353" s="2" t="s">
        <v>258</v>
      </c>
      <c r="E1353" s="108">
        <v>1597</v>
      </c>
      <c r="F1353" s="129">
        <v>43803</v>
      </c>
      <c r="H1353" s="129">
        <v>43804</v>
      </c>
      <c r="I1353" s="108">
        <f t="shared" si="61"/>
        <v>1597</v>
      </c>
      <c r="J1353" s="108" t="str">
        <f>IF(Таблица97[[#This Row],[НК]]=1,Таблица97[[#This Row],[Продажа]],"")</f>
        <v/>
      </c>
      <c r="M1353" s="108">
        <v>1245</v>
      </c>
      <c r="N1353" s="108">
        <f>Таблица97[[#This Row],[Продажа]]-Таблица97[[#This Row],[Закупка]]</f>
        <v>352</v>
      </c>
      <c r="O1353" s="108" t="str">
        <f>IF(Таблица97[[#This Row],[НК]]=1,Таблица97[[#This Row],[Маржа]],"")</f>
        <v/>
      </c>
    </row>
    <row r="1354" spans="1:15" ht="20.100000000000001" customHeight="1" x14ac:dyDescent="0.25">
      <c r="A1354" s="2">
        <v>1081</v>
      </c>
      <c r="B1354" s="2" t="str">
        <f>TEXT(Таблица97[[#This Row],[Дата]],"ГГ")&amp;RIGHT("000"&amp;Таблица97[[#This Row],[Номер]],4)</f>
        <v>191081</v>
      </c>
      <c r="C1354" s="129">
        <v>43776</v>
      </c>
      <c r="D1354" s="2" t="s">
        <v>426</v>
      </c>
      <c r="E1354" s="108">
        <v>9990</v>
      </c>
      <c r="F1354" s="129">
        <v>43803</v>
      </c>
      <c r="H1354" s="129">
        <v>43875</v>
      </c>
      <c r="I1354" s="108">
        <f t="shared" si="61"/>
        <v>9990</v>
      </c>
      <c r="J1354" s="108" t="str">
        <f>IF(Таблица97[[#This Row],[НК]]=1,Таблица97[[#This Row],[Продажа]],"")</f>
        <v/>
      </c>
      <c r="M1354" s="108">
        <v>7342</v>
      </c>
      <c r="N1354" s="108">
        <f>Таблица97[[#This Row],[Продажа]]-Таблица97[[#This Row],[Закупка]]</f>
        <v>2648</v>
      </c>
      <c r="O1354" s="108" t="str">
        <f>IF(Таблица97[[#This Row],[НК]]=1,Таблица97[[#This Row],[Маржа]],"")</f>
        <v/>
      </c>
    </row>
    <row r="1355" spans="1:15" ht="20.100000000000001" customHeight="1" x14ac:dyDescent="0.25">
      <c r="A1355" s="2">
        <v>1080</v>
      </c>
      <c r="B1355" s="2" t="str">
        <f>TEXT(Таблица97[[#This Row],[Дата]],"ГГ")&amp;RIGHT("000"&amp;Таблица97[[#This Row],[Номер]],4)</f>
        <v>191080</v>
      </c>
      <c r="C1355" s="129">
        <v>43776</v>
      </c>
      <c r="D1355" s="2" t="s">
        <v>209</v>
      </c>
      <c r="E1355" s="108">
        <v>972</v>
      </c>
      <c r="F1355" s="129">
        <v>43804</v>
      </c>
      <c r="H1355" s="129">
        <v>43776</v>
      </c>
      <c r="I1355" s="108">
        <f t="shared" si="61"/>
        <v>972</v>
      </c>
      <c r="J1355" s="108" t="str">
        <f>IF(Таблица97[[#This Row],[НК]]=1,Таблица97[[#This Row],[Продажа]],"")</f>
        <v/>
      </c>
      <c r="M1355" s="108">
        <v>758</v>
      </c>
      <c r="N1355" s="108">
        <f>Таблица97[[#This Row],[Продажа]]-Таблица97[[#This Row],[Закупка]]</f>
        <v>214</v>
      </c>
      <c r="O1355" s="108" t="str">
        <f>IF(Таблица97[[#This Row],[НК]]=1,Таблица97[[#This Row],[Маржа]],"")</f>
        <v/>
      </c>
    </row>
    <row r="1356" spans="1:15" ht="20.100000000000001" customHeight="1" x14ac:dyDescent="0.25">
      <c r="A1356" s="2">
        <v>1076</v>
      </c>
      <c r="B1356" s="2" t="str">
        <f>TEXT(Таблица97[[#This Row],[Дата]],"ГГ")&amp;RIGHT("000"&amp;Таблица97[[#This Row],[Номер]],4)</f>
        <v>191076</v>
      </c>
      <c r="C1356" s="129">
        <v>43776</v>
      </c>
      <c r="D1356" s="2" t="s">
        <v>209</v>
      </c>
      <c r="E1356" s="108">
        <v>2012.8</v>
      </c>
      <c r="F1356" s="129">
        <v>43804</v>
      </c>
      <c r="H1356" s="129">
        <v>43812</v>
      </c>
      <c r="I1356" s="108">
        <f t="shared" si="61"/>
        <v>2012.8</v>
      </c>
      <c r="J1356" s="108" t="str">
        <f>IF(Таблица97[[#This Row],[НК]]=1,Таблица97[[#This Row],[Продажа]],"")</f>
        <v/>
      </c>
      <c r="M1356" s="108">
        <v>1847</v>
      </c>
      <c r="N1356" s="108">
        <f>Таблица97[[#This Row],[Продажа]]-Таблица97[[#This Row],[Закупка]]</f>
        <v>165.79999999999995</v>
      </c>
      <c r="O1356" s="108" t="str">
        <f>IF(Таблица97[[#This Row],[НК]]=1,Таблица97[[#This Row],[Маржа]],"")</f>
        <v/>
      </c>
    </row>
    <row r="1357" spans="1:15" ht="20.100000000000001" customHeight="1" x14ac:dyDescent="0.25">
      <c r="A1357" s="2">
        <v>1159</v>
      </c>
      <c r="B1357" s="2" t="str">
        <f>TEXT(Таблица97[[#This Row],[Дата]],"ГГ")&amp;RIGHT("000"&amp;Таблица97[[#This Row],[Номер]],4)</f>
        <v>191159</v>
      </c>
      <c r="C1357" s="129">
        <v>43801</v>
      </c>
      <c r="D1357" s="2" t="s">
        <v>427</v>
      </c>
      <c r="E1357" s="108">
        <v>6583</v>
      </c>
      <c r="F1357" s="129">
        <v>43805</v>
      </c>
      <c r="H1357" s="129">
        <v>43845</v>
      </c>
      <c r="I1357" s="108">
        <f t="shared" si="61"/>
        <v>6583</v>
      </c>
      <c r="J1357" s="108" t="str">
        <f>IF(Таблица97[[#This Row],[НК]]=1,Таблица97[[#This Row],[Продажа]],"")</f>
        <v/>
      </c>
      <c r="M1357" s="108">
        <v>4729</v>
      </c>
      <c r="N1357" s="108">
        <f>Таблица97[[#This Row],[Продажа]]-Таблица97[[#This Row],[Закупка]]</f>
        <v>1854</v>
      </c>
      <c r="O1357" s="108" t="str">
        <f>IF(Таблица97[[#This Row],[НК]]=1,Таблица97[[#This Row],[Маржа]],"")</f>
        <v/>
      </c>
    </row>
    <row r="1358" spans="1:15" ht="20.100000000000001" customHeight="1" x14ac:dyDescent="0.25">
      <c r="A1358" s="2">
        <v>1171</v>
      </c>
      <c r="B1358" s="2" t="str">
        <f>TEXT(Таблица97[[#This Row],[Дата]],"ГГ")&amp;RIGHT("000"&amp;Таблица97[[#This Row],[Номер]],4)</f>
        <v>191171</v>
      </c>
      <c r="C1358" s="129">
        <v>43804</v>
      </c>
      <c r="D1358" s="2" t="s">
        <v>403</v>
      </c>
      <c r="E1358" s="108">
        <v>5431</v>
      </c>
      <c r="F1358" s="129">
        <v>43808</v>
      </c>
      <c r="H1358" s="129">
        <v>43812</v>
      </c>
      <c r="I1358" s="108">
        <f t="shared" si="61"/>
        <v>5431</v>
      </c>
      <c r="J1358" s="108" t="str">
        <f>IF(Таблица97[[#This Row],[НК]]=1,Таблица97[[#This Row],[Продажа]],"")</f>
        <v/>
      </c>
      <c r="M1358" s="108">
        <v>4181</v>
      </c>
      <c r="N1358" s="108">
        <f>Таблица97[[#This Row],[Продажа]]-Таблица97[[#This Row],[Закупка]]</f>
        <v>1250</v>
      </c>
      <c r="O1358" s="108" t="str">
        <f>IF(Таблица97[[#This Row],[НК]]=1,Таблица97[[#This Row],[Маржа]],"")</f>
        <v/>
      </c>
    </row>
    <row r="1359" spans="1:15" ht="20.100000000000001" customHeight="1" x14ac:dyDescent="0.25">
      <c r="A1359" s="2">
        <v>1154</v>
      </c>
      <c r="B1359" s="2" t="str">
        <f>TEXT(Таблица97[[#This Row],[Дата]],"ГГ")&amp;RIGHT("000"&amp;Таблица97[[#This Row],[Номер]],4)</f>
        <v>191154</v>
      </c>
      <c r="C1359" s="129">
        <v>43796</v>
      </c>
      <c r="D1359" s="2" t="s">
        <v>424</v>
      </c>
      <c r="E1359" s="108">
        <v>1220</v>
      </c>
      <c r="F1359" s="129">
        <v>43810</v>
      </c>
      <c r="H1359" s="129">
        <v>43852</v>
      </c>
      <c r="I1359" s="108">
        <f t="shared" si="61"/>
        <v>1220</v>
      </c>
      <c r="J1359" s="108" t="str">
        <f>IF(Таблица97[[#This Row],[НК]]=1,Таблица97[[#This Row],[Продажа]],"")</f>
        <v/>
      </c>
      <c r="M1359" s="108">
        <v>1140</v>
      </c>
      <c r="N1359" s="108">
        <f>Таблица97[[#This Row],[Продажа]]-Таблица97[[#This Row],[Закупка]]</f>
        <v>80</v>
      </c>
      <c r="O1359" s="108" t="str">
        <f>IF(Таблица97[[#This Row],[НК]]=1,Таблица97[[#This Row],[Маржа]],"")</f>
        <v/>
      </c>
    </row>
    <row r="1360" spans="1:15" ht="20.100000000000001" customHeight="1" x14ac:dyDescent="0.25">
      <c r="A1360" s="2">
        <v>1188</v>
      </c>
      <c r="B1360" s="2" t="str">
        <f>TEXT(Таблица97[[#This Row],[Дата]],"ГГ")&amp;RIGHT("000"&amp;Таблица97[[#This Row],[Номер]],4)</f>
        <v>191188</v>
      </c>
      <c r="C1360" s="129">
        <v>43809</v>
      </c>
      <c r="D1360" s="2" t="s">
        <v>410</v>
      </c>
      <c r="E1360" s="108">
        <v>1118370</v>
      </c>
      <c r="F1360" s="129">
        <v>43810</v>
      </c>
      <c r="H1360" s="129">
        <v>43817</v>
      </c>
      <c r="I1360" s="108">
        <f t="shared" si="61"/>
        <v>1118370</v>
      </c>
      <c r="J1360" s="108" t="str">
        <f>IF(Таблица97[[#This Row],[НК]]=1,Таблица97[[#This Row],[Продажа]],"")</f>
        <v/>
      </c>
      <c r="K1360" s="108">
        <v>15000</v>
      </c>
      <c r="M1360" s="108">
        <v>976783.4</v>
      </c>
      <c r="N1360" s="108">
        <f>Таблица97[[#This Row],[Продажа]]-Таблица97[[#This Row],[Закупка]]</f>
        <v>141586.59999999998</v>
      </c>
      <c r="O1360" s="108" t="str">
        <f>IF(Таблица97[[#This Row],[НК]]=1,Таблица97[[#This Row],[Маржа]],"")</f>
        <v/>
      </c>
    </row>
    <row r="1361" spans="1:15" ht="20.100000000000001" customHeight="1" x14ac:dyDescent="0.25">
      <c r="A1361" s="2">
        <v>1017</v>
      </c>
      <c r="B1361" s="2" t="str">
        <f>TEXT(Таблица97[[#This Row],[Дата]],"ГГ")&amp;RIGHT("000"&amp;Таблица97[[#This Row],[Номер]],4)</f>
        <v>191017</v>
      </c>
      <c r="C1361" s="129">
        <v>43787</v>
      </c>
      <c r="D1361" s="2" t="s">
        <v>425</v>
      </c>
      <c r="E1361" s="108">
        <v>235000</v>
      </c>
      <c r="F1361" s="129">
        <v>43811</v>
      </c>
      <c r="G1361" s="128">
        <v>1</v>
      </c>
      <c r="H1361" s="129">
        <v>43826</v>
      </c>
      <c r="I1361" s="108">
        <v>117500</v>
      </c>
      <c r="J1361" s="108">
        <f>IF(Таблица97[[#This Row],[НК]]=1,Таблица97[[#This Row],[Продажа]],"")</f>
        <v>117500</v>
      </c>
      <c r="M1361" s="108">
        <v>90768</v>
      </c>
      <c r="N1361" s="108">
        <f>Таблица97[[#This Row],[Продажа]]-Таблица97[[#This Row],[Закупка]]</f>
        <v>26732</v>
      </c>
      <c r="O1361" s="108">
        <f>IF(Таблица97[[#This Row],[НК]]=1,Таблица97[[#This Row],[Маржа]],"")</f>
        <v>26732</v>
      </c>
    </row>
    <row r="1362" spans="1:15" ht="20.100000000000001" customHeight="1" x14ac:dyDescent="0.25">
      <c r="A1362" s="2">
        <v>1033</v>
      </c>
      <c r="B1362" s="2" t="str">
        <f>TEXT(Таблица97[[#This Row],[Дата]],"ГГ")&amp;RIGHT("000"&amp;Таблица97[[#This Row],[Номер]],4)</f>
        <v>191033</v>
      </c>
      <c r="C1362" s="129">
        <v>43762</v>
      </c>
      <c r="D1362" s="2" t="s">
        <v>65</v>
      </c>
      <c r="E1362" s="108">
        <v>261134.4</v>
      </c>
      <c r="F1362" s="129">
        <v>43811</v>
      </c>
      <c r="H1362" s="129">
        <v>43791</v>
      </c>
      <c r="I1362" s="108">
        <f t="shared" ref="I1362:I1371" si="62">E1362</f>
        <v>261134.4</v>
      </c>
      <c r="J1362" s="108" t="str">
        <f>IF(Таблица97[[#This Row],[НК]]=1,Таблица97[[#This Row],[Продажа]],"")</f>
        <v/>
      </c>
      <c r="L1362" s="108">
        <f>16*1200</f>
        <v>19200</v>
      </c>
      <c r="M1362" s="108">
        <v>182654</v>
      </c>
      <c r="N1362" s="108">
        <f>Таблица97[[#This Row],[Продажа]]-Таблица97[[#This Row],[Закупка]]</f>
        <v>78480.399999999994</v>
      </c>
      <c r="O1362" s="108" t="str">
        <f>IF(Таблица97[[#This Row],[НК]]=1,Таблица97[[#This Row],[Маржа]],"")</f>
        <v/>
      </c>
    </row>
    <row r="1363" spans="1:15" ht="20.100000000000001" customHeight="1" x14ac:dyDescent="0.25">
      <c r="A1363" s="2">
        <v>1200</v>
      </c>
      <c r="B1363" s="2" t="str">
        <f>TEXT(Таблица97[[#This Row],[Дата]],"ГГ")&amp;RIGHT("000"&amp;Таблица97[[#This Row],[Номер]],4)</f>
        <v>191200</v>
      </c>
      <c r="C1363" s="129">
        <v>43812</v>
      </c>
      <c r="D1363" s="2" t="s">
        <v>171</v>
      </c>
      <c r="E1363" s="108">
        <v>34990</v>
      </c>
      <c r="F1363" s="129">
        <v>43812</v>
      </c>
      <c r="H1363" s="129">
        <v>43815</v>
      </c>
      <c r="I1363" s="108">
        <f t="shared" si="62"/>
        <v>34990</v>
      </c>
      <c r="J1363" s="108" t="str">
        <f>IF(Таблица97[[#This Row],[НК]]=1,Таблица97[[#This Row],[Продажа]],"")</f>
        <v/>
      </c>
      <c r="M1363" s="108">
        <v>25717</v>
      </c>
      <c r="N1363" s="108">
        <f>Таблица97[[#This Row],[Продажа]]-Таблица97[[#This Row],[Закупка]]</f>
        <v>9273</v>
      </c>
      <c r="O1363" s="108" t="str">
        <f>IF(Таблица97[[#This Row],[НК]]=1,Таблица97[[#This Row],[Маржа]],"")</f>
        <v/>
      </c>
    </row>
    <row r="1364" spans="1:15" ht="20.100000000000001" customHeight="1" x14ac:dyDescent="0.25">
      <c r="A1364" s="2">
        <v>1066</v>
      </c>
      <c r="B1364" s="2" t="str">
        <f>TEXT(Таблица97[[#This Row],[Дата]],"ГГ")&amp;RIGHT("000"&amp;Таблица97[[#This Row],[Номер]],4)</f>
        <v>191066</v>
      </c>
      <c r="C1364" s="129">
        <v>43775</v>
      </c>
      <c r="D1364" s="2" t="s">
        <v>99</v>
      </c>
      <c r="E1364" s="108">
        <v>177516</v>
      </c>
      <c r="F1364" s="129">
        <v>43812</v>
      </c>
      <c r="H1364" s="129">
        <v>43791</v>
      </c>
      <c r="I1364" s="108">
        <f t="shared" si="62"/>
        <v>177516</v>
      </c>
      <c r="J1364" s="108" t="str">
        <f>IF(Таблица97[[#This Row],[НК]]=1,Таблица97[[#This Row],[Продажа]],"")</f>
        <v/>
      </c>
      <c r="K1364" s="108">
        <v>30000</v>
      </c>
      <c r="L1364" s="108">
        <f>600*10</f>
        <v>6000</v>
      </c>
      <c r="M1364" s="108">
        <v>60491</v>
      </c>
      <c r="N1364" s="108">
        <f>Таблица97[[#This Row],[Продажа]]-Таблица97[[#This Row],[Закупка]]</f>
        <v>117025</v>
      </c>
      <c r="O1364" s="108" t="str">
        <f>IF(Таблица97[[#This Row],[НК]]=1,Таблица97[[#This Row],[Маржа]],"")</f>
        <v/>
      </c>
    </row>
    <row r="1365" spans="1:15" ht="20.100000000000001" customHeight="1" x14ac:dyDescent="0.25">
      <c r="A1365" s="2">
        <v>1152</v>
      </c>
      <c r="B1365" s="2" t="str">
        <f>TEXT(Таблица97[[#This Row],[Дата]],"ГГ")&amp;RIGHT("000"&amp;Таблица97[[#This Row],[Номер]],4)</f>
        <v>191152</v>
      </c>
      <c r="C1365" s="129">
        <v>43796</v>
      </c>
      <c r="D1365" s="2" t="s">
        <v>424</v>
      </c>
      <c r="E1365" s="108">
        <v>4320</v>
      </c>
      <c r="F1365" s="129">
        <v>43816</v>
      </c>
      <c r="H1365" s="129">
        <v>43852</v>
      </c>
      <c r="I1365" s="108">
        <f t="shared" si="62"/>
        <v>4320</v>
      </c>
      <c r="J1365" s="108" t="str">
        <f>IF(Таблица97[[#This Row],[НК]]=1,Таблица97[[#This Row],[Продажа]],"")</f>
        <v/>
      </c>
      <c r="M1365" s="108">
        <v>3888</v>
      </c>
      <c r="N1365" s="108">
        <f>Таблица97[[#This Row],[Продажа]]-Таблица97[[#This Row],[Закупка]]</f>
        <v>432</v>
      </c>
      <c r="O1365" s="108" t="str">
        <f>IF(Таблица97[[#This Row],[НК]]=1,Таблица97[[#This Row],[Маржа]],"")</f>
        <v/>
      </c>
    </row>
    <row r="1366" spans="1:15" ht="20.100000000000001" customHeight="1" x14ac:dyDescent="0.25">
      <c r="A1366" s="2">
        <v>1204</v>
      </c>
      <c r="B1366" s="2" t="str">
        <f>TEXT(Таблица97[[#This Row],[Дата]],"ГГ")&amp;RIGHT("000"&amp;Таблица97[[#This Row],[Номер]],4)</f>
        <v>191204</v>
      </c>
      <c r="C1366" s="129">
        <v>43812</v>
      </c>
      <c r="D1366" s="2" t="s">
        <v>211</v>
      </c>
      <c r="E1366" s="108">
        <v>4516</v>
      </c>
      <c r="F1366" s="129">
        <v>43816</v>
      </c>
      <c r="H1366" s="129">
        <v>43823</v>
      </c>
      <c r="I1366" s="108">
        <f t="shared" si="62"/>
        <v>4516</v>
      </c>
      <c r="J1366" s="108" t="str">
        <f>IF(Таблица97[[#This Row],[НК]]=1,Таблица97[[#This Row],[Продажа]],"")</f>
        <v/>
      </c>
      <c r="M1366" s="108">
        <v>3520</v>
      </c>
      <c r="N1366" s="108">
        <f>Таблица97[[#This Row],[Продажа]]-Таблица97[[#This Row],[Закупка]]</f>
        <v>996</v>
      </c>
      <c r="O1366" s="108" t="str">
        <f>IF(Таблица97[[#This Row],[НК]]=1,Таблица97[[#This Row],[Маржа]],"")</f>
        <v/>
      </c>
    </row>
    <row r="1367" spans="1:15" ht="20.100000000000001" customHeight="1" x14ac:dyDescent="0.25">
      <c r="A1367" s="2">
        <v>1194</v>
      </c>
      <c r="B1367" s="2" t="str">
        <f>TEXT(Таблица97[[#This Row],[Дата]],"ГГ")&amp;RIGHT("000"&amp;Таблица97[[#This Row],[Номер]],4)</f>
        <v>191194</v>
      </c>
      <c r="C1367" s="129">
        <v>43811</v>
      </c>
      <c r="D1367" s="2" t="s">
        <v>77</v>
      </c>
      <c r="E1367" s="108">
        <v>588</v>
      </c>
      <c r="F1367" s="129">
        <v>43816</v>
      </c>
      <c r="H1367" s="129">
        <v>43817</v>
      </c>
      <c r="I1367" s="108">
        <f t="shared" si="62"/>
        <v>588</v>
      </c>
      <c r="J1367" s="108" t="str">
        <f>IF(Таблица97[[#This Row],[НК]]=1,Таблица97[[#This Row],[Продажа]],"")</f>
        <v/>
      </c>
      <c r="M1367" s="108">
        <v>420</v>
      </c>
      <c r="N1367" s="108">
        <f>Таблица97[[#This Row],[Продажа]]-Таблица97[[#This Row],[Закупка]]</f>
        <v>168</v>
      </c>
      <c r="O1367" s="108" t="str">
        <f>IF(Таблица97[[#This Row],[НК]]=1,Таблица97[[#This Row],[Маржа]],"")</f>
        <v/>
      </c>
    </row>
    <row r="1368" spans="1:15" ht="20.100000000000001" customHeight="1" x14ac:dyDescent="0.25">
      <c r="A1368" s="2">
        <v>1203</v>
      </c>
      <c r="B1368" s="2" t="str">
        <f>TEXT(Таблица97[[#This Row],[Дата]],"ГГ")&amp;RIGHT("000"&amp;Таблица97[[#This Row],[Номер]],4)</f>
        <v>191203</v>
      </c>
      <c r="C1368" s="129">
        <v>43817</v>
      </c>
      <c r="D1368" s="2" t="s">
        <v>231</v>
      </c>
      <c r="E1368" s="108">
        <v>670</v>
      </c>
      <c r="F1368" s="129">
        <v>43817</v>
      </c>
      <c r="H1368" s="129">
        <v>43818</v>
      </c>
      <c r="I1368" s="108">
        <f t="shared" si="62"/>
        <v>670</v>
      </c>
      <c r="J1368" s="108" t="str">
        <f>IF(Таблица97[[#This Row],[НК]]=1,Таблица97[[#This Row],[Продажа]],"")</f>
        <v/>
      </c>
      <c r="M1368" s="108">
        <v>409</v>
      </c>
      <c r="N1368" s="108">
        <f>Таблица97[[#This Row],[Продажа]]-Таблица97[[#This Row],[Закупка]]</f>
        <v>261</v>
      </c>
      <c r="O1368" s="108" t="str">
        <f>IF(Таблица97[[#This Row],[НК]]=1,Таблица97[[#This Row],[Маржа]],"")</f>
        <v/>
      </c>
    </row>
    <row r="1369" spans="1:15" ht="20.100000000000001" customHeight="1" x14ac:dyDescent="0.25">
      <c r="A1369" s="2">
        <v>1155</v>
      </c>
      <c r="B1369" s="2" t="str">
        <f>TEXT(Таблица97[[#This Row],[Дата]],"ГГ")&amp;RIGHT("000"&amp;Таблица97[[#This Row],[Номер]],4)</f>
        <v>191155</v>
      </c>
      <c r="C1369" s="129">
        <v>43797</v>
      </c>
      <c r="D1369" s="2" t="s">
        <v>270</v>
      </c>
      <c r="E1369" s="108">
        <v>5182</v>
      </c>
      <c r="F1369" s="129">
        <v>43817</v>
      </c>
      <c r="H1369" s="129">
        <v>43812</v>
      </c>
      <c r="I1369" s="108">
        <f t="shared" si="62"/>
        <v>5182</v>
      </c>
      <c r="J1369" s="108" t="str">
        <f>IF(Таблица97[[#This Row],[НК]]=1,Таблица97[[#This Row],[Продажа]],"")</f>
        <v/>
      </c>
      <c r="M1369" s="108">
        <v>4040</v>
      </c>
      <c r="N1369" s="108">
        <f>Таблица97[[#This Row],[Продажа]]-Таблица97[[#This Row],[Закупка]]</f>
        <v>1142</v>
      </c>
      <c r="O1369" s="108" t="str">
        <f>IF(Таблица97[[#This Row],[НК]]=1,Таблица97[[#This Row],[Маржа]],"")</f>
        <v/>
      </c>
    </row>
    <row r="1370" spans="1:15" ht="20.100000000000001" customHeight="1" x14ac:dyDescent="0.25">
      <c r="A1370" s="2">
        <v>1184</v>
      </c>
      <c r="B1370" s="2" t="str">
        <f>TEXT(Таблица97[[#This Row],[Дата]],"ГГ")&amp;RIGHT("000"&amp;Таблица97[[#This Row],[Номер]],4)</f>
        <v>191184</v>
      </c>
      <c r="C1370" s="129">
        <v>43808</v>
      </c>
      <c r="D1370" s="2" t="s">
        <v>11</v>
      </c>
      <c r="E1370" s="108">
        <v>118043</v>
      </c>
      <c r="F1370" s="129">
        <v>43818</v>
      </c>
      <c r="H1370" s="129">
        <v>43822</v>
      </c>
      <c r="I1370" s="108">
        <f t="shared" si="62"/>
        <v>118043</v>
      </c>
      <c r="J1370" s="108" t="str">
        <f>IF(Таблица97[[#This Row],[НК]]=1,Таблица97[[#This Row],[Продажа]],"")</f>
        <v/>
      </c>
      <c r="M1370" s="108">
        <v>87130</v>
      </c>
      <c r="N1370" s="108">
        <f>Таблица97[[#This Row],[Продажа]]-Таблица97[[#This Row],[Закупка]]</f>
        <v>30913</v>
      </c>
      <c r="O1370" s="108" t="str">
        <f>IF(Таблица97[[#This Row],[НК]]=1,Таблица97[[#This Row],[Маржа]],"")</f>
        <v/>
      </c>
    </row>
    <row r="1371" spans="1:15" ht="20.100000000000001" customHeight="1" x14ac:dyDescent="0.25">
      <c r="A1371" s="2">
        <v>1189</v>
      </c>
      <c r="B1371" s="2" t="str">
        <f>TEXT(Таблица97[[#This Row],[Дата]],"ГГ")&amp;RIGHT("000"&amp;Таблица97[[#This Row],[Номер]],4)</f>
        <v>191189</v>
      </c>
      <c r="C1371" s="129">
        <v>43810</v>
      </c>
      <c r="D1371" s="2" t="s">
        <v>86</v>
      </c>
      <c r="E1371" s="108">
        <v>62215.5</v>
      </c>
      <c r="F1371" s="129">
        <v>43818</v>
      </c>
      <c r="H1371" s="129">
        <v>43819</v>
      </c>
      <c r="I1371" s="108">
        <f t="shared" si="62"/>
        <v>62215.5</v>
      </c>
      <c r="J1371" s="108" t="str">
        <f>IF(Таблица97[[#This Row],[НК]]=1,Таблица97[[#This Row],[Продажа]],"")</f>
        <v/>
      </c>
      <c r="M1371" s="108">
        <v>48095</v>
      </c>
      <c r="N1371" s="108">
        <f>Таблица97[[#This Row],[Продажа]]-Таблица97[[#This Row],[Закупка]]</f>
        <v>14120.5</v>
      </c>
      <c r="O1371" s="108" t="str">
        <f>IF(Таблица97[[#This Row],[НК]]=1,Таблица97[[#This Row],[Маржа]],"")</f>
        <v/>
      </c>
    </row>
    <row r="1372" spans="1:15" ht="20.100000000000001" customHeight="1" x14ac:dyDescent="0.25">
      <c r="A1372" s="2">
        <v>1224</v>
      </c>
      <c r="B1372" s="2" t="str">
        <f>TEXT(Таблица97[[#This Row],[Дата]],"ГГ")&amp;RIGHT("000"&amp;Таблица97[[#This Row],[Номер]],4)</f>
        <v>191224</v>
      </c>
      <c r="C1372" s="129">
        <v>43819</v>
      </c>
      <c r="D1372" s="2" t="s">
        <v>303</v>
      </c>
      <c r="E1372" s="108">
        <v>3591.25</v>
      </c>
      <c r="F1372" s="129">
        <v>43819</v>
      </c>
      <c r="H1372" s="129">
        <v>43819</v>
      </c>
      <c r="I1372" s="108">
        <v>2012.8</v>
      </c>
      <c r="J1372" s="108" t="str">
        <f>IF(Таблица97[[#This Row],[НК]]=1,Таблица97[[#This Row],[Продажа]],"")</f>
        <v/>
      </c>
      <c r="M1372" s="108">
        <v>1847</v>
      </c>
      <c r="N1372" s="108">
        <f>Таблица97[[#This Row],[Продажа]]-Таблица97[[#This Row],[Закупка]]</f>
        <v>165.79999999999995</v>
      </c>
      <c r="O1372" s="108" t="str">
        <f>IF(Таблица97[[#This Row],[НК]]=1,Таблица97[[#This Row],[Маржа]],"")</f>
        <v/>
      </c>
    </row>
    <row r="1373" spans="1:15" ht="20.100000000000001" customHeight="1" x14ac:dyDescent="0.25">
      <c r="A1373" s="2">
        <v>1226</v>
      </c>
      <c r="B1373" s="2" t="str">
        <f>TEXT(Таблица97[[#This Row],[Дата]],"ГГ")&amp;RIGHT("000"&amp;Таблица97[[#This Row],[Номер]],4)</f>
        <v>191226</v>
      </c>
      <c r="C1373" s="129">
        <v>43822</v>
      </c>
      <c r="D1373" s="2" t="s">
        <v>428</v>
      </c>
      <c r="E1373" s="108">
        <v>5551</v>
      </c>
      <c r="F1373" s="129">
        <v>43822</v>
      </c>
      <c r="G1373" s="128">
        <v>1</v>
      </c>
      <c r="H1373" s="129">
        <v>43823</v>
      </c>
      <c r="I1373" s="108">
        <f t="shared" ref="I1373:I1383" si="63">E1373</f>
        <v>5551</v>
      </c>
      <c r="J1373" s="108">
        <f>IF(Таблица97[[#This Row],[НК]]=1,Таблица97[[#This Row],[Продажа]],"")</f>
        <v>5551</v>
      </c>
      <c r="M1373" s="108">
        <v>4253</v>
      </c>
      <c r="N1373" s="108">
        <f>Таблица97[[#This Row],[Продажа]]-Таблица97[[#This Row],[Закупка]]</f>
        <v>1298</v>
      </c>
      <c r="O1373" s="108">
        <f>IF(Таблица97[[#This Row],[НК]]=1,Таблица97[[#This Row],[Маржа]],"")</f>
        <v>1298</v>
      </c>
    </row>
    <row r="1374" spans="1:15" ht="20.100000000000001" customHeight="1" x14ac:dyDescent="0.25">
      <c r="A1374" s="2">
        <v>1143</v>
      </c>
      <c r="B1374" s="2" t="str">
        <f>TEXT(Таблица97[[#This Row],[Дата]],"ГГ")&amp;RIGHT("000"&amp;Таблица97[[#This Row],[Номер]],4)</f>
        <v>191143</v>
      </c>
      <c r="C1374" s="129">
        <v>43794</v>
      </c>
      <c r="D1374" s="2" t="s">
        <v>56</v>
      </c>
      <c r="E1374" s="108">
        <v>30752</v>
      </c>
      <c r="F1374" s="129">
        <v>43823</v>
      </c>
      <c r="H1374" s="129">
        <v>43808</v>
      </c>
      <c r="I1374" s="108">
        <f t="shared" si="63"/>
        <v>30752</v>
      </c>
      <c r="J1374" s="108" t="str">
        <f>IF(Таблица97[[#This Row],[НК]]=1,Таблица97[[#This Row],[Продажа]],"")</f>
        <v/>
      </c>
      <c r="M1374" s="108">
        <v>22634</v>
      </c>
      <c r="N1374" s="108">
        <f>Таблица97[[#This Row],[Продажа]]-Таблица97[[#This Row],[Закупка]]</f>
        <v>8118</v>
      </c>
      <c r="O1374" s="108" t="str">
        <f>IF(Таблица97[[#This Row],[НК]]=1,Таблица97[[#This Row],[Маржа]],"")</f>
        <v/>
      </c>
    </row>
    <row r="1375" spans="1:15" ht="20.100000000000001" customHeight="1" x14ac:dyDescent="0.25">
      <c r="A1375" s="2">
        <v>1223</v>
      </c>
      <c r="B1375" s="2" t="str">
        <f>TEXT(Таблица97[[#This Row],[Дата]],"ГГ")&amp;RIGHT("000"&amp;Таблица97[[#This Row],[Номер]],4)</f>
        <v>191223</v>
      </c>
      <c r="C1375" s="129">
        <v>43819</v>
      </c>
      <c r="D1375" s="2" t="s">
        <v>423</v>
      </c>
      <c r="E1375" s="108">
        <v>16900.5</v>
      </c>
      <c r="F1375" s="129">
        <v>43823</v>
      </c>
      <c r="H1375" s="129">
        <v>43858</v>
      </c>
      <c r="I1375" s="108">
        <f t="shared" si="63"/>
        <v>16900.5</v>
      </c>
      <c r="J1375" s="108" t="str">
        <f>IF(Таблица97[[#This Row],[НК]]=1,Таблица97[[#This Row],[Продажа]],"")</f>
        <v/>
      </c>
      <c r="M1375" s="108">
        <v>15371</v>
      </c>
      <c r="N1375" s="108">
        <f>Таблица97[[#This Row],[Продажа]]-Таблица97[[#This Row],[Закупка]]</f>
        <v>1529.5</v>
      </c>
      <c r="O1375" s="108" t="str">
        <f>IF(Таблица97[[#This Row],[НК]]=1,Таблица97[[#This Row],[Маржа]],"")</f>
        <v/>
      </c>
    </row>
    <row r="1376" spans="1:15" ht="20.100000000000001" customHeight="1" x14ac:dyDescent="0.25">
      <c r="A1376" s="2">
        <v>1190</v>
      </c>
      <c r="B1376" s="2" t="str">
        <f>TEXT(Таблица97[[#This Row],[Дата]],"ГГ")&amp;RIGHT("000"&amp;Таблица97[[#This Row],[Номер]],4)</f>
        <v>191190</v>
      </c>
      <c r="C1376" s="129">
        <v>43810</v>
      </c>
      <c r="D1376" s="2" t="s">
        <v>11</v>
      </c>
      <c r="E1376" s="108">
        <v>8358</v>
      </c>
      <c r="F1376" s="129">
        <v>43824</v>
      </c>
      <c r="H1376" s="129">
        <v>43824</v>
      </c>
      <c r="I1376" s="108">
        <f t="shared" si="63"/>
        <v>8358</v>
      </c>
      <c r="J1376" s="108" t="str">
        <f>IF(Таблица97[[#This Row],[НК]]=1,Таблица97[[#This Row],[Продажа]],"")</f>
        <v/>
      </c>
      <c r="M1376" s="108">
        <v>5463</v>
      </c>
      <c r="N1376" s="108">
        <f>Таблица97[[#This Row],[Продажа]]-Таблица97[[#This Row],[Закупка]]</f>
        <v>2895</v>
      </c>
      <c r="O1376" s="108" t="str">
        <f>IF(Таблица97[[#This Row],[НК]]=1,Таблица97[[#This Row],[Маржа]],"")</f>
        <v/>
      </c>
    </row>
    <row r="1377" spans="1:15" ht="20.100000000000001" customHeight="1" x14ac:dyDescent="0.25">
      <c r="A1377" s="2">
        <v>1114</v>
      </c>
      <c r="B1377" s="2" t="str">
        <f>TEXT(Таблица97[[#This Row],[Дата]],"ГГ")&amp;RIGHT("000"&amp;Таблица97[[#This Row],[Номер]],4)</f>
        <v>191114</v>
      </c>
      <c r="C1377" s="129">
        <v>43787</v>
      </c>
      <c r="D1377" s="2" t="s">
        <v>13</v>
      </c>
      <c r="E1377" s="108">
        <v>39690</v>
      </c>
      <c r="F1377" s="129">
        <v>43824</v>
      </c>
      <c r="H1377" s="129">
        <v>43852</v>
      </c>
      <c r="I1377" s="108">
        <f t="shared" si="63"/>
        <v>39690</v>
      </c>
      <c r="J1377" s="108" t="str">
        <f>IF(Таблица97[[#This Row],[НК]]=1,Таблица97[[#This Row],[Продажа]],"")</f>
        <v/>
      </c>
      <c r="M1377" s="108">
        <v>29148</v>
      </c>
      <c r="N1377" s="108">
        <f>Таблица97[[#This Row],[Продажа]]-Таблица97[[#This Row],[Закупка]]</f>
        <v>10542</v>
      </c>
      <c r="O1377" s="108" t="str">
        <f>IF(Таблица97[[#This Row],[НК]]=1,Таблица97[[#This Row],[Маржа]],"")</f>
        <v/>
      </c>
    </row>
    <row r="1378" spans="1:15" ht="20.100000000000001" customHeight="1" x14ac:dyDescent="0.25">
      <c r="A1378" s="2">
        <v>1231</v>
      </c>
      <c r="B1378" s="2" t="str">
        <f>TEXT(Таблица97[[#This Row],[Дата]],"ГГ")&amp;RIGHT("000"&amp;Таблица97[[#This Row],[Номер]],4)</f>
        <v>191231</v>
      </c>
      <c r="C1378" s="129">
        <v>43823</v>
      </c>
      <c r="D1378" s="2" t="s">
        <v>429</v>
      </c>
      <c r="E1378" s="108">
        <v>71276</v>
      </c>
      <c r="F1378" s="129">
        <v>43824</v>
      </c>
      <c r="G1378" s="128">
        <v>1</v>
      </c>
      <c r="H1378" s="129">
        <v>43825</v>
      </c>
      <c r="I1378" s="108">
        <f t="shared" si="63"/>
        <v>71276</v>
      </c>
      <c r="J1378" s="108">
        <f>IF(Таблица97[[#This Row],[НК]]=1,Таблица97[[#This Row],[Продажа]],"")</f>
        <v>71276</v>
      </c>
      <c r="M1378" s="108">
        <v>53428</v>
      </c>
      <c r="N1378" s="108">
        <f>Таблица97[[#This Row],[Продажа]]-Таблица97[[#This Row],[Закупка]]</f>
        <v>17848</v>
      </c>
      <c r="O1378" s="108">
        <f>IF(Таблица97[[#This Row],[НК]]=1,Таблица97[[#This Row],[Маржа]],"")</f>
        <v>17848</v>
      </c>
    </row>
    <row r="1379" spans="1:15" ht="20.100000000000001" customHeight="1" x14ac:dyDescent="0.25">
      <c r="A1379" s="2">
        <v>1215</v>
      </c>
      <c r="B1379" s="2" t="str">
        <f>TEXT(Таблица97[[#This Row],[Дата]],"ГГ")&amp;RIGHT("000"&amp;Таблица97[[#This Row],[Номер]],4)</f>
        <v>191215</v>
      </c>
      <c r="C1379" s="129">
        <v>43817</v>
      </c>
      <c r="D1379" s="2" t="s">
        <v>353</v>
      </c>
      <c r="E1379" s="108">
        <v>1378</v>
      </c>
      <c r="F1379" s="129">
        <v>43824</v>
      </c>
      <c r="H1379" s="129">
        <v>43850</v>
      </c>
      <c r="I1379" s="108">
        <f t="shared" si="63"/>
        <v>1378</v>
      </c>
      <c r="J1379" s="108" t="str">
        <f>IF(Таблица97[[#This Row],[НК]]=1,Таблица97[[#This Row],[Продажа]],"")</f>
        <v/>
      </c>
      <c r="M1379" s="108">
        <v>799</v>
      </c>
      <c r="N1379" s="108">
        <f>Таблица97[[#This Row],[Продажа]]-Таблица97[[#This Row],[Закупка]]</f>
        <v>579</v>
      </c>
      <c r="O1379" s="108" t="str">
        <f>IF(Таблица97[[#This Row],[НК]]=1,Таблица97[[#This Row],[Маржа]],"")</f>
        <v/>
      </c>
    </row>
    <row r="1380" spans="1:15" ht="20.100000000000001" customHeight="1" x14ac:dyDescent="0.25">
      <c r="A1380" s="2">
        <v>1202</v>
      </c>
      <c r="B1380" s="2" t="str">
        <f>TEXT(Таблица97[[#This Row],[Дата]],"ГГ")&amp;RIGHT("000"&amp;Таблица97[[#This Row],[Номер]],4)</f>
        <v>191202</v>
      </c>
      <c r="C1380" s="129">
        <v>43812</v>
      </c>
      <c r="D1380" s="2" t="s">
        <v>248</v>
      </c>
      <c r="E1380" s="108">
        <v>9769</v>
      </c>
      <c r="F1380" s="129">
        <v>43825</v>
      </c>
      <c r="H1380" s="129">
        <v>43812</v>
      </c>
      <c r="I1380" s="108">
        <f t="shared" si="63"/>
        <v>9769</v>
      </c>
      <c r="J1380" s="108" t="str">
        <f>IF(Таблица97[[#This Row],[НК]]=1,Таблица97[[#This Row],[Продажа]],"")</f>
        <v/>
      </c>
      <c r="M1380" s="108">
        <v>8110</v>
      </c>
      <c r="N1380" s="108">
        <f>Таблица97[[#This Row],[Продажа]]-Таблица97[[#This Row],[Закупка]]</f>
        <v>1659</v>
      </c>
      <c r="O1380" s="108" t="str">
        <f>IF(Таблица97[[#This Row],[НК]]=1,Таблица97[[#This Row],[Маржа]],"")</f>
        <v/>
      </c>
    </row>
    <row r="1381" spans="1:15" ht="20.100000000000001" customHeight="1" x14ac:dyDescent="0.25">
      <c r="A1381" s="2">
        <v>1234</v>
      </c>
      <c r="B1381" s="2" t="str">
        <f>TEXT(Таблица97[[#This Row],[Дата]],"ГГ")&amp;RIGHT("000"&amp;Таблица97[[#This Row],[Номер]],4)</f>
        <v>191234</v>
      </c>
      <c r="C1381" s="129">
        <v>43824</v>
      </c>
      <c r="D1381" s="2" t="s">
        <v>231</v>
      </c>
      <c r="E1381" s="108">
        <v>670</v>
      </c>
      <c r="F1381" s="129">
        <v>43829</v>
      </c>
      <c r="H1381" s="129">
        <v>43851</v>
      </c>
      <c r="I1381" s="108">
        <f t="shared" si="63"/>
        <v>670</v>
      </c>
      <c r="J1381" s="108" t="str">
        <f>IF(Таблица97[[#This Row],[НК]]=1,Таблица97[[#This Row],[Продажа]],"")</f>
        <v/>
      </c>
      <c r="M1381" s="108">
        <v>409</v>
      </c>
      <c r="N1381" s="108">
        <f>Таблица97[[#This Row],[Продажа]]-Таблица97[[#This Row],[Закупка]]</f>
        <v>261</v>
      </c>
      <c r="O1381" s="108" t="str">
        <f>IF(Таблица97[[#This Row],[НК]]=1,Таблица97[[#This Row],[Маржа]],"")</f>
        <v/>
      </c>
    </row>
    <row r="1382" spans="1:15" ht="20.100000000000001" customHeight="1" x14ac:dyDescent="0.25">
      <c r="A1382" s="2">
        <v>1242</v>
      </c>
      <c r="B1382" s="2" t="str">
        <f>TEXT(Таблица97[[#This Row],[Дата]],"ГГ")&amp;RIGHT("000"&amp;Таблица97[[#This Row],[Номер]],4)</f>
        <v>191242</v>
      </c>
      <c r="C1382" s="129">
        <v>43826</v>
      </c>
      <c r="D1382" s="2" t="s">
        <v>430</v>
      </c>
      <c r="E1382" s="108">
        <v>1079</v>
      </c>
      <c r="F1382" s="129">
        <v>43829</v>
      </c>
      <c r="H1382" s="129">
        <v>43903</v>
      </c>
      <c r="I1382" s="108">
        <f t="shared" si="63"/>
        <v>1079</v>
      </c>
      <c r="J1382" s="108" t="str">
        <f>IF(Таблица97[[#This Row],[НК]]=1,Таблица97[[#This Row],[Продажа]],"")</f>
        <v/>
      </c>
      <c r="M1382" s="108">
        <v>711</v>
      </c>
      <c r="N1382" s="108">
        <f>Таблица97[[#This Row],[Продажа]]-Таблица97[[#This Row],[Закупка]]</f>
        <v>368</v>
      </c>
      <c r="O1382" s="108" t="str">
        <f>IF(Таблица97[[#This Row],[НК]]=1,Таблица97[[#This Row],[Маржа]],"")</f>
        <v/>
      </c>
    </row>
    <row r="1383" spans="1:15" ht="20.100000000000001" customHeight="1" x14ac:dyDescent="0.25">
      <c r="A1383" s="2">
        <v>1240</v>
      </c>
      <c r="B1383" s="2" t="str">
        <f>TEXT(Таблица97[[#This Row],[Дата]],"ГГ")&amp;RIGHT("000"&amp;Таблица97[[#This Row],[Номер]],4)</f>
        <v>191240</v>
      </c>
      <c r="C1383" s="129">
        <v>43812</v>
      </c>
      <c r="D1383" s="2" t="s">
        <v>169</v>
      </c>
      <c r="E1383" s="108">
        <v>5772</v>
      </c>
      <c r="F1383" s="129">
        <v>43829</v>
      </c>
      <c r="H1383" s="129">
        <v>43826</v>
      </c>
      <c r="I1383" s="108">
        <f t="shared" si="63"/>
        <v>5772</v>
      </c>
      <c r="J1383" s="108" t="str">
        <f>IF(Таблица97[[#This Row],[НК]]=1,Таблица97[[#This Row],[Продажа]],"")</f>
        <v/>
      </c>
      <c r="M1383" s="108">
        <v>4195</v>
      </c>
      <c r="N1383" s="108">
        <f>Таблица97[[#This Row],[Продажа]]-Таблица97[[#This Row],[Закупка]]</f>
        <v>1577</v>
      </c>
      <c r="O1383" s="108" t="str">
        <f>IF(Таблица97[[#This Row],[НК]]=1,Таблица97[[#This Row],[Маржа]],"")</f>
        <v/>
      </c>
    </row>
    <row r="1384" spans="1:15" ht="20.100000000000001" customHeight="1" x14ac:dyDescent="0.25">
      <c r="A1384" s="2">
        <v>1134</v>
      </c>
      <c r="B1384" s="2" t="str">
        <f>TEXT(Таблица97[[#This Row],[Дата]],"ГГ")&amp;RIGHT("000"&amp;Таблица97[[#This Row],[Номер]],4)</f>
        <v>191134</v>
      </c>
      <c r="C1384" s="129">
        <v>43789</v>
      </c>
      <c r="D1384" s="2" t="s">
        <v>99</v>
      </c>
      <c r="E1384" s="108">
        <v>165266</v>
      </c>
      <c r="F1384" s="129">
        <v>43844</v>
      </c>
      <c r="H1384" s="129">
        <v>43808</v>
      </c>
      <c r="I1384" s="108">
        <f>E1384</f>
        <v>165266</v>
      </c>
      <c r="J1384" s="108" t="str">
        <f>IF(Таблица97[[#This Row],[НК]]=1,Таблица97[[#This Row],[Продажа]],"")</f>
        <v/>
      </c>
      <c r="K1384" s="108">
        <v>30000</v>
      </c>
      <c r="L1384" s="108">
        <f>600*10</f>
        <v>6000</v>
      </c>
      <c r="M1384" s="108">
        <v>50855</v>
      </c>
      <c r="N1384" s="108">
        <f>Таблица97[[#This Row],[Продажа]]-Таблица97[[#This Row],[Закупка]]</f>
        <v>114411</v>
      </c>
      <c r="O1384" s="108" t="str">
        <f>IF(Таблица97[[#This Row],[НК]]=1,Таблица97[[#This Row],[Маржа]],"")</f>
        <v/>
      </c>
    </row>
    <row r="1385" spans="1:15" ht="20.100000000000001" customHeight="1" x14ac:dyDescent="0.25">
      <c r="A1385" s="2">
        <v>1017</v>
      </c>
      <c r="B1385" s="2" t="str">
        <f>TEXT(Таблица97[[#This Row],[Дата]],"ГГ")&amp;RIGHT("000"&amp;Таблица97[[#This Row],[Номер]],4)</f>
        <v>191017</v>
      </c>
      <c r="C1385" s="129">
        <v>43787</v>
      </c>
      <c r="D1385" s="2" t="s">
        <v>425</v>
      </c>
      <c r="E1385" s="108">
        <v>235000</v>
      </c>
      <c r="F1385" s="129">
        <v>43845</v>
      </c>
      <c r="H1385" s="129">
        <v>43826</v>
      </c>
      <c r="I1385" s="108">
        <v>117500</v>
      </c>
      <c r="J1385" s="108" t="str">
        <f>IF(Таблица97[[#This Row],[НК]]=1,Таблица97[[#This Row],[Продажа]],"")</f>
        <v/>
      </c>
      <c r="M1385" s="108">
        <v>90768</v>
      </c>
      <c r="N1385" s="108">
        <f>Таблица97[[#This Row],[Продажа]]-Таблица97[[#This Row],[Закупка]]</f>
        <v>26732</v>
      </c>
      <c r="O1385" s="108" t="str">
        <f>IF(Таблица97[[#This Row],[НК]]=1,Таблица97[[#This Row],[Маржа]],"")</f>
        <v/>
      </c>
    </row>
    <row r="1386" spans="1:15" ht="20.100000000000001" customHeight="1" x14ac:dyDescent="0.25">
      <c r="A1386" s="2">
        <v>1191</v>
      </c>
      <c r="B1386" s="2" t="str">
        <f>TEXT(Таблица97[[#This Row],[Дата]],"ГГ")&amp;RIGHT("000"&amp;Таблица97[[#This Row],[Номер]],4)</f>
        <v>191191</v>
      </c>
      <c r="C1386" s="129">
        <v>43810</v>
      </c>
      <c r="D1386" s="2" t="s">
        <v>65</v>
      </c>
      <c r="E1386" s="108">
        <v>116130</v>
      </c>
      <c r="F1386" s="129">
        <v>43846</v>
      </c>
      <c r="H1386" s="129">
        <v>43816</v>
      </c>
      <c r="I1386" s="108">
        <v>24600</v>
      </c>
      <c r="J1386" s="108" t="str">
        <f>IF(Таблица97[[#This Row],[НК]]=1,Таблица97[[#This Row],[Продажа]],"")</f>
        <v/>
      </c>
      <c r="M1386" s="108">
        <v>20180</v>
      </c>
      <c r="N1386" s="108">
        <f>Таблица97[[#This Row],[Продажа]]-Таблица97[[#This Row],[Закупка]]</f>
        <v>4420</v>
      </c>
      <c r="O1386" s="108" t="str">
        <f>IF(Таблица97[[#This Row],[НК]]=1,Таблица97[[#This Row],[Маржа]],"")</f>
        <v/>
      </c>
    </row>
    <row r="1387" spans="1:15" ht="20.100000000000001" customHeight="1" x14ac:dyDescent="0.25">
      <c r="A1387" s="2">
        <v>1172</v>
      </c>
      <c r="B1387" s="2" t="str">
        <f>TEXT(Таблица97[[#This Row],[Дата]],"ГГ")&amp;RIGHT("000"&amp;Таблица97[[#This Row],[Номер]],4)</f>
        <v>191172</v>
      </c>
      <c r="C1387" s="129">
        <v>43804</v>
      </c>
      <c r="D1387" s="2" t="s">
        <v>363</v>
      </c>
      <c r="E1387" s="108">
        <v>5000</v>
      </c>
      <c r="F1387" s="129">
        <v>43846</v>
      </c>
      <c r="H1387" s="129">
        <v>43861</v>
      </c>
      <c r="I1387" s="108">
        <f t="shared" ref="I1387:I1399" si="64">E1387</f>
        <v>5000</v>
      </c>
      <c r="J1387" s="108" t="str">
        <f>IF(Таблица97[[#This Row],[НК]]=1,Таблица97[[#This Row],[Продажа]],"")</f>
        <v/>
      </c>
      <c r="M1387" s="108">
        <v>4602</v>
      </c>
      <c r="N1387" s="108">
        <f>Таблица97[[#This Row],[Продажа]]-Таблица97[[#This Row],[Закупка]]</f>
        <v>398</v>
      </c>
      <c r="O1387" s="108" t="str">
        <f>IF(Таблица97[[#This Row],[НК]]=1,Таблица97[[#This Row],[Маржа]],"")</f>
        <v/>
      </c>
    </row>
    <row r="1388" spans="1:15" ht="20.100000000000001" customHeight="1" x14ac:dyDescent="0.25">
      <c r="A1388" s="2">
        <v>17</v>
      </c>
      <c r="B1388" s="2" t="str">
        <f>TEXT(Таблица97[[#This Row],[Дата]],"ГГ")&amp;RIGHT("000"&amp;Таблица97[[#This Row],[Номер]],4)</f>
        <v>200017</v>
      </c>
      <c r="C1388" s="129">
        <v>43845</v>
      </c>
      <c r="D1388" s="2" t="s">
        <v>211</v>
      </c>
      <c r="E1388" s="108">
        <v>51590</v>
      </c>
      <c r="F1388" s="129">
        <v>43846</v>
      </c>
      <c r="H1388" s="129">
        <v>43850</v>
      </c>
      <c r="I1388" s="108">
        <f t="shared" si="64"/>
        <v>51590</v>
      </c>
      <c r="J1388" s="108" t="str">
        <f>IF(Таблица97[[#This Row],[НК]]=1,Таблица97[[#This Row],[Продажа]],"")</f>
        <v/>
      </c>
      <c r="M1388" s="108">
        <v>37447</v>
      </c>
      <c r="N1388" s="108">
        <f>Таблица97[[#This Row],[Продажа]]-Таблица97[[#This Row],[Закупка]]</f>
        <v>14143</v>
      </c>
      <c r="O1388" s="108" t="str">
        <f>IF(Таблица97[[#This Row],[НК]]=1,Таблица97[[#This Row],[Маржа]],"")</f>
        <v/>
      </c>
    </row>
    <row r="1389" spans="1:15" ht="20.100000000000001" customHeight="1" x14ac:dyDescent="0.25">
      <c r="A1389" s="2">
        <v>31</v>
      </c>
      <c r="B1389" s="2" t="str">
        <f>TEXT(Таблица97[[#This Row],[Дата]],"ГГ")&amp;RIGHT("000"&amp;Таблица97[[#This Row],[Номер]],4)</f>
        <v>200031</v>
      </c>
      <c r="C1389" s="129">
        <v>43851</v>
      </c>
      <c r="D1389" s="2" t="s">
        <v>49</v>
      </c>
      <c r="E1389" s="108">
        <v>1333</v>
      </c>
      <c r="F1389" s="129">
        <v>43851</v>
      </c>
      <c r="H1389" s="129">
        <v>43851</v>
      </c>
      <c r="I1389" s="108">
        <f t="shared" si="64"/>
        <v>1333</v>
      </c>
      <c r="J1389" s="108" t="str">
        <f>IF(Таблица97[[#This Row],[НК]]=1,Таблица97[[#This Row],[Продажа]],"")</f>
        <v/>
      </c>
      <c r="M1389" s="108">
        <v>908</v>
      </c>
      <c r="N1389" s="108">
        <f>Таблица97[[#This Row],[Продажа]]-Таблица97[[#This Row],[Закупка]]</f>
        <v>425</v>
      </c>
      <c r="O1389" s="108" t="str">
        <f>IF(Таблица97[[#This Row],[НК]]=1,Таблица97[[#This Row],[Маржа]],"")</f>
        <v/>
      </c>
    </row>
    <row r="1390" spans="1:15" ht="20.100000000000001" customHeight="1" x14ac:dyDescent="0.25">
      <c r="A1390" s="2">
        <v>35</v>
      </c>
      <c r="B1390" s="2" t="str">
        <f>TEXT(Таблица97[[#This Row],[Дата]],"ГГ")&amp;RIGHT("000"&amp;Таблица97[[#This Row],[Номер]],4)</f>
        <v>200035</v>
      </c>
      <c r="C1390" s="129">
        <v>43852</v>
      </c>
      <c r="D1390" s="2" t="s">
        <v>431</v>
      </c>
      <c r="E1390" s="108">
        <v>7465</v>
      </c>
      <c r="F1390" s="129">
        <v>43852</v>
      </c>
      <c r="G1390" s="128">
        <v>1</v>
      </c>
      <c r="H1390" s="129">
        <v>43868</v>
      </c>
      <c r="I1390" s="108">
        <f t="shared" si="64"/>
        <v>7465</v>
      </c>
      <c r="J1390" s="108">
        <f>IF(Таблица97[[#This Row],[НК]]=1,Таблица97[[#This Row],[Продажа]],"")</f>
        <v>7465</v>
      </c>
      <c r="M1390" s="108">
        <v>5823</v>
      </c>
      <c r="N1390" s="108">
        <f>Таблица97[[#This Row],[Продажа]]-Таблица97[[#This Row],[Закупка]]</f>
        <v>1642</v>
      </c>
      <c r="O1390" s="108">
        <f>IF(Таблица97[[#This Row],[НК]]=1,Таблица97[[#This Row],[Маржа]],"")</f>
        <v>1642</v>
      </c>
    </row>
    <row r="1391" spans="1:15" ht="20.100000000000001" customHeight="1" x14ac:dyDescent="0.25">
      <c r="A1391" s="2">
        <v>34</v>
      </c>
      <c r="B1391" s="2" t="str">
        <f>TEXT(Таблица97[[#This Row],[Дата]],"ГГ")&amp;RIGHT("000"&amp;Таблица97[[#This Row],[Номер]],4)</f>
        <v>200034</v>
      </c>
      <c r="C1391" s="129">
        <v>43852</v>
      </c>
      <c r="D1391" s="2" t="s">
        <v>372</v>
      </c>
      <c r="E1391" s="108">
        <v>4341</v>
      </c>
      <c r="F1391" s="129">
        <v>43853</v>
      </c>
      <c r="H1391" s="129">
        <v>43854</v>
      </c>
      <c r="I1391" s="108">
        <f t="shared" si="64"/>
        <v>4341</v>
      </c>
      <c r="J1391" s="108" t="str">
        <f>IF(Таблица97[[#This Row],[НК]]=1,Таблица97[[#This Row],[Продажа]],"")</f>
        <v/>
      </c>
      <c r="M1391" s="108">
        <v>3931</v>
      </c>
      <c r="N1391" s="108">
        <f>Таблица97[[#This Row],[Продажа]]-Таблица97[[#This Row],[Закупка]]</f>
        <v>410</v>
      </c>
      <c r="O1391" s="108" t="str">
        <f>IF(Таблица97[[#This Row],[НК]]=1,Таблица97[[#This Row],[Маржа]],"")</f>
        <v/>
      </c>
    </row>
    <row r="1392" spans="1:15" ht="20.100000000000001" customHeight="1" x14ac:dyDescent="0.25">
      <c r="A1392" s="2">
        <v>1247</v>
      </c>
      <c r="B1392" s="2" t="str">
        <f>TEXT(Таблица97[[#This Row],[Дата]],"ГГ")&amp;RIGHT("000"&amp;Таблица97[[#This Row],[Номер]],4)</f>
        <v>191247</v>
      </c>
      <c r="C1392" s="129">
        <v>43826</v>
      </c>
      <c r="D1392" s="2" t="s">
        <v>49</v>
      </c>
      <c r="E1392" s="108">
        <v>19960</v>
      </c>
      <c r="F1392" s="129">
        <v>43853</v>
      </c>
      <c r="H1392" s="129">
        <v>43854</v>
      </c>
      <c r="I1392" s="108">
        <f t="shared" si="64"/>
        <v>19960</v>
      </c>
      <c r="J1392" s="108" t="str">
        <f>IF(Таблица97[[#This Row],[НК]]=1,Таблица97[[#This Row],[Продажа]],"")</f>
        <v/>
      </c>
      <c r="M1392" s="108">
        <v>13170</v>
      </c>
      <c r="N1392" s="108">
        <f>Таблица97[[#This Row],[Продажа]]-Таблица97[[#This Row],[Закупка]]</f>
        <v>6790</v>
      </c>
      <c r="O1392" s="108" t="str">
        <f>IF(Таблица97[[#This Row],[НК]]=1,Таблица97[[#This Row],[Маржа]],"")</f>
        <v/>
      </c>
    </row>
    <row r="1393" spans="1:15" ht="20.100000000000001" customHeight="1" x14ac:dyDescent="0.25">
      <c r="A1393" s="2">
        <v>19</v>
      </c>
      <c r="B1393" s="2" t="str">
        <f>TEXT(Таблица97[[#This Row],[Дата]],"ГГ")&amp;RIGHT("000"&amp;Таблица97[[#This Row],[Номер]],4)</f>
        <v>200019</v>
      </c>
      <c r="C1393" s="129">
        <v>43846</v>
      </c>
      <c r="D1393" s="2" t="s">
        <v>65</v>
      </c>
      <c r="E1393" s="108">
        <v>50688</v>
      </c>
      <c r="F1393" s="129">
        <v>43853</v>
      </c>
      <c r="H1393" s="129">
        <v>43868</v>
      </c>
      <c r="I1393" s="108">
        <f t="shared" si="64"/>
        <v>50688</v>
      </c>
      <c r="J1393" s="108" t="str">
        <f>IF(Таблица97[[#This Row],[НК]]=1,Таблица97[[#This Row],[Продажа]],"")</f>
        <v/>
      </c>
      <c r="M1393" s="108">
        <v>40832</v>
      </c>
      <c r="N1393" s="108">
        <f>Таблица97[[#This Row],[Продажа]]-Таблица97[[#This Row],[Закупка]]</f>
        <v>9856</v>
      </c>
      <c r="O1393" s="108" t="str">
        <f>IF(Таблица97[[#This Row],[НК]]=1,Таблица97[[#This Row],[Маржа]],"")</f>
        <v/>
      </c>
    </row>
    <row r="1394" spans="1:15" ht="20.100000000000001" customHeight="1" x14ac:dyDescent="0.25">
      <c r="A1394" s="2">
        <v>39</v>
      </c>
      <c r="B1394" s="2" t="str">
        <f>TEXT(Таблица97[[#This Row],[Дата]],"ГГ")&amp;RIGHT("000"&amp;Таблица97[[#This Row],[Номер]],4)</f>
        <v>200039</v>
      </c>
      <c r="C1394" s="129">
        <v>43853</v>
      </c>
      <c r="D1394" s="2" t="s">
        <v>432</v>
      </c>
      <c r="E1394" s="108">
        <v>66195</v>
      </c>
      <c r="F1394" s="129">
        <v>43853</v>
      </c>
      <c r="G1394" s="128">
        <v>1</v>
      </c>
      <c r="H1394" s="129">
        <v>43859</v>
      </c>
      <c r="I1394" s="108">
        <f t="shared" si="64"/>
        <v>66195</v>
      </c>
      <c r="J1394" s="108">
        <f>IF(Таблица97[[#This Row],[НК]]=1,Таблица97[[#This Row],[Продажа]],"")</f>
        <v>66195</v>
      </c>
      <c r="M1394" s="108">
        <v>48748</v>
      </c>
      <c r="N1394" s="108">
        <f>Таблица97[[#This Row],[Продажа]]-Таблица97[[#This Row],[Закупка]]</f>
        <v>17447</v>
      </c>
      <c r="O1394" s="108">
        <f>IF(Таблица97[[#This Row],[НК]]=1,Таблица97[[#This Row],[Маржа]],"")</f>
        <v>17447</v>
      </c>
    </row>
    <row r="1395" spans="1:15" ht="20.100000000000001" customHeight="1" x14ac:dyDescent="0.25">
      <c r="A1395" s="2">
        <v>1224</v>
      </c>
      <c r="B1395" s="2" t="str">
        <f>TEXT(Таблица97[[#This Row],[Дата]],"ГГ")&amp;RIGHT("000"&amp;Таблица97[[#This Row],[Номер]],4)</f>
        <v>191224</v>
      </c>
      <c r="C1395" s="129">
        <v>43819</v>
      </c>
      <c r="D1395" s="2" t="s">
        <v>303</v>
      </c>
      <c r="E1395" s="108">
        <v>1943.95</v>
      </c>
      <c r="F1395" s="129">
        <v>43854</v>
      </c>
      <c r="H1395" s="129">
        <v>43854</v>
      </c>
      <c r="I1395" s="108">
        <f t="shared" si="64"/>
        <v>1943.95</v>
      </c>
      <c r="J1395" s="108" t="str">
        <f>IF(Таблица97[[#This Row],[НК]]=1,Таблица97[[#This Row],[Продажа]],"")</f>
        <v/>
      </c>
      <c r="M1395" s="108">
        <v>1783</v>
      </c>
      <c r="N1395" s="108">
        <f>Таблица97[[#This Row],[Продажа]]-Таблица97[[#This Row],[Закупка]]</f>
        <v>160.95000000000005</v>
      </c>
      <c r="O1395" s="108" t="str">
        <f>IF(Таблица97[[#This Row],[НК]]=1,Таблица97[[#This Row],[Маржа]],"")</f>
        <v/>
      </c>
    </row>
    <row r="1396" spans="1:15" ht="20.100000000000001" customHeight="1" x14ac:dyDescent="0.25">
      <c r="A1396" s="2">
        <v>29</v>
      </c>
      <c r="B1396" s="2" t="str">
        <f>TEXT(Таблица97[[#This Row],[Дата]],"ГГ")&amp;RIGHT("000"&amp;Таблица97[[#This Row],[Номер]],4)</f>
        <v>200029</v>
      </c>
      <c r="C1396" s="129">
        <v>43851</v>
      </c>
      <c r="D1396" s="2" t="s">
        <v>403</v>
      </c>
      <c r="E1396" s="108">
        <v>5431</v>
      </c>
      <c r="F1396" s="129">
        <v>43857</v>
      </c>
      <c r="H1396" s="129">
        <v>43860</v>
      </c>
      <c r="I1396" s="108">
        <f t="shared" si="64"/>
        <v>5431</v>
      </c>
      <c r="J1396" s="108" t="str">
        <f>IF(Таблица97[[#This Row],[НК]]=1,Таблица97[[#This Row],[Продажа]],"")</f>
        <v/>
      </c>
      <c r="M1396" s="108">
        <v>4181</v>
      </c>
      <c r="N1396" s="108">
        <f>Таблица97[[#This Row],[Продажа]]-Таблица97[[#This Row],[Закупка]]</f>
        <v>1250</v>
      </c>
      <c r="O1396" s="108" t="str">
        <f>IF(Таблица97[[#This Row],[НК]]=1,Таблица97[[#This Row],[Маржа]],"")</f>
        <v/>
      </c>
    </row>
    <row r="1397" spans="1:15" ht="20.100000000000001" customHeight="1" x14ac:dyDescent="0.25">
      <c r="A1397" s="2">
        <v>45</v>
      </c>
      <c r="B1397" s="2" t="str">
        <f>TEXT(Таблица97[[#This Row],[Дата]],"ГГ")&amp;RIGHT("000"&amp;Таблица97[[#This Row],[Номер]],4)</f>
        <v>200045</v>
      </c>
      <c r="C1397" s="129">
        <v>43854</v>
      </c>
      <c r="D1397" s="2" t="s">
        <v>281</v>
      </c>
      <c r="E1397" s="108">
        <v>2282</v>
      </c>
      <c r="F1397" s="129">
        <v>43857</v>
      </c>
      <c r="H1397" s="129">
        <v>43858</v>
      </c>
      <c r="I1397" s="108">
        <f t="shared" si="64"/>
        <v>2282</v>
      </c>
      <c r="J1397" s="108" t="str">
        <f>IF(Таблица97[[#This Row],[НК]]=1,Таблица97[[#This Row],[Продажа]],"")</f>
        <v/>
      </c>
      <c r="M1397" s="108">
        <v>1760</v>
      </c>
      <c r="N1397" s="108">
        <f>Таблица97[[#This Row],[Продажа]]-Таблица97[[#This Row],[Закупка]]</f>
        <v>522</v>
      </c>
      <c r="O1397" s="108" t="str">
        <f>IF(Таблица97[[#This Row],[НК]]=1,Таблица97[[#This Row],[Маржа]],"")</f>
        <v/>
      </c>
    </row>
    <row r="1398" spans="1:15" ht="20.100000000000001" customHeight="1" x14ac:dyDescent="0.25">
      <c r="A1398" s="2">
        <v>1201</v>
      </c>
      <c r="B1398" s="2" t="str">
        <f>TEXT(Таблица97[[#This Row],[Дата]],"ГГ")&amp;RIGHT("000"&amp;Таблица97[[#This Row],[Номер]],4)</f>
        <v>191201</v>
      </c>
      <c r="C1398" s="129">
        <v>43812</v>
      </c>
      <c r="D1398" s="2" t="s">
        <v>209</v>
      </c>
      <c r="E1398" s="108">
        <v>1325.15</v>
      </c>
      <c r="F1398" s="129">
        <v>43858</v>
      </c>
      <c r="H1398" s="129">
        <v>43812</v>
      </c>
      <c r="I1398" s="108">
        <f t="shared" si="64"/>
        <v>1325.15</v>
      </c>
      <c r="J1398" s="108" t="str">
        <f>IF(Таблица97[[#This Row],[НК]]=1,Таблица97[[#This Row],[Продажа]],"")</f>
        <v/>
      </c>
      <c r="M1398" s="108">
        <v>1215</v>
      </c>
      <c r="N1398" s="108">
        <f>Таблица97[[#This Row],[Продажа]]-Таблица97[[#This Row],[Закупка]]</f>
        <v>110.15000000000009</v>
      </c>
      <c r="O1398" s="108" t="str">
        <f>IF(Таблица97[[#This Row],[НК]]=1,Таблица97[[#This Row],[Маржа]],"")</f>
        <v/>
      </c>
    </row>
    <row r="1399" spans="1:15" ht="20.100000000000001" customHeight="1" x14ac:dyDescent="0.25">
      <c r="A1399" s="2">
        <v>25</v>
      </c>
      <c r="B1399" s="2" t="str">
        <f>TEXT(Таблица97[[#This Row],[Дата]],"ГГ")&amp;RIGHT("000"&amp;Таблица97[[#This Row],[Номер]],4)</f>
        <v>200025</v>
      </c>
      <c r="C1399" s="129">
        <v>43847</v>
      </c>
      <c r="D1399" s="2" t="s">
        <v>209</v>
      </c>
      <c r="E1399" s="108">
        <v>2101.5</v>
      </c>
      <c r="F1399" s="129">
        <v>43858</v>
      </c>
      <c r="H1399" s="129">
        <v>43847</v>
      </c>
      <c r="I1399" s="108">
        <f t="shared" si="64"/>
        <v>2101.5</v>
      </c>
      <c r="J1399" s="108" t="str">
        <f>IF(Таблица97[[#This Row],[НК]]=1,Таблица97[[#This Row],[Продажа]],"")</f>
        <v/>
      </c>
      <c r="M1399" s="108">
        <v>1818</v>
      </c>
      <c r="N1399" s="108">
        <f>Таблица97[[#This Row],[Продажа]]-Таблица97[[#This Row],[Закупка]]</f>
        <v>283.5</v>
      </c>
      <c r="O1399" s="108" t="str">
        <f>IF(Таблица97[[#This Row],[НК]]=1,Таблица97[[#This Row],[Маржа]],"")</f>
        <v/>
      </c>
    </row>
    <row r="1400" spans="1:15" ht="20.100000000000001" customHeight="1" x14ac:dyDescent="0.25">
      <c r="A1400" s="2">
        <v>1191</v>
      </c>
      <c r="B1400" s="2" t="str">
        <f>TEXT(Таблица97[[#This Row],[Дата]],"ГГ")&amp;RIGHT("000"&amp;Таблица97[[#This Row],[Номер]],4)</f>
        <v>191191</v>
      </c>
      <c r="C1400" s="129">
        <v>43810</v>
      </c>
      <c r="D1400" s="2" t="s">
        <v>65</v>
      </c>
      <c r="E1400" s="108">
        <v>116130</v>
      </c>
      <c r="F1400" s="129">
        <v>43860</v>
      </c>
      <c r="H1400" s="129">
        <v>43826</v>
      </c>
      <c r="I1400" s="108">
        <v>72540.399999999994</v>
      </c>
      <c r="J1400" s="108" t="str">
        <f>IF(Таблица97[[#This Row],[НК]]=1,Таблица97[[#This Row],[Продажа]],"")</f>
        <v/>
      </c>
      <c r="M1400" s="108">
        <v>54986</v>
      </c>
      <c r="N1400" s="108">
        <f>Таблица97[[#This Row],[Продажа]]-Таблица97[[#This Row],[Закупка]]</f>
        <v>17554.399999999994</v>
      </c>
      <c r="O1400" s="108" t="str">
        <f>IF(Таблица97[[#This Row],[НК]]=1,Таблица97[[#This Row],[Маржа]],"")</f>
        <v/>
      </c>
    </row>
    <row r="1401" spans="1:15" ht="20.100000000000001" customHeight="1" x14ac:dyDescent="0.25">
      <c r="A1401" s="2">
        <v>3</v>
      </c>
      <c r="B1401" s="2" t="str">
        <f>TEXT(Таблица97[[#This Row],[Дата]],"ГГ")&amp;RIGHT("000"&amp;Таблица97[[#This Row],[Номер]],4)</f>
        <v>200003</v>
      </c>
      <c r="C1401" s="129">
        <v>43840</v>
      </c>
      <c r="D1401" s="2" t="s">
        <v>11</v>
      </c>
      <c r="E1401" s="108">
        <v>3213</v>
      </c>
      <c r="F1401" s="129">
        <v>43860</v>
      </c>
      <c r="H1401" s="129">
        <v>43866</v>
      </c>
      <c r="I1401" s="108">
        <f>E1401</f>
        <v>3213</v>
      </c>
      <c r="J1401" s="108" t="str">
        <f>IF(Таблица97[[#This Row],[НК]]=1,Таблица97[[#This Row],[Продажа]],"")</f>
        <v/>
      </c>
      <c r="M1401" s="108">
        <v>2329</v>
      </c>
      <c r="N1401" s="108">
        <f>Таблица97[[#This Row],[Продажа]]-Таблица97[[#This Row],[Закупка]]</f>
        <v>884</v>
      </c>
      <c r="O1401" s="108" t="str">
        <f>IF(Таблица97[[#This Row],[НК]]=1,Таблица97[[#This Row],[Маржа]],"")</f>
        <v/>
      </c>
    </row>
    <row r="1402" spans="1:15" ht="20.100000000000001" customHeight="1" x14ac:dyDescent="0.25">
      <c r="A1402" s="2">
        <v>1217</v>
      </c>
      <c r="B1402" s="2" t="str">
        <f>TEXT(Таблица97[[#This Row],[Дата]],"ГГ")&amp;RIGHT("000"&amp;Таблица97[[#This Row],[Номер]],4)</f>
        <v>191217</v>
      </c>
      <c r="C1402" s="129">
        <v>43818</v>
      </c>
      <c r="D1402" s="2" t="s">
        <v>433</v>
      </c>
      <c r="E1402" s="108">
        <v>22852</v>
      </c>
      <c r="F1402" s="129">
        <v>43861</v>
      </c>
      <c r="G1402" s="128">
        <v>1</v>
      </c>
      <c r="H1402" s="129">
        <v>43886</v>
      </c>
      <c r="I1402" s="108">
        <f>E1402</f>
        <v>22852</v>
      </c>
      <c r="J1402" s="108">
        <f>IF(Таблица97[[#This Row],[НК]]=1,Таблица97[[#This Row],[Продажа]],"")</f>
        <v>22852</v>
      </c>
      <c r="M1402" s="108">
        <v>16877</v>
      </c>
      <c r="N1402" s="108">
        <f>Таблица97[[#This Row],[Продажа]]-Таблица97[[#This Row],[Закупка]]</f>
        <v>5975</v>
      </c>
      <c r="O1402" s="108">
        <f>IF(Таблица97[[#This Row],[НК]]=1,Таблица97[[#This Row],[Маржа]],"")</f>
        <v>5975</v>
      </c>
    </row>
    <row r="1403" spans="1:15" ht="20.100000000000001" customHeight="1" x14ac:dyDescent="0.25">
      <c r="A1403" s="2">
        <v>20</v>
      </c>
      <c r="B1403" s="2" t="str">
        <f>TEXT(Таблица97[[#This Row],[Дата]],"ГГ")&amp;RIGHT("000"&amp;Таблица97[[#This Row],[Номер]],4)</f>
        <v>200020</v>
      </c>
      <c r="C1403" s="129">
        <v>43846</v>
      </c>
      <c r="D1403" s="2" t="s">
        <v>11</v>
      </c>
      <c r="E1403" s="108">
        <v>3807</v>
      </c>
      <c r="F1403" s="129">
        <v>43864</v>
      </c>
      <c r="H1403" s="129">
        <v>43866</v>
      </c>
      <c r="I1403" s="108">
        <f t="shared" ref="I1403:I1423" si="65">E1403</f>
        <v>3807</v>
      </c>
      <c r="J1403" s="108" t="str">
        <f>IF(Таблица97[[#This Row],[НК]]=1,Таблица97[[#This Row],[Продажа]],"")</f>
        <v/>
      </c>
      <c r="M1403" s="108">
        <v>2930</v>
      </c>
      <c r="N1403" s="108">
        <f>Таблица97[[#This Row],[Продажа]]-Таблица97[[#This Row],[Закупка]]</f>
        <v>877</v>
      </c>
      <c r="O1403" s="108" t="str">
        <f>IF(Таблица97[[#This Row],[НК]]=1,Таблица97[[#This Row],[Маржа]],"")</f>
        <v/>
      </c>
    </row>
    <row r="1404" spans="1:15" ht="20.100000000000001" customHeight="1" x14ac:dyDescent="0.25">
      <c r="A1404" s="2">
        <v>21</v>
      </c>
      <c r="B1404" s="2" t="str">
        <f>TEXT(Таблица97[[#This Row],[Дата]],"ГГ")&amp;RIGHT("000"&amp;Таблица97[[#This Row],[Номер]],4)</f>
        <v>200021</v>
      </c>
      <c r="C1404" s="129">
        <v>43846</v>
      </c>
      <c r="D1404" s="2" t="s">
        <v>11</v>
      </c>
      <c r="E1404" s="108">
        <v>17484</v>
      </c>
      <c r="F1404" s="129">
        <v>43864</v>
      </c>
      <c r="H1404" s="129">
        <v>43866</v>
      </c>
      <c r="I1404" s="108">
        <f t="shared" si="65"/>
        <v>17484</v>
      </c>
      <c r="J1404" s="108" t="str">
        <f>IF(Таблица97[[#This Row],[НК]]=1,Таблица97[[#This Row],[Продажа]],"")</f>
        <v/>
      </c>
      <c r="M1404" s="108">
        <v>11538</v>
      </c>
      <c r="N1404" s="108">
        <f>Таблица97[[#This Row],[Продажа]]-Таблица97[[#This Row],[Закупка]]</f>
        <v>5946</v>
      </c>
      <c r="O1404" s="108" t="str">
        <f>IF(Таблица97[[#This Row],[НК]]=1,Таблица97[[#This Row],[Маржа]],"")</f>
        <v/>
      </c>
    </row>
    <row r="1405" spans="1:15" ht="20.100000000000001" customHeight="1" x14ac:dyDescent="0.25">
      <c r="A1405" s="2">
        <v>78</v>
      </c>
      <c r="B1405" s="2" t="str">
        <f>TEXT(Таблица97[[#This Row],[Дата]],"ГГ")&amp;RIGHT("000"&amp;Таблица97[[#This Row],[Номер]],4)</f>
        <v>200078</v>
      </c>
      <c r="C1405" s="129">
        <v>43861</v>
      </c>
      <c r="D1405" s="2" t="s">
        <v>16</v>
      </c>
      <c r="E1405" s="108">
        <v>16458</v>
      </c>
      <c r="F1405" s="129">
        <v>43864</v>
      </c>
      <c r="H1405" s="129">
        <v>43867</v>
      </c>
      <c r="I1405" s="108">
        <f t="shared" si="65"/>
        <v>16458</v>
      </c>
      <c r="J1405" s="108" t="str">
        <f>IF(Таблица97[[#This Row],[НК]]=1,Таблица97[[#This Row],[Продажа]],"")</f>
        <v/>
      </c>
      <c r="M1405" s="108">
        <v>12543</v>
      </c>
      <c r="N1405" s="108">
        <f>Таблица97[[#This Row],[Продажа]]-Таблица97[[#This Row],[Закупка]]</f>
        <v>3915</v>
      </c>
      <c r="O1405" s="108" t="str">
        <f>IF(Таблица97[[#This Row],[НК]]=1,Таблица97[[#This Row],[Маржа]],"")</f>
        <v/>
      </c>
    </row>
    <row r="1406" spans="1:15" ht="20.100000000000001" customHeight="1" x14ac:dyDescent="0.25">
      <c r="A1406" s="2">
        <v>68</v>
      </c>
      <c r="B1406" s="2" t="str">
        <f>TEXT(Таблица97[[#This Row],[Дата]],"ГГ")&amp;RIGHT("000"&amp;Таблица97[[#This Row],[Номер]],4)</f>
        <v>200068</v>
      </c>
      <c r="C1406" s="129">
        <v>43861</v>
      </c>
      <c r="D1406" s="2" t="s">
        <v>139</v>
      </c>
      <c r="E1406" s="108">
        <v>32970</v>
      </c>
      <c r="F1406" s="129">
        <v>43864</v>
      </c>
      <c r="H1406" s="129">
        <v>43888</v>
      </c>
      <c r="I1406" s="108">
        <f t="shared" si="65"/>
        <v>32970</v>
      </c>
      <c r="J1406" s="108" t="str">
        <f>IF(Таблица97[[#This Row],[НК]]=1,Таблица97[[#This Row],[Продажа]],"")</f>
        <v/>
      </c>
      <c r="M1406" s="108">
        <f>8078*3</f>
        <v>24234</v>
      </c>
      <c r="N1406" s="108">
        <f>Таблица97[[#This Row],[Продажа]]-Таблица97[[#This Row],[Закупка]]</f>
        <v>8736</v>
      </c>
      <c r="O1406" s="108" t="str">
        <f>IF(Таблица97[[#This Row],[НК]]=1,Таблица97[[#This Row],[Маржа]],"")</f>
        <v/>
      </c>
    </row>
    <row r="1407" spans="1:15" ht="20.100000000000001" customHeight="1" x14ac:dyDescent="0.25">
      <c r="A1407" s="2">
        <v>1228</v>
      </c>
      <c r="B1407" s="2" t="str">
        <f>TEXT(Таблица97[[#This Row],[Дата]],"ГГ")&amp;RIGHT("000"&amp;Таблица97[[#This Row],[Номер]],4)</f>
        <v>191228</v>
      </c>
      <c r="C1407" s="129">
        <v>43823</v>
      </c>
      <c r="D1407" s="2" t="s">
        <v>56</v>
      </c>
      <c r="E1407" s="108">
        <v>72488</v>
      </c>
      <c r="F1407" s="129">
        <v>43865</v>
      </c>
      <c r="H1407" s="129">
        <v>43857</v>
      </c>
      <c r="I1407" s="108">
        <f t="shared" si="65"/>
        <v>72488</v>
      </c>
      <c r="J1407" s="108" t="str">
        <f>IF(Таблица97[[#This Row],[НК]]=1,Таблица97[[#This Row],[Продажа]],"")</f>
        <v/>
      </c>
      <c r="M1407" s="108">
        <v>55183</v>
      </c>
      <c r="N1407" s="108">
        <f>Таблица97[[#This Row],[Продажа]]-Таблица97[[#This Row],[Закупка]]</f>
        <v>17305</v>
      </c>
      <c r="O1407" s="108" t="str">
        <f>IF(Таблица97[[#This Row],[НК]]=1,Таблица97[[#This Row],[Маржа]],"")</f>
        <v/>
      </c>
    </row>
    <row r="1408" spans="1:15" ht="20.100000000000001" customHeight="1" x14ac:dyDescent="0.25">
      <c r="A1408" s="2">
        <v>1179</v>
      </c>
      <c r="B1408" s="2" t="str">
        <f>TEXT(Таблица97[[#This Row],[Дата]],"ГГ")&amp;RIGHT("000"&amp;Таблица97[[#This Row],[Номер]],4)</f>
        <v>191179</v>
      </c>
      <c r="C1408" s="129">
        <v>43811</v>
      </c>
      <c r="D1408" s="2" t="s">
        <v>50</v>
      </c>
      <c r="E1408" s="108">
        <v>22465</v>
      </c>
      <c r="F1408" s="129">
        <v>43865</v>
      </c>
      <c r="H1408" s="129">
        <v>43851</v>
      </c>
      <c r="I1408" s="108">
        <f t="shared" si="65"/>
        <v>22465</v>
      </c>
      <c r="J1408" s="108" t="str">
        <f>IF(Таблица97[[#This Row],[НК]]=1,Таблица97[[#This Row],[Продажа]],"")</f>
        <v/>
      </c>
      <c r="M1408" s="108">
        <v>18443</v>
      </c>
      <c r="N1408" s="108">
        <f>Таблица97[[#This Row],[Продажа]]-Таблица97[[#This Row],[Закупка]]</f>
        <v>4022</v>
      </c>
      <c r="O1408" s="108" t="str">
        <f>IF(Таблица97[[#This Row],[НК]]=1,Таблица97[[#This Row],[Маржа]],"")</f>
        <v/>
      </c>
    </row>
    <row r="1409" spans="1:15" ht="20.100000000000001" customHeight="1" x14ac:dyDescent="0.25">
      <c r="A1409" s="2">
        <v>113</v>
      </c>
      <c r="B1409" s="2" t="str">
        <f>TEXT(Таблица97[[#This Row],[Дата]],"ГГ")&amp;RIGHT("000"&amp;Таблица97[[#This Row],[Номер]],4)</f>
        <v>200113</v>
      </c>
      <c r="C1409" s="129">
        <v>43871</v>
      </c>
      <c r="D1409" s="2" t="s">
        <v>434</v>
      </c>
      <c r="E1409" s="108">
        <v>13990</v>
      </c>
      <c r="F1409" s="129">
        <v>43871</v>
      </c>
      <c r="G1409" s="128">
        <v>1</v>
      </c>
      <c r="H1409" s="129">
        <v>43871</v>
      </c>
      <c r="I1409" s="108">
        <f t="shared" si="65"/>
        <v>13990</v>
      </c>
      <c r="J1409" s="108">
        <f>IF(Таблица97[[#This Row],[НК]]=1,Таблица97[[#This Row],[Продажа]],"")</f>
        <v>13990</v>
      </c>
      <c r="M1409" s="108">
        <v>10112</v>
      </c>
      <c r="N1409" s="108">
        <f>Таблица97[[#This Row],[Продажа]]-Таблица97[[#This Row],[Закупка]]</f>
        <v>3878</v>
      </c>
      <c r="O1409" s="108">
        <f>IF(Таблица97[[#This Row],[НК]]=1,Таблица97[[#This Row],[Маржа]],"")</f>
        <v>3878</v>
      </c>
    </row>
    <row r="1410" spans="1:15" ht="20.100000000000001" customHeight="1" x14ac:dyDescent="0.25">
      <c r="A1410" s="2">
        <v>114</v>
      </c>
      <c r="B1410" s="2" t="str">
        <f>TEXT(Таблица97[[#This Row],[Дата]],"ГГ")&amp;RIGHT("000"&amp;Таблица97[[#This Row],[Номер]],4)</f>
        <v>200114</v>
      </c>
      <c r="C1410" s="129">
        <v>43871</v>
      </c>
      <c r="D1410" s="2" t="s">
        <v>149</v>
      </c>
      <c r="E1410" s="108">
        <v>505</v>
      </c>
      <c r="F1410" s="129">
        <v>43872</v>
      </c>
      <c r="H1410" s="129">
        <v>43889</v>
      </c>
      <c r="I1410" s="108">
        <f t="shared" si="65"/>
        <v>505</v>
      </c>
      <c r="J1410" s="108" t="str">
        <f>IF(Таблица97[[#This Row],[НК]]=1,Таблица97[[#This Row],[Продажа]],"")</f>
        <v/>
      </c>
      <c r="M1410" s="108">
        <v>396</v>
      </c>
      <c r="N1410" s="108">
        <f>Таблица97[[#This Row],[Продажа]]-Таблица97[[#This Row],[Закупка]]</f>
        <v>109</v>
      </c>
      <c r="O1410" s="108" t="str">
        <f>IF(Таблица97[[#This Row],[НК]]=1,Таблица97[[#This Row],[Маржа]],"")</f>
        <v/>
      </c>
    </row>
    <row r="1411" spans="1:15" ht="20.100000000000001" customHeight="1" x14ac:dyDescent="0.25">
      <c r="A1411" s="2">
        <v>93</v>
      </c>
      <c r="B1411" s="2" t="str">
        <f>TEXT(Таблица97[[#This Row],[Дата]],"ГГ")&amp;RIGHT("000"&amp;Таблица97[[#This Row],[Номер]],4)</f>
        <v>200093</v>
      </c>
      <c r="C1411" s="129">
        <v>43866</v>
      </c>
      <c r="D1411" s="2" t="s">
        <v>186</v>
      </c>
      <c r="E1411" s="108">
        <v>6742</v>
      </c>
      <c r="F1411" s="129">
        <v>43872</v>
      </c>
      <c r="H1411" s="129">
        <v>43893</v>
      </c>
      <c r="I1411" s="108">
        <f t="shared" si="65"/>
        <v>6742</v>
      </c>
      <c r="J1411" s="108" t="str">
        <f>IF(Таблица97[[#This Row],[НК]]=1,Таблица97[[#This Row],[Продажа]],"")</f>
        <v/>
      </c>
      <c r="M1411" s="108">
        <v>5073</v>
      </c>
      <c r="N1411" s="108">
        <f>Таблица97[[#This Row],[Продажа]]-Таблица97[[#This Row],[Закупка]]</f>
        <v>1669</v>
      </c>
      <c r="O1411" s="108" t="str">
        <f>IF(Таблица97[[#This Row],[НК]]=1,Таблица97[[#This Row],[Маржа]],"")</f>
        <v/>
      </c>
    </row>
    <row r="1412" spans="1:15" ht="20.100000000000001" customHeight="1" x14ac:dyDescent="0.25">
      <c r="A1412" s="2">
        <v>115</v>
      </c>
      <c r="B1412" s="2" t="str">
        <f>TEXT(Таблица97[[#This Row],[Дата]],"ГГ")&amp;RIGHT("000"&amp;Таблица97[[#This Row],[Номер]],4)</f>
        <v>200115</v>
      </c>
      <c r="C1412" s="129">
        <v>43871</v>
      </c>
      <c r="D1412" s="2" t="s">
        <v>435</v>
      </c>
      <c r="E1412" s="108">
        <v>4372</v>
      </c>
      <c r="F1412" s="129">
        <v>43872</v>
      </c>
      <c r="G1412" s="128">
        <v>1</v>
      </c>
      <c r="H1412" s="129">
        <v>43892</v>
      </c>
      <c r="I1412" s="108">
        <f t="shared" si="65"/>
        <v>4372</v>
      </c>
      <c r="J1412" s="108">
        <f>IF(Таблица97[[#This Row],[НК]]=1,Таблица97[[#This Row],[Продажа]],"")</f>
        <v>4372</v>
      </c>
      <c r="M1412" s="108">
        <v>3075</v>
      </c>
      <c r="N1412" s="108">
        <f>Таблица97[[#This Row],[Продажа]]-Таблица97[[#This Row],[Закупка]]</f>
        <v>1297</v>
      </c>
      <c r="O1412" s="108">
        <f>IF(Таблица97[[#This Row],[НК]]=1,Таблица97[[#This Row],[Маржа]],"")</f>
        <v>1297</v>
      </c>
    </row>
    <row r="1413" spans="1:15" ht="20.100000000000001" customHeight="1" x14ac:dyDescent="0.25">
      <c r="A1413" s="2">
        <v>53</v>
      </c>
      <c r="B1413" s="2" t="str">
        <f>TEXT(Таблица97[[#This Row],[Дата]],"ГГ")&amp;RIGHT("000"&amp;Таблица97[[#This Row],[Номер]],4)</f>
        <v>200053</v>
      </c>
      <c r="C1413" s="129">
        <v>43858</v>
      </c>
      <c r="D1413" s="2" t="s">
        <v>11</v>
      </c>
      <c r="E1413" s="108">
        <v>2538</v>
      </c>
      <c r="F1413" s="129">
        <v>43875</v>
      </c>
      <c r="H1413" s="129">
        <v>43866</v>
      </c>
      <c r="I1413" s="108">
        <f t="shared" si="65"/>
        <v>2538</v>
      </c>
      <c r="J1413" s="108" t="str">
        <f>IF(Таблица97[[#This Row],[НК]]=1,Таблица97[[#This Row],[Продажа]],"")</f>
        <v/>
      </c>
      <c r="M1413" s="108">
        <v>1584</v>
      </c>
      <c r="N1413" s="108">
        <f>Таблица97[[#This Row],[Продажа]]-Таблица97[[#This Row],[Закупка]]</f>
        <v>954</v>
      </c>
      <c r="O1413" s="108" t="str">
        <f>IF(Таблица97[[#This Row],[НК]]=1,Таблица97[[#This Row],[Маржа]],"")</f>
        <v/>
      </c>
    </row>
    <row r="1414" spans="1:15" ht="20.100000000000001" customHeight="1" x14ac:dyDescent="0.25">
      <c r="A1414" s="2">
        <v>133</v>
      </c>
      <c r="B1414" s="2" t="str">
        <f>TEXT(Таблица97[[#This Row],[Дата]],"ГГ")&amp;RIGHT("000"&amp;Таблица97[[#This Row],[Номер]],4)</f>
        <v>200133</v>
      </c>
      <c r="C1414" s="129">
        <v>43878</v>
      </c>
      <c r="D1414" s="2" t="s">
        <v>91</v>
      </c>
      <c r="E1414" s="108">
        <v>9732</v>
      </c>
      <c r="F1414" s="129">
        <v>43879</v>
      </c>
      <c r="H1414" s="129">
        <v>43913</v>
      </c>
      <c r="I1414" s="108">
        <f t="shared" si="65"/>
        <v>9732</v>
      </c>
      <c r="J1414" s="108" t="str">
        <f>IF(Таблица97[[#This Row],[НК]]=1,Таблица97[[#This Row],[Продажа]],"")</f>
        <v/>
      </c>
      <c r="M1414" s="108">
        <v>7548</v>
      </c>
      <c r="N1414" s="108">
        <f>Таблица97[[#This Row],[Продажа]]-Таблица97[[#This Row],[Закупка]]</f>
        <v>2184</v>
      </c>
      <c r="O1414" s="108" t="str">
        <f>IF(Таблица97[[#This Row],[НК]]=1,Таблица97[[#This Row],[Маржа]],"")</f>
        <v/>
      </c>
    </row>
    <row r="1415" spans="1:15" ht="20.100000000000001" customHeight="1" x14ac:dyDescent="0.25">
      <c r="A1415" s="2">
        <v>57</v>
      </c>
      <c r="B1415" s="2" t="str">
        <f>TEXT(Таблица97[[#This Row],[Дата]],"ГГ")&amp;RIGHT("000"&amp;Таблица97[[#This Row],[Номер]],4)</f>
        <v>200057</v>
      </c>
      <c r="C1415" s="129">
        <v>43858</v>
      </c>
      <c r="D1415" s="2" t="s">
        <v>436</v>
      </c>
      <c r="E1415" s="108">
        <v>78748</v>
      </c>
      <c r="F1415" s="129">
        <v>43879</v>
      </c>
      <c r="G1415" s="128">
        <v>1</v>
      </c>
      <c r="H1415" s="129">
        <v>43880</v>
      </c>
      <c r="I1415" s="108">
        <f t="shared" si="65"/>
        <v>78748</v>
      </c>
      <c r="J1415" s="108">
        <f>IF(Таблица97[[#This Row],[НК]]=1,Таблица97[[#This Row],[Продажа]],"")</f>
        <v>78748</v>
      </c>
      <c r="M1415" s="108">
        <v>55700</v>
      </c>
      <c r="N1415" s="108">
        <f>Таблица97[[#This Row],[Продажа]]-Таблица97[[#This Row],[Закупка]]</f>
        <v>23048</v>
      </c>
      <c r="O1415" s="108">
        <f>IF(Таблица97[[#This Row],[НК]]=1,Таблица97[[#This Row],[Маржа]],"")</f>
        <v>23048</v>
      </c>
    </row>
    <row r="1416" spans="1:15" ht="20.100000000000001" customHeight="1" x14ac:dyDescent="0.25">
      <c r="A1416" s="2">
        <v>134</v>
      </c>
      <c r="B1416" s="2" t="str">
        <f>TEXT(Таблица97[[#This Row],[Дата]],"ГГ")&amp;RIGHT("000"&amp;Таблица97[[#This Row],[Номер]],4)</f>
        <v>200134</v>
      </c>
      <c r="C1416" s="129">
        <v>43878</v>
      </c>
      <c r="D1416" s="2" t="s">
        <v>175</v>
      </c>
      <c r="E1416" s="108">
        <v>19236</v>
      </c>
      <c r="F1416" s="129">
        <v>43881</v>
      </c>
      <c r="H1416" s="129">
        <v>43888</v>
      </c>
      <c r="I1416" s="108">
        <f t="shared" si="65"/>
        <v>19236</v>
      </c>
      <c r="J1416" s="108" t="str">
        <f>IF(Таблица97[[#This Row],[НК]]=1,Таблица97[[#This Row],[Продажа]],"")</f>
        <v/>
      </c>
      <c r="M1416" s="108">
        <v>12692</v>
      </c>
      <c r="N1416" s="108">
        <f>Таблица97[[#This Row],[Продажа]]-Таблица97[[#This Row],[Закупка]]</f>
        <v>6544</v>
      </c>
      <c r="O1416" s="108" t="str">
        <f>IF(Таблица97[[#This Row],[НК]]=1,Таблица97[[#This Row],[Маржа]],"")</f>
        <v/>
      </c>
    </row>
    <row r="1417" spans="1:15" ht="20.100000000000001" customHeight="1" x14ac:dyDescent="0.25">
      <c r="A1417" s="2">
        <v>132</v>
      </c>
      <c r="B1417" s="2" t="str">
        <f>TEXT(Таблица97[[#This Row],[Дата]],"ГГ")&amp;RIGHT("000"&amp;Таблица97[[#This Row],[Номер]],4)</f>
        <v>200132</v>
      </c>
      <c r="C1417" s="129">
        <v>43878</v>
      </c>
      <c r="D1417" s="2" t="s">
        <v>437</v>
      </c>
      <c r="E1417" s="108">
        <v>3142</v>
      </c>
      <c r="F1417" s="129">
        <v>43881</v>
      </c>
      <c r="G1417" s="128">
        <v>1</v>
      </c>
      <c r="H1417" s="129">
        <v>43881</v>
      </c>
      <c r="I1417" s="108">
        <f t="shared" si="65"/>
        <v>3142</v>
      </c>
      <c r="J1417" s="108">
        <f>IF(Таблица97[[#This Row],[НК]]=1,Таблица97[[#This Row],[Продажа]],"")</f>
        <v>3142</v>
      </c>
      <c r="M1417" s="108">
        <v>2450</v>
      </c>
      <c r="N1417" s="108">
        <f>Таблица97[[#This Row],[Продажа]]-Таблица97[[#This Row],[Закупка]]</f>
        <v>692</v>
      </c>
      <c r="O1417" s="108">
        <f>IF(Таблица97[[#This Row],[НК]]=1,Таблица97[[#This Row],[Маржа]],"")</f>
        <v>692</v>
      </c>
    </row>
    <row r="1418" spans="1:15" ht="20.100000000000001" customHeight="1" x14ac:dyDescent="0.25">
      <c r="A1418" s="2">
        <v>155</v>
      </c>
      <c r="B1418" s="2" t="str">
        <f>TEXT(Таблица97[[#This Row],[Дата]],"ГГ")&amp;RIGHT("000"&amp;Таблица97[[#This Row],[Номер]],4)</f>
        <v>200155</v>
      </c>
      <c r="C1418" s="129">
        <v>43886</v>
      </c>
      <c r="D1418" s="2" t="s">
        <v>438</v>
      </c>
      <c r="E1418" s="108">
        <v>2494</v>
      </c>
      <c r="F1418" s="129">
        <v>43886</v>
      </c>
      <c r="G1418" s="128">
        <v>1</v>
      </c>
      <c r="H1418" s="129">
        <v>43887</v>
      </c>
      <c r="I1418" s="108">
        <f t="shared" si="65"/>
        <v>2494</v>
      </c>
      <c r="J1418" s="108">
        <f>IF(Таблица97[[#This Row],[НК]]=1,Таблица97[[#This Row],[Продажа]],"")</f>
        <v>2494</v>
      </c>
      <c r="M1418" s="108">
        <v>1421</v>
      </c>
      <c r="N1418" s="108">
        <f>Таблица97[[#This Row],[Продажа]]-Таблица97[[#This Row],[Закупка]]</f>
        <v>1073</v>
      </c>
      <c r="O1418" s="108">
        <f>IF(Таблица97[[#This Row],[НК]]=1,Таблица97[[#This Row],[Маржа]],"")</f>
        <v>1073</v>
      </c>
    </row>
    <row r="1419" spans="1:15" ht="20.100000000000001" customHeight="1" x14ac:dyDescent="0.25">
      <c r="A1419" s="2">
        <v>30</v>
      </c>
      <c r="B1419" s="2" t="str">
        <f>TEXT(Таблица97[[#This Row],[Дата]],"ГГ")&amp;RIGHT("000"&amp;Таблица97[[#This Row],[Номер]],4)</f>
        <v>200030</v>
      </c>
      <c r="C1419" s="129">
        <v>43852</v>
      </c>
      <c r="D1419" s="2" t="s">
        <v>56</v>
      </c>
      <c r="E1419" s="108">
        <v>73472</v>
      </c>
      <c r="F1419" s="129">
        <v>43886</v>
      </c>
      <c r="H1419" s="129">
        <v>43868</v>
      </c>
      <c r="I1419" s="108">
        <f t="shared" si="65"/>
        <v>73472</v>
      </c>
      <c r="J1419" s="108" t="str">
        <f>IF(Таблица97[[#This Row],[НК]]=1,Таблица97[[#This Row],[Продажа]],"")</f>
        <v/>
      </c>
      <c r="M1419" s="108">
        <v>55607</v>
      </c>
      <c r="N1419" s="108">
        <f>Таблица97[[#This Row],[Продажа]]-Таблица97[[#This Row],[Закупка]]</f>
        <v>17865</v>
      </c>
      <c r="O1419" s="108" t="str">
        <f>IF(Таблица97[[#This Row],[НК]]=1,Таблица97[[#This Row],[Маржа]],"")</f>
        <v/>
      </c>
    </row>
    <row r="1420" spans="1:15" ht="20.100000000000001" customHeight="1" x14ac:dyDescent="0.25">
      <c r="A1420" s="2">
        <v>156</v>
      </c>
      <c r="B1420" s="2" t="str">
        <f>TEXT(Таблица97[[#This Row],[Дата]],"ГГ")&amp;RIGHT("000"&amp;Таблица97[[#This Row],[Номер]],4)</f>
        <v>200156</v>
      </c>
      <c r="C1420" s="129">
        <v>43886</v>
      </c>
      <c r="D1420" s="2" t="s">
        <v>149</v>
      </c>
      <c r="E1420" s="108">
        <v>3834</v>
      </c>
      <c r="F1420" s="129">
        <v>43886</v>
      </c>
      <c r="H1420" s="129">
        <v>43889</v>
      </c>
      <c r="I1420" s="108">
        <f t="shared" si="65"/>
        <v>3834</v>
      </c>
      <c r="J1420" s="108" t="str">
        <f>IF(Таблица97[[#This Row],[НК]]=1,Таблица97[[#This Row],[Продажа]],"")</f>
        <v/>
      </c>
      <c r="M1420" s="108">
        <v>2988</v>
      </c>
      <c r="N1420" s="108">
        <f>Таблица97[[#This Row],[Продажа]]-Таблица97[[#This Row],[Закупка]]</f>
        <v>846</v>
      </c>
      <c r="O1420" s="108" t="str">
        <f>IF(Таблица97[[#This Row],[НК]]=1,Таблица97[[#This Row],[Маржа]],"")</f>
        <v/>
      </c>
    </row>
    <row r="1421" spans="1:15" ht="20.100000000000001" customHeight="1" x14ac:dyDescent="0.25">
      <c r="A1421" s="2">
        <v>162</v>
      </c>
      <c r="B1421" s="2" t="str">
        <f>TEXT(Таблица97[[#This Row],[Дата]],"ГГ")&amp;RIGHT("000"&amp;Таблица97[[#This Row],[Номер]],4)</f>
        <v>200162</v>
      </c>
      <c r="C1421" s="129">
        <v>43886</v>
      </c>
      <c r="D1421" s="2" t="s">
        <v>424</v>
      </c>
      <c r="E1421" s="108">
        <v>914</v>
      </c>
      <c r="F1421" s="129">
        <v>43888</v>
      </c>
      <c r="H1421" s="129">
        <v>44035</v>
      </c>
      <c r="I1421" s="108">
        <f t="shared" si="65"/>
        <v>914</v>
      </c>
      <c r="J1421" s="108" t="str">
        <f>IF(Таблица97[[#This Row],[НК]]=1,Таблица97[[#This Row],[Продажа]],"")</f>
        <v/>
      </c>
      <c r="M1421" s="108">
        <v>712</v>
      </c>
      <c r="N1421" s="108">
        <f>Таблица97[[#This Row],[Продажа]]-Таблица97[[#This Row],[Закупка]]</f>
        <v>202</v>
      </c>
      <c r="O1421" s="108" t="str">
        <f>IF(Таблица97[[#This Row],[НК]]=1,Таблица97[[#This Row],[Маржа]],"")</f>
        <v/>
      </c>
    </row>
    <row r="1422" spans="1:15" ht="20.100000000000001" customHeight="1" x14ac:dyDescent="0.25">
      <c r="A1422" s="2">
        <v>159</v>
      </c>
      <c r="B1422" s="2" t="str">
        <f>TEXT(Таблица97[[#This Row],[Дата]],"ГГ")&amp;RIGHT("000"&amp;Таблица97[[#This Row],[Номер]],4)</f>
        <v>200159</v>
      </c>
      <c r="C1422" s="129">
        <v>43886</v>
      </c>
      <c r="D1422" s="2" t="s">
        <v>83</v>
      </c>
      <c r="E1422" s="108">
        <v>49990</v>
      </c>
      <c r="F1422" s="129">
        <v>43888</v>
      </c>
      <c r="H1422" s="129">
        <v>43901</v>
      </c>
      <c r="I1422" s="108">
        <f t="shared" si="65"/>
        <v>49990</v>
      </c>
      <c r="J1422" s="108" t="str">
        <f>IF(Таблица97[[#This Row],[НК]]=1,Таблица97[[#This Row],[Продажа]],"")</f>
        <v/>
      </c>
      <c r="M1422" s="108">
        <v>36713</v>
      </c>
      <c r="N1422" s="108">
        <f>Таблица97[[#This Row],[Продажа]]-Таблица97[[#This Row],[Закупка]]</f>
        <v>13277</v>
      </c>
      <c r="O1422" s="108" t="str">
        <f>IF(Таблица97[[#This Row],[НК]]=1,Таблица97[[#This Row],[Маржа]],"")</f>
        <v/>
      </c>
    </row>
    <row r="1423" spans="1:15" ht="20.100000000000001" customHeight="1" x14ac:dyDescent="0.25">
      <c r="A1423" s="2">
        <v>23</v>
      </c>
      <c r="B1423" s="2" t="str">
        <f>TEXT(Таблица97[[#This Row],[Дата]],"ГГ")&amp;RIGHT("000"&amp;Таблица97[[#This Row],[Номер]],4)</f>
        <v>200023</v>
      </c>
      <c r="C1423" s="129">
        <v>43847</v>
      </c>
      <c r="D1423" s="2" t="s">
        <v>65</v>
      </c>
      <c r="E1423" s="108">
        <v>5820</v>
      </c>
      <c r="F1423" s="129">
        <v>43888</v>
      </c>
      <c r="H1423" s="129">
        <v>43868</v>
      </c>
      <c r="I1423" s="108">
        <f t="shared" si="65"/>
        <v>5820</v>
      </c>
      <c r="J1423" s="108" t="str">
        <f>IF(Таблица97[[#This Row],[НК]]=1,Таблица97[[#This Row],[Продажа]],"")</f>
        <v/>
      </c>
      <c r="M1423" s="108">
        <v>4991</v>
      </c>
      <c r="N1423" s="108">
        <f>Таблица97[[#This Row],[Продажа]]-Таблица97[[#This Row],[Закупка]]</f>
        <v>829</v>
      </c>
      <c r="O1423" s="108" t="str">
        <f>IF(Таблица97[[#This Row],[НК]]=1,Таблица97[[#This Row],[Маржа]],"")</f>
        <v/>
      </c>
    </row>
    <row r="1424" spans="1:15" ht="20.100000000000001" customHeight="1" x14ac:dyDescent="0.25">
      <c r="A1424" s="2">
        <v>1191</v>
      </c>
      <c r="B1424" s="2" t="str">
        <f>TEXT(Таблица97[[#This Row],[Дата]],"ГГ")&amp;RIGHT("000"&amp;Таблица97[[#This Row],[Номер]],4)</f>
        <v>191191</v>
      </c>
      <c r="C1424" s="129">
        <v>43810</v>
      </c>
      <c r="D1424" s="2" t="s">
        <v>65</v>
      </c>
      <c r="E1424" s="108">
        <v>116130</v>
      </c>
      <c r="F1424" s="129">
        <v>43888</v>
      </c>
      <c r="H1424" s="129">
        <v>43868</v>
      </c>
      <c r="I1424" s="108">
        <v>18990</v>
      </c>
      <c r="J1424" s="108" t="str">
        <f>IF(Таблица97[[#This Row],[НК]]=1,Таблица97[[#This Row],[Продажа]],"")</f>
        <v/>
      </c>
      <c r="M1424" s="108">
        <v>14684</v>
      </c>
      <c r="N1424" s="108">
        <f>Таблица97[[#This Row],[Продажа]]-Таблица97[[#This Row],[Закупка]]</f>
        <v>4306</v>
      </c>
      <c r="O1424" s="108" t="str">
        <f>IF(Таблица97[[#This Row],[НК]]=1,Таблица97[[#This Row],[Маржа]],"")</f>
        <v/>
      </c>
    </row>
    <row r="1425" spans="1:15" ht="20.100000000000001" customHeight="1" x14ac:dyDescent="0.25">
      <c r="A1425" s="2">
        <v>151</v>
      </c>
      <c r="B1425" s="2" t="str">
        <f>TEXT(Таблица97[[#This Row],[Дата]],"ГГ")&amp;RIGHT("000"&amp;Таблица97[[#This Row],[Номер]],4)</f>
        <v>200151</v>
      </c>
      <c r="C1425" s="129">
        <v>43886</v>
      </c>
      <c r="D1425" s="2" t="s">
        <v>410</v>
      </c>
      <c r="E1425" s="108">
        <v>1934920</v>
      </c>
      <c r="F1425" s="129">
        <v>43889</v>
      </c>
      <c r="H1425" s="129">
        <v>43914</v>
      </c>
      <c r="I1425" s="108">
        <f>E1425</f>
        <v>1934920</v>
      </c>
      <c r="J1425" s="108" t="str">
        <f>IF(Таблица97[[#This Row],[НК]]=1,Таблица97[[#This Row],[Продажа]],"")</f>
        <v/>
      </c>
      <c r="K1425" s="108">
        <v>30000</v>
      </c>
      <c r="M1425" s="108">
        <f>792685*2+80000</f>
        <v>1665370</v>
      </c>
      <c r="N1425" s="108">
        <f>Таблица97[[#This Row],[Продажа]]-Таблица97[[#This Row],[Закупка]]</f>
        <v>269550</v>
      </c>
      <c r="O1425" s="108" t="str">
        <f>IF(Таблица97[[#This Row],[НК]]=1,Таблица97[[#This Row],[Маржа]],"")</f>
        <v/>
      </c>
    </row>
    <row r="1426" spans="1:15" ht="20.100000000000001" customHeight="1" x14ac:dyDescent="0.25">
      <c r="A1426" s="2">
        <v>152</v>
      </c>
      <c r="B1426" s="2" t="str">
        <f>TEXT(Таблица97[[#This Row],[Дата]],"ГГ")&amp;RIGHT("000"&amp;Таблица97[[#This Row],[Номер]],4)</f>
        <v>200152</v>
      </c>
      <c r="C1426" s="129">
        <v>43882</v>
      </c>
      <c r="D1426" s="2" t="s">
        <v>270</v>
      </c>
      <c r="E1426" s="108">
        <v>2559</v>
      </c>
      <c r="F1426" s="129">
        <v>43889</v>
      </c>
      <c r="H1426" s="129">
        <v>43896</v>
      </c>
      <c r="I1426" s="108">
        <f>E1426</f>
        <v>2559</v>
      </c>
      <c r="J1426" s="108" t="str">
        <f>IF(Таблица97[[#This Row],[НК]]=1,Таблица97[[#This Row],[Продажа]],"")</f>
        <v/>
      </c>
      <c r="M1426" s="108">
        <v>1996</v>
      </c>
      <c r="N1426" s="108">
        <f>Таблица97[[#This Row],[Продажа]]-Таблица97[[#This Row],[Закупка]]</f>
        <v>563</v>
      </c>
      <c r="O1426" s="108" t="str">
        <f>IF(Таблица97[[#This Row],[НК]]=1,Таблица97[[#This Row],[Маржа]],"")</f>
        <v/>
      </c>
    </row>
    <row r="1427" spans="1:15" ht="20.100000000000001" customHeight="1" x14ac:dyDescent="0.25">
      <c r="A1427" s="2">
        <v>76</v>
      </c>
      <c r="B1427" s="2" t="str">
        <f>TEXT(Таблица97[[#This Row],[Дата]],"ГГ")&amp;RIGHT("000"&amp;Таблица97[[#This Row],[Номер]],4)</f>
        <v>200076</v>
      </c>
      <c r="C1427" s="129">
        <v>43882</v>
      </c>
      <c r="D1427" s="2" t="s">
        <v>439</v>
      </c>
      <c r="E1427" s="108">
        <v>602770</v>
      </c>
      <c r="F1427" s="129">
        <v>43889</v>
      </c>
      <c r="G1427" s="128">
        <v>1</v>
      </c>
      <c r="H1427" s="129">
        <v>43928</v>
      </c>
      <c r="I1427" s="108">
        <f>E1427/2</f>
        <v>301385</v>
      </c>
      <c r="J1427" s="108">
        <f>IF(Таблица97[[#This Row],[НК]]=1,Таблица97[[#This Row],[Продажа]],"")</f>
        <v>301385</v>
      </c>
      <c r="M1427" s="108">
        <v>220859.5</v>
      </c>
      <c r="N1427" s="108">
        <f>Таблица97[[#This Row],[Продажа]]-Таблица97[[#This Row],[Закупка]]</f>
        <v>80525.5</v>
      </c>
      <c r="O1427" s="108">
        <f>IF(Таблица97[[#This Row],[НК]]=1,Таблица97[[#This Row],[Маржа]],"")</f>
        <v>80525.5</v>
      </c>
    </row>
    <row r="1428" spans="1:15" ht="20.100000000000001" customHeight="1" x14ac:dyDescent="0.25">
      <c r="A1428" s="2">
        <v>142</v>
      </c>
      <c r="B1428" s="2" t="str">
        <f>TEXT(Таблица97[[#This Row],[Дата]],"ГГ")&amp;RIGHT("000"&amp;Таблица97[[#This Row],[Номер]],4)</f>
        <v>200142</v>
      </c>
      <c r="C1428" s="129">
        <v>43910</v>
      </c>
      <c r="D1428" s="2" t="s">
        <v>166</v>
      </c>
      <c r="E1428" s="108">
        <v>47490.5</v>
      </c>
      <c r="F1428" s="129">
        <v>43892</v>
      </c>
      <c r="H1428" s="129">
        <v>43893</v>
      </c>
      <c r="I1428" s="108">
        <f t="shared" ref="I1428:I1467" si="66">E1428</f>
        <v>47490.5</v>
      </c>
      <c r="J1428" s="108" t="str">
        <f>IF(Таблица97[[#This Row],[НК]]=1,Таблица97[[#This Row],[Продажа]],"")</f>
        <v/>
      </c>
      <c r="M1428" s="108">
        <v>36712</v>
      </c>
      <c r="N1428" s="108">
        <f>Таблица97[[#This Row],[Продажа]]-Таблица97[[#This Row],[Закупка]]</f>
        <v>10778.5</v>
      </c>
      <c r="O1428" s="108" t="str">
        <f>IF(Таблица97[[#This Row],[НК]]=1,Таблица97[[#This Row],[Маржа]],"")</f>
        <v/>
      </c>
    </row>
    <row r="1429" spans="1:15" ht="20.100000000000001" customHeight="1" x14ac:dyDescent="0.25">
      <c r="A1429" s="2">
        <v>161</v>
      </c>
      <c r="B1429" s="2" t="str">
        <f>TEXT(Таблица97[[#This Row],[Дата]],"ГГ")&amp;RIGHT("000"&amp;Таблица97[[#This Row],[Номер]],4)</f>
        <v>200161</v>
      </c>
      <c r="C1429" s="129">
        <v>43886</v>
      </c>
      <c r="D1429" s="2" t="s">
        <v>403</v>
      </c>
      <c r="E1429" s="108">
        <v>5486</v>
      </c>
      <c r="F1429" s="129">
        <v>43892</v>
      </c>
      <c r="H1429" s="129">
        <v>43893</v>
      </c>
      <c r="I1429" s="108">
        <f t="shared" si="66"/>
        <v>5486</v>
      </c>
      <c r="J1429" s="108" t="str">
        <f>IF(Таблица97[[#This Row],[НК]]=1,Таблица97[[#This Row],[Продажа]],"")</f>
        <v/>
      </c>
      <c r="M1429" s="108">
        <v>4224</v>
      </c>
      <c r="N1429" s="108">
        <f>Таблица97[[#This Row],[Продажа]]-Таблица97[[#This Row],[Закупка]]</f>
        <v>1262</v>
      </c>
      <c r="O1429" s="108" t="str">
        <f>IF(Таблица97[[#This Row],[НК]]=1,Таблица97[[#This Row],[Маржа]],"")</f>
        <v/>
      </c>
    </row>
    <row r="1430" spans="1:15" ht="20.100000000000001" customHeight="1" x14ac:dyDescent="0.25">
      <c r="A1430" s="2">
        <v>139</v>
      </c>
      <c r="B1430" s="2" t="str">
        <f>TEXT(Таблица97[[#This Row],[Дата]],"ГГ")&amp;RIGHT("000"&amp;Таблица97[[#This Row],[Номер]],4)</f>
        <v>200139</v>
      </c>
      <c r="C1430" s="129">
        <v>43893</v>
      </c>
      <c r="D1430" s="2" t="s">
        <v>179</v>
      </c>
      <c r="E1430" s="108">
        <v>11202</v>
      </c>
      <c r="F1430" s="129">
        <v>43893</v>
      </c>
      <c r="H1430" s="129">
        <v>43910</v>
      </c>
      <c r="I1430" s="108">
        <f t="shared" si="66"/>
        <v>11202</v>
      </c>
      <c r="J1430" s="108" t="str">
        <f>IF(Таблица97[[#This Row],[НК]]=1,Таблица97[[#This Row],[Продажа]],"")</f>
        <v/>
      </c>
      <c r="M1430" s="108">
        <v>8738</v>
      </c>
      <c r="N1430" s="108">
        <f>Таблица97[[#This Row],[Продажа]]-Таблица97[[#This Row],[Закупка]]</f>
        <v>2464</v>
      </c>
      <c r="O1430" s="108" t="str">
        <f>IF(Таблица97[[#This Row],[НК]]=1,Таблица97[[#This Row],[Маржа]],"")</f>
        <v/>
      </c>
    </row>
    <row r="1431" spans="1:15" ht="20.100000000000001" customHeight="1" x14ac:dyDescent="0.25">
      <c r="A1431" s="2">
        <v>138</v>
      </c>
      <c r="B1431" s="2" t="str">
        <f>TEXT(Таблица97[[#This Row],[Дата]],"ГГ")&amp;RIGHT("000"&amp;Таблица97[[#This Row],[Номер]],4)</f>
        <v>200138</v>
      </c>
      <c r="C1431" s="129">
        <v>43893</v>
      </c>
      <c r="D1431" s="2" t="s">
        <v>149</v>
      </c>
      <c r="E1431" s="108">
        <v>32490</v>
      </c>
      <c r="F1431" s="129">
        <v>43893</v>
      </c>
      <c r="H1431" s="129">
        <v>43908</v>
      </c>
      <c r="I1431" s="108">
        <f t="shared" si="66"/>
        <v>32490</v>
      </c>
      <c r="J1431" s="108" t="str">
        <f>IF(Таблица97[[#This Row],[НК]]=1,Таблица97[[#This Row],[Продажа]],"")</f>
        <v/>
      </c>
      <c r="M1431" s="108">
        <v>23861</v>
      </c>
      <c r="N1431" s="108">
        <f>Таблица97[[#This Row],[Продажа]]-Таблица97[[#This Row],[Закупка]]</f>
        <v>8629</v>
      </c>
      <c r="O1431" s="108" t="str">
        <f>IF(Таблица97[[#This Row],[НК]]=1,Таблица97[[#This Row],[Маржа]],"")</f>
        <v/>
      </c>
    </row>
    <row r="1432" spans="1:15" ht="20.100000000000001" customHeight="1" x14ac:dyDescent="0.25">
      <c r="A1432" s="2">
        <v>182</v>
      </c>
      <c r="B1432" s="2" t="str">
        <f>TEXT(Таблица97[[#This Row],[Дата]],"ГГ")&amp;RIGHT("000"&amp;Таблица97[[#This Row],[Номер]],4)</f>
        <v>200182</v>
      </c>
      <c r="C1432" s="129">
        <v>43894</v>
      </c>
      <c r="D1432" s="2" t="s">
        <v>303</v>
      </c>
      <c r="E1432" s="108">
        <v>541.45000000000005</v>
      </c>
      <c r="F1432" s="129">
        <v>43894</v>
      </c>
      <c r="H1432" s="129">
        <v>43894</v>
      </c>
      <c r="I1432" s="108">
        <f t="shared" si="66"/>
        <v>541.45000000000005</v>
      </c>
      <c r="J1432" s="108" t="str">
        <f>IF(Таблица97[[#This Row],[НК]]=1,Таблица97[[#This Row],[Продажа]],"")</f>
        <v/>
      </c>
      <c r="M1432" s="108">
        <v>492</v>
      </c>
      <c r="N1432" s="108">
        <f>Таблица97[[#This Row],[Продажа]]-Таблица97[[#This Row],[Закупка]]</f>
        <v>49.450000000000045</v>
      </c>
      <c r="O1432" s="108" t="str">
        <f>IF(Таблица97[[#This Row],[НК]]=1,Таблица97[[#This Row],[Маржа]],"")</f>
        <v/>
      </c>
    </row>
    <row r="1433" spans="1:15" ht="20.100000000000001" customHeight="1" x14ac:dyDescent="0.25">
      <c r="A1433" s="2">
        <v>183</v>
      </c>
      <c r="B1433" s="2" t="str">
        <f>TEXT(Таблица97[[#This Row],[Дата]],"ГГ")&amp;RIGHT("000"&amp;Таблица97[[#This Row],[Номер]],4)</f>
        <v>200183</v>
      </c>
      <c r="C1433" s="129">
        <v>43894</v>
      </c>
      <c r="D1433" s="2" t="s">
        <v>440</v>
      </c>
      <c r="E1433" s="108">
        <v>1818</v>
      </c>
      <c r="F1433" s="129">
        <v>43894</v>
      </c>
      <c r="H1433" s="129">
        <v>43894</v>
      </c>
      <c r="I1433" s="108">
        <f t="shared" si="66"/>
        <v>1818</v>
      </c>
      <c r="J1433" s="108" t="str">
        <f>IF(Таблица97[[#This Row],[НК]]=1,Таблица97[[#This Row],[Продажа]],"")</f>
        <v/>
      </c>
      <c r="M1433" s="108">
        <v>1400</v>
      </c>
      <c r="N1433" s="108">
        <f>Таблица97[[#This Row],[Продажа]]-Таблица97[[#This Row],[Закупка]]</f>
        <v>418</v>
      </c>
      <c r="O1433" s="108" t="str">
        <f>IF(Таблица97[[#This Row],[НК]]=1,Таблица97[[#This Row],[Маржа]],"")</f>
        <v/>
      </c>
    </row>
    <row r="1434" spans="1:15" ht="20.100000000000001" customHeight="1" x14ac:dyDescent="0.25">
      <c r="A1434" s="2">
        <v>167</v>
      </c>
      <c r="B1434" s="2" t="str">
        <f>TEXT(Таблица97[[#This Row],[Дата]],"ГГ")&amp;RIGHT("000"&amp;Таблица97[[#This Row],[Номер]],4)</f>
        <v>200167</v>
      </c>
      <c r="C1434" s="129">
        <v>43888</v>
      </c>
      <c r="D1434" s="2" t="s">
        <v>441</v>
      </c>
      <c r="E1434" s="108">
        <v>3805</v>
      </c>
      <c r="F1434" s="129">
        <v>43895</v>
      </c>
      <c r="H1434" s="129">
        <v>43909</v>
      </c>
      <c r="I1434" s="108">
        <f t="shared" si="66"/>
        <v>3805</v>
      </c>
      <c r="J1434" s="108" t="str">
        <f>IF(Таблица97[[#This Row],[НК]]=1,Таблица97[[#This Row],[Продажа]],"")</f>
        <v/>
      </c>
      <c r="M1434" s="108">
        <v>2511</v>
      </c>
      <c r="N1434" s="108">
        <f>Таблица97[[#This Row],[Продажа]]-Таблица97[[#This Row],[Закупка]]</f>
        <v>1294</v>
      </c>
      <c r="O1434" s="108" t="str">
        <f>IF(Таблица97[[#This Row],[НК]]=1,Таблица97[[#This Row],[Маржа]],"")</f>
        <v/>
      </c>
    </row>
    <row r="1435" spans="1:15" ht="20.100000000000001" customHeight="1" x14ac:dyDescent="0.25">
      <c r="A1435" s="2">
        <v>190</v>
      </c>
      <c r="B1435" s="2" t="str">
        <f>TEXT(Таблица97[[#This Row],[Дата]],"ГГ")&amp;RIGHT("000"&amp;Таблица97[[#This Row],[Номер]],4)</f>
        <v>200190</v>
      </c>
      <c r="C1435" s="129">
        <v>43895</v>
      </c>
      <c r="D1435" s="2" t="s">
        <v>442</v>
      </c>
      <c r="E1435" s="108">
        <v>2498</v>
      </c>
      <c r="F1435" s="129">
        <v>43896</v>
      </c>
      <c r="G1435" s="128">
        <v>1</v>
      </c>
      <c r="H1435" s="129">
        <v>43901</v>
      </c>
      <c r="I1435" s="108">
        <f t="shared" si="66"/>
        <v>2498</v>
      </c>
      <c r="J1435" s="108">
        <f>IF(Таблица97[[#This Row],[НК]]=1,Таблица97[[#This Row],[Продажа]],"")</f>
        <v>2498</v>
      </c>
      <c r="M1435" s="108">
        <v>1948</v>
      </c>
      <c r="N1435" s="108">
        <f>Таблица97[[#This Row],[Продажа]]-Таблица97[[#This Row],[Закупка]]</f>
        <v>550</v>
      </c>
      <c r="O1435" s="108">
        <f>IF(Таблица97[[#This Row],[НК]]=1,Таблица97[[#This Row],[Маржа]],"")</f>
        <v>550</v>
      </c>
    </row>
    <row r="1436" spans="1:15" ht="20.100000000000001" customHeight="1" x14ac:dyDescent="0.25">
      <c r="A1436" s="2">
        <v>193</v>
      </c>
      <c r="B1436" s="2" t="str">
        <f>TEXT(Таблица97[[#This Row],[Дата]],"ГГ")&amp;RIGHT("000"&amp;Таблица97[[#This Row],[Номер]],4)</f>
        <v>200193</v>
      </c>
      <c r="C1436" s="129">
        <v>43896</v>
      </c>
      <c r="D1436" s="2" t="s">
        <v>30</v>
      </c>
      <c r="E1436" s="108">
        <v>2282</v>
      </c>
      <c r="F1436" s="129">
        <v>43896</v>
      </c>
      <c r="H1436" s="129">
        <v>43900</v>
      </c>
      <c r="I1436" s="108">
        <f t="shared" si="66"/>
        <v>2282</v>
      </c>
      <c r="J1436" s="108" t="str">
        <f>IF(Таблица97[[#This Row],[НК]]=1,Таблица97[[#This Row],[Продажа]],"")</f>
        <v/>
      </c>
      <c r="M1436" s="108">
        <v>1760</v>
      </c>
      <c r="N1436" s="108">
        <f>Таблица97[[#This Row],[Продажа]]-Таблица97[[#This Row],[Закупка]]</f>
        <v>522</v>
      </c>
      <c r="O1436" s="108" t="str">
        <f>IF(Таблица97[[#This Row],[НК]]=1,Таблица97[[#This Row],[Маржа]],"")</f>
        <v/>
      </c>
    </row>
    <row r="1437" spans="1:15" ht="20.100000000000001" customHeight="1" x14ac:dyDescent="0.25">
      <c r="A1437" s="2">
        <v>36</v>
      </c>
      <c r="B1437" s="2" t="str">
        <f>TEXT(Таблица97[[#This Row],[Дата]],"ГГ")&amp;RIGHT("000"&amp;Таблица97[[#This Row],[Номер]],4)</f>
        <v>200036</v>
      </c>
      <c r="C1437" s="129">
        <v>43852</v>
      </c>
      <c r="D1437" s="2" t="s">
        <v>99</v>
      </c>
      <c r="E1437" s="108">
        <v>181136</v>
      </c>
      <c r="F1437" s="129">
        <v>43900</v>
      </c>
      <c r="H1437" s="129">
        <v>43868</v>
      </c>
      <c r="I1437" s="108">
        <f t="shared" si="66"/>
        <v>181136</v>
      </c>
      <c r="J1437" s="108" t="str">
        <f>IF(Таблица97[[#This Row],[НК]]=1,Таблица97[[#This Row],[Продажа]],"")</f>
        <v/>
      </c>
      <c r="K1437" s="108">
        <v>30000</v>
      </c>
      <c r="L1437" s="108">
        <f>10*600</f>
        <v>6000</v>
      </c>
      <c r="M1437" s="108">
        <v>62081</v>
      </c>
      <c r="N1437" s="108">
        <f>Таблица97[[#This Row],[Продажа]]-Таблица97[[#This Row],[Закупка]]</f>
        <v>119055</v>
      </c>
      <c r="O1437" s="108" t="str">
        <f>IF(Таблица97[[#This Row],[НК]]=1,Таблица97[[#This Row],[Маржа]],"")</f>
        <v/>
      </c>
    </row>
    <row r="1438" spans="1:15" ht="20.100000000000001" customHeight="1" x14ac:dyDescent="0.25">
      <c r="A1438" s="2">
        <v>187</v>
      </c>
      <c r="B1438" s="2" t="str">
        <f>TEXT(Таблица97[[#This Row],[Дата]],"ГГ")&amp;RIGHT("000"&amp;Таблица97[[#This Row],[Номер]],4)</f>
        <v>200187</v>
      </c>
      <c r="C1438" s="129">
        <v>43895</v>
      </c>
      <c r="D1438" s="2" t="s">
        <v>440</v>
      </c>
      <c r="E1438" s="108">
        <v>1818</v>
      </c>
      <c r="F1438" s="129">
        <v>43901</v>
      </c>
      <c r="H1438" s="129">
        <v>43895</v>
      </c>
      <c r="I1438" s="108">
        <f t="shared" si="66"/>
        <v>1818</v>
      </c>
      <c r="J1438" s="108" t="str">
        <f>IF(Таблица97[[#This Row],[НК]]=1,Таблица97[[#This Row],[Продажа]],"")</f>
        <v/>
      </c>
      <c r="M1438" s="108">
        <v>1400</v>
      </c>
      <c r="N1438" s="108">
        <f>Таблица97[[#This Row],[Продажа]]-Таблица97[[#This Row],[Закупка]]</f>
        <v>418</v>
      </c>
      <c r="O1438" s="108" t="str">
        <f>IF(Таблица97[[#This Row],[НК]]=1,Таблица97[[#This Row],[Маржа]],"")</f>
        <v/>
      </c>
    </row>
    <row r="1439" spans="1:15" ht="20.100000000000001" customHeight="1" x14ac:dyDescent="0.25">
      <c r="A1439" s="2">
        <v>186</v>
      </c>
      <c r="B1439" s="2" t="str">
        <f>TEXT(Таблица97[[#This Row],[Дата]],"ГГ")&amp;RIGHT("000"&amp;Таблица97[[#This Row],[Номер]],4)</f>
        <v>200186</v>
      </c>
      <c r="C1439" s="129">
        <v>43895</v>
      </c>
      <c r="D1439" s="2" t="s">
        <v>353</v>
      </c>
      <c r="E1439" s="108">
        <v>335490</v>
      </c>
      <c r="F1439" s="129">
        <v>43901</v>
      </c>
      <c r="H1439" s="129">
        <v>43908</v>
      </c>
      <c r="I1439" s="108">
        <f t="shared" si="66"/>
        <v>335490</v>
      </c>
      <c r="J1439" s="108" t="str">
        <f>IF(Таблица97[[#This Row],[НК]]=1,Таблица97[[#This Row],[Продажа]],"")</f>
        <v/>
      </c>
      <c r="M1439" s="108">
        <v>246384</v>
      </c>
      <c r="N1439" s="108">
        <f>Таблица97[[#This Row],[Продажа]]-Таблица97[[#This Row],[Закупка]]</f>
        <v>89106</v>
      </c>
      <c r="O1439" s="108" t="str">
        <f>IF(Таблица97[[#This Row],[НК]]=1,Таблица97[[#This Row],[Маржа]],"")</f>
        <v/>
      </c>
    </row>
    <row r="1440" spans="1:15" ht="20.100000000000001" customHeight="1" x14ac:dyDescent="0.25">
      <c r="A1440" s="2">
        <v>185</v>
      </c>
      <c r="B1440" s="2" t="str">
        <f>TEXT(Таблица97[[#This Row],[Дата]],"ГГ")&amp;RIGHT("000"&amp;Таблица97[[#This Row],[Номер]],4)</f>
        <v>200185</v>
      </c>
      <c r="C1440" s="129">
        <v>43895</v>
      </c>
      <c r="D1440" s="2" t="s">
        <v>353</v>
      </c>
      <c r="E1440" s="108">
        <v>3952</v>
      </c>
      <c r="F1440" s="129">
        <v>43901</v>
      </c>
      <c r="H1440" s="129">
        <v>43908</v>
      </c>
      <c r="I1440" s="108">
        <f t="shared" si="66"/>
        <v>3952</v>
      </c>
      <c r="J1440" s="108" t="str">
        <f>IF(Таблица97[[#This Row],[НК]]=1,Таблица97[[#This Row],[Продажа]],"")</f>
        <v/>
      </c>
      <c r="M1440" s="108">
        <v>3083</v>
      </c>
      <c r="N1440" s="108">
        <f>Таблица97[[#This Row],[Продажа]]-Таблица97[[#This Row],[Закупка]]</f>
        <v>869</v>
      </c>
      <c r="O1440" s="108" t="str">
        <f>IF(Таблица97[[#This Row],[НК]]=1,Таблица97[[#This Row],[Маржа]],"")</f>
        <v/>
      </c>
    </row>
    <row r="1441" spans="1:15" ht="20.100000000000001" customHeight="1" x14ac:dyDescent="0.25">
      <c r="A1441" s="2">
        <v>176</v>
      </c>
      <c r="B1441" s="2" t="str">
        <f>TEXT(Таблица97[[#This Row],[Дата]],"ГГ")&amp;RIGHT("000"&amp;Таблица97[[#This Row],[Номер]],4)</f>
        <v>200176</v>
      </c>
      <c r="C1441" s="129">
        <v>43893</v>
      </c>
      <c r="D1441" s="2" t="s">
        <v>169</v>
      </c>
      <c r="E1441" s="108">
        <v>102084</v>
      </c>
      <c r="F1441" s="129">
        <v>43901</v>
      </c>
      <c r="H1441" s="129">
        <v>43907</v>
      </c>
      <c r="I1441" s="108">
        <f t="shared" si="66"/>
        <v>102084</v>
      </c>
      <c r="J1441" s="108" t="str">
        <f>IF(Таблица97[[#This Row],[НК]]=1,Таблица97[[#This Row],[Продажа]],"")</f>
        <v/>
      </c>
      <c r="L1441" s="108">
        <v>600</v>
      </c>
      <c r="M1441" s="108">
        <v>72309</v>
      </c>
      <c r="N1441" s="108">
        <f>Таблица97[[#This Row],[Продажа]]-Таблица97[[#This Row],[Закупка]]</f>
        <v>29775</v>
      </c>
      <c r="O1441" s="108" t="str">
        <f>IF(Таблица97[[#This Row],[НК]]=1,Таблица97[[#This Row],[Маржа]],"")</f>
        <v/>
      </c>
    </row>
    <row r="1442" spans="1:15" ht="20.100000000000001" customHeight="1" x14ac:dyDescent="0.25">
      <c r="A1442" s="2">
        <v>171</v>
      </c>
      <c r="B1442" s="2" t="str">
        <f>TEXT(Таблица97[[#This Row],[Дата]],"ГГ")&amp;RIGHT("000"&amp;Таблица97[[#This Row],[Номер]],4)</f>
        <v>200171</v>
      </c>
      <c r="C1442" s="129">
        <v>43889</v>
      </c>
      <c r="D1442" s="2" t="s">
        <v>209</v>
      </c>
      <c r="E1442" s="108">
        <v>3959.3</v>
      </c>
      <c r="F1442" s="129">
        <v>43902</v>
      </c>
      <c r="H1442" s="129">
        <v>43889</v>
      </c>
      <c r="I1442" s="108">
        <f t="shared" si="66"/>
        <v>3959.3</v>
      </c>
      <c r="J1442" s="108" t="str">
        <f>IF(Таблица97[[#This Row],[НК]]=1,Таблица97[[#This Row],[Продажа]],"")</f>
        <v/>
      </c>
      <c r="M1442" s="108">
        <v>3633</v>
      </c>
      <c r="N1442" s="108">
        <f>Таблица97[[#This Row],[Продажа]]-Таблица97[[#This Row],[Закупка]]</f>
        <v>326.30000000000018</v>
      </c>
      <c r="O1442" s="108" t="str">
        <f>IF(Таблица97[[#This Row],[НК]]=1,Таблица97[[#This Row],[Маржа]],"")</f>
        <v/>
      </c>
    </row>
    <row r="1443" spans="1:15" ht="20.100000000000001" customHeight="1" x14ac:dyDescent="0.25">
      <c r="A1443" s="2">
        <v>206</v>
      </c>
      <c r="B1443" s="2" t="str">
        <f>TEXT(Таблица97[[#This Row],[Дата]],"ГГ")&amp;RIGHT("000"&amp;Таблица97[[#This Row],[Номер]],4)</f>
        <v>200206</v>
      </c>
      <c r="C1443" s="129">
        <v>43901</v>
      </c>
      <c r="D1443" s="2" t="s">
        <v>209</v>
      </c>
      <c r="E1443" s="108">
        <v>2901.9</v>
      </c>
      <c r="F1443" s="129">
        <v>43902</v>
      </c>
      <c r="H1443" s="129">
        <v>43917</v>
      </c>
      <c r="I1443" s="108">
        <f t="shared" si="66"/>
        <v>2901.9</v>
      </c>
      <c r="J1443" s="108" t="str">
        <f>IF(Таблица97[[#This Row],[НК]]=1,Таблица97[[#This Row],[Продажа]],"")</f>
        <v/>
      </c>
      <c r="M1443" s="108">
        <v>2619</v>
      </c>
      <c r="N1443" s="108">
        <f>Таблица97[[#This Row],[Продажа]]-Таблица97[[#This Row],[Закупка]]</f>
        <v>282.90000000000009</v>
      </c>
      <c r="O1443" s="108" t="str">
        <f>IF(Таблица97[[#This Row],[НК]]=1,Таблица97[[#This Row],[Маржа]],"")</f>
        <v/>
      </c>
    </row>
    <row r="1444" spans="1:15" ht="20.100000000000001" customHeight="1" x14ac:dyDescent="0.25">
      <c r="A1444" s="2">
        <v>214</v>
      </c>
      <c r="B1444" s="2" t="str">
        <f>TEXT(Таблица97[[#This Row],[Дата]],"ГГ")&amp;RIGHT("000"&amp;Таблица97[[#This Row],[Номер]],4)</f>
        <v>200214</v>
      </c>
      <c r="C1444" s="129">
        <v>43903</v>
      </c>
      <c r="D1444" s="2" t="s">
        <v>443</v>
      </c>
      <c r="E1444" s="108">
        <v>61125</v>
      </c>
      <c r="F1444" s="129">
        <v>43903</v>
      </c>
      <c r="G1444" s="128">
        <v>1</v>
      </c>
      <c r="H1444" s="129">
        <v>43906</v>
      </c>
      <c r="I1444" s="108">
        <f t="shared" si="66"/>
        <v>61125</v>
      </c>
      <c r="J1444" s="108">
        <f>IF(Таблица97[[#This Row],[НК]]=1,Таблица97[[#This Row],[Продажа]],"")</f>
        <v>61125</v>
      </c>
      <c r="M1444" s="108">
        <v>44637</v>
      </c>
      <c r="N1444" s="108">
        <f>Таблица97[[#This Row],[Продажа]]-Таблица97[[#This Row],[Закупка]]</f>
        <v>16488</v>
      </c>
      <c r="O1444" s="108">
        <f>IF(Таблица97[[#This Row],[НК]]=1,Таблица97[[#This Row],[Маржа]],"")</f>
        <v>16488</v>
      </c>
    </row>
    <row r="1445" spans="1:15" ht="20.100000000000001" customHeight="1" x14ac:dyDescent="0.25">
      <c r="A1445" s="2">
        <v>210</v>
      </c>
      <c r="B1445" s="2" t="str">
        <f>TEXT(Таблица97[[#This Row],[Дата]],"ГГ")&amp;RIGHT("000"&amp;Таблица97[[#This Row],[Номер]],4)</f>
        <v>200210</v>
      </c>
      <c r="C1445" s="129">
        <v>43902</v>
      </c>
      <c r="D1445" s="2" t="s">
        <v>281</v>
      </c>
      <c r="E1445" s="108">
        <v>20980</v>
      </c>
      <c r="F1445" s="129">
        <v>43903</v>
      </c>
      <c r="H1445" s="129">
        <v>43903</v>
      </c>
      <c r="I1445" s="108">
        <f t="shared" si="66"/>
        <v>20980</v>
      </c>
      <c r="J1445" s="108" t="str">
        <f>IF(Таблица97[[#This Row],[НК]]=1,Таблица97[[#This Row],[Продажа]],"")</f>
        <v/>
      </c>
      <c r="M1445" s="108">
        <v>15406</v>
      </c>
      <c r="N1445" s="108">
        <f>Таблица97[[#This Row],[Продажа]]-Таблица97[[#This Row],[Закупка]]</f>
        <v>5574</v>
      </c>
      <c r="O1445" s="108" t="str">
        <f>IF(Таблица97[[#This Row],[НК]]=1,Таблица97[[#This Row],[Маржа]],"")</f>
        <v/>
      </c>
    </row>
    <row r="1446" spans="1:15" ht="20.100000000000001" customHeight="1" x14ac:dyDescent="0.25">
      <c r="A1446" s="2">
        <v>201</v>
      </c>
      <c r="B1446" s="2" t="str">
        <f>TEXT(Таблица97[[#This Row],[Дата]],"ГГ")&amp;RIGHT("000"&amp;Таблица97[[#This Row],[Номер]],4)</f>
        <v>200201</v>
      </c>
      <c r="C1446" s="129">
        <v>43901</v>
      </c>
      <c r="D1446" s="2" t="s">
        <v>270</v>
      </c>
      <c r="E1446" s="108">
        <v>3423</v>
      </c>
      <c r="F1446" s="129">
        <v>43903</v>
      </c>
      <c r="H1446" s="129">
        <v>43910</v>
      </c>
      <c r="I1446" s="108">
        <f t="shared" si="66"/>
        <v>3423</v>
      </c>
      <c r="J1446" s="108" t="str">
        <f>IF(Таблица97[[#This Row],[НК]]=1,Таблица97[[#This Row],[Продажа]],"")</f>
        <v/>
      </c>
      <c r="M1446" s="108">
        <v>2640</v>
      </c>
      <c r="N1446" s="108">
        <f>Таблица97[[#This Row],[Продажа]]-Таблица97[[#This Row],[Закупка]]</f>
        <v>783</v>
      </c>
      <c r="O1446" s="108" t="str">
        <f>IF(Таблица97[[#This Row],[НК]]=1,Таблица97[[#This Row],[Маржа]],"")</f>
        <v/>
      </c>
    </row>
    <row r="1447" spans="1:15" ht="20.100000000000001" customHeight="1" x14ac:dyDescent="0.25">
      <c r="A1447" s="2">
        <v>177</v>
      </c>
      <c r="B1447" s="2" t="str">
        <f>TEXT(Таблица97[[#This Row],[Дата]],"ГГ")&amp;RIGHT("000"&amp;Таблица97[[#This Row],[Номер]],4)</f>
        <v>200177</v>
      </c>
      <c r="C1447" s="129">
        <v>43893</v>
      </c>
      <c r="D1447" s="2" t="s">
        <v>49</v>
      </c>
      <c r="E1447" s="108">
        <v>2697</v>
      </c>
      <c r="F1447" s="129">
        <v>43907</v>
      </c>
      <c r="H1447" s="129">
        <v>43894</v>
      </c>
      <c r="I1447" s="108">
        <f t="shared" si="66"/>
        <v>2697</v>
      </c>
      <c r="J1447" s="108" t="str">
        <f>IF(Таблица97[[#This Row],[НК]]=1,Таблица97[[#This Row],[Продажа]],"")</f>
        <v/>
      </c>
      <c r="M1447" s="108">
        <v>1365</v>
      </c>
      <c r="N1447" s="108">
        <f>Таблица97[[#This Row],[Продажа]]-Таблица97[[#This Row],[Закупка]]</f>
        <v>1332</v>
      </c>
      <c r="O1447" s="108" t="str">
        <f>IF(Таблица97[[#This Row],[НК]]=1,Таблица97[[#This Row],[Маржа]],"")</f>
        <v/>
      </c>
    </row>
    <row r="1448" spans="1:15" ht="20.100000000000001" customHeight="1" x14ac:dyDescent="0.25">
      <c r="A1448" s="2">
        <v>221</v>
      </c>
      <c r="B1448" s="2" t="str">
        <f>TEXT(Таблица97[[#This Row],[Дата]],"ГГ")&amp;RIGHT("000"&amp;Таблица97[[#This Row],[Номер]],4)</f>
        <v>200221</v>
      </c>
      <c r="C1448" s="129">
        <v>43907</v>
      </c>
      <c r="D1448" s="2" t="s">
        <v>444</v>
      </c>
      <c r="E1448" s="108">
        <v>1290</v>
      </c>
      <c r="F1448" s="129">
        <v>43907</v>
      </c>
      <c r="H1448" s="129">
        <v>43909</v>
      </c>
      <c r="I1448" s="108">
        <f t="shared" si="66"/>
        <v>1290</v>
      </c>
      <c r="J1448" s="108" t="str">
        <f>IF(Таблица97[[#This Row],[НК]]=1,Таблица97[[#This Row],[Продажа]],"")</f>
        <v/>
      </c>
      <c r="M1448" s="108">
        <v>1005</v>
      </c>
      <c r="N1448" s="108">
        <f>Таблица97[[#This Row],[Продажа]]-Таблица97[[#This Row],[Закупка]]</f>
        <v>285</v>
      </c>
      <c r="O1448" s="108" t="str">
        <f>IF(Таблица97[[#This Row],[НК]]=1,Таблица97[[#This Row],[Маржа]],"")</f>
        <v/>
      </c>
    </row>
    <row r="1449" spans="1:15" ht="20.100000000000001" customHeight="1" x14ac:dyDescent="0.25">
      <c r="A1449" s="2">
        <v>220</v>
      </c>
      <c r="B1449" s="2" t="str">
        <f>TEXT(Таблица97[[#This Row],[Дата]],"ГГ")&amp;RIGHT("000"&amp;Таблица97[[#This Row],[Номер]],4)</f>
        <v>200220</v>
      </c>
      <c r="C1449" s="129">
        <v>43907</v>
      </c>
      <c r="D1449" s="2" t="s">
        <v>169</v>
      </c>
      <c r="E1449" s="108">
        <v>12000</v>
      </c>
      <c r="F1449" s="129">
        <v>43908</v>
      </c>
      <c r="H1449" s="129">
        <v>43917</v>
      </c>
      <c r="I1449" s="108">
        <f t="shared" si="66"/>
        <v>12000</v>
      </c>
      <c r="J1449" s="108" t="str">
        <f>IF(Таблица97[[#This Row],[НК]]=1,Таблица97[[#This Row],[Продажа]],"")</f>
        <v/>
      </c>
      <c r="L1449" s="108">
        <v>1200</v>
      </c>
      <c r="M1449" s="108">
        <v>3117</v>
      </c>
      <c r="N1449" s="108">
        <f>Таблица97[[#This Row],[Продажа]]-Таблица97[[#This Row],[Закупка]]</f>
        <v>8883</v>
      </c>
      <c r="O1449" s="108" t="str">
        <f>IF(Таблица97[[#This Row],[НК]]=1,Таблица97[[#This Row],[Маржа]],"")</f>
        <v/>
      </c>
    </row>
    <row r="1450" spans="1:15" ht="20.100000000000001" customHeight="1" x14ac:dyDescent="0.25">
      <c r="A1450" s="2">
        <v>227</v>
      </c>
      <c r="B1450" s="2" t="str">
        <f>TEXT(Таблица97[[#This Row],[Дата]],"ГГ")&amp;RIGHT("000"&amp;Таблица97[[#This Row],[Номер]],4)</f>
        <v>200227</v>
      </c>
      <c r="C1450" s="129">
        <v>43908</v>
      </c>
      <c r="D1450" s="2" t="s">
        <v>445</v>
      </c>
      <c r="E1450" s="108">
        <v>8689</v>
      </c>
      <c r="F1450" s="129">
        <v>43909</v>
      </c>
      <c r="G1450" s="128">
        <v>1</v>
      </c>
      <c r="H1450" s="129">
        <v>43908</v>
      </c>
      <c r="I1450" s="108">
        <f t="shared" si="66"/>
        <v>8689</v>
      </c>
      <c r="J1450" s="108">
        <f>IF(Таблица97[[#This Row],[НК]]=1,Таблица97[[#This Row],[Продажа]],"")</f>
        <v>8689</v>
      </c>
      <c r="M1450" s="108">
        <v>5682</v>
      </c>
      <c r="N1450" s="108">
        <f>Таблица97[[#This Row],[Продажа]]-Таблица97[[#This Row],[Закупка]]</f>
        <v>3007</v>
      </c>
      <c r="O1450" s="108">
        <f>IF(Таблица97[[#This Row],[НК]]=1,Таблица97[[#This Row],[Маржа]],"")</f>
        <v>3007</v>
      </c>
    </row>
    <row r="1451" spans="1:15" ht="20.100000000000001" customHeight="1" x14ac:dyDescent="0.25">
      <c r="A1451" s="2">
        <v>216</v>
      </c>
      <c r="B1451" s="2" t="str">
        <f>TEXT(Таблица97[[#This Row],[Дата]],"ГГ")&amp;RIGHT("000"&amp;Таблица97[[#This Row],[Номер]],4)</f>
        <v>200216</v>
      </c>
      <c r="C1451" s="129">
        <v>43906</v>
      </c>
      <c r="D1451" s="2" t="s">
        <v>139</v>
      </c>
      <c r="E1451" s="108">
        <v>24920</v>
      </c>
      <c r="F1451" s="129">
        <v>43909</v>
      </c>
      <c r="H1451" s="129">
        <v>43930</v>
      </c>
      <c r="I1451" s="108">
        <f t="shared" si="66"/>
        <v>24920</v>
      </c>
      <c r="J1451" s="108" t="str">
        <f>IF(Таблица97[[#This Row],[НК]]=1,Таблица97[[#This Row],[Продажа]],"")</f>
        <v/>
      </c>
      <c r="M1451" s="108">
        <v>18360</v>
      </c>
      <c r="N1451" s="108">
        <f>Таблица97[[#This Row],[Продажа]]-Таблица97[[#This Row],[Закупка]]</f>
        <v>6560</v>
      </c>
      <c r="O1451" s="108" t="str">
        <f>IF(Таблица97[[#This Row],[НК]]=1,Таблица97[[#This Row],[Маржа]],"")</f>
        <v/>
      </c>
    </row>
    <row r="1452" spans="1:15" ht="20.100000000000001" customHeight="1" x14ac:dyDescent="0.25">
      <c r="A1452" s="2">
        <v>240</v>
      </c>
      <c r="B1452" s="2" t="str">
        <f>TEXT(Таблица97[[#This Row],[Дата]],"ГГ")&amp;RIGHT("000"&amp;Таблица97[[#This Row],[Номер]],4)</f>
        <v>200240</v>
      </c>
      <c r="C1452" s="129">
        <v>43910</v>
      </c>
      <c r="D1452" s="2" t="s">
        <v>209</v>
      </c>
      <c r="E1452" s="108">
        <v>7669.55</v>
      </c>
      <c r="F1452" s="129">
        <v>43910</v>
      </c>
      <c r="H1452" s="129">
        <v>43913</v>
      </c>
      <c r="I1452" s="108">
        <f t="shared" si="66"/>
        <v>7669.55</v>
      </c>
      <c r="J1452" s="108" t="str">
        <f>IF(Таблица97[[#This Row],[НК]]=1,Таблица97[[#This Row],[Продажа]],"")</f>
        <v/>
      </c>
      <c r="M1452" s="108">
        <v>5952</v>
      </c>
      <c r="N1452" s="108">
        <f>Таблица97[[#This Row],[Продажа]]-Таблица97[[#This Row],[Закупка]]</f>
        <v>1717.5500000000002</v>
      </c>
      <c r="O1452" s="108" t="str">
        <f>IF(Таблица97[[#This Row],[НК]]=1,Таблица97[[#This Row],[Маржа]],"")</f>
        <v/>
      </c>
    </row>
    <row r="1453" spans="1:15" ht="20.100000000000001" customHeight="1" x14ac:dyDescent="0.25">
      <c r="A1453" s="2">
        <v>235</v>
      </c>
      <c r="B1453" s="2" t="str">
        <f>TEXT(Таблица97[[#This Row],[Дата]],"ГГ")&amp;RIGHT("000"&amp;Таблица97[[#This Row],[Номер]],4)</f>
        <v>200235</v>
      </c>
      <c r="C1453" s="129">
        <v>43909</v>
      </c>
      <c r="D1453" s="2" t="s">
        <v>403</v>
      </c>
      <c r="E1453" s="108">
        <v>5486</v>
      </c>
      <c r="F1453" s="129">
        <v>43913</v>
      </c>
      <c r="H1453" s="129">
        <v>43914</v>
      </c>
      <c r="I1453" s="108">
        <f t="shared" si="66"/>
        <v>5486</v>
      </c>
      <c r="J1453" s="108" t="str">
        <f>IF(Таблица97[[#This Row],[НК]]=1,Таблица97[[#This Row],[Продажа]],"")</f>
        <v/>
      </c>
      <c r="M1453" s="108">
        <v>4224</v>
      </c>
      <c r="N1453" s="108">
        <f>Таблица97[[#This Row],[Продажа]]-Таблица97[[#This Row],[Закупка]]</f>
        <v>1262</v>
      </c>
      <c r="O1453" s="108" t="str">
        <f>IF(Таблица97[[#This Row],[НК]]=1,Таблица97[[#This Row],[Маржа]],"")</f>
        <v/>
      </c>
    </row>
    <row r="1454" spans="1:15" ht="20.100000000000001" customHeight="1" x14ac:dyDescent="0.25">
      <c r="A1454" s="2">
        <v>239</v>
      </c>
      <c r="B1454" s="2" t="str">
        <f>TEXT(Таблица97[[#This Row],[Дата]],"ГГ")&amp;RIGHT("000"&amp;Таблица97[[#This Row],[Номер]],4)</f>
        <v>200239</v>
      </c>
      <c r="C1454" s="129">
        <v>43910</v>
      </c>
      <c r="D1454" s="2" t="s">
        <v>179</v>
      </c>
      <c r="E1454" s="108">
        <v>5486</v>
      </c>
      <c r="F1454" s="129">
        <v>43913</v>
      </c>
      <c r="H1454" s="129">
        <v>43915</v>
      </c>
      <c r="I1454" s="108">
        <f t="shared" si="66"/>
        <v>5486</v>
      </c>
      <c r="J1454" s="108" t="str">
        <f>IF(Таблица97[[#This Row],[НК]]=1,Таблица97[[#This Row],[Продажа]],"")</f>
        <v/>
      </c>
      <c r="M1454" s="108">
        <v>4224</v>
      </c>
      <c r="N1454" s="108">
        <f>Таблица97[[#This Row],[Продажа]]-Таблица97[[#This Row],[Закупка]]</f>
        <v>1262</v>
      </c>
      <c r="O1454" s="108" t="str">
        <f>IF(Таблица97[[#This Row],[НК]]=1,Таблица97[[#This Row],[Маржа]],"")</f>
        <v/>
      </c>
    </row>
    <row r="1455" spans="1:15" ht="20.100000000000001" customHeight="1" x14ac:dyDescent="0.25">
      <c r="A1455" s="2">
        <v>242</v>
      </c>
      <c r="B1455" s="2" t="str">
        <f>TEXT(Таблица97[[#This Row],[Дата]],"ГГ")&amp;RIGHT("000"&amp;Таблица97[[#This Row],[Номер]],4)</f>
        <v>200242</v>
      </c>
      <c r="C1455" s="129">
        <v>43910</v>
      </c>
      <c r="D1455" s="2" t="s">
        <v>404</v>
      </c>
      <c r="E1455" s="108">
        <v>3858</v>
      </c>
      <c r="F1455" s="129">
        <v>43913</v>
      </c>
      <c r="H1455" s="129">
        <v>43931</v>
      </c>
      <c r="I1455" s="108">
        <f t="shared" si="66"/>
        <v>3858</v>
      </c>
      <c r="J1455" s="108" t="str">
        <f>IF(Таблица97[[#This Row],[НК]]=1,Таблица97[[#This Row],[Продажа]],"")</f>
        <v/>
      </c>
      <c r="M1455" s="108">
        <v>2626</v>
      </c>
      <c r="N1455" s="108">
        <f>Таблица97[[#This Row],[Продажа]]-Таблица97[[#This Row],[Закупка]]</f>
        <v>1232</v>
      </c>
      <c r="O1455" s="108" t="str">
        <f>IF(Таблица97[[#This Row],[НК]]=1,Таблица97[[#This Row],[Маржа]],"")</f>
        <v/>
      </c>
    </row>
    <row r="1456" spans="1:15" ht="20.100000000000001" customHeight="1" x14ac:dyDescent="0.25">
      <c r="A1456" s="2">
        <v>245</v>
      </c>
      <c r="B1456" s="2" t="str">
        <f>TEXT(Таблица97[[#This Row],[Дата]],"ГГ")&amp;RIGHT("000"&amp;Таблица97[[#This Row],[Номер]],4)</f>
        <v>200245</v>
      </c>
      <c r="C1456" s="129">
        <v>43913</v>
      </c>
      <c r="D1456" s="2" t="s">
        <v>230</v>
      </c>
      <c r="E1456" s="108">
        <v>15043</v>
      </c>
      <c r="F1456" s="129">
        <v>43913</v>
      </c>
      <c r="H1456" s="129">
        <v>43920</v>
      </c>
      <c r="I1456" s="108">
        <f t="shared" si="66"/>
        <v>15043</v>
      </c>
      <c r="J1456" s="108" t="str">
        <f>IF(Таблица97[[#This Row],[НК]]=1,Таблица97[[#This Row],[Продажа]],"")</f>
        <v/>
      </c>
      <c r="M1456" s="108">
        <v>8892</v>
      </c>
      <c r="N1456" s="108">
        <f>Таблица97[[#This Row],[Продажа]]-Таблица97[[#This Row],[Закупка]]</f>
        <v>6151</v>
      </c>
      <c r="O1456" s="108" t="str">
        <f>IF(Таблица97[[#This Row],[НК]]=1,Таблица97[[#This Row],[Маржа]],"")</f>
        <v/>
      </c>
    </row>
    <row r="1457" spans="1:15" ht="20.100000000000001" customHeight="1" x14ac:dyDescent="0.25">
      <c r="A1457" s="2">
        <v>254</v>
      </c>
      <c r="B1457" s="2" t="str">
        <f>TEXT(Таблица97[[#This Row],[Дата]],"ГГ")&amp;RIGHT("000"&amp;Таблица97[[#This Row],[Номер]],4)</f>
        <v>200254</v>
      </c>
      <c r="C1457" s="129">
        <v>43914</v>
      </c>
      <c r="D1457" s="2" t="s">
        <v>446</v>
      </c>
      <c r="E1457" s="108">
        <v>7990</v>
      </c>
      <c r="F1457" s="129">
        <v>43914</v>
      </c>
      <c r="G1457" s="128">
        <v>1</v>
      </c>
      <c r="H1457" s="129">
        <v>43916</v>
      </c>
      <c r="I1457" s="108">
        <f t="shared" si="66"/>
        <v>7990</v>
      </c>
      <c r="J1457" s="108">
        <f>IF(Таблица97[[#This Row],[НК]]=1,Таблица97[[#This Row],[Продажа]],"")</f>
        <v>7990</v>
      </c>
      <c r="M1457" s="108">
        <v>5505</v>
      </c>
      <c r="N1457" s="108">
        <f>Таблица97[[#This Row],[Продажа]]-Таблица97[[#This Row],[Закупка]]</f>
        <v>2485</v>
      </c>
      <c r="O1457" s="108">
        <f>IF(Таблица97[[#This Row],[НК]]=1,Таблица97[[#This Row],[Маржа]],"")</f>
        <v>2485</v>
      </c>
    </row>
    <row r="1458" spans="1:15" ht="20.100000000000001" customHeight="1" x14ac:dyDescent="0.25">
      <c r="A1458" s="2">
        <v>251</v>
      </c>
      <c r="B1458" s="2" t="str">
        <f>TEXT(Таблица97[[#This Row],[Дата]],"ГГ")&amp;RIGHT("000"&amp;Таблица97[[#This Row],[Номер]],4)</f>
        <v>200251</v>
      </c>
      <c r="C1458" s="129">
        <v>43914</v>
      </c>
      <c r="D1458" s="2" t="s">
        <v>149</v>
      </c>
      <c r="E1458" s="108">
        <v>2055</v>
      </c>
      <c r="F1458" s="129">
        <v>43914</v>
      </c>
      <c r="H1458" s="129">
        <v>43917</v>
      </c>
      <c r="I1458" s="108">
        <f t="shared" si="66"/>
        <v>2055</v>
      </c>
      <c r="J1458" s="108" t="str">
        <f>IF(Таблица97[[#This Row],[НК]]=1,Таблица97[[#This Row],[Продажа]],"")</f>
        <v/>
      </c>
      <c r="M1458" s="108">
        <v>613</v>
      </c>
      <c r="N1458" s="108">
        <f>Таблица97[[#This Row],[Продажа]]-Таблица97[[#This Row],[Закупка]]</f>
        <v>1442</v>
      </c>
      <c r="O1458" s="108" t="str">
        <f>IF(Таблица97[[#This Row],[НК]]=1,Таблица97[[#This Row],[Маржа]],"")</f>
        <v/>
      </c>
    </row>
    <row r="1459" spans="1:15" ht="20.100000000000001" customHeight="1" x14ac:dyDescent="0.25">
      <c r="A1459" s="2">
        <v>116</v>
      </c>
      <c r="B1459" s="2" t="str">
        <f>TEXT(Таблица97[[#This Row],[Дата]],"ГГ")&amp;RIGHT("000"&amp;Таблица97[[#This Row],[Номер]],4)</f>
        <v>200116</v>
      </c>
      <c r="C1459" s="129">
        <v>43871</v>
      </c>
      <c r="D1459" s="2" t="s">
        <v>99</v>
      </c>
      <c r="E1459" s="108">
        <v>200523</v>
      </c>
      <c r="F1459" s="129">
        <v>43915</v>
      </c>
      <c r="H1459" s="129">
        <v>43878</v>
      </c>
      <c r="I1459" s="108">
        <f t="shared" si="66"/>
        <v>200523</v>
      </c>
      <c r="J1459" s="108" t="str">
        <f>IF(Таблица97[[#This Row],[НК]]=1,Таблица97[[#This Row],[Продажа]],"")</f>
        <v/>
      </c>
      <c r="K1459" s="108">
        <v>30000</v>
      </c>
      <c r="L1459" s="108">
        <f>10*600</f>
        <v>6000</v>
      </c>
      <c r="M1459" s="108">
        <v>77148</v>
      </c>
      <c r="N1459" s="108">
        <f>Таблица97[[#This Row],[Продажа]]-Таблица97[[#This Row],[Закупка]]</f>
        <v>123375</v>
      </c>
      <c r="O1459" s="108" t="str">
        <f>IF(Таблица97[[#This Row],[НК]]=1,Таблица97[[#This Row],[Маржа]],"")</f>
        <v/>
      </c>
    </row>
    <row r="1460" spans="1:15" ht="20.100000000000001" customHeight="1" x14ac:dyDescent="0.25">
      <c r="A1460" s="2">
        <v>178</v>
      </c>
      <c r="B1460" s="2" t="str">
        <f>TEXT(Таблица97[[#This Row],[Дата]],"ГГ")&amp;RIGHT("000"&amp;Таблица97[[#This Row],[Номер]],4)</f>
        <v>200178</v>
      </c>
      <c r="C1460" s="129">
        <v>43893</v>
      </c>
      <c r="D1460" s="2" t="s">
        <v>77</v>
      </c>
      <c r="E1460" s="108">
        <v>6464</v>
      </c>
      <c r="F1460" s="129">
        <v>43916</v>
      </c>
      <c r="H1460" s="129">
        <v>43917</v>
      </c>
      <c r="I1460" s="108">
        <f t="shared" si="66"/>
        <v>6464</v>
      </c>
      <c r="J1460" s="108" t="str">
        <f>IF(Таблица97[[#This Row],[НК]]=1,Таблица97[[#This Row],[Продажа]],"")</f>
        <v/>
      </c>
      <c r="M1460" s="108">
        <v>4995</v>
      </c>
      <c r="N1460" s="108">
        <f>Таблица97[[#This Row],[Продажа]]-Таблица97[[#This Row],[Закупка]]</f>
        <v>1469</v>
      </c>
      <c r="O1460" s="108" t="str">
        <f>IF(Таблица97[[#This Row],[НК]]=1,Таблица97[[#This Row],[Маржа]],"")</f>
        <v/>
      </c>
    </row>
    <row r="1461" spans="1:15" ht="20.100000000000001" customHeight="1" x14ac:dyDescent="0.25">
      <c r="A1461" s="2">
        <v>218</v>
      </c>
      <c r="B1461" s="2" t="str">
        <f>TEXT(Таблица97[[#This Row],[Дата]],"ГГ")&amp;RIGHT("000"&amp;Таблица97[[#This Row],[Номер]],4)</f>
        <v>200218</v>
      </c>
      <c r="C1461" s="129">
        <v>43907</v>
      </c>
      <c r="D1461" s="2" t="s">
        <v>13</v>
      </c>
      <c r="E1461" s="108">
        <v>615</v>
      </c>
      <c r="F1461" s="129">
        <v>43917</v>
      </c>
      <c r="H1461" s="129">
        <v>43907</v>
      </c>
      <c r="I1461" s="108">
        <f t="shared" si="66"/>
        <v>615</v>
      </c>
      <c r="J1461" s="108" t="str">
        <f>IF(Таблица97[[#This Row],[НК]]=1,Таблица97[[#This Row],[Продажа]],"")</f>
        <v/>
      </c>
      <c r="M1461" s="108">
        <v>488</v>
      </c>
      <c r="N1461" s="108">
        <f>Таблица97[[#This Row],[Продажа]]-Таблица97[[#This Row],[Закупка]]</f>
        <v>127</v>
      </c>
      <c r="O1461" s="108" t="str">
        <f>IF(Таблица97[[#This Row],[НК]]=1,Таблица97[[#This Row],[Маржа]],"")</f>
        <v/>
      </c>
    </row>
    <row r="1462" spans="1:15" ht="20.100000000000001" customHeight="1" x14ac:dyDescent="0.25">
      <c r="A1462" s="2">
        <v>223</v>
      </c>
      <c r="B1462" s="2" t="str">
        <f>TEXT(Таблица97[[#This Row],[Дата]],"ГГ")&amp;RIGHT("000"&amp;Таблица97[[#This Row],[Номер]],4)</f>
        <v>200223</v>
      </c>
      <c r="C1462" s="129">
        <v>43908</v>
      </c>
      <c r="D1462" s="2" t="s">
        <v>174</v>
      </c>
      <c r="E1462" s="108">
        <v>2690</v>
      </c>
      <c r="F1462" s="129">
        <v>43917</v>
      </c>
      <c r="H1462" s="129">
        <v>43938</v>
      </c>
      <c r="I1462" s="108">
        <f t="shared" si="66"/>
        <v>2690</v>
      </c>
      <c r="J1462" s="108" t="str">
        <f>IF(Таблица97[[#This Row],[НК]]=1,Таблица97[[#This Row],[Продажа]],"")</f>
        <v/>
      </c>
      <c r="M1462" s="108">
        <v>2382</v>
      </c>
      <c r="N1462" s="108">
        <f>Таблица97[[#This Row],[Продажа]]-Таблица97[[#This Row],[Закупка]]</f>
        <v>308</v>
      </c>
      <c r="O1462" s="108" t="str">
        <f>IF(Таблица97[[#This Row],[НК]]=1,Таблица97[[#This Row],[Маржа]],"")</f>
        <v/>
      </c>
    </row>
    <row r="1463" spans="1:15" ht="20.100000000000001" customHeight="1" x14ac:dyDescent="0.25">
      <c r="A1463" s="2">
        <v>69</v>
      </c>
      <c r="B1463" s="2" t="str">
        <f>TEXT(Таблица97[[#This Row],[Дата]],"ГГ")&amp;RIGHT("000"&amp;Таблица97[[#This Row],[Номер]],4)</f>
        <v>200069</v>
      </c>
      <c r="C1463" s="129">
        <v>43901</v>
      </c>
      <c r="D1463" s="2" t="s">
        <v>228</v>
      </c>
      <c r="E1463" s="108">
        <v>73382</v>
      </c>
      <c r="F1463" s="129">
        <v>43917</v>
      </c>
      <c r="H1463" s="129">
        <v>43903</v>
      </c>
      <c r="I1463" s="108">
        <f t="shared" si="66"/>
        <v>73382</v>
      </c>
      <c r="J1463" s="108" t="str">
        <f>IF(Таблица97[[#This Row],[НК]]=1,Таблица97[[#This Row],[Продажа]],"")</f>
        <v/>
      </c>
      <c r="L1463" s="108">
        <v>1200</v>
      </c>
      <c r="M1463" s="108">
        <v>43493</v>
      </c>
      <c r="N1463" s="108">
        <f>Таблица97[[#This Row],[Продажа]]-Таблица97[[#This Row],[Закупка]]</f>
        <v>29889</v>
      </c>
      <c r="O1463" s="108" t="str">
        <f>IF(Таблица97[[#This Row],[НК]]=1,Таблица97[[#This Row],[Маржа]],"")</f>
        <v/>
      </c>
    </row>
    <row r="1464" spans="1:15" ht="20.100000000000001" customHeight="1" x14ac:dyDescent="0.25">
      <c r="A1464" s="2">
        <v>204</v>
      </c>
      <c r="B1464" s="2" t="str">
        <f>TEXT(Таблица97[[#This Row],[Дата]],"ГГ")&amp;RIGHT("000"&amp;Таблица97[[#This Row],[Номер]],4)</f>
        <v>200204</v>
      </c>
      <c r="C1464" s="129">
        <v>43901</v>
      </c>
      <c r="D1464" s="2" t="s">
        <v>228</v>
      </c>
      <c r="E1464" s="108">
        <v>28055</v>
      </c>
      <c r="F1464" s="129">
        <v>43917</v>
      </c>
      <c r="H1464" s="129">
        <v>43959</v>
      </c>
      <c r="I1464" s="108">
        <f t="shared" si="66"/>
        <v>28055</v>
      </c>
      <c r="J1464" s="108" t="str">
        <f>IF(Таблица97[[#This Row],[НК]]=1,Таблица97[[#This Row],[Продажа]],"")</f>
        <v/>
      </c>
      <c r="M1464" s="108">
        <v>19838</v>
      </c>
      <c r="N1464" s="108">
        <f>Таблица97[[#This Row],[Продажа]]-Таблица97[[#This Row],[Закупка]]</f>
        <v>8217</v>
      </c>
      <c r="O1464" s="108" t="str">
        <f>IF(Таблица97[[#This Row],[НК]]=1,Таблица97[[#This Row],[Маржа]],"")</f>
        <v/>
      </c>
    </row>
    <row r="1465" spans="1:15" ht="20.100000000000001" customHeight="1" x14ac:dyDescent="0.25">
      <c r="A1465" s="2">
        <v>262</v>
      </c>
      <c r="B1465" s="2" t="str">
        <f>TEXT(Таблица97[[#This Row],[Дата]],"ГГ")&amp;RIGHT("000"&amp;Таблица97[[#This Row],[Номер]],4)</f>
        <v>200262</v>
      </c>
      <c r="C1465" s="129">
        <v>43917</v>
      </c>
      <c r="D1465" s="2" t="s">
        <v>447</v>
      </c>
      <c r="E1465" s="108">
        <v>22490</v>
      </c>
      <c r="F1465" s="129">
        <v>43920</v>
      </c>
      <c r="G1465" s="128">
        <v>1</v>
      </c>
      <c r="H1465" s="129">
        <v>43927</v>
      </c>
      <c r="I1465" s="108">
        <f t="shared" si="66"/>
        <v>22490</v>
      </c>
      <c r="J1465" s="108">
        <f>IF(Таблица97[[#This Row],[НК]]=1,Таблица97[[#This Row],[Продажа]],"")</f>
        <v>22490</v>
      </c>
      <c r="M1465" s="108">
        <v>14112</v>
      </c>
      <c r="N1465" s="108">
        <f>Таблица97[[#This Row],[Продажа]]-Таблица97[[#This Row],[Закупка]]</f>
        <v>8378</v>
      </c>
      <c r="O1465" s="108">
        <f>IF(Таблица97[[#This Row],[НК]]=1,Таблица97[[#This Row],[Маржа]],"")</f>
        <v>8378</v>
      </c>
    </row>
    <row r="1466" spans="1:15" ht="20.100000000000001" customHeight="1" x14ac:dyDescent="0.25">
      <c r="A1466" s="2">
        <v>249</v>
      </c>
      <c r="B1466" s="2" t="str">
        <f>TEXT(Таблица97[[#This Row],[Дата]],"ГГ")&amp;RIGHT("000"&amp;Таблица97[[#This Row],[Номер]],4)</f>
        <v>200249</v>
      </c>
      <c r="C1466" s="129">
        <v>43913</v>
      </c>
      <c r="D1466" s="2" t="s">
        <v>278</v>
      </c>
      <c r="E1466" s="108">
        <v>5458</v>
      </c>
      <c r="F1466" s="129">
        <v>43921</v>
      </c>
      <c r="H1466" s="129">
        <v>43934</v>
      </c>
      <c r="I1466" s="108">
        <f t="shared" si="66"/>
        <v>5458</v>
      </c>
      <c r="J1466" s="108" t="str">
        <f>IF(Таблица97[[#This Row],[НК]]=1,Таблица97[[#This Row],[Продажа]],"")</f>
        <v/>
      </c>
      <c r="M1466" s="108">
        <v>4703</v>
      </c>
      <c r="N1466" s="108">
        <f>Таблица97[[#This Row],[Продажа]]-Таблица97[[#This Row],[Закупка]]</f>
        <v>755</v>
      </c>
      <c r="O1466" s="108" t="str">
        <f>IF(Таблица97[[#This Row],[НК]]=1,Таблица97[[#This Row],[Маржа]],"")</f>
        <v/>
      </c>
    </row>
    <row r="1467" spans="1:15" ht="20.100000000000001" customHeight="1" x14ac:dyDescent="0.25">
      <c r="A1467" s="2">
        <v>264</v>
      </c>
      <c r="B1467" s="2" t="str">
        <f>TEXT(Таблица97[[#This Row],[Дата]],"ГГ")&amp;RIGHT("000"&amp;Таблица97[[#This Row],[Номер]],4)</f>
        <v>200264</v>
      </c>
      <c r="C1467" s="129">
        <v>43917</v>
      </c>
      <c r="D1467" s="2" t="s">
        <v>209</v>
      </c>
      <c r="E1467" s="108">
        <v>6093.95</v>
      </c>
      <c r="F1467" s="129">
        <v>43921</v>
      </c>
      <c r="H1467" s="129">
        <v>43966</v>
      </c>
      <c r="I1467" s="108">
        <f t="shared" si="66"/>
        <v>6093.95</v>
      </c>
      <c r="J1467" s="108" t="str">
        <f>IF(Таблица97[[#This Row],[НК]]=1,Таблица97[[#This Row],[Продажа]],"")</f>
        <v/>
      </c>
      <c r="M1467" s="108">
        <v>5258</v>
      </c>
      <c r="N1467" s="108">
        <f>Таблица97[[#This Row],[Продажа]]-Таблица97[[#This Row],[Закупка]]</f>
        <v>835.94999999999982</v>
      </c>
      <c r="O1467" s="108" t="str">
        <f>IF(Таблица97[[#This Row],[НК]]=1,Таблица97[[#This Row],[Маржа]],"")</f>
        <v/>
      </c>
    </row>
    <row r="1468" spans="1:15" ht="20.100000000000001" customHeight="1" x14ac:dyDescent="0.25">
      <c r="A1468" s="2">
        <v>120</v>
      </c>
      <c r="B1468" s="2" t="str">
        <f>TEXT(Таблица97[[#This Row],[Дата]],"ГГ")&amp;RIGHT("000"&amp;Таблица97[[#This Row],[Номер]],4)</f>
        <v>200120</v>
      </c>
      <c r="C1468" s="129">
        <v>43872</v>
      </c>
      <c r="D1468" s="2" t="s">
        <v>60</v>
      </c>
      <c r="E1468" s="108">
        <v>10766</v>
      </c>
      <c r="F1468" s="129">
        <v>43922</v>
      </c>
      <c r="H1468" s="129">
        <v>43900</v>
      </c>
      <c r="I1468" s="108">
        <f>E1468</f>
        <v>10766</v>
      </c>
      <c r="J1468" s="108" t="str">
        <f>IF(Таблица97[[#This Row],[НК]]=1,Таблица97[[#This Row],[Продажа]],"")</f>
        <v/>
      </c>
      <c r="M1468" s="108">
        <v>8369</v>
      </c>
      <c r="N1468" s="108">
        <f>Таблица97[[#This Row],[Продажа]]-Таблица97[[#This Row],[Закупка]]</f>
        <v>2397</v>
      </c>
      <c r="O1468" s="108" t="str">
        <f>IF(Таблица97[[#This Row],[НК]]=1,Таблица97[[#This Row],[Маржа]],"")</f>
        <v/>
      </c>
    </row>
    <row r="1469" spans="1:15" ht="20.100000000000001" customHeight="1" x14ac:dyDescent="0.25">
      <c r="A1469" s="2">
        <v>166</v>
      </c>
      <c r="B1469" s="2" t="str">
        <f>TEXT(Таблица97[[#This Row],[Дата]],"ГГ")&amp;RIGHT("000"&amp;Таблица97[[#This Row],[Номер]],4)</f>
        <v>200166</v>
      </c>
      <c r="C1469" s="129">
        <v>43888</v>
      </c>
      <c r="D1469" s="2" t="s">
        <v>56</v>
      </c>
      <c r="E1469" s="108">
        <v>78992</v>
      </c>
      <c r="F1469" s="129">
        <v>43930</v>
      </c>
      <c r="H1469" s="129">
        <v>43896</v>
      </c>
      <c r="I1469" s="108">
        <f>E1469</f>
        <v>78992</v>
      </c>
      <c r="J1469" s="108" t="str">
        <f>IF(Таблица97[[#This Row],[НК]]=1,Таблица97[[#This Row],[Продажа]],"")</f>
        <v/>
      </c>
      <c r="M1469" s="108">
        <v>59642</v>
      </c>
      <c r="N1469" s="108">
        <f>Таблица97[[#This Row],[Продажа]]-Таблица97[[#This Row],[Закупка]]</f>
        <v>19350</v>
      </c>
      <c r="O1469" s="108" t="str">
        <f>IF(Таблица97[[#This Row],[НК]]=1,Таблица97[[#This Row],[Маржа]],"")</f>
        <v/>
      </c>
    </row>
    <row r="1470" spans="1:15" ht="20.100000000000001" customHeight="1" x14ac:dyDescent="0.25">
      <c r="A1470" s="2">
        <v>294</v>
      </c>
      <c r="B1470" s="2" t="str">
        <f>TEXT(Таблица97[[#This Row],[Дата]],"ГГ")&amp;RIGHT("000"&amp;Таблица97[[#This Row],[Номер]],4)</f>
        <v>200294</v>
      </c>
      <c r="C1470" s="129">
        <v>43934</v>
      </c>
      <c r="D1470" s="2" t="s">
        <v>448</v>
      </c>
      <c r="E1470" s="108">
        <v>23640</v>
      </c>
      <c r="F1470" s="129">
        <v>43938</v>
      </c>
      <c r="G1470" s="128">
        <v>1</v>
      </c>
      <c r="H1470" s="129">
        <v>43942</v>
      </c>
      <c r="I1470" s="108">
        <v>7092</v>
      </c>
      <c r="J1470" s="108">
        <f>IF(Таблица97[[#This Row],[НК]]=1,Таблица97[[#This Row],[Продажа]],"")</f>
        <v>7092</v>
      </c>
      <c r="M1470" s="108">
        <v>5205</v>
      </c>
      <c r="N1470" s="108">
        <f>Таблица97[[#This Row],[Продажа]]-Таблица97[[#This Row],[Закупка]]</f>
        <v>1887</v>
      </c>
      <c r="O1470" s="108">
        <f>IF(Таблица97[[#This Row],[НК]]=1,Таблица97[[#This Row],[Маржа]],"")</f>
        <v>1887</v>
      </c>
    </row>
    <row r="1471" spans="1:15" ht="20.100000000000001" customHeight="1" x14ac:dyDescent="0.25">
      <c r="A1471" s="2">
        <v>304</v>
      </c>
      <c r="B1471" s="2" t="str">
        <f>TEXT(Таблица97[[#This Row],[Дата]],"ГГ")&amp;RIGHT("000"&amp;Таблица97[[#This Row],[Номер]],4)</f>
        <v>200304</v>
      </c>
      <c r="C1471" s="129">
        <v>43937</v>
      </c>
      <c r="D1471" s="2" t="s">
        <v>169</v>
      </c>
      <c r="E1471" s="108">
        <v>6703</v>
      </c>
      <c r="F1471" s="129">
        <v>43938</v>
      </c>
      <c r="H1471" s="129">
        <v>43937</v>
      </c>
      <c r="I1471" s="108">
        <f t="shared" ref="I1471:I1477" si="67">E1471</f>
        <v>6703</v>
      </c>
      <c r="J1471" s="108" t="str">
        <f>IF(Таблица97[[#This Row],[НК]]=1,Таблица97[[#This Row],[Продажа]],"")</f>
        <v/>
      </c>
      <c r="M1471" s="108">
        <v>4513</v>
      </c>
      <c r="N1471" s="108">
        <f>Таблица97[[#This Row],[Продажа]]-Таблица97[[#This Row],[Закупка]]</f>
        <v>2190</v>
      </c>
      <c r="O1471" s="108" t="str">
        <f>IF(Таблица97[[#This Row],[НК]]=1,Таблица97[[#This Row],[Маржа]],"")</f>
        <v/>
      </c>
    </row>
    <row r="1472" spans="1:15" ht="20.100000000000001" customHeight="1" x14ac:dyDescent="0.25">
      <c r="A1472" s="2">
        <v>319</v>
      </c>
      <c r="B1472" s="2" t="str">
        <f>TEXT(Таблица97[[#This Row],[Дата]],"ГГ")&amp;RIGHT("000"&amp;Таблица97[[#This Row],[Номер]],4)</f>
        <v>200319</v>
      </c>
      <c r="C1472" s="129">
        <v>43942</v>
      </c>
      <c r="D1472" s="2" t="s">
        <v>449</v>
      </c>
      <c r="E1472" s="108">
        <v>41580</v>
      </c>
      <c r="F1472" s="129">
        <v>43943</v>
      </c>
      <c r="G1472" s="128">
        <v>1</v>
      </c>
      <c r="H1472" s="129">
        <v>43945</v>
      </c>
      <c r="I1472" s="108">
        <f t="shared" si="67"/>
        <v>41580</v>
      </c>
      <c r="J1472" s="108">
        <f>IF(Таблица97[[#This Row],[НК]]=1,Таблица97[[#This Row],[Продажа]],"")</f>
        <v>41580</v>
      </c>
      <c r="M1472" s="108">
        <v>30630.400000000001</v>
      </c>
      <c r="N1472" s="108">
        <f>Таблица97[[#This Row],[Продажа]]-Таблица97[[#This Row],[Закупка]]</f>
        <v>10949.599999999999</v>
      </c>
      <c r="O1472" s="108">
        <f>IF(Таблица97[[#This Row],[НК]]=1,Таблица97[[#This Row],[Маржа]],"")</f>
        <v>10949.599999999999</v>
      </c>
    </row>
    <row r="1473" spans="1:15" ht="20.100000000000001" customHeight="1" x14ac:dyDescent="0.25">
      <c r="A1473" s="2">
        <v>320</v>
      </c>
      <c r="B1473" s="2" t="str">
        <f>TEXT(Таблица97[[#This Row],[Дата]],"ГГ")&amp;RIGHT("000"&amp;Таблица97[[#This Row],[Номер]],4)</f>
        <v>200320</v>
      </c>
      <c r="C1473" s="129">
        <v>43942</v>
      </c>
      <c r="D1473" s="2" t="s">
        <v>450</v>
      </c>
      <c r="E1473" s="108">
        <v>257754</v>
      </c>
      <c r="F1473" s="129">
        <v>43944</v>
      </c>
      <c r="G1473" s="128">
        <v>1</v>
      </c>
      <c r="H1473" s="129">
        <v>43951</v>
      </c>
      <c r="I1473" s="108">
        <f t="shared" si="67"/>
        <v>257754</v>
      </c>
      <c r="J1473" s="108">
        <f>IF(Таблица97[[#This Row],[НК]]=1,Таблица97[[#This Row],[Продажа]],"")</f>
        <v>257754</v>
      </c>
      <c r="M1473" s="108">
        <v>188013</v>
      </c>
      <c r="N1473" s="108">
        <f>Таблица97[[#This Row],[Продажа]]-Таблица97[[#This Row],[Закупка]]</f>
        <v>69741</v>
      </c>
      <c r="O1473" s="108">
        <f>IF(Таблица97[[#This Row],[НК]]=1,Таблица97[[#This Row],[Маржа]],"")</f>
        <v>69741</v>
      </c>
    </row>
    <row r="1474" spans="1:15" ht="20.100000000000001" customHeight="1" x14ac:dyDescent="0.25">
      <c r="A1474" s="2">
        <v>321</v>
      </c>
      <c r="B1474" s="2" t="str">
        <f>TEXT(Таблица97[[#This Row],[Дата]],"ГГ")&amp;RIGHT("000"&amp;Таблица97[[#This Row],[Номер]],4)</f>
        <v>200321</v>
      </c>
      <c r="C1474" s="129">
        <v>43942</v>
      </c>
      <c r="D1474" s="2" t="s">
        <v>450</v>
      </c>
      <c r="E1474" s="108">
        <v>1350</v>
      </c>
      <c r="F1474" s="129">
        <v>43944</v>
      </c>
      <c r="G1474" s="128">
        <v>1</v>
      </c>
      <c r="H1474" s="129">
        <v>43951</v>
      </c>
      <c r="I1474" s="108">
        <f t="shared" si="67"/>
        <v>1350</v>
      </c>
      <c r="J1474" s="108">
        <f>IF(Таблица97[[#This Row],[НК]]=1,Таблица97[[#This Row],[Продажа]],"")</f>
        <v>1350</v>
      </c>
      <c r="M1474" s="108">
        <v>1181</v>
      </c>
      <c r="N1474" s="108">
        <f>Таблица97[[#This Row],[Продажа]]-Таблица97[[#This Row],[Закупка]]</f>
        <v>169</v>
      </c>
      <c r="O1474" s="108">
        <f>IF(Таблица97[[#This Row],[НК]]=1,Таблица97[[#This Row],[Маржа]],"")</f>
        <v>169</v>
      </c>
    </row>
    <row r="1475" spans="1:15" ht="20.100000000000001" customHeight="1" x14ac:dyDescent="0.25">
      <c r="A1475" s="2">
        <v>195</v>
      </c>
      <c r="B1475" s="2" t="str">
        <f>TEXT(Таблица97[[#This Row],[Дата]],"ГГ")&amp;RIGHT("000"&amp;Таблица97[[#This Row],[Номер]],4)</f>
        <v>200195</v>
      </c>
      <c r="C1475" s="129">
        <v>43896</v>
      </c>
      <c r="D1475" s="2" t="s">
        <v>99</v>
      </c>
      <c r="E1475" s="108">
        <v>190664</v>
      </c>
      <c r="F1475" s="129">
        <v>43944</v>
      </c>
      <c r="H1475" s="129">
        <v>43916</v>
      </c>
      <c r="I1475" s="108">
        <f t="shared" si="67"/>
        <v>190664</v>
      </c>
      <c r="J1475" s="108" t="str">
        <f>IF(Таблица97[[#This Row],[НК]]=1,Таблица97[[#This Row],[Продажа]],"")</f>
        <v/>
      </c>
      <c r="K1475" s="108">
        <v>30000</v>
      </c>
      <c r="L1475" s="108">
        <f>10*600</f>
        <v>6000</v>
      </c>
      <c r="M1475" s="108">
        <v>68826</v>
      </c>
      <c r="N1475" s="108">
        <f>Таблица97[[#This Row],[Продажа]]-Таблица97[[#This Row],[Закупка]]</f>
        <v>121838</v>
      </c>
      <c r="O1475" s="108" t="str">
        <f>IF(Таблица97[[#This Row],[НК]]=1,Таблица97[[#This Row],[Маржа]],"")</f>
        <v/>
      </c>
    </row>
    <row r="1476" spans="1:15" ht="20.100000000000001" customHeight="1" x14ac:dyDescent="0.25">
      <c r="A1476" s="2">
        <v>217</v>
      </c>
      <c r="B1476" s="2" t="str">
        <f>TEXT(Таблица97[[#This Row],[Дата]],"ГГ")&amp;RIGHT("000"&amp;Таблица97[[#This Row],[Номер]],4)</f>
        <v>200217</v>
      </c>
      <c r="C1476" s="129">
        <v>43906</v>
      </c>
      <c r="D1476" s="2" t="s">
        <v>99</v>
      </c>
      <c r="E1476" s="108">
        <v>9746</v>
      </c>
      <c r="F1476" s="129">
        <v>43944</v>
      </c>
      <c r="H1476" s="129">
        <v>43916</v>
      </c>
      <c r="I1476" s="108">
        <f t="shared" si="67"/>
        <v>9746</v>
      </c>
      <c r="J1476" s="108" t="str">
        <f>IF(Таблица97[[#This Row],[НК]]=1,Таблица97[[#This Row],[Продажа]],"")</f>
        <v/>
      </c>
      <c r="M1476" s="108">
        <v>7530</v>
      </c>
      <c r="N1476" s="108">
        <f>Таблица97[[#This Row],[Продажа]]-Таблица97[[#This Row],[Закупка]]</f>
        <v>2216</v>
      </c>
      <c r="O1476" s="108" t="str">
        <f>IF(Таблица97[[#This Row],[НК]]=1,Таблица97[[#This Row],[Маржа]],"")</f>
        <v/>
      </c>
    </row>
    <row r="1477" spans="1:15" ht="20.100000000000001" customHeight="1" x14ac:dyDescent="0.25">
      <c r="A1477" s="2">
        <v>332</v>
      </c>
      <c r="B1477" s="2" t="str">
        <f>TEXT(Таблица97[[#This Row],[Дата]],"ГГ")&amp;RIGHT("000"&amp;Таблица97[[#This Row],[Номер]],4)</f>
        <v>200332</v>
      </c>
      <c r="C1477" s="129">
        <v>43944</v>
      </c>
      <c r="D1477" s="2" t="s">
        <v>438</v>
      </c>
      <c r="E1477" s="108">
        <v>3726</v>
      </c>
      <c r="F1477" s="129">
        <v>43944</v>
      </c>
      <c r="H1477" s="129">
        <v>43945</v>
      </c>
      <c r="I1477" s="108">
        <f t="shared" si="67"/>
        <v>3726</v>
      </c>
      <c r="J1477" s="108" t="str">
        <f>IF(Таблица97[[#This Row],[НК]]=1,Таблица97[[#This Row],[Продажа]],"")</f>
        <v/>
      </c>
      <c r="M1477" s="108">
        <v>2563</v>
      </c>
      <c r="N1477" s="108">
        <f>Таблица97[[#This Row],[Продажа]]-Таблица97[[#This Row],[Закупка]]</f>
        <v>1163</v>
      </c>
      <c r="O1477" s="108" t="str">
        <f>IF(Таблица97[[#This Row],[НК]]=1,Таблица97[[#This Row],[Маржа]],"")</f>
        <v/>
      </c>
    </row>
    <row r="1478" spans="1:15" ht="20.100000000000001" customHeight="1" x14ac:dyDescent="0.25">
      <c r="A1478" s="2">
        <v>294</v>
      </c>
      <c r="B1478" s="2" t="str">
        <f>TEXT(Таблица97[[#This Row],[Дата]],"ГГ")&amp;RIGHT("000"&amp;Таблица97[[#This Row],[Номер]],4)</f>
        <v>200294</v>
      </c>
      <c r="C1478" s="129">
        <v>43934</v>
      </c>
      <c r="D1478" s="2" t="s">
        <v>448</v>
      </c>
      <c r="E1478" s="108">
        <v>23640</v>
      </c>
      <c r="F1478" s="129">
        <v>43944</v>
      </c>
      <c r="G1478" s="128">
        <v>1</v>
      </c>
      <c r="H1478" s="129">
        <v>43942</v>
      </c>
      <c r="I1478" s="108">
        <v>16548</v>
      </c>
      <c r="J1478" s="108">
        <f>IF(Таблица97[[#This Row],[НК]]=1,Таблица97[[#This Row],[Продажа]],"")</f>
        <v>16548</v>
      </c>
      <c r="M1478" s="108">
        <v>12145</v>
      </c>
      <c r="N1478" s="108">
        <f>Таблица97[[#This Row],[Продажа]]-Таблица97[[#This Row],[Закупка]]</f>
        <v>4403</v>
      </c>
      <c r="O1478" s="108">
        <f>IF(Таблица97[[#This Row],[НК]]=1,Таблица97[[#This Row],[Маржа]],"")</f>
        <v>4403</v>
      </c>
    </row>
    <row r="1479" spans="1:15" ht="20.100000000000001" customHeight="1" x14ac:dyDescent="0.25">
      <c r="A1479" s="2">
        <v>334</v>
      </c>
      <c r="B1479" s="2" t="str">
        <f>TEXT(Таблица97[[#This Row],[Дата]],"ГГ")&amp;RIGHT("000"&amp;Таблица97[[#This Row],[Номер]],4)</f>
        <v>200334</v>
      </c>
      <c r="C1479" s="129">
        <v>43945</v>
      </c>
      <c r="D1479" s="2" t="s">
        <v>451</v>
      </c>
      <c r="E1479" s="108">
        <v>32490</v>
      </c>
      <c r="F1479" s="129">
        <v>43945</v>
      </c>
      <c r="G1479" s="128">
        <v>1</v>
      </c>
      <c r="H1479" s="129">
        <v>43948</v>
      </c>
      <c r="I1479" s="108">
        <f>E1479</f>
        <v>32490</v>
      </c>
      <c r="J1479" s="108">
        <f>IF(Таблица97[[#This Row],[НК]]=1,Таблица97[[#This Row],[Продажа]],"")</f>
        <v>32490</v>
      </c>
      <c r="M1479" s="108">
        <v>17909.43</v>
      </c>
      <c r="N1479" s="108">
        <f>Таблица97[[#This Row],[Продажа]]-Таблица97[[#This Row],[Закупка]]</f>
        <v>14580.57</v>
      </c>
      <c r="O1479" s="108">
        <f>IF(Таблица97[[#This Row],[НК]]=1,Таблица97[[#This Row],[Маржа]],"")</f>
        <v>14580.57</v>
      </c>
    </row>
    <row r="1480" spans="1:15" ht="20.100000000000001" customHeight="1" x14ac:dyDescent="0.25">
      <c r="A1480" s="2">
        <v>322</v>
      </c>
      <c r="B1480" s="2" t="str">
        <f>TEXT(Таблица97[[#This Row],[Дата]],"ГГ")&amp;RIGHT("000"&amp;Таблица97[[#This Row],[Номер]],4)</f>
        <v>200322</v>
      </c>
      <c r="C1480" s="129">
        <v>43943</v>
      </c>
      <c r="D1480" s="2" t="s">
        <v>428</v>
      </c>
      <c r="E1480" s="108">
        <v>4000</v>
      </c>
      <c r="F1480" s="129">
        <v>43948</v>
      </c>
      <c r="H1480" s="129">
        <v>43950</v>
      </c>
      <c r="I1480" s="108">
        <f>E1480</f>
        <v>4000</v>
      </c>
      <c r="J1480" s="108" t="str">
        <f>IF(Таблица97[[#This Row],[НК]]=1,Таблица97[[#This Row],[Продажа]],"")</f>
        <v/>
      </c>
      <c r="L1480" s="108">
        <v>600</v>
      </c>
      <c r="M1480" s="108">
        <v>2331.6999999999998</v>
      </c>
      <c r="N1480" s="108">
        <f>Таблица97[[#This Row],[Продажа]]-Таблица97[[#This Row],[Закупка]]</f>
        <v>1668.3000000000002</v>
      </c>
      <c r="O1480" s="108" t="str">
        <f>IF(Таблица97[[#This Row],[НК]]=1,Таблица97[[#This Row],[Маржа]],"")</f>
        <v/>
      </c>
    </row>
    <row r="1481" spans="1:15" ht="20.100000000000001" customHeight="1" x14ac:dyDescent="0.25">
      <c r="A1481" s="2">
        <v>336</v>
      </c>
      <c r="B1481" s="2" t="str">
        <f>TEXT(Таблица97[[#This Row],[Дата]],"ГГ")&amp;RIGHT("000"&amp;Таблица97[[#This Row],[Номер]],4)</f>
        <v>200336</v>
      </c>
      <c r="C1481" s="129">
        <v>43948</v>
      </c>
      <c r="D1481" s="2" t="s">
        <v>361</v>
      </c>
      <c r="E1481" s="108">
        <v>2832</v>
      </c>
      <c r="F1481" s="129">
        <v>43948</v>
      </c>
      <c r="H1481" s="129">
        <v>43948</v>
      </c>
      <c r="I1481" s="108">
        <f>E1481</f>
        <v>2832</v>
      </c>
      <c r="J1481" s="108" t="str">
        <f>IF(Таблица97[[#This Row],[НК]]=1,Таблица97[[#This Row],[Продажа]],"")</f>
        <v/>
      </c>
      <c r="M1481" s="108">
        <v>1948</v>
      </c>
      <c r="N1481" s="108">
        <f>Таблица97[[#This Row],[Продажа]]-Таблица97[[#This Row],[Закупка]]</f>
        <v>884</v>
      </c>
      <c r="O1481" s="108" t="str">
        <f>IF(Таблица97[[#This Row],[НК]]=1,Таблица97[[#This Row],[Маржа]],"")</f>
        <v/>
      </c>
    </row>
    <row r="1482" spans="1:15" ht="20.100000000000001" customHeight="1" x14ac:dyDescent="0.25">
      <c r="A1482" s="2">
        <v>362</v>
      </c>
      <c r="B1482" s="2" t="str">
        <f>TEXT(Таблица97[[#This Row],[Дата]],"ГГ")&amp;RIGHT("000"&amp;Таблица97[[#This Row],[Номер]],4)</f>
        <v>200362</v>
      </c>
      <c r="C1482" s="129">
        <v>43950</v>
      </c>
      <c r="D1482" s="2" t="s">
        <v>452</v>
      </c>
      <c r="E1482" s="108">
        <v>56490</v>
      </c>
      <c r="F1482" s="129">
        <v>43951</v>
      </c>
      <c r="H1482" s="129">
        <v>43958</v>
      </c>
      <c r="I1482" s="108">
        <f>E1482</f>
        <v>56490</v>
      </c>
      <c r="J1482" s="108" t="str">
        <f>IF(Таблица97[[#This Row],[НК]]=1,Таблица97[[#This Row],[Продажа]],"")</f>
        <v/>
      </c>
      <c r="M1482" s="108">
        <v>36712</v>
      </c>
      <c r="N1482" s="108">
        <f>Таблица97[[#This Row],[Продажа]]-Таблица97[[#This Row],[Закупка]]</f>
        <v>19778</v>
      </c>
      <c r="O1482" s="108" t="str">
        <f>IF(Таблица97[[#This Row],[НК]]=1,Таблица97[[#This Row],[Маржа]],"")</f>
        <v/>
      </c>
    </row>
    <row r="1483" spans="1:15" ht="20.100000000000001" customHeight="1" x14ac:dyDescent="0.25">
      <c r="A1483" s="2">
        <v>61</v>
      </c>
      <c r="B1483" s="2" t="str">
        <f>TEXT(Таблица97[[#This Row],[Дата]],"ГГ")&amp;RIGHT("000"&amp;Таблица97[[#This Row],[Номер]],4)</f>
        <v>200061</v>
      </c>
      <c r="C1483" s="129">
        <v>43888</v>
      </c>
      <c r="D1483" s="2" t="s">
        <v>433</v>
      </c>
      <c r="E1483" s="108">
        <v>77077</v>
      </c>
      <c r="F1483" s="129">
        <v>43951</v>
      </c>
      <c r="H1483" s="129">
        <v>43935</v>
      </c>
      <c r="I1483" s="108">
        <v>63767</v>
      </c>
      <c r="J1483" s="108" t="str">
        <f>IF(Таблица97[[#This Row],[НК]]=1,Таблица97[[#This Row],[Продажа]],"")</f>
        <v/>
      </c>
      <c r="M1483" s="108">
        <v>39204.85</v>
      </c>
      <c r="N1483" s="108">
        <f>Таблица97[[#This Row],[Продажа]]-Таблица97[[#This Row],[Закупка]]</f>
        <v>24562.15</v>
      </c>
      <c r="O1483" s="108" t="str">
        <f>IF(Таблица97[[#This Row],[НК]]=1,Таблица97[[#This Row],[Маржа]],"")</f>
        <v/>
      </c>
    </row>
    <row r="1484" spans="1:15" ht="20.100000000000001" customHeight="1" x14ac:dyDescent="0.25">
      <c r="A1484" s="2">
        <v>248</v>
      </c>
      <c r="B1484" s="2" t="str">
        <f>TEXT(Таблица97[[#This Row],[Дата]],"ГГ")&amp;RIGHT("000"&amp;Таблица97[[#This Row],[Номер]],4)</f>
        <v>200248</v>
      </c>
      <c r="C1484" s="129">
        <v>43913</v>
      </c>
      <c r="D1484" s="2" t="s">
        <v>433</v>
      </c>
      <c r="E1484" s="108">
        <v>2742</v>
      </c>
      <c r="F1484" s="129">
        <v>43951</v>
      </c>
      <c r="H1484" s="129">
        <v>43914</v>
      </c>
      <c r="I1484" s="108">
        <f>E1484</f>
        <v>2742</v>
      </c>
      <c r="J1484" s="108" t="str">
        <f>IF(Таблица97[[#This Row],[НК]]=1,Таблица97[[#This Row],[Продажа]],"")</f>
        <v/>
      </c>
      <c r="M1484" s="108">
        <v>1886</v>
      </c>
      <c r="N1484" s="108">
        <f>Таблица97[[#This Row],[Продажа]]-Таблица97[[#This Row],[Закупка]]</f>
        <v>856</v>
      </c>
      <c r="O1484" s="108" t="str">
        <f>IF(Таблица97[[#This Row],[НК]]=1,Таблица97[[#This Row],[Маржа]],"")</f>
        <v/>
      </c>
    </row>
    <row r="1485" spans="1:15" ht="20.100000000000001" customHeight="1" x14ac:dyDescent="0.25">
      <c r="A1485" s="2">
        <v>76</v>
      </c>
      <c r="B1485" s="2" t="str">
        <f>TEXT(Таблица97[[#This Row],[Дата]],"ГГ")&amp;RIGHT("000"&amp;Таблица97[[#This Row],[Номер]],4)</f>
        <v>200076</v>
      </c>
      <c r="C1485" s="129">
        <v>43882</v>
      </c>
      <c r="D1485" s="2" t="s">
        <v>439</v>
      </c>
      <c r="E1485" s="108">
        <v>602770</v>
      </c>
      <c r="F1485" s="129">
        <v>43951</v>
      </c>
      <c r="G1485" s="128">
        <v>1</v>
      </c>
      <c r="H1485" s="129">
        <v>43928</v>
      </c>
      <c r="I1485" s="108">
        <v>301385</v>
      </c>
      <c r="J1485" s="108">
        <f>IF(Таблица97[[#This Row],[НК]]=1,Таблица97[[#This Row],[Продажа]],"")</f>
        <v>301385</v>
      </c>
      <c r="M1485" s="108">
        <v>258092.5</v>
      </c>
      <c r="N1485" s="108">
        <f>Таблица97[[#This Row],[Продажа]]-Таблица97[[#This Row],[Закупка]]</f>
        <v>43292.5</v>
      </c>
      <c r="O1485" s="108">
        <f>IF(Таблица97[[#This Row],[НК]]=1,Таблица97[[#This Row],[Маржа]],"")</f>
        <v>43292.5</v>
      </c>
    </row>
    <row r="1486" spans="1:15" ht="20.100000000000001" customHeight="1" x14ac:dyDescent="0.25">
      <c r="A1486" s="2">
        <v>325</v>
      </c>
      <c r="B1486" s="2" t="str">
        <f>TEXT(Таблица97[[#This Row],[Дата]],"ГГ")&amp;RIGHT("000"&amp;Таблица97[[#This Row],[Номер]],4)</f>
        <v>200325</v>
      </c>
      <c r="C1486" s="129">
        <v>43945</v>
      </c>
      <c r="D1486" s="2" t="s">
        <v>109</v>
      </c>
      <c r="E1486" s="108">
        <v>4000</v>
      </c>
      <c r="F1486" s="129">
        <v>43957</v>
      </c>
      <c r="H1486" s="129">
        <v>43948</v>
      </c>
      <c r="I1486" s="108">
        <f t="shared" ref="I1486:I1498" si="68">E1486</f>
        <v>4000</v>
      </c>
      <c r="J1486" s="108" t="str">
        <f>IF(Таблица97[[#This Row],[НК]]=1,Таблица97[[#This Row],[Продажа]],"")</f>
        <v/>
      </c>
      <c r="L1486" s="108">
        <v>600</v>
      </c>
      <c r="M1486" s="108">
        <v>1450.7</v>
      </c>
      <c r="N1486" s="108">
        <f>Таблица97[[#This Row],[Продажа]]-Таблица97[[#This Row],[Закупка]]</f>
        <v>2549.3000000000002</v>
      </c>
      <c r="O1486" s="108" t="str">
        <f>IF(Таблица97[[#This Row],[НК]]=1,Таблица97[[#This Row],[Маржа]],"")</f>
        <v/>
      </c>
    </row>
    <row r="1487" spans="1:15" ht="20.100000000000001" customHeight="1" x14ac:dyDescent="0.25">
      <c r="A1487" s="2">
        <v>342</v>
      </c>
      <c r="B1487" s="2" t="str">
        <f>TEXT(Таблица97[[#This Row],[Дата]],"ГГ")&amp;RIGHT("000"&amp;Таблица97[[#This Row],[Номер]],4)</f>
        <v>200342</v>
      </c>
      <c r="C1487" s="129">
        <v>43949</v>
      </c>
      <c r="D1487" s="2" t="s">
        <v>403</v>
      </c>
      <c r="E1487" s="108">
        <v>6218</v>
      </c>
      <c r="F1487" s="129">
        <v>43957</v>
      </c>
      <c r="H1487" s="129">
        <v>43969</v>
      </c>
      <c r="I1487" s="108">
        <f t="shared" si="68"/>
        <v>6218</v>
      </c>
      <c r="J1487" s="108" t="str">
        <f>IF(Таблица97[[#This Row],[НК]]=1,Таблица97[[#This Row],[Продажа]],"")</f>
        <v/>
      </c>
      <c r="M1487" s="108">
        <v>4224</v>
      </c>
      <c r="N1487" s="108">
        <f>Таблица97[[#This Row],[Продажа]]-Таблица97[[#This Row],[Закупка]]</f>
        <v>1994</v>
      </c>
      <c r="O1487" s="108" t="str">
        <f>IF(Таблица97[[#This Row],[НК]]=1,Таблица97[[#This Row],[Маржа]],"")</f>
        <v/>
      </c>
    </row>
    <row r="1488" spans="1:15" ht="20.100000000000001" customHeight="1" x14ac:dyDescent="0.25">
      <c r="A1488" s="2">
        <v>317</v>
      </c>
      <c r="B1488" s="2" t="str">
        <f>TEXT(Таблица97[[#This Row],[Дата]],"ГГ")&amp;RIGHT("000"&amp;Таблица97[[#This Row],[Номер]],4)</f>
        <v>200317</v>
      </c>
      <c r="C1488" s="129">
        <v>43943</v>
      </c>
      <c r="D1488" s="2" t="s">
        <v>228</v>
      </c>
      <c r="E1488" s="108">
        <v>23531</v>
      </c>
      <c r="F1488" s="129">
        <v>43963</v>
      </c>
      <c r="H1488" s="129">
        <v>43959</v>
      </c>
      <c r="I1488" s="108">
        <f t="shared" si="68"/>
        <v>23531</v>
      </c>
      <c r="J1488" s="108" t="str">
        <f>IF(Таблица97[[#This Row],[НК]]=1,Таблица97[[#This Row],[Продажа]],"")</f>
        <v/>
      </c>
      <c r="M1488" s="108">
        <v>15942</v>
      </c>
      <c r="N1488" s="108">
        <f>Таблица97[[#This Row],[Продажа]]-Таблица97[[#This Row],[Закупка]]</f>
        <v>7589</v>
      </c>
      <c r="O1488" s="108" t="str">
        <f>IF(Таблица97[[#This Row],[НК]]=1,Таблица97[[#This Row],[Маржа]],"")</f>
        <v/>
      </c>
    </row>
    <row r="1489" spans="1:15" ht="20.100000000000001" customHeight="1" x14ac:dyDescent="0.25">
      <c r="A1489" s="2">
        <v>192</v>
      </c>
      <c r="B1489" s="2" t="str">
        <f>TEXT(Таблица97[[#This Row],[Дата]],"ГГ")&amp;RIGHT("000"&amp;Таблица97[[#This Row],[Номер]],4)</f>
        <v>200192</v>
      </c>
      <c r="C1489" s="129">
        <v>43922</v>
      </c>
      <c r="D1489" s="2" t="s">
        <v>56</v>
      </c>
      <c r="E1489" s="108">
        <v>155989</v>
      </c>
      <c r="F1489" s="129">
        <v>43964</v>
      </c>
      <c r="H1489" s="129">
        <v>43943</v>
      </c>
      <c r="I1489" s="108">
        <f t="shared" si="68"/>
        <v>155989</v>
      </c>
      <c r="J1489" s="108" t="str">
        <f>IF(Таблица97[[#This Row],[НК]]=1,Таблица97[[#This Row],[Продажа]],"")</f>
        <v/>
      </c>
      <c r="L1489" s="108">
        <v>1200</v>
      </c>
      <c r="M1489" s="108">
        <v>110320.4</v>
      </c>
      <c r="N1489" s="108">
        <f>Таблица97[[#This Row],[Продажа]]-Таблица97[[#This Row],[Закупка]]</f>
        <v>45668.600000000006</v>
      </c>
      <c r="O1489" s="108" t="str">
        <f>IF(Таблица97[[#This Row],[НК]]=1,Таблица97[[#This Row],[Маржа]],"")</f>
        <v/>
      </c>
    </row>
    <row r="1490" spans="1:15" ht="20.100000000000001" customHeight="1" x14ac:dyDescent="0.25">
      <c r="A1490" s="2">
        <v>375</v>
      </c>
      <c r="B1490" s="2" t="str">
        <f>TEXT(Таблица97[[#This Row],[Дата]],"ГГ")&amp;RIGHT("000"&amp;Таблица97[[#This Row],[Номер]],4)</f>
        <v>200375</v>
      </c>
      <c r="C1490" s="129">
        <v>43958</v>
      </c>
      <c r="D1490" s="2" t="s">
        <v>175</v>
      </c>
      <c r="E1490" s="108">
        <v>21800</v>
      </c>
      <c r="F1490" s="129">
        <v>43964</v>
      </c>
      <c r="H1490" s="129">
        <v>43973</v>
      </c>
      <c r="I1490" s="108">
        <f t="shared" si="68"/>
        <v>21800</v>
      </c>
      <c r="J1490" s="108" t="str">
        <f>IF(Таблица97[[#This Row],[НК]]=1,Таблица97[[#This Row],[Продажа]],"")</f>
        <v/>
      </c>
      <c r="M1490" s="108">
        <v>12692</v>
      </c>
      <c r="N1490" s="108">
        <f>Таблица97[[#This Row],[Продажа]]-Таблица97[[#This Row],[Закупка]]</f>
        <v>9108</v>
      </c>
      <c r="O1490" s="108" t="str">
        <f>IF(Таблица97[[#This Row],[НК]]=1,Таблица97[[#This Row],[Маржа]],"")</f>
        <v/>
      </c>
    </row>
    <row r="1491" spans="1:15" ht="20.100000000000001" customHeight="1" x14ac:dyDescent="0.25">
      <c r="A1491" s="2">
        <v>345</v>
      </c>
      <c r="B1491" s="2" t="str">
        <f>TEXT(Таблица97[[#This Row],[Дата]],"ГГ")&amp;RIGHT("000"&amp;Таблица97[[#This Row],[Номер]],4)</f>
        <v>200345</v>
      </c>
      <c r="C1491" s="129">
        <v>43964</v>
      </c>
      <c r="D1491" s="2" t="s">
        <v>453</v>
      </c>
      <c r="E1491" s="108">
        <v>22490</v>
      </c>
      <c r="F1491" s="129">
        <v>43965</v>
      </c>
      <c r="G1491" s="128">
        <v>1</v>
      </c>
      <c r="H1491" s="129">
        <v>43977</v>
      </c>
      <c r="I1491" s="108">
        <f t="shared" si="68"/>
        <v>22490</v>
      </c>
      <c r="J1491" s="108">
        <f>IF(Таблица97[[#This Row],[НК]]=1,Таблица97[[#This Row],[Продажа]],"")</f>
        <v>22490</v>
      </c>
      <c r="M1491" s="108">
        <v>16135</v>
      </c>
      <c r="N1491" s="108">
        <f>Таблица97[[#This Row],[Продажа]]-Таблица97[[#This Row],[Закупка]]</f>
        <v>6355</v>
      </c>
      <c r="O1491" s="108">
        <f>IF(Таблица97[[#This Row],[НК]]=1,Таблица97[[#This Row],[Маржа]],"")</f>
        <v>6355</v>
      </c>
    </row>
    <row r="1492" spans="1:15" ht="20.100000000000001" customHeight="1" x14ac:dyDescent="0.25">
      <c r="A1492" s="2">
        <v>383</v>
      </c>
      <c r="B1492" s="2" t="str">
        <f>TEXT(Таблица97[[#This Row],[Дата]],"ГГ")&amp;RIGHT("000"&amp;Таблица97[[#This Row],[Номер]],4)</f>
        <v>200383</v>
      </c>
      <c r="C1492" s="129">
        <v>43959</v>
      </c>
      <c r="D1492" s="2" t="s">
        <v>353</v>
      </c>
      <c r="E1492" s="108">
        <v>2787</v>
      </c>
      <c r="F1492" s="129">
        <v>43965</v>
      </c>
      <c r="H1492" s="129">
        <v>43965</v>
      </c>
      <c r="I1492" s="108">
        <f t="shared" si="68"/>
        <v>2787</v>
      </c>
      <c r="J1492" s="108" t="str">
        <f>IF(Таблица97[[#This Row],[НК]]=1,Таблица97[[#This Row],[Продажа]],"")</f>
        <v/>
      </c>
      <c r="M1492" s="108">
        <v>1764</v>
      </c>
      <c r="N1492" s="108">
        <f>Таблица97[[#This Row],[Продажа]]-Таблица97[[#This Row],[Закупка]]</f>
        <v>1023</v>
      </c>
      <c r="O1492" s="108" t="str">
        <f>IF(Таблица97[[#This Row],[НК]]=1,Таблица97[[#This Row],[Маржа]],"")</f>
        <v/>
      </c>
    </row>
    <row r="1493" spans="1:15" ht="20.100000000000001" customHeight="1" x14ac:dyDescent="0.25">
      <c r="A1493" s="2">
        <v>388</v>
      </c>
      <c r="B1493" s="2" t="str">
        <f>TEXT(Таблица97[[#This Row],[Дата]],"ГГ")&amp;RIGHT("000"&amp;Таблица97[[#This Row],[Номер]],4)</f>
        <v>200388</v>
      </c>
      <c r="C1493" s="129">
        <v>43963</v>
      </c>
      <c r="D1493" s="2" t="s">
        <v>77</v>
      </c>
      <c r="E1493" s="108">
        <v>7324</v>
      </c>
      <c r="F1493" s="129">
        <v>43966</v>
      </c>
      <c r="H1493" s="129">
        <v>43966</v>
      </c>
      <c r="I1493" s="108">
        <f t="shared" si="68"/>
        <v>7324</v>
      </c>
      <c r="J1493" s="108" t="str">
        <f>IF(Таблица97[[#This Row],[НК]]=1,Таблица97[[#This Row],[Продажа]],"")</f>
        <v/>
      </c>
      <c r="M1493" s="108">
        <v>5040</v>
      </c>
      <c r="N1493" s="108">
        <f>Таблица97[[#This Row],[Продажа]]-Таблица97[[#This Row],[Закупка]]</f>
        <v>2284</v>
      </c>
      <c r="O1493" s="108" t="str">
        <f>IF(Таблица97[[#This Row],[НК]]=1,Таблица97[[#This Row],[Маржа]],"")</f>
        <v/>
      </c>
    </row>
    <row r="1494" spans="1:15" ht="20.100000000000001" customHeight="1" x14ac:dyDescent="0.25">
      <c r="A1494" s="2">
        <v>391</v>
      </c>
      <c r="B1494" s="2" t="str">
        <f>TEXT(Таблица97[[#This Row],[Дата]],"ГГ")&amp;RIGHT("000"&amp;Таблица97[[#This Row],[Номер]],4)</f>
        <v>200391</v>
      </c>
      <c r="C1494" s="129">
        <v>43964</v>
      </c>
      <c r="D1494" s="2" t="s">
        <v>147</v>
      </c>
      <c r="E1494" s="108">
        <v>33140</v>
      </c>
      <c r="F1494" s="129">
        <v>43969</v>
      </c>
      <c r="H1494" s="129">
        <v>43977</v>
      </c>
      <c r="I1494" s="108">
        <f t="shared" si="68"/>
        <v>33140</v>
      </c>
      <c r="J1494" s="108" t="str">
        <f>IF(Таблица97[[#This Row],[НК]]=1,Таблица97[[#This Row],[Продажа]],"")</f>
        <v/>
      </c>
      <c r="M1494" s="108">
        <v>22333</v>
      </c>
      <c r="N1494" s="108">
        <f>Таблица97[[#This Row],[Продажа]]-Таблица97[[#This Row],[Закупка]]</f>
        <v>10807</v>
      </c>
      <c r="O1494" s="108" t="str">
        <f>IF(Таблица97[[#This Row],[НК]]=1,Таблица97[[#This Row],[Маржа]],"")</f>
        <v/>
      </c>
    </row>
    <row r="1495" spans="1:15" ht="20.100000000000001" customHeight="1" x14ac:dyDescent="0.25">
      <c r="A1495" s="2">
        <v>409</v>
      </c>
      <c r="B1495" s="2" t="str">
        <f>TEXT(Таблица97[[#This Row],[Дата]],"ГГ")&amp;RIGHT("000"&amp;Таблица97[[#This Row],[Номер]],4)</f>
        <v>200409</v>
      </c>
      <c r="C1495" s="129">
        <v>43969</v>
      </c>
      <c r="D1495" s="2" t="s">
        <v>385</v>
      </c>
      <c r="E1495" s="108">
        <v>7162</v>
      </c>
      <c r="F1495" s="129">
        <v>43969</v>
      </c>
      <c r="H1495" s="129">
        <v>43970</v>
      </c>
      <c r="I1495" s="108">
        <f t="shared" si="68"/>
        <v>7162</v>
      </c>
      <c r="J1495" s="108" t="str">
        <f>IF(Таблица97[[#This Row],[НК]]=1,Таблица97[[#This Row],[Продажа]],"")</f>
        <v/>
      </c>
      <c r="M1495" s="108">
        <v>5586</v>
      </c>
      <c r="N1495" s="108">
        <f>Таблица97[[#This Row],[Продажа]]-Таблица97[[#This Row],[Закупка]]</f>
        <v>1576</v>
      </c>
      <c r="O1495" s="108" t="str">
        <f>IF(Таблица97[[#This Row],[НК]]=1,Таблица97[[#This Row],[Маржа]],"")</f>
        <v/>
      </c>
    </row>
    <row r="1496" spans="1:15" ht="20.100000000000001" customHeight="1" x14ac:dyDescent="0.25">
      <c r="A1496" s="2">
        <v>414</v>
      </c>
      <c r="B1496" s="2" t="str">
        <f>TEXT(Таблица97[[#This Row],[Дата]],"ГГ")&amp;RIGHT("000"&amp;Таблица97[[#This Row],[Номер]],4)</f>
        <v>200414</v>
      </c>
      <c r="C1496" s="129">
        <v>43970</v>
      </c>
      <c r="D1496" s="2" t="s">
        <v>216</v>
      </c>
      <c r="E1496" s="108">
        <v>1831</v>
      </c>
      <c r="F1496" s="129">
        <v>43971</v>
      </c>
      <c r="H1496" s="129">
        <v>44117</v>
      </c>
      <c r="I1496" s="108">
        <f t="shared" si="68"/>
        <v>1831</v>
      </c>
      <c r="J1496" s="108" t="str">
        <f>IF(Таблица97[[#This Row],[НК]]=1,Таблица97[[#This Row],[Продажа]],"")</f>
        <v/>
      </c>
      <c r="M1496" s="108">
        <v>1260</v>
      </c>
      <c r="N1496" s="108">
        <f>Таблица97[[#This Row],[Продажа]]-Таблица97[[#This Row],[Закупка]]</f>
        <v>571</v>
      </c>
      <c r="O1496" s="108" t="str">
        <f>IF(Таблица97[[#This Row],[НК]]=1,Таблица97[[#This Row],[Маржа]],"")</f>
        <v/>
      </c>
    </row>
    <row r="1497" spans="1:15" ht="20.100000000000001" customHeight="1" x14ac:dyDescent="0.25">
      <c r="A1497" s="2">
        <v>404</v>
      </c>
      <c r="B1497" s="2" t="str">
        <f>TEXT(Таблица97[[#This Row],[Дата]],"ГГ")&amp;RIGHT("000"&amp;Таблица97[[#This Row],[Номер]],4)</f>
        <v>200404</v>
      </c>
      <c r="C1497" s="129">
        <v>43966</v>
      </c>
      <c r="D1497" s="2" t="s">
        <v>209</v>
      </c>
      <c r="E1497" s="108">
        <v>7325</v>
      </c>
      <c r="F1497" s="129">
        <v>43972</v>
      </c>
      <c r="H1497" s="129">
        <v>43966</v>
      </c>
      <c r="I1497" s="108">
        <f t="shared" si="68"/>
        <v>7325</v>
      </c>
      <c r="J1497" s="108" t="str">
        <f>IF(Таблица97[[#This Row],[НК]]=1,Таблица97[[#This Row],[Продажа]],"")</f>
        <v/>
      </c>
      <c r="M1497" s="108">
        <v>2694</v>
      </c>
      <c r="N1497" s="108">
        <f>Таблица97[[#This Row],[Продажа]]-Таблица97[[#This Row],[Закупка]]</f>
        <v>4631</v>
      </c>
      <c r="O1497" s="108" t="str">
        <f>IF(Таблица97[[#This Row],[НК]]=1,Таблица97[[#This Row],[Маржа]],"")</f>
        <v/>
      </c>
    </row>
    <row r="1498" spans="1:15" ht="20.100000000000001" customHeight="1" x14ac:dyDescent="0.25">
      <c r="A1498" s="2">
        <v>296</v>
      </c>
      <c r="B1498" s="2" t="str">
        <f>TEXT(Таблица97[[#This Row],[Дата]],"ГГ")&amp;RIGHT("000"&amp;Таблица97[[#This Row],[Номер]],4)</f>
        <v>200296</v>
      </c>
      <c r="C1498" s="129">
        <v>43935</v>
      </c>
      <c r="D1498" s="2" t="s">
        <v>433</v>
      </c>
      <c r="E1498" s="108">
        <v>7909</v>
      </c>
      <c r="F1498" s="129">
        <v>43973</v>
      </c>
      <c r="H1498" s="129">
        <v>43935</v>
      </c>
      <c r="I1498" s="108">
        <f t="shared" si="68"/>
        <v>7909</v>
      </c>
      <c r="J1498" s="108" t="str">
        <f>IF(Таблица97[[#This Row],[НК]]=1,Таблица97[[#This Row],[Продажа]],"")</f>
        <v/>
      </c>
      <c r="M1498" s="108">
        <v>5363</v>
      </c>
      <c r="N1498" s="108">
        <f>Таблица97[[#This Row],[Продажа]]-Таблица97[[#This Row],[Закупка]]</f>
        <v>2546</v>
      </c>
      <c r="O1498" s="108" t="str">
        <f>IF(Таблица97[[#This Row],[НК]]=1,Таблица97[[#This Row],[Маржа]],"")</f>
        <v/>
      </c>
    </row>
    <row r="1499" spans="1:15" ht="20.100000000000001" customHeight="1" x14ac:dyDescent="0.25">
      <c r="A1499" s="2">
        <v>61</v>
      </c>
      <c r="B1499" s="2" t="str">
        <f>TEXT(Таблица97[[#This Row],[Дата]],"ГГ")&amp;RIGHT("000"&amp;Таблица97[[#This Row],[Номер]],4)</f>
        <v>200061</v>
      </c>
      <c r="C1499" s="129">
        <v>43888</v>
      </c>
      <c r="D1499" s="2" t="s">
        <v>433</v>
      </c>
      <c r="E1499" s="108">
        <v>77077</v>
      </c>
      <c r="F1499" s="129">
        <v>43973</v>
      </c>
      <c r="H1499" s="129">
        <v>43935</v>
      </c>
      <c r="I1499" s="108">
        <v>13310</v>
      </c>
      <c r="J1499" s="108" t="str">
        <f>IF(Таблица97[[#This Row],[НК]]=1,Таблица97[[#This Row],[Продажа]],"")</f>
        <v/>
      </c>
      <c r="M1499" s="108">
        <v>11766</v>
      </c>
      <c r="N1499" s="108">
        <f>Таблица97[[#This Row],[Продажа]]-Таблица97[[#This Row],[Закупка]]</f>
        <v>1544</v>
      </c>
      <c r="O1499" s="108" t="str">
        <f>IF(Таблица97[[#This Row],[НК]]=1,Таблица97[[#This Row],[Маржа]],"")</f>
        <v/>
      </c>
    </row>
    <row r="1500" spans="1:15" ht="20.100000000000001" customHeight="1" x14ac:dyDescent="0.25">
      <c r="A1500" s="2">
        <v>212</v>
      </c>
      <c r="B1500" s="2" t="str">
        <f>TEXT(Таблица97[[#This Row],[Дата]],"ГГ")&amp;RIGHT("000"&amp;Таблица97[[#This Row],[Номер]],4)</f>
        <v>200212</v>
      </c>
      <c r="C1500" s="129">
        <v>43906</v>
      </c>
      <c r="D1500" s="2" t="s">
        <v>433</v>
      </c>
      <c r="E1500" s="108">
        <v>30894</v>
      </c>
      <c r="F1500" s="129">
        <v>43973</v>
      </c>
      <c r="H1500" s="129">
        <v>43938</v>
      </c>
      <c r="I1500" s="108">
        <f>E1500</f>
        <v>30894</v>
      </c>
      <c r="J1500" s="108" t="str">
        <f>IF(Таблица97[[#This Row],[НК]]=1,Таблица97[[#This Row],[Продажа]],"")</f>
        <v/>
      </c>
      <c r="L1500" s="108">
        <v>600</v>
      </c>
      <c r="M1500" s="108">
        <v>17218</v>
      </c>
      <c r="N1500" s="108">
        <f>Таблица97[[#This Row],[Продажа]]-Таблица97[[#This Row],[Закупка]]</f>
        <v>13676</v>
      </c>
      <c r="O1500" s="108" t="str">
        <f>IF(Таблица97[[#This Row],[НК]]=1,Таблица97[[#This Row],[Маржа]],"")</f>
        <v/>
      </c>
    </row>
    <row r="1501" spans="1:15" ht="20.100000000000001" customHeight="1" x14ac:dyDescent="0.25">
      <c r="A1501" s="2">
        <v>306</v>
      </c>
      <c r="B1501" s="2" t="str">
        <f>TEXT(Таблица97[[#This Row],[Дата]],"ГГ")&amp;RIGHT("000"&amp;Таблица97[[#This Row],[Номер]],4)</f>
        <v>200306</v>
      </c>
      <c r="C1501" s="129">
        <v>43938</v>
      </c>
      <c r="D1501" s="2" t="s">
        <v>433</v>
      </c>
      <c r="E1501" s="108">
        <v>104490</v>
      </c>
      <c r="F1501" s="129">
        <v>43978</v>
      </c>
      <c r="H1501" s="129">
        <v>43938</v>
      </c>
      <c r="I1501" s="108">
        <f>E1501</f>
        <v>104490</v>
      </c>
      <c r="J1501" s="108" t="str">
        <f>IF(Таблица97[[#This Row],[НК]]=1,Таблица97[[#This Row],[Продажа]],"")</f>
        <v/>
      </c>
      <c r="M1501" s="108">
        <v>76737</v>
      </c>
      <c r="N1501" s="108">
        <f>Таблица97[[#This Row],[Продажа]]-Таблица97[[#This Row],[Закупка]]</f>
        <v>27753</v>
      </c>
      <c r="O1501" s="108" t="str">
        <f>IF(Таблица97[[#This Row],[НК]]=1,Таблица97[[#This Row],[Маржа]],"")</f>
        <v/>
      </c>
    </row>
    <row r="1502" spans="1:15" ht="20.100000000000001" customHeight="1" x14ac:dyDescent="0.25">
      <c r="A1502" s="2">
        <v>371</v>
      </c>
      <c r="B1502" s="2" t="str">
        <f>TEXT(Таблица97[[#This Row],[Дата]],"ГГ")&amp;RIGHT("000"&amp;Таблица97[[#This Row],[Номер]],4)</f>
        <v>200371</v>
      </c>
      <c r="C1502" s="129">
        <v>43957</v>
      </c>
      <c r="D1502" s="2" t="s">
        <v>228</v>
      </c>
      <c r="E1502" s="108">
        <v>49289</v>
      </c>
      <c r="F1502" s="129">
        <v>43979</v>
      </c>
      <c r="H1502" s="129">
        <v>43987</v>
      </c>
      <c r="I1502" s="108">
        <f>E1502</f>
        <v>49289</v>
      </c>
      <c r="J1502" s="108" t="str">
        <f>IF(Таблица97[[#This Row],[НК]]=1,Таблица97[[#This Row],[Продажа]],"")</f>
        <v/>
      </c>
      <c r="L1502" s="108">
        <v>1200</v>
      </c>
      <c r="M1502" s="108">
        <v>29299.4</v>
      </c>
      <c r="N1502" s="108">
        <f>Таблица97[[#This Row],[Продажа]]-Таблица97[[#This Row],[Закупка]]</f>
        <v>19989.599999999999</v>
      </c>
      <c r="O1502" s="108" t="str">
        <f>IF(Таблица97[[#This Row],[НК]]=1,Таблица97[[#This Row],[Маржа]],"")</f>
        <v/>
      </c>
    </row>
    <row r="1503" spans="1:15" ht="20.100000000000001" customHeight="1" x14ac:dyDescent="0.25">
      <c r="A1503" s="2">
        <v>428</v>
      </c>
      <c r="B1503" s="2" t="str">
        <f>TEXT(Таблица97[[#This Row],[Дата]],"ГГ")&amp;RIGHT("000"&amp;Таблица97[[#This Row],[Номер]],4)</f>
        <v>200428</v>
      </c>
      <c r="C1503" s="129">
        <v>43976</v>
      </c>
      <c r="D1503" s="2" t="s">
        <v>454</v>
      </c>
      <c r="E1503" s="108">
        <v>4682</v>
      </c>
      <c r="F1503" s="129">
        <v>43983</v>
      </c>
      <c r="H1503" s="129">
        <v>43976</v>
      </c>
      <c r="I1503" s="108">
        <f t="shared" ref="I1503:I1527" si="69">E1503</f>
        <v>4682</v>
      </c>
      <c r="J1503" s="108" t="str">
        <f>IF(Таблица97[[#This Row],[НК]]=1,Таблица97[[#This Row],[Продажа]],"")</f>
        <v/>
      </c>
      <c r="M1503" s="108">
        <v>3090</v>
      </c>
      <c r="N1503" s="108">
        <f>Таблица97[[#This Row],[Продажа]]-Таблица97[[#This Row],[Закупка]]</f>
        <v>1592</v>
      </c>
      <c r="O1503" s="108" t="str">
        <f>IF(Таблица97[[#This Row],[НК]]=1,Таблица97[[#This Row],[Маржа]],"")</f>
        <v/>
      </c>
    </row>
    <row r="1504" spans="1:15" ht="20.100000000000001" customHeight="1" x14ac:dyDescent="0.25">
      <c r="A1504" s="2">
        <v>367</v>
      </c>
      <c r="B1504" s="2" t="str">
        <f>TEXT(Таблица97[[#This Row],[Дата]],"ГГ")&amp;RIGHT("000"&amp;Таблица97[[#This Row],[Номер]],4)</f>
        <v>200367</v>
      </c>
      <c r="C1504" s="129">
        <v>43951</v>
      </c>
      <c r="D1504" s="2" t="s">
        <v>433</v>
      </c>
      <c r="E1504" s="108">
        <v>101966</v>
      </c>
      <c r="F1504" s="129">
        <v>43983</v>
      </c>
      <c r="H1504" s="129">
        <v>43951</v>
      </c>
      <c r="I1504" s="108">
        <f t="shared" si="69"/>
        <v>101966</v>
      </c>
      <c r="J1504" s="108" t="str">
        <f>IF(Таблица97[[#This Row],[НК]]=1,Таблица97[[#This Row],[Продажа]],"")</f>
        <v/>
      </c>
      <c r="M1504" s="108">
        <v>57743.25</v>
      </c>
      <c r="N1504" s="108">
        <f>Таблица97[[#This Row],[Продажа]]-Таблица97[[#This Row],[Закупка]]</f>
        <v>44222.75</v>
      </c>
      <c r="O1504" s="108" t="str">
        <f>IF(Таблица97[[#This Row],[НК]]=1,Таблица97[[#This Row],[Маржа]],"")</f>
        <v/>
      </c>
    </row>
    <row r="1505" spans="1:15" ht="20.100000000000001" customHeight="1" x14ac:dyDescent="0.25">
      <c r="A1505" s="2">
        <v>457</v>
      </c>
      <c r="B1505" s="2" t="str">
        <f>TEXT(Таблица97[[#This Row],[Дата]],"ГГ")&amp;RIGHT("000"&amp;Таблица97[[#This Row],[Номер]],4)</f>
        <v>200457</v>
      </c>
      <c r="C1505" s="129">
        <v>43980</v>
      </c>
      <c r="D1505" s="2" t="s">
        <v>437</v>
      </c>
      <c r="E1505" s="108">
        <v>9023</v>
      </c>
      <c r="F1505" s="129">
        <v>43983</v>
      </c>
      <c r="H1505" s="129">
        <v>43984</v>
      </c>
      <c r="I1505" s="108">
        <f t="shared" si="69"/>
        <v>9023</v>
      </c>
      <c r="J1505" s="108" t="str">
        <f>IF(Таблица97[[#This Row],[НК]]=1,Таблица97[[#This Row],[Продажа]],"")</f>
        <v/>
      </c>
      <c r="M1505" s="108">
        <v>6710</v>
      </c>
      <c r="N1505" s="108">
        <f>Таблица97[[#This Row],[Продажа]]-Таблица97[[#This Row],[Закупка]]</f>
        <v>2313</v>
      </c>
      <c r="O1505" s="108" t="str">
        <f>IF(Таблица97[[#This Row],[НК]]=1,Таблица97[[#This Row],[Маржа]],"")</f>
        <v/>
      </c>
    </row>
    <row r="1506" spans="1:15" ht="20.100000000000001" customHeight="1" x14ac:dyDescent="0.25">
      <c r="A1506" s="2">
        <v>435</v>
      </c>
      <c r="B1506" s="2" t="str">
        <f>TEXT(Таблица97[[#This Row],[Дата]],"ГГ")&amp;RIGHT("000"&amp;Таблица97[[#This Row],[Номер]],4)</f>
        <v>200435</v>
      </c>
      <c r="C1506" s="129">
        <v>43977</v>
      </c>
      <c r="D1506" s="2" t="s">
        <v>455</v>
      </c>
      <c r="E1506" s="108">
        <v>90882</v>
      </c>
      <c r="F1506" s="129">
        <v>43984</v>
      </c>
      <c r="G1506" s="128">
        <v>1</v>
      </c>
      <c r="H1506" s="129">
        <v>43991</v>
      </c>
      <c r="I1506" s="108">
        <f t="shared" si="69"/>
        <v>90882</v>
      </c>
      <c r="J1506" s="108">
        <f>IF(Таблица97[[#This Row],[НК]]=1,Таблица97[[#This Row],[Продажа]],"")</f>
        <v>90882</v>
      </c>
      <c r="L1506" s="108">
        <v>7200</v>
      </c>
      <c r="M1506" s="108">
        <v>53934</v>
      </c>
      <c r="N1506" s="108">
        <f>Таблица97[[#This Row],[Продажа]]-Таблица97[[#This Row],[Закупка]]</f>
        <v>36948</v>
      </c>
      <c r="O1506" s="108">
        <f>IF(Таблица97[[#This Row],[НК]]=1,Таблица97[[#This Row],[Маржа]],"")</f>
        <v>36948</v>
      </c>
    </row>
    <row r="1507" spans="1:15" ht="20.100000000000001" customHeight="1" x14ac:dyDescent="0.25">
      <c r="A1507" s="2">
        <v>293</v>
      </c>
      <c r="B1507" s="2" t="str">
        <f>TEXT(Таблица97[[#This Row],[Дата]],"ГГ")&amp;RIGHT("000"&amp;Таблица97[[#This Row],[Номер]],4)</f>
        <v>200293</v>
      </c>
      <c r="C1507" s="129">
        <v>43946</v>
      </c>
      <c r="D1507" s="2" t="s">
        <v>69</v>
      </c>
      <c r="E1507" s="108">
        <v>56490</v>
      </c>
      <c r="F1507" s="129">
        <v>43985</v>
      </c>
      <c r="H1507" s="129">
        <v>43992</v>
      </c>
      <c r="I1507" s="108">
        <f t="shared" si="69"/>
        <v>56490</v>
      </c>
      <c r="J1507" s="108" t="str">
        <f>IF(Таблица97[[#This Row],[НК]]=1,Таблица97[[#This Row],[Продажа]],"")</f>
        <v/>
      </c>
      <c r="M1507" s="108">
        <v>36712.65</v>
      </c>
      <c r="N1507" s="108">
        <f>Таблица97[[#This Row],[Продажа]]-Таблица97[[#This Row],[Закупка]]</f>
        <v>19777.349999999999</v>
      </c>
      <c r="O1507" s="108" t="str">
        <f>IF(Таблица97[[#This Row],[НК]]=1,Таблица97[[#This Row],[Маржа]],"")</f>
        <v/>
      </c>
    </row>
    <row r="1508" spans="1:15" ht="20.100000000000001" customHeight="1" x14ac:dyDescent="0.25">
      <c r="A1508" s="2">
        <v>399</v>
      </c>
      <c r="B1508" s="2" t="str">
        <f>TEXT(Таблица97[[#This Row],[Дата]],"ГГ")&amp;RIGHT("000"&amp;Таблица97[[#This Row],[Номер]],4)</f>
        <v>200399</v>
      </c>
      <c r="C1508" s="129">
        <v>43985</v>
      </c>
      <c r="D1508" s="2" t="s">
        <v>270</v>
      </c>
      <c r="E1508" s="108">
        <v>4905</v>
      </c>
      <c r="F1508" s="129">
        <v>43986</v>
      </c>
      <c r="H1508" s="129">
        <v>44014</v>
      </c>
      <c r="I1508" s="108">
        <f t="shared" si="69"/>
        <v>4905</v>
      </c>
      <c r="J1508" s="108" t="str">
        <f>IF(Таблица97[[#This Row],[НК]]=1,Таблица97[[#This Row],[Продажа]],"")</f>
        <v/>
      </c>
      <c r="M1508" s="108">
        <v>3826</v>
      </c>
      <c r="N1508" s="108">
        <f>Таблица97[[#This Row],[Продажа]]-Таблица97[[#This Row],[Закупка]]</f>
        <v>1079</v>
      </c>
      <c r="O1508" s="108" t="str">
        <f>IF(Таблица97[[#This Row],[НК]]=1,Таблица97[[#This Row],[Маржа]],"")</f>
        <v/>
      </c>
    </row>
    <row r="1509" spans="1:15" ht="20.100000000000001" customHeight="1" x14ac:dyDescent="0.25">
      <c r="A1509" s="2">
        <v>324</v>
      </c>
      <c r="B1509" s="2" t="str">
        <f>TEXT(Таблица97[[#This Row],[Дата]],"ГГ")&amp;RIGHT("000"&amp;Таблица97[[#This Row],[Номер]],4)</f>
        <v>200324</v>
      </c>
      <c r="C1509" s="129">
        <v>43949</v>
      </c>
      <c r="D1509" s="2" t="s">
        <v>56</v>
      </c>
      <c r="E1509" s="108">
        <v>204290</v>
      </c>
      <c r="F1509" s="129">
        <v>43990</v>
      </c>
      <c r="H1509" s="129">
        <v>43971</v>
      </c>
      <c r="I1509" s="108">
        <f t="shared" si="69"/>
        <v>204290</v>
      </c>
      <c r="J1509" s="108" t="str">
        <f>IF(Таблица97[[#This Row],[НК]]=1,Таблица97[[#This Row],[Продажа]],"")</f>
        <v/>
      </c>
      <c r="L1509" s="108">
        <v>3000</v>
      </c>
      <c r="M1509" s="108">
        <v>134402.5</v>
      </c>
      <c r="N1509" s="108">
        <f>Таблица97[[#This Row],[Продажа]]-Таблица97[[#This Row],[Закупка]]</f>
        <v>69887.5</v>
      </c>
      <c r="O1509" s="108" t="str">
        <f>IF(Таблица97[[#This Row],[НК]]=1,Таблица97[[#This Row],[Маржа]],"")</f>
        <v/>
      </c>
    </row>
    <row r="1510" spans="1:15" ht="20.100000000000001" customHeight="1" x14ac:dyDescent="0.25">
      <c r="A1510" s="2">
        <v>488</v>
      </c>
      <c r="B1510" s="2" t="str">
        <f>TEXT(Таблица97[[#This Row],[Дата]],"ГГ")&amp;RIGHT("000"&amp;Таблица97[[#This Row],[Номер]],4)</f>
        <v>200488</v>
      </c>
      <c r="C1510" s="129">
        <v>43987</v>
      </c>
      <c r="D1510" s="2" t="s">
        <v>456</v>
      </c>
      <c r="E1510" s="108">
        <v>71693</v>
      </c>
      <c r="F1510" s="129">
        <v>43990</v>
      </c>
      <c r="G1510" s="128">
        <v>1</v>
      </c>
      <c r="H1510" s="129">
        <v>43990</v>
      </c>
      <c r="I1510" s="108">
        <f t="shared" si="69"/>
        <v>71693</v>
      </c>
      <c r="J1510" s="108">
        <f>IF(Таблица97[[#This Row],[НК]]=1,Таблица97[[#This Row],[Продажа]],"")</f>
        <v>71693</v>
      </c>
      <c r="M1510" s="108">
        <v>47522</v>
      </c>
      <c r="N1510" s="108">
        <f>Таблица97[[#This Row],[Продажа]]-Таблица97[[#This Row],[Закупка]]</f>
        <v>24171</v>
      </c>
      <c r="O1510" s="108">
        <f>IF(Таблица97[[#This Row],[НК]]=1,Таблица97[[#This Row],[Маржа]],"")</f>
        <v>24171</v>
      </c>
    </row>
    <row r="1511" spans="1:15" ht="20.100000000000001" customHeight="1" x14ac:dyDescent="0.25">
      <c r="A1511" s="2">
        <v>488</v>
      </c>
      <c r="B1511" s="2" t="str">
        <f>TEXT(Таблица97[[#This Row],[Дата]],"ГГ")&amp;RIGHT("000"&amp;Таблица97[[#This Row],[Номер]],4)</f>
        <v>200488</v>
      </c>
      <c r="C1511" s="129">
        <v>43990</v>
      </c>
      <c r="D1511" s="2" t="s">
        <v>182</v>
      </c>
      <c r="E1511" s="108">
        <v>38990</v>
      </c>
      <c r="F1511" s="129">
        <v>43990</v>
      </c>
      <c r="H1511" s="129">
        <v>43991</v>
      </c>
      <c r="I1511" s="108">
        <f t="shared" si="69"/>
        <v>38990</v>
      </c>
      <c r="J1511" s="108" t="str">
        <f>IF(Таблица97[[#This Row],[НК]]=1,Таблица97[[#This Row],[Продажа]],"")</f>
        <v/>
      </c>
      <c r="M1511" s="108">
        <v>28567</v>
      </c>
      <c r="N1511" s="108">
        <f>Таблица97[[#This Row],[Продажа]]-Таблица97[[#This Row],[Закупка]]</f>
        <v>10423</v>
      </c>
      <c r="O1511" s="108" t="str">
        <f>IF(Таблица97[[#This Row],[НК]]=1,Таблица97[[#This Row],[Маржа]],"")</f>
        <v/>
      </c>
    </row>
    <row r="1512" spans="1:15" ht="20.100000000000001" customHeight="1" x14ac:dyDescent="0.25">
      <c r="A1512" s="2">
        <v>475</v>
      </c>
      <c r="B1512" s="2" t="str">
        <f>TEXT(Таблица97[[#This Row],[Дата]],"ГГ")&amp;RIGHT("000"&amp;Таблица97[[#This Row],[Номер]],4)</f>
        <v>200475</v>
      </c>
      <c r="C1512" s="129">
        <v>43985</v>
      </c>
      <c r="D1512" s="2" t="s">
        <v>217</v>
      </c>
      <c r="E1512" s="108">
        <v>9904</v>
      </c>
      <c r="F1512" s="129">
        <v>43990</v>
      </c>
      <c r="H1512" s="129">
        <v>43991</v>
      </c>
      <c r="I1512" s="108">
        <f t="shared" si="69"/>
        <v>9904</v>
      </c>
      <c r="J1512" s="108" t="str">
        <f>IF(Таблица97[[#This Row],[НК]]=1,Таблица97[[#This Row],[Продажа]],"")</f>
        <v/>
      </c>
      <c r="M1512" s="108">
        <v>7724</v>
      </c>
      <c r="N1512" s="108">
        <f>Таблица97[[#This Row],[Продажа]]-Таблица97[[#This Row],[Закупка]]</f>
        <v>2180</v>
      </c>
      <c r="O1512" s="108" t="str">
        <f>IF(Таблица97[[#This Row],[НК]]=1,Таблица97[[#This Row],[Маржа]],"")</f>
        <v/>
      </c>
    </row>
    <row r="1513" spans="1:15" ht="20.100000000000001" customHeight="1" x14ac:dyDescent="0.25">
      <c r="A1513" s="2">
        <v>445</v>
      </c>
      <c r="B1513" s="2" t="str">
        <f>TEXT(Таблица97[[#This Row],[Дата]],"ГГ")&amp;RIGHT("000"&amp;Таблица97[[#This Row],[Номер]],4)</f>
        <v>200445</v>
      </c>
      <c r="C1513" s="129">
        <v>43979</v>
      </c>
      <c r="D1513" s="2" t="s">
        <v>13</v>
      </c>
      <c r="E1513" s="108">
        <v>4203</v>
      </c>
      <c r="F1513" s="129">
        <v>43990</v>
      </c>
      <c r="H1513" s="129">
        <v>43993</v>
      </c>
      <c r="I1513" s="108">
        <f t="shared" si="69"/>
        <v>4203</v>
      </c>
      <c r="J1513" s="108" t="str">
        <f>IF(Таблица97[[#This Row],[НК]]=1,Таблица97[[#This Row],[Продажа]],"")</f>
        <v/>
      </c>
      <c r="M1513" s="108">
        <v>2950</v>
      </c>
      <c r="N1513" s="108">
        <f>Таблица97[[#This Row],[Продажа]]-Таблица97[[#This Row],[Закупка]]</f>
        <v>1253</v>
      </c>
      <c r="O1513" s="108" t="str">
        <f>IF(Таблица97[[#This Row],[НК]]=1,Таблица97[[#This Row],[Маржа]],"")</f>
        <v/>
      </c>
    </row>
    <row r="1514" spans="1:15" ht="20.100000000000001" customHeight="1" x14ac:dyDescent="0.25">
      <c r="A1514" s="2">
        <v>479</v>
      </c>
      <c r="B1514" s="2" t="str">
        <f>TEXT(Таблица97[[#This Row],[Дата]],"ГГ")&amp;RIGHT("000"&amp;Таблица97[[#This Row],[Номер]],4)</f>
        <v>200479</v>
      </c>
      <c r="C1514" s="129">
        <v>43986</v>
      </c>
      <c r="D1514" s="2" t="s">
        <v>33</v>
      </c>
      <c r="E1514" s="108">
        <v>1536</v>
      </c>
      <c r="F1514" s="129">
        <v>43990</v>
      </c>
      <c r="H1514" s="129">
        <v>44011</v>
      </c>
      <c r="I1514" s="108">
        <f t="shared" si="69"/>
        <v>1536</v>
      </c>
      <c r="J1514" s="108" t="str">
        <f>IF(Таблица97[[#This Row],[НК]]=1,Таблица97[[#This Row],[Продажа]],"")</f>
        <v/>
      </c>
      <c r="M1514" s="108">
        <v>1180</v>
      </c>
      <c r="N1514" s="108">
        <f>Таблица97[[#This Row],[Продажа]]-Таблица97[[#This Row],[Закупка]]</f>
        <v>356</v>
      </c>
      <c r="O1514" s="108" t="str">
        <f>IF(Таблица97[[#This Row],[НК]]=1,Таблица97[[#This Row],[Маржа]],"")</f>
        <v/>
      </c>
    </row>
    <row r="1515" spans="1:15" ht="20.100000000000001" customHeight="1" x14ac:dyDescent="0.25">
      <c r="A1515" s="2">
        <v>498</v>
      </c>
      <c r="B1515" s="2" t="str">
        <f>TEXT(Таблица97[[#This Row],[Дата]],"ГГ")&amp;RIGHT("000"&amp;Таблица97[[#This Row],[Номер]],4)</f>
        <v>200498</v>
      </c>
      <c r="C1515" s="129">
        <v>43991</v>
      </c>
      <c r="D1515" s="2" t="s">
        <v>457</v>
      </c>
      <c r="E1515" s="108">
        <v>38990</v>
      </c>
      <c r="F1515" s="129">
        <v>43991</v>
      </c>
      <c r="G1515" s="128">
        <v>1</v>
      </c>
      <c r="H1515" s="129">
        <v>43993</v>
      </c>
      <c r="I1515" s="108">
        <f t="shared" si="69"/>
        <v>38990</v>
      </c>
      <c r="J1515" s="108">
        <f>IF(Таблица97[[#This Row],[НК]]=1,Таблица97[[#This Row],[Продажа]],"")</f>
        <v>38990</v>
      </c>
      <c r="M1515" s="108">
        <v>28567</v>
      </c>
      <c r="N1515" s="108">
        <f>Таблица97[[#This Row],[Продажа]]-Таблица97[[#This Row],[Закупка]]</f>
        <v>10423</v>
      </c>
      <c r="O1515" s="108">
        <f>IF(Таблица97[[#This Row],[НК]]=1,Таблица97[[#This Row],[Маржа]],"")</f>
        <v>10423</v>
      </c>
    </row>
    <row r="1516" spans="1:15" ht="20.100000000000001" customHeight="1" x14ac:dyDescent="0.25">
      <c r="A1516" s="2">
        <v>512</v>
      </c>
      <c r="B1516" s="2" t="str">
        <f>TEXT(Таблица97[[#This Row],[Дата]],"ГГ")&amp;RIGHT("000"&amp;Таблица97[[#This Row],[Номер]],4)</f>
        <v>200512</v>
      </c>
      <c r="C1516" s="129">
        <v>43992</v>
      </c>
      <c r="D1516" s="2" t="s">
        <v>166</v>
      </c>
      <c r="E1516" s="108">
        <v>53665.5</v>
      </c>
      <c r="F1516" s="129">
        <v>43998</v>
      </c>
      <c r="H1516" s="129">
        <v>44032</v>
      </c>
      <c r="I1516" s="108">
        <f t="shared" si="69"/>
        <v>53665.5</v>
      </c>
      <c r="J1516" s="108" t="str">
        <f>IF(Таблица97[[#This Row],[НК]]=1,Таблица97[[#This Row],[Продажа]],"")</f>
        <v/>
      </c>
      <c r="M1516" s="108">
        <v>36712.65</v>
      </c>
      <c r="N1516" s="108">
        <f>Таблица97[[#This Row],[Продажа]]-Таблица97[[#This Row],[Закупка]]</f>
        <v>16952.849999999999</v>
      </c>
      <c r="O1516" s="108" t="str">
        <f>IF(Таблица97[[#This Row],[НК]]=1,Таблица97[[#This Row],[Маржа]],"")</f>
        <v/>
      </c>
    </row>
    <row r="1517" spans="1:15" ht="20.100000000000001" customHeight="1" x14ac:dyDescent="0.25">
      <c r="A1517" s="2">
        <v>485</v>
      </c>
      <c r="B1517" s="2" t="str">
        <f>TEXT(Таблица97[[#This Row],[Дата]],"ГГ")&amp;RIGHT("000"&amp;Таблица97[[#This Row],[Номер]],4)</f>
        <v>200485</v>
      </c>
      <c r="C1517" s="129">
        <v>43987</v>
      </c>
      <c r="D1517" s="2" t="s">
        <v>265</v>
      </c>
      <c r="E1517" s="108">
        <v>2020</v>
      </c>
      <c r="F1517" s="129">
        <v>43998</v>
      </c>
      <c r="H1517" s="129">
        <v>44123</v>
      </c>
      <c r="I1517" s="108">
        <f t="shared" si="69"/>
        <v>2020</v>
      </c>
      <c r="J1517" s="108" t="str">
        <f>IF(Таблица97[[#This Row],[НК]]=1,Таблица97[[#This Row],[Продажа]],"")</f>
        <v/>
      </c>
      <c r="M1517" s="108">
        <v>1316</v>
      </c>
      <c r="N1517" s="108">
        <f>Таблица97[[#This Row],[Продажа]]-Таблица97[[#This Row],[Закупка]]</f>
        <v>704</v>
      </c>
      <c r="O1517" s="108" t="str">
        <f>IF(Таблица97[[#This Row],[НК]]=1,Таблица97[[#This Row],[Маржа]],"")</f>
        <v/>
      </c>
    </row>
    <row r="1518" spans="1:15" ht="20.100000000000001" customHeight="1" x14ac:dyDescent="0.25">
      <c r="A1518" s="2">
        <v>521</v>
      </c>
      <c r="B1518" s="2" t="str">
        <f>TEXT(Таблица97[[#This Row],[Дата]],"ГГ")&amp;RIGHT("000"&amp;Таблица97[[#This Row],[Номер]],4)</f>
        <v>200521</v>
      </c>
      <c r="C1518" s="129">
        <v>43993</v>
      </c>
      <c r="D1518" s="2" t="s">
        <v>392</v>
      </c>
      <c r="E1518" s="108">
        <v>17456</v>
      </c>
      <c r="F1518" s="129">
        <v>44000</v>
      </c>
      <c r="H1518" s="129">
        <v>44014</v>
      </c>
      <c r="I1518" s="108">
        <f t="shared" si="69"/>
        <v>17456</v>
      </c>
      <c r="J1518" s="108" t="str">
        <f>IF(Таблица97[[#This Row],[НК]]=1,Таблица97[[#This Row],[Продажа]],"")</f>
        <v/>
      </c>
      <c r="M1518" s="108">
        <v>13614</v>
      </c>
      <c r="N1518" s="108">
        <f>Таблица97[[#This Row],[Продажа]]-Таблица97[[#This Row],[Закупка]]</f>
        <v>3842</v>
      </c>
      <c r="O1518" s="108" t="str">
        <f>IF(Таблица97[[#This Row],[НК]]=1,Таблица97[[#This Row],[Маржа]],"")</f>
        <v/>
      </c>
    </row>
    <row r="1519" spans="1:15" ht="20.100000000000001" customHeight="1" x14ac:dyDescent="0.25">
      <c r="A1519" s="2">
        <v>295</v>
      </c>
      <c r="B1519" s="2" t="str">
        <f>TEXT(Таблица97[[#This Row],[Дата]],"ГГ")&amp;RIGHT("000"&amp;Таблица97[[#This Row],[Номер]],4)</f>
        <v>200295</v>
      </c>
      <c r="C1519" s="129">
        <v>43935</v>
      </c>
      <c r="D1519" s="2" t="s">
        <v>99</v>
      </c>
      <c r="E1519" s="108">
        <v>259378</v>
      </c>
      <c r="F1519" s="129">
        <v>44000</v>
      </c>
      <c r="H1519" s="129">
        <v>43971</v>
      </c>
      <c r="I1519" s="108">
        <f t="shared" si="69"/>
        <v>259378</v>
      </c>
      <c r="J1519" s="108" t="str">
        <f>IF(Таблица97[[#This Row],[НК]]=1,Таблица97[[#This Row],[Продажа]],"")</f>
        <v/>
      </c>
      <c r="K1519" s="108">
        <v>30000</v>
      </c>
      <c r="L1519" s="108">
        <f>10*600</f>
        <v>6000</v>
      </c>
      <c r="M1519" s="108">
        <v>124329</v>
      </c>
      <c r="N1519" s="108">
        <f>Таблица97[[#This Row],[Продажа]]-Таблица97[[#This Row],[Закупка]]</f>
        <v>135049</v>
      </c>
      <c r="O1519" s="108" t="str">
        <f>IF(Таблица97[[#This Row],[НК]]=1,Таблица97[[#This Row],[Маржа]],"")</f>
        <v/>
      </c>
    </row>
    <row r="1520" spans="1:15" ht="20.100000000000001" customHeight="1" x14ac:dyDescent="0.25">
      <c r="A1520" s="2">
        <v>351</v>
      </c>
      <c r="B1520" s="2" t="str">
        <f>TEXT(Таблица97[[#This Row],[Дата]],"ГГ")&amp;RIGHT("000"&amp;Таблица97[[#This Row],[Номер]],4)</f>
        <v>200351</v>
      </c>
      <c r="C1520" s="129">
        <v>43950</v>
      </c>
      <c r="D1520" s="2" t="s">
        <v>99</v>
      </c>
      <c r="E1520" s="108">
        <v>212603</v>
      </c>
      <c r="F1520" s="129">
        <v>44000</v>
      </c>
      <c r="H1520" s="129">
        <v>43971</v>
      </c>
      <c r="I1520" s="108">
        <f t="shared" si="69"/>
        <v>212603</v>
      </c>
      <c r="J1520" s="108" t="str">
        <f>IF(Таблица97[[#This Row],[НК]]=1,Таблица97[[#This Row],[Продажа]],"")</f>
        <v/>
      </c>
      <c r="K1520" s="108">
        <v>12000</v>
      </c>
      <c r="L1520" s="108">
        <v>2400</v>
      </c>
      <c r="M1520" s="108">
        <v>127987.8</v>
      </c>
      <c r="N1520" s="108">
        <f>Таблица97[[#This Row],[Продажа]]-Таблица97[[#This Row],[Закупка]]</f>
        <v>84615.2</v>
      </c>
      <c r="O1520" s="108" t="str">
        <f>IF(Таблица97[[#This Row],[НК]]=1,Таблица97[[#This Row],[Маржа]],"")</f>
        <v/>
      </c>
    </row>
    <row r="1521" spans="1:15" ht="20.100000000000001" customHeight="1" x14ac:dyDescent="0.25">
      <c r="A1521" s="2">
        <v>542</v>
      </c>
      <c r="B1521" s="2" t="str">
        <f>TEXT(Таблица97[[#This Row],[Дата]],"ГГ")&amp;RIGHT("000"&amp;Таблица97[[#This Row],[Номер]],4)</f>
        <v>200542</v>
      </c>
      <c r="C1521" s="129">
        <v>43999</v>
      </c>
      <c r="D1521" s="2" t="s">
        <v>403</v>
      </c>
      <c r="E1521" s="108">
        <v>6218</v>
      </c>
      <c r="F1521" s="129">
        <v>44004</v>
      </c>
      <c r="H1521" s="129">
        <v>44007</v>
      </c>
      <c r="I1521" s="108">
        <f t="shared" si="69"/>
        <v>6218</v>
      </c>
      <c r="J1521" s="108" t="str">
        <f>IF(Таблица97[[#This Row],[НК]]=1,Таблица97[[#This Row],[Продажа]],"")</f>
        <v/>
      </c>
      <c r="M1521" s="108">
        <v>4787</v>
      </c>
      <c r="N1521" s="108">
        <f>Таблица97[[#This Row],[Продажа]]-Таблица97[[#This Row],[Закупка]]</f>
        <v>1431</v>
      </c>
      <c r="O1521" s="108" t="str">
        <f>IF(Таблица97[[#This Row],[НК]]=1,Таблица97[[#This Row],[Маржа]],"")</f>
        <v/>
      </c>
    </row>
    <row r="1522" spans="1:15" ht="20.100000000000001" customHeight="1" x14ac:dyDescent="0.25">
      <c r="A1522" s="2">
        <v>569</v>
      </c>
      <c r="B1522" s="2" t="str">
        <f>TEXT(Таблица97[[#This Row],[Дата]],"ГГ")&amp;RIGHT("000"&amp;Таблица97[[#This Row],[Номер]],4)</f>
        <v>200569</v>
      </c>
      <c r="C1522" s="129">
        <v>44007</v>
      </c>
      <c r="D1522" s="2" t="s">
        <v>179</v>
      </c>
      <c r="E1522" s="108">
        <v>21171</v>
      </c>
      <c r="F1522" s="129">
        <v>43977</v>
      </c>
      <c r="H1522" s="129">
        <v>44011</v>
      </c>
      <c r="I1522" s="108">
        <f t="shared" si="69"/>
        <v>21171</v>
      </c>
      <c r="J1522" s="108" t="str">
        <f>IF(Таблица97[[#This Row],[НК]]=1,Таблица97[[#This Row],[Продажа]],"")</f>
        <v/>
      </c>
      <c r="M1522" s="108">
        <v>14489</v>
      </c>
      <c r="N1522" s="108">
        <f>Таблица97[[#This Row],[Продажа]]-Таблица97[[#This Row],[Закупка]]</f>
        <v>6682</v>
      </c>
      <c r="O1522" s="108" t="str">
        <f>IF(Таблица97[[#This Row],[НК]]=1,Таблица97[[#This Row],[Маржа]],"")</f>
        <v/>
      </c>
    </row>
    <row r="1523" spans="1:15" ht="20.100000000000001" customHeight="1" x14ac:dyDescent="0.25">
      <c r="A1523" s="2">
        <v>481</v>
      </c>
      <c r="B1523" s="2" t="str">
        <f>TEXT(Таблица97[[#This Row],[Дата]],"ГГ")&amp;RIGHT("000"&amp;Таблица97[[#This Row],[Номер]],4)</f>
        <v>200481</v>
      </c>
      <c r="C1523" s="129">
        <v>43986</v>
      </c>
      <c r="D1523" s="2" t="s">
        <v>56</v>
      </c>
      <c r="E1523" s="108">
        <v>71718</v>
      </c>
      <c r="F1523" s="129">
        <v>44011</v>
      </c>
      <c r="H1523" s="129">
        <v>43992</v>
      </c>
      <c r="I1523" s="108">
        <f t="shared" si="69"/>
        <v>71718</v>
      </c>
      <c r="J1523" s="108" t="str">
        <f>IF(Таблица97[[#This Row],[НК]]=1,Таблица97[[#This Row],[Продажа]],"")</f>
        <v/>
      </c>
      <c r="L1523" s="108">
        <v>3000</v>
      </c>
      <c r="M1523" s="108">
        <v>46820.5</v>
      </c>
      <c r="N1523" s="108">
        <f>Таблица97[[#This Row],[Продажа]]-Таблица97[[#This Row],[Закупка]]</f>
        <v>24897.5</v>
      </c>
      <c r="O1523" s="108" t="str">
        <f>IF(Таблица97[[#This Row],[НК]]=1,Таблица97[[#This Row],[Маржа]],"")</f>
        <v/>
      </c>
    </row>
    <row r="1524" spans="1:15" ht="20.100000000000001" customHeight="1" x14ac:dyDescent="0.25">
      <c r="A1524" s="2">
        <v>572</v>
      </c>
      <c r="B1524" s="2" t="str">
        <f>TEXT(Таблица97[[#This Row],[Дата]],"ГГ")&amp;RIGHT("000"&amp;Таблица97[[#This Row],[Номер]],4)</f>
        <v>200572</v>
      </c>
      <c r="C1524" s="129">
        <v>44011</v>
      </c>
      <c r="D1524" s="2" t="s">
        <v>281</v>
      </c>
      <c r="E1524" s="108">
        <v>4325</v>
      </c>
      <c r="F1524" s="129">
        <v>44011</v>
      </c>
      <c r="H1524" s="129">
        <v>44012</v>
      </c>
      <c r="I1524" s="108">
        <f t="shared" si="69"/>
        <v>4325</v>
      </c>
      <c r="J1524" s="108" t="str">
        <f>IF(Таблица97[[#This Row],[НК]]=1,Таблица97[[#This Row],[Продажа]],"")</f>
        <v/>
      </c>
      <c r="M1524" s="108">
        <v>2943</v>
      </c>
      <c r="N1524" s="108">
        <f>Таблица97[[#This Row],[Продажа]]-Таблица97[[#This Row],[Закупка]]</f>
        <v>1382</v>
      </c>
      <c r="O1524" s="108" t="str">
        <f>IF(Таблица97[[#This Row],[НК]]=1,Таблица97[[#This Row],[Маржа]],"")</f>
        <v/>
      </c>
    </row>
    <row r="1525" spans="1:15" ht="20.100000000000001" customHeight="1" x14ac:dyDescent="0.25">
      <c r="A1525" s="2">
        <v>581</v>
      </c>
      <c r="B1525" s="2" t="str">
        <f>TEXT(Таблица97[[#This Row],[Дата]],"ГГ")&amp;RIGHT("000"&amp;Таблица97[[#This Row],[Номер]],4)</f>
        <v>200581</v>
      </c>
      <c r="C1525" s="129">
        <v>44011</v>
      </c>
      <c r="D1525" s="2" t="s">
        <v>458</v>
      </c>
      <c r="E1525" s="108">
        <v>2824</v>
      </c>
      <c r="F1525" s="129">
        <v>44012</v>
      </c>
      <c r="G1525" s="128">
        <v>1</v>
      </c>
      <c r="H1525" s="129">
        <v>44029</v>
      </c>
      <c r="I1525" s="108">
        <f t="shared" si="69"/>
        <v>2824</v>
      </c>
      <c r="J1525" s="108">
        <f>IF(Таблица97[[#This Row],[НК]]=1,Таблица97[[#This Row],[Продажа]],"")</f>
        <v>2824</v>
      </c>
      <c r="M1525" s="108">
        <v>1864</v>
      </c>
      <c r="N1525" s="108">
        <f>Таблица97[[#This Row],[Продажа]]-Таблица97[[#This Row],[Закупка]]</f>
        <v>960</v>
      </c>
      <c r="O1525" s="108">
        <f>IF(Таблица97[[#This Row],[НК]]=1,Таблица97[[#This Row],[Маржа]],"")</f>
        <v>960</v>
      </c>
    </row>
    <row r="1526" spans="1:15" ht="20.100000000000001" customHeight="1" x14ac:dyDescent="0.25">
      <c r="A1526" s="2">
        <v>585</v>
      </c>
      <c r="B1526" s="2" t="str">
        <f>TEXT(Таблица97[[#This Row],[Дата]],"ГГ")&amp;RIGHT("000"&amp;Таблица97[[#This Row],[Номер]],4)</f>
        <v>200585</v>
      </c>
      <c r="C1526" s="129">
        <v>44012</v>
      </c>
      <c r="D1526" s="2" t="s">
        <v>459</v>
      </c>
      <c r="E1526" s="108">
        <v>22490</v>
      </c>
      <c r="F1526" s="129">
        <v>44012</v>
      </c>
      <c r="G1526" s="128">
        <v>1</v>
      </c>
      <c r="H1526" s="129">
        <v>44019</v>
      </c>
      <c r="I1526" s="108">
        <f t="shared" si="69"/>
        <v>22490</v>
      </c>
      <c r="J1526" s="108">
        <f>IF(Таблица97[[#This Row],[НК]]=1,Таблица97[[#This Row],[Продажа]],"")</f>
        <v>22490</v>
      </c>
      <c r="M1526" s="108">
        <v>16530</v>
      </c>
      <c r="N1526" s="108">
        <f>Таблица97[[#This Row],[Продажа]]-Таблица97[[#This Row],[Закупка]]</f>
        <v>5960</v>
      </c>
      <c r="O1526" s="108">
        <f>IF(Таблица97[[#This Row],[НК]]=1,Таблица97[[#This Row],[Маржа]],"")</f>
        <v>5960</v>
      </c>
    </row>
    <row r="1527" spans="1:15" ht="20.100000000000001" customHeight="1" x14ac:dyDescent="0.25">
      <c r="A1527" s="2">
        <v>586</v>
      </c>
      <c r="B1527" s="2" t="str">
        <f>TEXT(Таблица97[[#This Row],[Дата]],"ГГ")&amp;RIGHT("000"&amp;Таблица97[[#This Row],[Номер]],4)</f>
        <v>200586</v>
      </c>
      <c r="C1527" s="129">
        <v>44012</v>
      </c>
      <c r="D1527" s="2" t="s">
        <v>209</v>
      </c>
      <c r="E1527" s="108">
        <v>2301.8000000000002</v>
      </c>
      <c r="F1527" s="129">
        <v>44012</v>
      </c>
      <c r="H1527" s="129">
        <v>44016</v>
      </c>
      <c r="I1527" s="108">
        <f t="shared" si="69"/>
        <v>2301.8000000000002</v>
      </c>
      <c r="J1527" s="108" t="str">
        <f>IF(Таблица97[[#This Row],[НК]]=1,Таблица97[[#This Row],[Продажа]],"")</f>
        <v/>
      </c>
      <c r="M1527" s="108">
        <v>2112</v>
      </c>
      <c r="N1527" s="108">
        <f>Таблица97[[#This Row],[Продажа]]-Таблица97[[#This Row],[Закупка]]</f>
        <v>189.80000000000018</v>
      </c>
      <c r="O1527" s="108" t="str">
        <f>IF(Таблица97[[#This Row],[НК]]=1,Таблица97[[#This Row],[Маржа]],"")</f>
        <v/>
      </c>
    </row>
    <row r="1528" spans="1:15" ht="20.100000000000001" customHeight="1" x14ac:dyDescent="0.25">
      <c r="A1528" s="2">
        <v>567</v>
      </c>
      <c r="B1528" s="2" t="str">
        <f>TEXT(Таблица97[[#This Row],[Дата]],"ГГ")&amp;RIGHT("000"&amp;Таблица97[[#This Row],[Номер]],4)</f>
        <v>200567</v>
      </c>
      <c r="C1528" s="129">
        <v>44012</v>
      </c>
      <c r="D1528" s="2" t="s">
        <v>455</v>
      </c>
      <c r="E1528" s="108">
        <v>21290</v>
      </c>
      <c r="F1528" s="129">
        <v>44014</v>
      </c>
      <c r="H1528" s="129">
        <v>44032</v>
      </c>
      <c r="I1528" s="108">
        <f t="shared" ref="I1528:I1558" si="70">E1528</f>
        <v>21290</v>
      </c>
      <c r="J1528" s="108" t="str">
        <f>IF(Таблица97[[#This Row],[НК]]=1,Таблица97[[#This Row],[Продажа]],"")</f>
        <v/>
      </c>
      <c r="L1528" s="108">
        <f>1200*3</f>
        <v>3600</v>
      </c>
      <c r="M1528" s="108">
        <v>8104.64</v>
      </c>
      <c r="N1528" s="108">
        <f>Таблица97[[#This Row],[Продажа]]-Таблица97[[#This Row],[Закупка]]</f>
        <v>13185.36</v>
      </c>
      <c r="O1528" s="108" t="str">
        <f>IF(Таблица97[[#This Row],[НК]]=1,Таблица97[[#This Row],[Маржа]],"")</f>
        <v/>
      </c>
    </row>
    <row r="1529" spans="1:15" ht="20.100000000000001" customHeight="1" x14ac:dyDescent="0.25">
      <c r="A1529" s="2">
        <v>566</v>
      </c>
      <c r="B1529" s="2" t="str">
        <f>TEXT(Таблица97[[#This Row],[Дата]],"ГГ")&amp;RIGHT("000"&amp;Таблица97[[#This Row],[Номер]],4)</f>
        <v>200566</v>
      </c>
      <c r="C1529" s="129">
        <v>44007</v>
      </c>
      <c r="D1529" s="2" t="s">
        <v>83</v>
      </c>
      <c r="E1529" s="108">
        <v>60990</v>
      </c>
      <c r="F1529" s="129">
        <v>44015</v>
      </c>
      <c r="H1529" s="129">
        <v>44040</v>
      </c>
      <c r="I1529" s="108">
        <f t="shared" si="70"/>
        <v>60990</v>
      </c>
      <c r="J1529" s="108" t="str">
        <f>IF(Таблица97[[#This Row],[НК]]=1,Таблица97[[#This Row],[Продажа]],"")</f>
        <v/>
      </c>
      <c r="M1529" s="108">
        <v>44791</v>
      </c>
      <c r="N1529" s="108">
        <f>Таблица97[[#This Row],[Продажа]]-Таблица97[[#This Row],[Закупка]]</f>
        <v>16199</v>
      </c>
      <c r="O1529" s="108" t="str">
        <f>IF(Таблица97[[#This Row],[НК]]=1,Таблица97[[#This Row],[Маржа]],"")</f>
        <v/>
      </c>
    </row>
    <row r="1530" spans="1:15" ht="19.5" customHeight="1" x14ac:dyDescent="0.25">
      <c r="A1530" s="2">
        <v>349</v>
      </c>
      <c r="B1530" s="2" t="str">
        <f>TEXT(Таблица97[[#This Row],[Дата]],"ГГ")&amp;RIGHT("000"&amp;Таблица97[[#This Row],[Номер]],4)</f>
        <v>200349</v>
      </c>
      <c r="C1530" s="129">
        <v>43969</v>
      </c>
      <c r="D1530" s="2" t="s">
        <v>38</v>
      </c>
      <c r="E1530" s="108">
        <v>10577</v>
      </c>
      <c r="F1530" s="129">
        <v>44015</v>
      </c>
      <c r="H1530" s="129">
        <v>43984</v>
      </c>
      <c r="I1530" s="108">
        <f t="shared" si="70"/>
        <v>10577</v>
      </c>
      <c r="J1530" s="108" t="str">
        <f>IF(Таблица97[[#This Row],[НК]]=1,Таблица97[[#This Row],[Продажа]],"")</f>
        <v/>
      </c>
      <c r="M1530" s="108">
        <v>5154</v>
      </c>
      <c r="N1530" s="108">
        <f>Таблица97[[#This Row],[Продажа]]-Таблица97[[#This Row],[Закупка]]</f>
        <v>5423</v>
      </c>
      <c r="O1530" s="108" t="str">
        <f>IF(Таблица97[[#This Row],[НК]]=1,Таблица97[[#This Row],[Маржа]],"")</f>
        <v/>
      </c>
    </row>
    <row r="1531" spans="1:15" ht="20.100000000000001" customHeight="1" x14ac:dyDescent="0.25">
      <c r="A1531" s="2">
        <v>610</v>
      </c>
      <c r="B1531" s="2" t="str">
        <f>TEXT(Таблица97[[#This Row],[Дата]],"ГГ")&amp;RIGHT("000"&amp;Таблица97[[#This Row],[Номер]],4)</f>
        <v>200610</v>
      </c>
      <c r="C1531" s="129">
        <v>44015</v>
      </c>
      <c r="D1531" s="2" t="s">
        <v>437</v>
      </c>
      <c r="E1531" s="108">
        <v>741</v>
      </c>
      <c r="F1531" s="129">
        <v>44018</v>
      </c>
      <c r="H1531" s="129">
        <v>44015</v>
      </c>
      <c r="I1531" s="108">
        <f t="shared" si="70"/>
        <v>741</v>
      </c>
      <c r="J1531" s="108" t="str">
        <f>IF(Таблица97[[#This Row],[НК]]=1,Таблица97[[#This Row],[Продажа]],"")</f>
        <v/>
      </c>
      <c r="M1531" s="108">
        <v>489</v>
      </c>
      <c r="N1531" s="108">
        <f>Таблица97[[#This Row],[Продажа]]-Таблица97[[#This Row],[Закупка]]</f>
        <v>252</v>
      </c>
      <c r="O1531" s="108" t="str">
        <f>IF(Таблица97[[#This Row],[НК]]=1,Таблица97[[#This Row],[Маржа]],"")</f>
        <v/>
      </c>
    </row>
    <row r="1532" spans="1:15" ht="20.100000000000001" customHeight="1" x14ac:dyDescent="0.25">
      <c r="A1532" s="2">
        <v>350</v>
      </c>
      <c r="B1532" s="2" t="str">
        <f>TEXT(Таблица97[[#This Row],[Дата]],"ГГ")&amp;RIGHT("000"&amp;Таблица97[[#This Row],[Номер]],4)</f>
        <v>200350</v>
      </c>
      <c r="C1532" s="129">
        <v>43976</v>
      </c>
      <c r="D1532" s="2" t="s">
        <v>275</v>
      </c>
      <c r="E1532" s="108">
        <v>36256</v>
      </c>
      <c r="F1532" s="129">
        <v>44019</v>
      </c>
      <c r="H1532" s="129">
        <v>43991</v>
      </c>
      <c r="I1532" s="108">
        <f t="shared" si="70"/>
        <v>36256</v>
      </c>
      <c r="J1532" s="108" t="str">
        <f>IF(Таблица97[[#This Row],[НК]]=1,Таблица97[[#This Row],[Продажа]],"")</f>
        <v/>
      </c>
      <c r="M1532" s="108">
        <v>27133</v>
      </c>
      <c r="N1532" s="108">
        <f>Таблица97[[#This Row],[Продажа]]-Таблица97[[#This Row],[Закупка]]</f>
        <v>9123</v>
      </c>
      <c r="O1532" s="108" t="str">
        <f>IF(Таблица97[[#This Row],[НК]]=1,Таблица97[[#This Row],[Маржа]],"")</f>
        <v/>
      </c>
    </row>
    <row r="1533" spans="1:15" ht="20.100000000000001" customHeight="1" x14ac:dyDescent="0.25">
      <c r="A1533" s="2">
        <v>427</v>
      </c>
      <c r="B1533" s="2" t="str">
        <f>TEXT(Таблица97[[#This Row],[Дата]],"ГГ")&amp;RIGHT("000"&amp;Таблица97[[#This Row],[Номер]],4)</f>
        <v>200427</v>
      </c>
      <c r="C1533" s="129">
        <v>43976</v>
      </c>
      <c r="D1533" s="2" t="s">
        <v>228</v>
      </c>
      <c r="E1533" s="108">
        <v>38423</v>
      </c>
      <c r="F1533" s="129">
        <v>44019</v>
      </c>
      <c r="H1533" s="129">
        <v>44027</v>
      </c>
      <c r="I1533" s="108">
        <f t="shared" si="70"/>
        <v>38423</v>
      </c>
      <c r="J1533" s="108" t="str">
        <f>IF(Таблица97[[#This Row],[НК]]=1,Таблица97[[#This Row],[Продажа]],"")</f>
        <v/>
      </c>
      <c r="M1533" s="108">
        <v>25354</v>
      </c>
      <c r="N1533" s="108">
        <f>Таблица97[[#This Row],[Продажа]]-Таблица97[[#This Row],[Закупка]]</f>
        <v>13069</v>
      </c>
      <c r="O1533" s="108" t="str">
        <f>IF(Таблица97[[#This Row],[НК]]=1,Таблица97[[#This Row],[Маржа]],"")</f>
        <v/>
      </c>
    </row>
    <row r="1534" spans="1:15" ht="20.100000000000001" customHeight="1" x14ac:dyDescent="0.25">
      <c r="A1534" s="2">
        <v>614</v>
      </c>
      <c r="B1534" s="2" t="str">
        <f>TEXT(Таблица97[[#This Row],[Дата]],"ГГ")&amp;RIGHT("000"&amp;Таблица97[[#This Row],[Номер]],4)</f>
        <v>200614</v>
      </c>
      <c r="C1534" s="129">
        <v>44018</v>
      </c>
      <c r="D1534" s="2" t="s">
        <v>91</v>
      </c>
      <c r="E1534" s="108">
        <v>5928</v>
      </c>
      <c r="F1534" s="129">
        <v>44019</v>
      </c>
      <c r="H1534" s="129">
        <v>44040</v>
      </c>
      <c r="I1534" s="108">
        <f t="shared" si="70"/>
        <v>5928</v>
      </c>
      <c r="J1534" s="108" t="str">
        <f>IF(Таблица97[[#This Row],[НК]]=1,Таблица97[[#This Row],[Продажа]],"")</f>
        <v/>
      </c>
      <c r="M1534" s="108">
        <v>4036</v>
      </c>
      <c r="N1534" s="108">
        <f>Таблица97[[#This Row],[Продажа]]-Таблица97[[#This Row],[Закупка]]</f>
        <v>1892</v>
      </c>
      <c r="O1534" s="108" t="str">
        <f>IF(Таблица97[[#This Row],[НК]]=1,Таблица97[[#This Row],[Маржа]],"")</f>
        <v/>
      </c>
    </row>
    <row r="1535" spans="1:15" ht="20.100000000000001" customHeight="1" x14ac:dyDescent="0.25">
      <c r="A1535" s="2">
        <v>639</v>
      </c>
      <c r="B1535" s="2" t="str">
        <f>TEXT(Таблица97[[#This Row],[Дата]],"ГГ")&amp;RIGHT("000"&amp;Таблица97[[#This Row],[Номер]],4)</f>
        <v>200639</v>
      </c>
      <c r="C1535" s="129">
        <v>44020</v>
      </c>
      <c r="D1535" s="2" t="s">
        <v>460</v>
      </c>
      <c r="E1535" s="108">
        <v>20237</v>
      </c>
      <c r="F1535" s="129">
        <v>44020</v>
      </c>
      <c r="H1535" s="129">
        <v>44020</v>
      </c>
      <c r="I1535" s="108">
        <f t="shared" si="70"/>
        <v>20237</v>
      </c>
      <c r="J1535" s="108" t="str">
        <f>IF(Таблица97[[#This Row],[НК]]=1,Таблица97[[#This Row],[Продажа]],"")</f>
        <v/>
      </c>
      <c r="L1535" s="108">
        <v>600</v>
      </c>
      <c r="M1535" s="108">
        <v>13926</v>
      </c>
      <c r="N1535" s="108">
        <f>Таблица97[[#This Row],[Продажа]]-Таблица97[[#This Row],[Закупка]]</f>
        <v>6311</v>
      </c>
      <c r="O1535" s="108" t="str">
        <f>IF(Таблица97[[#This Row],[НК]]=1,Таблица97[[#This Row],[Маржа]],"")</f>
        <v/>
      </c>
    </row>
    <row r="1536" spans="1:15" ht="20.100000000000001" customHeight="1" x14ac:dyDescent="0.25">
      <c r="A1536" s="2">
        <v>638</v>
      </c>
      <c r="B1536" s="2" t="str">
        <f>TEXT(Таблица97[[#This Row],[Дата]],"ГГ")&amp;RIGHT("000"&amp;Таблица97[[#This Row],[Номер]],4)</f>
        <v>200638</v>
      </c>
      <c r="C1536" s="129">
        <v>44020</v>
      </c>
      <c r="D1536" s="2" t="s">
        <v>83</v>
      </c>
      <c r="E1536" s="108">
        <v>2964</v>
      </c>
      <c r="F1536" s="129">
        <v>44021</v>
      </c>
      <c r="H1536" s="129">
        <v>44022</v>
      </c>
      <c r="I1536" s="108">
        <f t="shared" si="70"/>
        <v>2964</v>
      </c>
      <c r="J1536" s="108" t="str">
        <f>IF(Таблица97[[#This Row],[НК]]=1,Таблица97[[#This Row],[Продажа]],"")</f>
        <v/>
      </c>
      <c r="M1536" s="108">
        <v>2018</v>
      </c>
      <c r="N1536" s="108">
        <f>Таблица97[[#This Row],[Продажа]]-Таблица97[[#This Row],[Закупка]]</f>
        <v>946</v>
      </c>
      <c r="O1536" s="108" t="str">
        <f>IF(Таблица97[[#This Row],[НК]]=1,Таблица97[[#This Row],[Маржа]],"")</f>
        <v/>
      </c>
    </row>
    <row r="1537" spans="1:15" ht="20.100000000000001" customHeight="1" x14ac:dyDescent="0.25">
      <c r="A1537" s="2">
        <v>595</v>
      </c>
      <c r="B1537" s="2" t="str">
        <f>TEXT(Таблица97[[#This Row],[Дата]],"ГГ")&amp;RIGHT("000"&amp;Таблица97[[#This Row],[Номер]],4)</f>
        <v>200595</v>
      </c>
      <c r="C1537" s="129">
        <v>44021</v>
      </c>
      <c r="D1537" s="2" t="s">
        <v>461</v>
      </c>
      <c r="E1537" s="108">
        <v>205990</v>
      </c>
      <c r="F1537" s="129">
        <v>44021</v>
      </c>
      <c r="G1537" s="128">
        <v>1</v>
      </c>
      <c r="H1537" s="129">
        <v>44028</v>
      </c>
      <c r="I1537" s="108">
        <f t="shared" si="70"/>
        <v>205990</v>
      </c>
      <c r="J1537" s="108">
        <f>IF(Таблица97[[#This Row],[НК]]=1,Таблица97[[#This Row],[Продажа]],"")</f>
        <v>205990</v>
      </c>
      <c r="M1537" s="108">
        <v>151279</v>
      </c>
      <c r="N1537" s="108">
        <f>Таблица97[[#This Row],[Продажа]]-Таблица97[[#This Row],[Закупка]]</f>
        <v>54711</v>
      </c>
      <c r="O1537" s="108">
        <f>IF(Таблица97[[#This Row],[НК]]=1,Таблица97[[#This Row],[Маржа]],"")</f>
        <v>54711</v>
      </c>
    </row>
    <row r="1538" spans="1:15" ht="20.100000000000001" customHeight="1" x14ac:dyDescent="0.25">
      <c r="A1538" s="2">
        <v>630</v>
      </c>
      <c r="B1538" s="2" t="str">
        <f>TEXT(Таблица97[[#This Row],[Дата]],"ГГ")&amp;RIGHT("000"&amp;Таблица97[[#This Row],[Номер]],4)</f>
        <v>200630</v>
      </c>
      <c r="C1538" s="129">
        <v>44019</v>
      </c>
      <c r="D1538" s="2" t="s">
        <v>462</v>
      </c>
      <c r="E1538" s="108">
        <v>5944</v>
      </c>
      <c r="F1538" s="129">
        <v>44021</v>
      </c>
      <c r="H1538" s="129">
        <v>44042</v>
      </c>
      <c r="I1538" s="108">
        <f t="shared" si="70"/>
        <v>5944</v>
      </c>
      <c r="J1538" s="108" t="str">
        <f>IF(Таблица97[[#This Row],[НК]]=1,Таблица97[[#This Row],[Продажа]],"")</f>
        <v/>
      </c>
      <c r="M1538" s="108">
        <v>3642</v>
      </c>
      <c r="N1538" s="108">
        <f>Таблица97[[#This Row],[Продажа]]-Таблица97[[#This Row],[Закупка]]</f>
        <v>2302</v>
      </c>
      <c r="O1538" s="108" t="str">
        <f>IF(Таблица97[[#This Row],[НК]]=1,Таблица97[[#This Row],[Маржа]],"")</f>
        <v/>
      </c>
    </row>
    <row r="1539" spans="1:15" ht="20.100000000000001" customHeight="1" x14ac:dyDescent="0.25">
      <c r="A1539" s="2">
        <v>275</v>
      </c>
      <c r="B1539" s="2" t="str">
        <f>TEXT(Таблица97[[#This Row],[Дата]],"ГГ")&amp;RIGHT("000"&amp;Таблица97[[#This Row],[Номер]],4)</f>
        <v>200275</v>
      </c>
      <c r="C1539" s="129">
        <v>43983</v>
      </c>
      <c r="D1539" s="2" t="s">
        <v>65</v>
      </c>
      <c r="E1539" s="108">
        <v>62640</v>
      </c>
      <c r="F1539" s="129">
        <v>44021</v>
      </c>
      <c r="H1539" s="129">
        <v>43986</v>
      </c>
      <c r="I1539" s="108">
        <f t="shared" si="70"/>
        <v>62640</v>
      </c>
      <c r="J1539" s="108" t="str">
        <f>IF(Таблица97[[#This Row],[НК]]=1,Таблица97[[#This Row],[Продажа]],"")</f>
        <v/>
      </c>
      <c r="M1539" s="108">
        <v>49964</v>
      </c>
      <c r="N1539" s="108">
        <f>Таблица97[[#This Row],[Продажа]]-Таблица97[[#This Row],[Закупка]]</f>
        <v>12676</v>
      </c>
      <c r="O1539" s="108" t="str">
        <f>IF(Таблица97[[#This Row],[НК]]=1,Таблица97[[#This Row],[Маржа]],"")</f>
        <v/>
      </c>
    </row>
    <row r="1540" spans="1:15" ht="20.100000000000001" customHeight="1" x14ac:dyDescent="0.25">
      <c r="A1540" s="2">
        <v>657</v>
      </c>
      <c r="B1540" s="2" t="str">
        <f>TEXT(Таблица97[[#This Row],[Дата]],"ГГ")&amp;RIGHT("000"&amp;Таблица97[[#This Row],[Номер]],4)</f>
        <v>200657</v>
      </c>
      <c r="C1540" s="129">
        <v>44022</v>
      </c>
      <c r="D1540" s="2" t="s">
        <v>424</v>
      </c>
      <c r="E1540" s="108">
        <v>3434</v>
      </c>
      <c r="F1540" s="129">
        <v>44022</v>
      </c>
      <c r="H1540" s="129">
        <v>44035</v>
      </c>
      <c r="I1540" s="108">
        <f t="shared" si="70"/>
        <v>3434</v>
      </c>
      <c r="J1540" s="108" t="str">
        <f>IF(Таблица97[[#This Row],[НК]]=1,Таблица97[[#This Row],[Продажа]],"")</f>
        <v/>
      </c>
      <c r="M1540" s="108">
        <v>2677</v>
      </c>
      <c r="N1540" s="108">
        <f>Таблица97[[#This Row],[Продажа]]-Таблица97[[#This Row],[Закупка]]</f>
        <v>757</v>
      </c>
      <c r="O1540" s="108" t="str">
        <f>IF(Таблица97[[#This Row],[НК]]=1,Таблица97[[#This Row],[Маржа]],"")</f>
        <v/>
      </c>
    </row>
    <row r="1541" spans="1:15" ht="20.100000000000001" customHeight="1" x14ac:dyDescent="0.25">
      <c r="A1541" s="2">
        <v>623</v>
      </c>
      <c r="B1541" s="2" t="str">
        <f>TEXT(Таблица97[[#This Row],[Дата]],"ГГ")&amp;RIGHT("000"&amp;Таблица97[[#This Row],[Номер]],4)</f>
        <v>200623</v>
      </c>
      <c r="C1541" s="129">
        <v>44020</v>
      </c>
      <c r="D1541" s="2" t="s">
        <v>228</v>
      </c>
      <c r="E1541" s="108">
        <v>9122</v>
      </c>
      <c r="F1541" s="129">
        <v>44026</v>
      </c>
      <c r="H1541" s="129">
        <v>44027</v>
      </c>
      <c r="I1541" s="108">
        <f t="shared" si="70"/>
        <v>9122</v>
      </c>
      <c r="J1541" s="108" t="str">
        <f>IF(Таблица97[[#This Row],[НК]]=1,Таблица97[[#This Row],[Продажа]],"")</f>
        <v/>
      </c>
      <c r="M1541" s="108">
        <v>7650</v>
      </c>
      <c r="N1541" s="108">
        <f>Таблица97[[#This Row],[Продажа]]-Таблица97[[#This Row],[Закупка]]</f>
        <v>1472</v>
      </c>
      <c r="O1541" s="108" t="str">
        <f>IF(Таблица97[[#This Row],[НК]]=1,Таблица97[[#This Row],[Маржа]],"")</f>
        <v/>
      </c>
    </row>
    <row r="1542" spans="1:15" ht="20.100000000000001" customHeight="1" x14ac:dyDescent="0.25">
      <c r="A1542" s="2">
        <v>668</v>
      </c>
      <c r="B1542" s="2" t="str">
        <f>TEXT(Таблица97[[#This Row],[Дата]],"ГГ")&amp;RIGHT("000"&amp;Таблица97[[#This Row],[Номер]],4)</f>
        <v>200668</v>
      </c>
      <c r="C1542" s="129">
        <v>44026</v>
      </c>
      <c r="D1542" s="2" t="s">
        <v>463</v>
      </c>
      <c r="E1542" s="108">
        <v>169090</v>
      </c>
      <c r="F1542" s="129">
        <v>44026</v>
      </c>
      <c r="G1542" s="128">
        <v>1</v>
      </c>
      <c r="H1542" s="129">
        <v>44028</v>
      </c>
      <c r="I1542" s="108">
        <f t="shared" si="70"/>
        <v>169090</v>
      </c>
      <c r="J1542" s="108">
        <f>IF(Таблица97[[#This Row],[НК]]=1,Таблица97[[#This Row],[Продажа]],"")</f>
        <v>169090</v>
      </c>
      <c r="M1542" s="108">
        <v>118161.44</v>
      </c>
      <c r="N1542" s="108">
        <f>Таблица97[[#This Row],[Продажа]]-Таблица97[[#This Row],[Закупка]]</f>
        <v>50928.56</v>
      </c>
      <c r="O1542" s="108">
        <f>IF(Таблица97[[#This Row],[НК]]=1,Таблица97[[#This Row],[Маржа]],"")</f>
        <v>50928.56</v>
      </c>
    </row>
    <row r="1543" spans="1:15" ht="20.100000000000001" customHeight="1" x14ac:dyDescent="0.25">
      <c r="A1543" s="2">
        <v>681</v>
      </c>
      <c r="B1543" s="2" t="str">
        <f>TEXT(Таблица97[[#This Row],[Дата]],"ГГ")&amp;RIGHT("000"&amp;Таблица97[[#This Row],[Номер]],4)</f>
        <v>200681</v>
      </c>
      <c r="C1543" s="129">
        <v>44028</v>
      </c>
      <c r="D1543" s="2" t="s">
        <v>124</v>
      </c>
      <c r="E1543" s="108">
        <v>3476</v>
      </c>
      <c r="F1543" s="129">
        <v>44028</v>
      </c>
      <c r="H1543" s="129">
        <v>44028</v>
      </c>
      <c r="I1543" s="108">
        <f t="shared" si="70"/>
        <v>3476</v>
      </c>
      <c r="J1543" s="108" t="str">
        <f>IF(Таблица97[[#This Row],[НК]]=1,Таблица97[[#This Row],[Продажа]],"")</f>
        <v/>
      </c>
      <c r="M1543" s="108">
        <v>2580</v>
      </c>
      <c r="N1543" s="108">
        <f>Таблица97[[#This Row],[Продажа]]-Таблица97[[#This Row],[Закупка]]</f>
        <v>896</v>
      </c>
      <c r="O1543" s="108" t="str">
        <f>IF(Таблица97[[#This Row],[НК]]=1,Таблица97[[#This Row],[Маржа]],"")</f>
        <v/>
      </c>
    </row>
    <row r="1544" spans="1:15" ht="20.100000000000001" customHeight="1" x14ac:dyDescent="0.25">
      <c r="A1544" s="2">
        <v>684</v>
      </c>
      <c r="B1544" s="2" t="str">
        <f>TEXT(Таблица97[[#This Row],[Дата]],"ГГ")&amp;RIGHT("000"&amp;Таблица97[[#This Row],[Номер]],4)</f>
        <v>200684</v>
      </c>
      <c r="C1544" s="129">
        <v>44028</v>
      </c>
      <c r="D1544" s="2" t="s">
        <v>464</v>
      </c>
      <c r="E1544" s="108">
        <v>1921</v>
      </c>
      <c r="F1544" s="129">
        <v>44029</v>
      </c>
      <c r="G1544" s="128">
        <v>1</v>
      </c>
      <c r="H1544" s="129">
        <v>44042</v>
      </c>
      <c r="I1544" s="108">
        <f t="shared" si="70"/>
        <v>1921</v>
      </c>
      <c r="J1544" s="108">
        <f>IF(Таблица97[[#This Row],[НК]]=1,Таблица97[[#This Row],[Продажа]],"")</f>
        <v>1921</v>
      </c>
      <c r="M1544" s="108">
        <v>1498</v>
      </c>
      <c r="N1544" s="108">
        <f>Таблица97[[#This Row],[Продажа]]-Таблица97[[#This Row],[Закупка]]</f>
        <v>423</v>
      </c>
      <c r="O1544" s="108">
        <f>IF(Таблица97[[#This Row],[НК]]=1,Таблица97[[#This Row],[Маржа]],"")</f>
        <v>423</v>
      </c>
    </row>
    <row r="1545" spans="1:15" ht="20.100000000000001" customHeight="1" x14ac:dyDescent="0.25">
      <c r="A1545" s="2">
        <v>685</v>
      </c>
      <c r="B1545" s="2" t="str">
        <f>TEXT(Таблица97[[#This Row],[Дата]],"ГГ")&amp;RIGHT("000"&amp;Таблица97[[#This Row],[Номер]],4)</f>
        <v>200685</v>
      </c>
      <c r="C1545" s="129">
        <v>44028</v>
      </c>
      <c r="D1545" s="2" t="s">
        <v>435</v>
      </c>
      <c r="E1545" s="108">
        <v>10179</v>
      </c>
      <c r="F1545" s="129">
        <v>44029</v>
      </c>
      <c r="H1545" s="129">
        <v>44033</v>
      </c>
      <c r="I1545" s="108">
        <f t="shared" si="70"/>
        <v>10179</v>
      </c>
      <c r="J1545" s="108" t="str">
        <f>IF(Таблица97[[#This Row],[НК]]=1,Таблица97[[#This Row],[Продажа]],"")</f>
        <v/>
      </c>
      <c r="M1545" s="108">
        <v>7536</v>
      </c>
      <c r="N1545" s="108">
        <f>Таблица97[[#This Row],[Продажа]]-Таблица97[[#This Row],[Закупка]]</f>
        <v>2643</v>
      </c>
      <c r="O1545" s="108" t="str">
        <f>IF(Таблица97[[#This Row],[НК]]=1,Таблица97[[#This Row],[Маржа]],"")</f>
        <v/>
      </c>
    </row>
    <row r="1546" spans="1:15" ht="20.100000000000001" customHeight="1" x14ac:dyDescent="0.25">
      <c r="A1546" s="2">
        <v>648</v>
      </c>
      <c r="B1546" s="2" t="str">
        <f>TEXT(Таблица97[[#This Row],[Дата]],"ГГ")&amp;RIGHT("000"&amp;Таблица97[[#This Row],[Номер]],4)</f>
        <v>200648</v>
      </c>
      <c r="C1546" s="129">
        <v>44020</v>
      </c>
      <c r="D1546" s="2" t="s">
        <v>49</v>
      </c>
      <c r="E1546" s="108">
        <v>5442</v>
      </c>
      <c r="F1546" s="129">
        <v>44029</v>
      </c>
      <c r="H1546" s="129">
        <v>44057</v>
      </c>
      <c r="I1546" s="108">
        <f t="shared" si="70"/>
        <v>5442</v>
      </c>
      <c r="J1546" s="108" t="str">
        <f>IF(Таблица97[[#This Row],[НК]]=1,Таблица97[[#This Row],[Продажа]],"")</f>
        <v/>
      </c>
      <c r="M1546" s="108">
        <v>3102</v>
      </c>
      <c r="N1546" s="108">
        <f>Таблица97[[#This Row],[Продажа]]-Таблица97[[#This Row],[Закупка]]</f>
        <v>2340</v>
      </c>
      <c r="O1546" s="108" t="str">
        <f>IF(Таблица97[[#This Row],[НК]]=1,Таблица97[[#This Row],[Маржа]],"")</f>
        <v/>
      </c>
    </row>
    <row r="1547" spans="1:15" ht="20.100000000000001" customHeight="1" x14ac:dyDescent="0.25">
      <c r="A1547" s="2">
        <v>686</v>
      </c>
      <c r="B1547" s="2" t="str">
        <f>TEXT(Таблица97[[#This Row],[Дата]],"ГГ")&amp;RIGHT("000"&amp;Таблица97[[#This Row],[Номер]],4)</f>
        <v>200686</v>
      </c>
      <c r="C1547" s="129">
        <v>44029</v>
      </c>
      <c r="D1547" s="2" t="s">
        <v>251</v>
      </c>
      <c r="E1547" s="108">
        <v>7567</v>
      </c>
      <c r="F1547" s="129">
        <v>44029</v>
      </c>
      <c r="H1547" s="129">
        <v>44032</v>
      </c>
      <c r="I1547" s="108">
        <f t="shared" si="70"/>
        <v>7567</v>
      </c>
      <c r="J1547" s="108" t="str">
        <f>IF(Таблица97[[#This Row],[НК]]=1,Таблица97[[#This Row],[Продажа]],"")</f>
        <v/>
      </c>
      <c r="M1547" s="108">
        <v>4802</v>
      </c>
      <c r="N1547" s="108">
        <f>Таблица97[[#This Row],[Продажа]]-Таблица97[[#This Row],[Закупка]]</f>
        <v>2765</v>
      </c>
      <c r="O1547" s="108" t="str">
        <f>IF(Таблица97[[#This Row],[НК]]=1,Таблица97[[#This Row],[Маржа]],"")</f>
        <v/>
      </c>
    </row>
    <row r="1548" spans="1:15" ht="20.100000000000001" customHeight="1" x14ac:dyDescent="0.25">
      <c r="A1548" s="2">
        <v>423</v>
      </c>
      <c r="B1548" s="2" t="str">
        <f>TEXT(Таблица97[[#This Row],[Дата]],"ГГ")&amp;RIGHT("000"&amp;Таблица97[[#This Row],[Номер]],4)</f>
        <v>200423</v>
      </c>
      <c r="C1548" s="129">
        <v>43972</v>
      </c>
      <c r="D1548" s="2" t="s">
        <v>433</v>
      </c>
      <c r="E1548" s="108">
        <v>18990</v>
      </c>
      <c r="F1548" s="129">
        <v>44033</v>
      </c>
      <c r="H1548" s="129">
        <v>43978</v>
      </c>
      <c r="I1548" s="108">
        <f t="shared" si="70"/>
        <v>18990</v>
      </c>
      <c r="J1548" s="108" t="str">
        <f>IF(Таблица97[[#This Row],[НК]]=1,Таблица97[[#This Row],[Продажа]],"")</f>
        <v/>
      </c>
      <c r="M1548" s="108">
        <v>12487</v>
      </c>
      <c r="N1548" s="108">
        <f>Таблица97[[#This Row],[Продажа]]-Таблица97[[#This Row],[Закупка]]</f>
        <v>6503</v>
      </c>
      <c r="O1548" s="108" t="str">
        <f>IF(Таблица97[[#This Row],[НК]]=1,Таблица97[[#This Row],[Маржа]],"")</f>
        <v/>
      </c>
    </row>
    <row r="1549" spans="1:15" ht="20.100000000000001" customHeight="1" x14ac:dyDescent="0.25">
      <c r="A1549" s="2">
        <v>436</v>
      </c>
      <c r="B1549" s="2" t="str">
        <f>TEXT(Таблица97[[#This Row],[Дата]],"ГГ")&amp;RIGHT("000"&amp;Таблица97[[#This Row],[Номер]],4)</f>
        <v>200436</v>
      </c>
      <c r="C1549" s="129">
        <v>43977</v>
      </c>
      <c r="D1549" s="2" t="s">
        <v>14</v>
      </c>
      <c r="E1549" s="108">
        <v>3328</v>
      </c>
      <c r="F1549" s="129">
        <v>44033</v>
      </c>
      <c r="H1549" s="129">
        <v>44049</v>
      </c>
      <c r="I1549" s="108">
        <f t="shared" si="70"/>
        <v>3328</v>
      </c>
      <c r="J1549" s="108" t="str">
        <f>IF(Таблица97[[#This Row],[НК]]=1,Таблица97[[#This Row],[Продажа]],"")</f>
        <v/>
      </c>
      <c r="M1549" s="108">
        <v>2198</v>
      </c>
      <c r="N1549" s="108">
        <f>Таблица97[[#This Row],[Продажа]]-Таблица97[[#This Row],[Закупка]]</f>
        <v>1130</v>
      </c>
      <c r="O1549" s="108" t="str">
        <f>IF(Таблица97[[#This Row],[НК]]=1,Таблица97[[#This Row],[Маржа]],"")</f>
        <v/>
      </c>
    </row>
    <row r="1550" spans="1:15" ht="20.100000000000001" customHeight="1" x14ac:dyDescent="0.25">
      <c r="A1550" s="2">
        <v>693</v>
      </c>
      <c r="B1550" s="2" t="str">
        <f>TEXT(Таблица97[[#This Row],[Дата]],"ГГ")&amp;RIGHT("000"&amp;Таблица97[[#This Row],[Номер]],4)</f>
        <v>200693</v>
      </c>
      <c r="C1550" s="129">
        <v>44003</v>
      </c>
      <c r="D1550" s="2" t="s">
        <v>139</v>
      </c>
      <c r="E1550" s="108">
        <v>3012</v>
      </c>
      <c r="F1550" s="129">
        <v>44035</v>
      </c>
      <c r="H1550" s="129">
        <v>44048</v>
      </c>
      <c r="I1550" s="108">
        <f t="shared" si="70"/>
        <v>3012</v>
      </c>
      <c r="J1550" s="108" t="str">
        <f>IF(Таблица97[[#This Row],[НК]]=1,Таблица97[[#This Row],[Продажа]],"")</f>
        <v/>
      </c>
      <c r="M1550" s="108">
        <v>3128</v>
      </c>
      <c r="N1550" s="108">
        <f>Таблица97[[#This Row],[Продажа]]-Таблица97[[#This Row],[Закупка]]</f>
        <v>-116</v>
      </c>
      <c r="O1550" s="108" t="str">
        <f>IF(Таблица97[[#This Row],[НК]]=1,Таблица97[[#This Row],[Маржа]],"")</f>
        <v/>
      </c>
    </row>
    <row r="1551" spans="1:15" ht="20.100000000000001" customHeight="1" x14ac:dyDescent="0.25">
      <c r="A1551" s="2">
        <v>712</v>
      </c>
      <c r="B1551" s="2" t="str">
        <f>TEXT(Таблица97[[#This Row],[Дата]],"ГГ")&amp;RIGHT("000"&amp;Таблица97[[#This Row],[Номер]],4)</f>
        <v>200712</v>
      </c>
      <c r="C1551" s="129">
        <v>44035</v>
      </c>
      <c r="D1551" s="2" t="s">
        <v>209</v>
      </c>
      <c r="E1551" s="108">
        <v>20390.650000000001</v>
      </c>
      <c r="F1551" s="129">
        <v>44036</v>
      </c>
      <c r="H1551" s="129">
        <v>44055</v>
      </c>
      <c r="I1551" s="108">
        <f t="shared" si="70"/>
        <v>20390.650000000001</v>
      </c>
      <c r="J1551" s="108" t="str">
        <f>IF(Таблица97[[#This Row],[НК]]=1,Таблица97[[#This Row],[Продажа]],"")</f>
        <v/>
      </c>
      <c r="M1551" s="108">
        <v>18004</v>
      </c>
      <c r="N1551" s="108">
        <f>Таблица97[[#This Row],[Продажа]]-Таблица97[[#This Row],[Закупка]]</f>
        <v>2386.6500000000015</v>
      </c>
      <c r="O1551" s="108" t="str">
        <f>IF(Таблица97[[#This Row],[НК]]=1,Таблица97[[#This Row],[Маржа]],"")</f>
        <v/>
      </c>
    </row>
    <row r="1552" spans="1:15" ht="20.100000000000001" customHeight="1" x14ac:dyDescent="0.25">
      <c r="A1552" s="2">
        <v>631</v>
      </c>
      <c r="B1552" s="2" t="str">
        <f>TEXT(Таблица97[[#This Row],[Дата]],"ГГ")&amp;RIGHT("000"&amp;Таблица97[[#This Row],[Номер]],4)</f>
        <v>200631</v>
      </c>
      <c r="C1552" s="129">
        <v>44019</v>
      </c>
      <c r="D1552" s="2" t="s">
        <v>367</v>
      </c>
      <c r="E1552" s="108">
        <v>2478</v>
      </c>
      <c r="F1552" s="129">
        <v>44040</v>
      </c>
      <c r="H1552" s="129">
        <v>44041</v>
      </c>
      <c r="I1552" s="108">
        <f t="shared" si="70"/>
        <v>2478</v>
      </c>
      <c r="J1552" s="108" t="str">
        <f>IF(Таблица97[[#This Row],[НК]]=1,Таблица97[[#This Row],[Продажа]],"")</f>
        <v/>
      </c>
      <c r="M1552" s="108">
        <v>1932</v>
      </c>
      <c r="N1552" s="108">
        <f>Таблица97[[#This Row],[Продажа]]-Таблица97[[#This Row],[Закупка]]</f>
        <v>546</v>
      </c>
      <c r="O1552" s="108" t="str">
        <f>IF(Таблица97[[#This Row],[НК]]=1,Таблица97[[#This Row],[Маржа]],"")</f>
        <v/>
      </c>
    </row>
    <row r="1553" spans="1:15" ht="20.100000000000001" customHeight="1" x14ac:dyDescent="0.25">
      <c r="A1553" s="2">
        <v>624</v>
      </c>
      <c r="B1553" s="2" t="str">
        <f>TEXT(Таблица97[[#This Row],[Дата]],"ГГ")&amp;RIGHT("000"&amp;Таблица97[[#This Row],[Номер]],4)</f>
        <v>200624</v>
      </c>
      <c r="C1553" s="129">
        <v>44040</v>
      </c>
      <c r="D1553" s="2" t="s">
        <v>228</v>
      </c>
      <c r="E1553" s="108">
        <v>3060</v>
      </c>
      <c r="F1553" s="129">
        <v>44040</v>
      </c>
      <c r="H1553" s="129">
        <v>44041</v>
      </c>
      <c r="I1553" s="108">
        <f t="shared" si="70"/>
        <v>3060</v>
      </c>
      <c r="J1553" s="108" t="str">
        <f>IF(Таблица97[[#This Row],[НК]]=1,Таблица97[[#This Row],[Продажа]],"")</f>
        <v/>
      </c>
      <c r="M1553" s="108">
        <v>2170</v>
      </c>
      <c r="N1553" s="108">
        <f>Таблица97[[#This Row],[Продажа]]-Таблица97[[#This Row],[Закупка]]</f>
        <v>890</v>
      </c>
      <c r="O1553" s="108" t="str">
        <f>IF(Таблица97[[#This Row],[НК]]=1,Таблица97[[#This Row],[Маржа]],"")</f>
        <v/>
      </c>
    </row>
    <row r="1554" spans="1:15" ht="20.100000000000001" customHeight="1" x14ac:dyDescent="0.25">
      <c r="A1554" s="2">
        <v>724</v>
      </c>
      <c r="B1554" s="2" t="str">
        <f>TEXT(Таблица97[[#This Row],[Дата]],"ГГ")&amp;RIGHT("000"&amp;Таблица97[[#This Row],[Номер]],4)</f>
        <v>200724</v>
      </c>
      <c r="C1554" s="129">
        <v>44036</v>
      </c>
      <c r="D1554" s="2" t="s">
        <v>139</v>
      </c>
      <c r="E1554" s="108">
        <v>15888</v>
      </c>
      <c r="F1554" s="129">
        <v>44041</v>
      </c>
      <c r="H1554" s="129">
        <v>44069</v>
      </c>
      <c r="I1554" s="108">
        <f t="shared" si="70"/>
        <v>15888</v>
      </c>
      <c r="J1554" s="108" t="str">
        <f>IF(Таблица97[[#This Row],[НК]]=1,Таблица97[[#This Row],[Продажа]],"")</f>
        <v/>
      </c>
      <c r="M1554" s="108">
        <v>12216</v>
      </c>
      <c r="N1554" s="108">
        <f>Таблица97[[#This Row],[Продажа]]-Таблица97[[#This Row],[Закупка]]</f>
        <v>3672</v>
      </c>
      <c r="O1554" s="108" t="str">
        <f>IF(Таблица97[[#This Row],[НК]]=1,Таблица97[[#This Row],[Маржа]],"")</f>
        <v/>
      </c>
    </row>
    <row r="1555" spans="1:15" ht="20.100000000000001" customHeight="1" x14ac:dyDescent="0.25">
      <c r="A1555" s="2">
        <v>738</v>
      </c>
      <c r="B1555" s="2" t="str">
        <f>TEXT(Таблица97[[#This Row],[Дата]],"ГГ")&amp;RIGHT("000"&amp;Таблица97[[#This Row],[Номер]],4)</f>
        <v>200738</v>
      </c>
      <c r="C1555" s="129">
        <v>44040</v>
      </c>
      <c r="D1555" s="2" t="s">
        <v>466</v>
      </c>
      <c r="E1555" s="108">
        <v>15490</v>
      </c>
      <c r="F1555" s="129">
        <v>44041</v>
      </c>
      <c r="G1555" s="128">
        <v>1</v>
      </c>
      <c r="H1555" s="129">
        <v>44056</v>
      </c>
      <c r="I1555" s="108">
        <f t="shared" si="70"/>
        <v>15490</v>
      </c>
      <c r="J1555" s="108">
        <f>IF(Таблица97[[#This Row],[НК]]=1,Таблица97[[#This Row],[Продажа]],"")</f>
        <v>15490</v>
      </c>
      <c r="M1555" s="108">
        <v>11385</v>
      </c>
      <c r="N1555" s="108">
        <f>Таблица97[[#This Row],[Продажа]]-Таблица97[[#This Row],[Закупка]]</f>
        <v>4105</v>
      </c>
      <c r="O1555" s="108">
        <f>IF(Таблица97[[#This Row],[НК]]=1,Таблица97[[#This Row],[Маржа]],"")</f>
        <v>4105</v>
      </c>
    </row>
    <row r="1556" spans="1:15" ht="20.100000000000001" customHeight="1" x14ac:dyDescent="0.25">
      <c r="A1556" s="2">
        <v>634</v>
      </c>
      <c r="B1556" s="2" t="str">
        <f>TEXT(Таблица97[[#This Row],[Дата]],"ГГ")&amp;RIGHT("000"&amp;Таблица97[[#This Row],[Номер]],4)</f>
        <v>200634</v>
      </c>
      <c r="C1556" s="129">
        <v>44019</v>
      </c>
      <c r="D1556" s="2" t="s">
        <v>56</v>
      </c>
      <c r="E1556" s="108">
        <v>54379</v>
      </c>
      <c r="F1556" s="129">
        <v>44042</v>
      </c>
      <c r="H1556" s="129">
        <v>44039</v>
      </c>
      <c r="I1556" s="108">
        <f t="shared" si="70"/>
        <v>54379</v>
      </c>
      <c r="J1556" s="108" t="str">
        <f>IF(Таблица97[[#This Row],[НК]]=1,Таблица97[[#This Row],[Продажа]],"")</f>
        <v/>
      </c>
      <c r="M1556" s="108">
        <v>39553</v>
      </c>
      <c r="N1556" s="108">
        <f>Таблица97[[#This Row],[Продажа]]-Таблица97[[#This Row],[Закупка]]</f>
        <v>14826</v>
      </c>
      <c r="O1556" s="108" t="str">
        <f>IF(Таблица97[[#This Row],[НК]]=1,Таблица97[[#This Row],[Маржа]],"")</f>
        <v/>
      </c>
    </row>
    <row r="1557" spans="1:15" ht="20.100000000000001" customHeight="1" x14ac:dyDescent="0.25">
      <c r="A1557" s="2">
        <v>743</v>
      </c>
      <c r="B1557" s="2" t="str">
        <f>TEXT(Таблица97[[#This Row],[Дата]],"ГГ")&amp;RIGHT("000"&amp;Таблица97[[#This Row],[Номер]],4)</f>
        <v>200743</v>
      </c>
      <c r="C1557" s="129">
        <v>44042</v>
      </c>
      <c r="D1557" s="2" t="s">
        <v>361</v>
      </c>
      <c r="E1557" s="108">
        <v>4248</v>
      </c>
      <c r="F1557" s="129">
        <v>44042</v>
      </c>
      <c r="H1557" s="129">
        <v>44042</v>
      </c>
      <c r="I1557" s="108">
        <f t="shared" si="70"/>
        <v>4248</v>
      </c>
      <c r="J1557" s="108" t="str">
        <f>IF(Таблица97[[#This Row],[НК]]=1,Таблица97[[#This Row],[Продажа]],"")</f>
        <v/>
      </c>
      <c r="M1557" s="108">
        <v>3312</v>
      </c>
      <c r="N1557" s="108">
        <f>Таблица97[[#This Row],[Продажа]]-Таблица97[[#This Row],[Закупка]]</f>
        <v>936</v>
      </c>
      <c r="O1557" s="108" t="str">
        <f>IF(Таблица97[[#This Row],[НК]]=1,Таблица97[[#This Row],[Маржа]],"")</f>
        <v/>
      </c>
    </row>
    <row r="1558" spans="1:15" ht="20.100000000000001" customHeight="1" x14ac:dyDescent="0.25">
      <c r="A1558" s="2">
        <v>659</v>
      </c>
      <c r="B1558" s="2" t="str">
        <f>TEXT(Таблица97[[#This Row],[Дата]],"ГГ")&amp;RIGHT("000"&amp;Таблица97[[#This Row],[Номер]],4)</f>
        <v>200659</v>
      </c>
      <c r="C1558" s="129">
        <v>44025</v>
      </c>
      <c r="D1558" s="2" t="s">
        <v>166</v>
      </c>
      <c r="E1558" s="108">
        <v>53665.5</v>
      </c>
      <c r="F1558" s="129">
        <v>44043</v>
      </c>
      <c r="H1558" s="129">
        <v>44064</v>
      </c>
      <c r="I1558" s="108">
        <f t="shared" si="70"/>
        <v>53665.5</v>
      </c>
      <c r="J1558" s="108" t="str">
        <f>IF(Таблица97[[#This Row],[НК]]=1,Таблица97[[#This Row],[Продажа]],"")</f>
        <v/>
      </c>
      <c r="M1558" s="108">
        <v>36712.65</v>
      </c>
      <c r="N1558" s="108">
        <f>Таблица97[[#This Row],[Продажа]]-Таблица97[[#This Row],[Закупка]]</f>
        <v>16952.849999999999</v>
      </c>
      <c r="O1558" s="108" t="str">
        <f>IF(Таблица97[[#This Row],[НК]]=1,Таблица97[[#This Row],[Маржа]],"")</f>
        <v/>
      </c>
    </row>
    <row r="1559" spans="1:15" ht="20.100000000000001" customHeight="1" x14ac:dyDescent="0.25">
      <c r="A1559" s="2">
        <v>574</v>
      </c>
      <c r="B1559" s="2" t="str">
        <f>TEXT(Таблица97[[#This Row],[Дата]],"ГГ")&amp;RIGHT("000"&amp;Таблица97[[#This Row],[Номер]],4)</f>
        <v>200574</v>
      </c>
      <c r="C1559" s="129">
        <v>44011</v>
      </c>
      <c r="D1559" s="2" t="s">
        <v>13</v>
      </c>
      <c r="E1559" s="108">
        <v>26190</v>
      </c>
      <c r="F1559" s="129">
        <v>44046</v>
      </c>
      <c r="H1559" s="129">
        <v>44034</v>
      </c>
      <c r="I1559" s="108">
        <f t="shared" ref="I1559:I1584" si="71">E1559</f>
        <v>26190</v>
      </c>
      <c r="J1559" s="108" t="str">
        <f>IF(Таблица97[[#This Row],[НК]]=1,Таблица97[[#This Row],[Продажа]],"")</f>
        <v/>
      </c>
      <c r="M1559" s="108">
        <v>18580</v>
      </c>
      <c r="N1559" s="108">
        <f>Таблица97[[#This Row],[Продажа]]-Таблица97[[#This Row],[Закупка]]</f>
        <v>7610</v>
      </c>
      <c r="O1559" s="108" t="str">
        <f>IF(Таблица97[[#This Row],[НК]]=1,Таблица97[[#This Row],[Маржа]],"")</f>
        <v/>
      </c>
    </row>
    <row r="1560" spans="1:15" ht="20.100000000000001" customHeight="1" x14ac:dyDescent="0.25">
      <c r="A1560" s="2">
        <v>752</v>
      </c>
      <c r="B1560" s="2" t="str">
        <f>TEXT(Таблица97[[#This Row],[Дата]],"ГГ")&amp;RIGHT("000"&amp;Таблица97[[#This Row],[Номер]],4)</f>
        <v>200752</v>
      </c>
      <c r="C1560" s="129">
        <v>44046</v>
      </c>
      <c r="D1560" s="2" t="s">
        <v>467</v>
      </c>
      <c r="E1560" s="108">
        <v>816</v>
      </c>
      <c r="F1560" s="129">
        <v>44049</v>
      </c>
      <c r="H1560" s="129">
        <v>44069</v>
      </c>
      <c r="I1560" s="108">
        <f t="shared" si="71"/>
        <v>816</v>
      </c>
      <c r="J1560" s="108" t="str">
        <f>IF(Таблица97[[#This Row],[НК]]=1,Таблица97[[#This Row],[Продажа]],"")</f>
        <v/>
      </c>
      <c r="M1560" s="108">
        <v>539</v>
      </c>
      <c r="N1560" s="108">
        <f>Таблица97[[#This Row],[Продажа]]-Таблица97[[#This Row],[Закупка]]</f>
        <v>277</v>
      </c>
      <c r="O1560" s="108" t="str">
        <f>IF(Таблица97[[#This Row],[НК]]=1,Таблица97[[#This Row],[Маржа]],"")</f>
        <v/>
      </c>
    </row>
    <row r="1561" spans="1:15" ht="20.100000000000001" customHeight="1" x14ac:dyDescent="0.25">
      <c r="A1561" s="2">
        <v>407</v>
      </c>
      <c r="B1561" s="2" t="str">
        <f>TEXT(Таблица97[[#This Row],[Дата]],"ГГ")&amp;RIGHT("000"&amp;Таблица97[[#This Row],[Номер]],4)</f>
        <v>200407</v>
      </c>
      <c r="C1561" s="129">
        <v>43965</v>
      </c>
      <c r="D1561" s="2" t="s">
        <v>38</v>
      </c>
      <c r="E1561" s="108">
        <v>886680</v>
      </c>
      <c r="F1561" s="129">
        <v>44050</v>
      </c>
      <c r="H1561" s="129">
        <v>43966</v>
      </c>
      <c r="I1561" s="108">
        <f t="shared" si="71"/>
        <v>886680</v>
      </c>
      <c r="J1561" s="108" t="str">
        <f>IF(Таблица97[[#This Row],[НК]]=1,Таблица97[[#This Row],[Продажа]],"")</f>
        <v/>
      </c>
      <c r="M1561" s="108">
        <v>780000</v>
      </c>
      <c r="N1561" s="108">
        <f>Таблица97[[#This Row],[Продажа]]-Таблица97[[#This Row],[Закупка]]</f>
        <v>106680</v>
      </c>
      <c r="O1561" s="108" t="str">
        <f>IF(Таблица97[[#This Row],[НК]]=1,Таблица97[[#This Row],[Маржа]],"")</f>
        <v/>
      </c>
    </row>
    <row r="1562" spans="1:15" ht="20.100000000000001" customHeight="1" x14ac:dyDescent="0.25">
      <c r="A1562" s="2">
        <v>424</v>
      </c>
      <c r="B1562" s="2" t="str">
        <f>TEXT(Таблица97[[#This Row],[Дата]],"ГГ")&amp;RIGHT("000"&amp;Таблица97[[#This Row],[Номер]],4)</f>
        <v>200424</v>
      </c>
      <c r="C1562" s="129">
        <v>43972</v>
      </c>
      <c r="D1562" s="2" t="s">
        <v>38</v>
      </c>
      <c r="E1562" s="108">
        <v>110793</v>
      </c>
      <c r="F1562" s="129">
        <v>44050</v>
      </c>
      <c r="H1562" s="129">
        <v>43972</v>
      </c>
      <c r="I1562" s="108">
        <f t="shared" si="71"/>
        <v>110793</v>
      </c>
      <c r="J1562" s="108" t="str">
        <f>IF(Таблица97[[#This Row],[НК]]=1,Таблица97[[#This Row],[Продажа]],"")</f>
        <v/>
      </c>
      <c r="L1562" s="108">
        <v>4800</v>
      </c>
      <c r="M1562" s="108">
        <v>80416.600000000006</v>
      </c>
      <c r="N1562" s="108">
        <f>Таблица97[[#This Row],[Продажа]]-Таблица97[[#This Row],[Закупка]]</f>
        <v>30376.399999999994</v>
      </c>
      <c r="O1562" s="108" t="str">
        <f>IF(Таблица97[[#This Row],[НК]]=1,Таблица97[[#This Row],[Маржа]],"")</f>
        <v/>
      </c>
    </row>
    <row r="1563" spans="1:15" ht="20.100000000000001" customHeight="1" x14ac:dyDescent="0.25">
      <c r="A1563" s="2">
        <v>253</v>
      </c>
      <c r="B1563" s="2" t="str">
        <f>TEXT(Таблица97[[#This Row],[Дата]],"ГГ")&amp;RIGHT("000"&amp;Таблица97[[#This Row],[Номер]],4)</f>
        <v>200253</v>
      </c>
      <c r="C1563" s="129">
        <v>43976</v>
      </c>
      <c r="D1563" s="2" t="s">
        <v>38</v>
      </c>
      <c r="E1563" s="108">
        <v>740092</v>
      </c>
      <c r="F1563" s="129">
        <v>44050</v>
      </c>
      <c r="H1563" s="129">
        <v>43983</v>
      </c>
      <c r="I1563" s="108">
        <f t="shared" si="71"/>
        <v>740092</v>
      </c>
      <c r="J1563" s="108" t="str">
        <f>IF(Таблица97[[#This Row],[НК]]=1,Таблица97[[#This Row],[Продажа]],"")</f>
        <v/>
      </c>
      <c r="M1563" s="108">
        <v>631552</v>
      </c>
      <c r="N1563" s="108">
        <f>Таблица97[[#This Row],[Продажа]]-Таблица97[[#This Row],[Закупка]]</f>
        <v>108540</v>
      </c>
      <c r="O1563" s="108" t="str">
        <f>IF(Таблица97[[#This Row],[НК]]=1,Таблица97[[#This Row],[Маржа]],"")</f>
        <v/>
      </c>
    </row>
    <row r="1564" spans="1:15" ht="20.100000000000001" customHeight="1" x14ac:dyDescent="0.25">
      <c r="A1564" s="2">
        <v>431</v>
      </c>
      <c r="B1564" s="2" t="str">
        <f>TEXT(Таблица97[[#This Row],[Дата]],"ГГ")&amp;RIGHT("000"&amp;Таблица97[[#This Row],[Номер]],4)</f>
        <v>200431</v>
      </c>
      <c r="C1564" s="129">
        <v>43976</v>
      </c>
      <c r="D1564" s="2" t="s">
        <v>38</v>
      </c>
      <c r="E1564" s="108">
        <v>1442508</v>
      </c>
      <c r="F1564" s="129">
        <v>44050</v>
      </c>
      <c r="H1564" s="129">
        <v>43983</v>
      </c>
      <c r="I1564" s="108">
        <f t="shared" si="71"/>
        <v>1442508</v>
      </c>
      <c r="J1564" s="108" t="str">
        <f>IF(Таблица97[[#This Row],[НК]]=1,Таблица97[[#This Row],[Продажа]],"")</f>
        <v/>
      </c>
      <c r="M1564" s="108">
        <v>1252922</v>
      </c>
      <c r="N1564" s="108">
        <f>Таблица97[[#This Row],[Продажа]]-Таблица97[[#This Row],[Закупка]]</f>
        <v>189586</v>
      </c>
      <c r="O1564" s="108" t="str">
        <f>IF(Таблица97[[#This Row],[НК]]=1,Таблица97[[#This Row],[Маржа]],"")</f>
        <v/>
      </c>
    </row>
    <row r="1565" spans="1:15" ht="20.100000000000001" customHeight="1" x14ac:dyDescent="0.25">
      <c r="A1565" s="2">
        <v>401</v>
      </c>
      <c r="B1565" s="2" t="str">
        <f>TEXT(Таблица97[[#This Row],[Дата]],"ГГ")&amp;RIGHT("000"&amp;Таблица97[[#This Row],[Номер]],4)</f>
        <v>200401</v>
      </c>
      <c r="C1565" s="129">
        <v>43983</v>
      </c>
      <c r="D1565" s="2" t="s">
        <v>38</v>
      </c>
      <c r="E1565" s="108">
        <v>1329777</v>
      </c>
      <c r="F1565" s="129">
        <v>44050</v>
      </c>
      <c r="H1565" s="129">
        <v>44034</v>
      </c>
      <c r="I1565" s="108">
        <f t="shared" si="71"/>
        <v>1329777</v>
      </c>
      <c r="J1565" s="108" t="str">
        <f>IF(Таблица97[[#This Row],[НК]]=1,Таблица97[[#This Row],[Продажа]],"")</f>
        <v/>
      </c>
      <c r="L1565" s="108">
        <v>42000</v>
      </c>
      <c r="M1565" s="108">
        <v>673282.17</v>
      </c>
      <c r="N1565" s="108">
        <f>Таблица97[[#This Row],[Продажа]]-Таблица97[[#This Row],[Закупка]]</f>
        <v>656494.82999999996</v>
      </c>
      <c r="O1565" s="108" t="str">
        <f>IF(Таблица97[[#This Row],[НК]]=1,Таблица97[[#This Row],[Маржа]],"")</f>
        <v/>
      </c>
    </row>
    <row r="1566" spans="1:15" ht="20.100000000000001" customHeight="1" x14ac:dyDescent="0.25">
      <c r="A1566" s="2">
        <v>430</v>
      </c>
      <c r="B1566" s="2" t="str">
        <f>TEXT(Таблица97[[#This Row],[Дата]],"ГГ")&amp;RIGHT("000"&amp;Таблица97[[#This Row],[Номер]],4)</f>
        <v>200430</v>
      </c>
      <c r="C1566" s="129">
        <v>43983</v>
      </c>
      <c r="D1566" s="2" t="s">
        <v>38</v>
      </c>
      <c r="E1566" s="108">
        <v>1034720</v>
      </c>
      <c r="F1566" s="129">
        <v>44050</v>
      </c>
      <c r="H1566" s="129">
        <v>44034</v>
      </c>
      <c r="I1566" s="108">
        <f t="shared" si="71"/>
        <v>1034720</v>
      </c>
      <c r="J1566" s="108" t="str">
        <f>IF(Таблица97[[#This Row],[НК]]=1,Таблица97[[#This Row],[Продажа]],"")</f>
        <v/>
      </c>
      <c r="K1566" s="108">
        <v>120000</v>
      </c>
      <c r="L1566" s="108">
        <v>46800</v>
      </c>
      <c r="M1566" s="108">
        <v>432397.4</v>
      </c>
      <c r="N1566" s="108">
        <f>Таблица97[[#This Row],[Продажа]]-Таблица97[[#This Row],[Закупка]]</f>
        <v>602322.6</v>
      </c>
      <c r="O1566" s="108" t="str">
        <f>IF(Таблица97[[#This Row],[НК]]=1,Таблица97[[#This Row],[Маржа]],"")</f>
        <v/>
      </c>
    </row>
    <row r="1567" spans="1:15" ht="20.100000000000001" customHeight="1" x14ac:dyDescent="0.25">
      <c r="A1567" s="2">
        <v>776</v>
      </c>
      <c r="B1567" s="2" t="str">
        <f>TEXT(Таблица97[[#This Row],[Дата]],"ГГ")&amp;RIGHT("000"&amp;Таблица97[[#This Row],[Номер]],4)</f>
        <v>200776</v>
      </c>
      <c r="C1567" s="129">
        <v>44050</v>
      </c>
      <c r="D1567" s="2" t="s">
        <v>179</v>
      </c>
      <c r="E1567" s="108">
        <v>12436</v>
      </c>
      <c r="F1567" s="129">
        <v>44053</v>
      </c>
      <c r="H1567" s="129">
        <v>44062</v>
      </c>
      <c r="I1567" s="108">
        <f t="shared" si="71"/>
        <v>12436</v>
      </c>
      <c r="J1567" s="108" t="str">
        <f>IF(Таблица97[[#This Row],[НК]]=1,Таблица97[[#This Row],[Продажа]],"")</f>
        <v/>
      </c>
      <c r="M1567" s="108">
        <v>9574</v>
      </c>
      <c r="N1567" s="108">
        <f>Таблица97[[#This Row],[Продажа]]-Таблица97[[#This Row],[Закупка]]</f>
        <v>2862</v>
      </c>
      <c r="O1567" s="108" t="str">
        <f>IF(Таблица97[[#This Row],[НК]]=1,Таблица97[[#This Row],[Маржа]],"")</f>
        <v/>
      </c>
    </row>
    <row r="1568" spans="1:15" ht="20.100000000000001" customHeight="1" x14ac:dyDescent="0.25">
      <c r="A1568" s="2">
        <v>784</v>
      </c>
      <c r="B1568" s="2" t="str">
        <f>TEXT(Таблица97[[#This Row],[Дата]],"ГГ")&amp;RIGHT("000"&amp;Таблица97[[#This Row],[Номер]],4)</f>
        <v>200784</v>
      </c>
      <c r="C1568" s="129">
        <v>44053</v>
      </c>
      <c r="D1568" s="2" t="s">
        <v>149</v>
      </c>
      <c r="E1568" s="108">
        <v>5528</v>
      </c>
      <c r="F1568" s="129">
        <v>44053</v>
      </c>
      <c r="H1568" s="129">
        <v>44057</v>
      </c>
      <c r="I1568" s="108">
        <f t="shared" si="71"/>
        <v>5528</v>
      </c>
      <c r="J1568" s="108" t="str">
        <f>IF(Таблица97[[#This Row],[НК]]=1,Таблица97[[#This Row],[Продажа]],"")</f>
        <v/>
      </c>
      <c r="M1568" s="108">
        <v>3752</v>
      </c>
      <c r="N1568" s="108">
        <f>Таблица97[[#This Row],[Продажа]]-Таблица97[[#This Row],[Закупка]]</f>
        <v>1776</v>
      </c>
      <c r="O1568" s="108" t="str">
        <f>IF(Таблица97[[#This Row],[НК]]=1,Таблица97[[#This Row],[Маржа]],"")</f>
        <v/>
      </c>
    </row>
    <row r="1569" spans="1:15" ht="20.100000000000001" customHeight="1" x14ac:dyDescent="0.25">
      <c r="A1569" s="2">
        <v>773</v>
      </c>
      <c r="B1569" s="2" t="str">
        <f>TEXT(Таблица97[[#This Row],[Дата]],"ГГ")&amp;RIGHT("000"&amp;Таблица97[[#This Row],[Номер]],4)</f>
        <v>200773</v>
      </c>
      <c r="C1569" s="129">
        <v>44050</v>
      </c>
      <c r="D1569" s="2" t="s">
        <v>182</v>
      </c>
      <c r="E1569" s="108">
        <v>11017.04</v>
      </c>
      <c r="F1569" s="129">
        <v>44056</v>
      </c>
      <c r="H1569" s="129">
        <v>44076</v>
      </c>
      <c r="I1569" s="108">
        <f t="shared" si="71"/>
        <v>11017.04</v>
      </c>
      <c r="J1569" s="108" t="str">
        <f>IF(Таблица97[[#This Row],[НК]]=1,Таблица97[[#This Row],[Продажа]],"")</f>
        <v/>
      </c>
      <c r="M1569" s="108">
        <v>8475</v>
      </c>
      <c r="N1569" s="108">
        <f>Таблица97[[#This Row],[Продажа]]-Таблица97[[#This Row],[Закупка]]</f>
        <v>2542.0400000000009</v>
      </c>
      <c r="O1569" s="108" t="str">
        <f>IF(Таблица97[[#This Row],[НК]]=1,Таблица97[[#This Row],[Маржа]],"")</f>
        <v/>
      </c>
    </row>
    <row r="1570" spans="1:15" ht="20.100000000000001" customHeight="1" x14ac:dyDescent="0.25">
      <c r="A1570" s="2">
        <v>725</v>
      </c>
      <c r="B1570" s="2" t="str">
        <f>TEXT(Таблица97[[#This Row],[Дата]],"ГГ")&amp;RIGHT("000"&amp;Таблица97[[#This Row],[Номер]],4)</f>
        <v>200725</v>
      </c>
      <c r="C1570" s="129">
        <v>44039</v>
      </c>
      <c r="D1570" s="2" t="s">
        <v>11</v>
      </c>
      <c r="E1570" s="108">
        <v>10533</v>
      </c>
      <c r="F1570" s="129">
        <v>44057</v>
      </c>
      <c r="H1570" s="129">
        <v>44062</v>
      </c>
      <c r="I1570" s="108">
        <f t="shared" si="71"/>
        <v>10533</v>
      </c>
      <c r="J1570" s="108" t="str">
        <f>IF(Таблица97[[#This Row],[НК]]=1,Таблица97[[#This Row],[Продажа]],"")</f>
        <v/>
      </c>
      <c r="M1570" s="108">
        <v>6660</v>
      </c>
      <c r="N1570" s="108">
        <f>Таблица97[[#This Row],[Продажа]]-Таблица97[[#This Row],[Закупка]]</f>
        <v>3873</v>
      </c>
      <c r="O1570" s="108" t="str">
        <f>IF(Таблица97[[#This Row],[НК]]=1,Таблица97[[#This Row],[Маржа]],"")</f>
        <v/>
      </c>
    </row>
    <row r="1571" spans="1:15" ht="20.100000000000001" customHeight="1" x14ac:dyDescent="0.25">
      <c r="A1571" s="2">
        <v>800</v>
      </c>
      <c r="B1571" s="2" t="str">
        <f>TEXT(Таблица97[[#This Row],[Дата]],"ГГ")&amp;RIGHT("000"&amp;Таблица97[[#This Row],[Номер]],4)</f>
        <v>200800</v>
      </c>
      <c r="C1571" s="129">
        <v>44057</v>
      </c>
      <c r="D1571" s="2" t="s">
        <v>403</v>
      </c>
      <c r="E1571" s="108">
        <v>6218</v>
      </c>
      <c r="F1571" s="129">
        <v>44060</v>
      </c>
      <c r="H1571" s="129">
        <v>44067</v>
      </c>
      <c r="I1571" s="108">
        <f t="shared" si="71"/>
        <v>6218</v>
      </c>
      <c r="J1571" s="108" t="str">
        <f>IF(Таблица97[[#This Row],[НК]]=1,Таблица97[[#This Row],[Продажа]],"")</f>
        <v/>
      </c>
      <c r="M1571" s="108">
        <v>4787</v>
      </c>
      <c r="N1571" s="108">
        <f>Таблица97[[#This Row],[Продажа]]-Таблица97[[#This Row],[Закупка]]</f>
        <v>1431</v>
      </c>
      <c r="O1571" s="108" t="str">
        <f>IF(Таблица97[[#This Row],[НК]]=1,Таблица97[[#This Row],[Маржа]],"")</f>
        <v/>
      </c>
    </row>
    <row r="1572" spans="1:15" ht="20.100000000000001" customHeight="1" x14ac:dyDescent="0.25">
      <c r="A1572" s="2">
        <v>771</v>
      </c>
      <c r="B1572" s="2" t="str">
        <f>TEXT(Таблица97[[#This Row],[Дата]],"ГГ")&amp;RIGHT("000"&amp;Таблица97[[#This Row],[Номер]],4)</f>
        <v>200771</v>
      </c>
      <c r="C1572" s="129">
        <v>44056</v>
      </c>
      <c r="D1572" s="2" t="s">
        <v>468</v>
      </c>
      <c r="E1572" s="108">
        <v>712000</v>
      </c>
      <c r="F1572" s="129">
        <v>44060</v>
      </c>
      <c r="G1572" s="128">
        <v>1</v>
      </c>
      <c r="H1572" s="129">
        <v>44090</v>
      </c>
      <c r="I1572" s="108">
        <f t="shared" si="71"/>
        <v>712000</v>
      </c>
      <c r="J1572" s="108">
        <f>IF(Таблица97[[#This Row],[НК]]=1,Таблица97[[#This Row],[Продажа]],"")</f>
        <v>712000</v>
      </c>
      <c r="M1572" s="108">
        <v>627563</v>
      </c>
      <c r="N1572" s="108">
        <f>Таблица97[[#This Row],[Продажа]]-Таблица97[[#This Row],[Закупка]]</f>
        <v>84437</v>
      </c>
      <c r="O1572" s="108">
        <f>IF(Таблица97[[#This Row],[НК]]=1,Таблица97[[#This Row],[Маржа]],"")</f>
        <v>84437</v>
      </c>
    </row>
    <row r="1573" spans="1:15" ht="20.100000000000001" customHeight="1" x14ac:dyDescent="0.25">
      <c r="A1573" s="2">
        <v>652</v>
      </c>
      <c r="B1573" s="2" t="str">
        <f>TEXT(Таблица97[[#This Row],[Дата]],"ГГ")&amp;RIGHT("000"&amp;Таблица97[[#This Row],[Номер]],4)</f>
        <v>200652</v>
      </c>
      <c r="C1573" s="129">
        <v>44021</v>
      </c>
      <c r="D1573" s="2" t="s">
        <v>311</v>
      </c>
      <c r="E1573" s="108">
        <v>5667</v>
      </c>
      <c r="F1573" s="129">
        <v>44062</v>
      </c>
      <c r="H1573" s="129">
        <v>44039</v>
      </c>
      <c r="I1573" s="108">
        <f t="shared" si="71"/>
        <v>5667</v>
      </c>
      <c r="J1573" s="108" t="str">
        <f>IF(Таблица97[[#This Row],[НК]]=1,Таблица97[[#This Row],[Продажа]],"")</f>
        <v/>
      </c>
      <c r="M1573" s="108">
        <v>4416</v>
      </c>
      <c r="N1573" s="108">
        <f>Таблица97[[#This Row],[Продажа]]-Таблица97[[#This Row],[Закупка]]</f>
        <v>1251</v>
      </c>
      <c r="O1573" s="108" t="str">
        <f>IF(Таблица97[[#This Row],[НК]]=1,Таблица97[[#This Row],[Маржа]],"")</f>
        <v/>
      </c>
    </row>
    <row r="1574" spans="1:15" ht="20.100000000000001" customHeight="1" x14ac:dyDescent="0.25">
      <c r="A1574" s="2">
        <v>711</v>
      </c>
      <c r="B1574" s="2" t="str">
        <f>TEXT(Таблица97[[#This Row],[Дата]],"ГГ")&amp;RIGHT("000"&amp;Таблица97[[#This Row],[Номер]],4)</f>
        <v>200711</v>
      </c>
      <c r="C1574" s="129">
        <v>44035</v>
      </c>
      <c r="D1574" s="2" t="s">
        <v>465</v>
      </c>
      <c r="E1574" s="108">
        <v>38990</v>
      </c>
      <c r="F1574" s="129">
        <v>44063</v>
      </c>
      <c r="G1574" s="128">
        <v>1</v>
      </c>
      <c r="H1574" s="129">
        <v>44083</v>
      </c>
      <c r="I1574" s="108">
        <f t="shared" si="71"/>
        <v>38990</v>
      </c>
      <c r="J1574" s="108">
        <f>IF(Таблица97[[#This Row],[НК]]=1,Таблица97[[#This Row],[Продажа]],"")</f>
        <v>38990</v>
      </c>
      <c r="M1574" s="108">
        <v>28657</v>
      </c>
      <c r="N1574" s="108">
        <f>Таблица97[[#This Row],[Продажа]]-Таблица97[[#This Row],[Закупка]]</f>
        <v>10333</v>
      </c>
      <c r="O1574" s="108">
        <f>IF(Таблица97[[#This Row],[НК]]=1,Таблица97[[#This Row],[Маржа]],"")</f>
        <v>10333</v>
      </c>
    </row>
    <row r="1575" spans="1:15" ht="20.100000000000001" customHeight="1" x14ac:dyDescent="0.25">
      <c r="A1575" s="2">
        <v>713</v>
      </c>
      <c r="B1575" s="2" t="str">
        <f>TEXT(Таблица97[[#This Row],[Дата]],"ГГ")&amp;RIGHT("000"&amp;Таблица97[[#This Row],[Номер]],4)</f>
        <v>200713</v>
      </c>
      <c r="C1575" s="129">
        <v>44035</v>
      </c>
      <c r="D1575" s="2" t="s">
        <v>465</v>
      </c>
      <c r="E1575" s="108">
        <v>31570</v>
      </c>
      <c r="F1575" s="129">
        <v>44063</v>
      </c>
      <c r="G1575" s="128">
        <v>1</v>
      </c>
      <c r="H1575" s="129">
        <v>44083</v>
      </c>
      <c r="I1575" s="108">
        <f t="shared" si="71"/>
        <v>31570</v>
      </c>
      <c r="J1575" s="108">
        <f>IF(Таблица97[[#This Row],[НК]]=1,Таблица97[[#This Row],[Продажа]],"")</f>
        <v>31570</v>
      </c>
      <c r="M1575" s="108">
        <v>23609</v>
      </c>
      <c r="N1575" s="108">
        <f>Таблица97[[#This Row],[Продажа]]-Таблица97[[#This Row],[Закупка]]</f>
        <v>7961</v>
      </c>
      <c r="O1575" s="108">
        <f>IF(Таблица97[[#This Row],[НК]]=1,Таблица97[[#This Row],[Маржа]],"")</f>
        <v>7961</v>
      </c>
    </row>
    <row r="1576" spans="1:15" ht="20.100000000000001" customHeight="1" x14ac:dyDescent="0.25">
      <c r="A1576" s="2">
        <v>802</v>
      </c>
      <c r="B1576" s="2" t="str">
        <f>TEXT(Таблица97[[#This Row],[Дата]],"ГГ")&amp;RIGHT("000"&amp;Таблица97[[#This Row],[Номер]],4)</f>
        <v>200802</v>
      </c>
      <c r="C1576" s="129">
        <v>44057</v>
      </c>
      <c r="D1576" s="2" t="s">
        <v>186</v>
      </c>
      <c r="E1576" s="108">
        <v>7100</v>
      </c>
      <c r="F1576" s="129">
        <v>44064</v>
      </c>
      <c r="H1576" s="129">
        <v>44104</v>
      </c>
      <c r="I1576" s="108">
        <f t="shared" si="71"/>
        <v>7100</v>
      </c>
      <c r="J1576" s="108" t="str">
        <f>IF(Таблица97[[#This Row],[НК]]=1,Таблица97[[#This Row],[Продажа]],"")</f>
        <v/>
      </c>
      <c r="M1576" s="108">
        <v>4686</v>
      </c>
      <c r="N1576" s="108">
        <f>Таблица97[[#This Row],[Продажа]]-Таблица97[[#This Row],[Закупка]]</f>
        <v>2414</v>
      </c>
      <c r="O1576" s="108" t="str">
        <f>IF(Таблица97[[#This Row],[НК]]=1,Таблица97[[#This Row],[Маржа]],"")</f>
        <v/>
      </c>
    </row>
    <row r="1577" spans="1:15" ht="20.100000000000001" customHeight="1" x14ac:dyDescent="0.25">
      <c r="A1577" s="2">
        <v>809</v>
      </c>
      <c r="B1577" s="2" t="str">
        <f>TEXT(Таблица97[[#This Row],[Дата]],"ГГ")&amp;RIGHT("000"&amp;Таблица97[[#This Row],[Номер]],4)</f>
        <v>200809</v>
      </c>
      <c r="C1577" s="129">
        <v>44060</v>
      </c>
      <c r="D1577" s="2" t="s">
        <v>270</v>
      </c>
      <c r="E1577" s="108">
        <v>3879</v>
      </c>
      <c r="F1577" s="129">
        <v>44067</v>
      </c>
      <c r="H1577" s="129">
        <v>44064</v>
      </c>
      <c r="I1577" s="108">
        <f t="shared" si="71"/>
        <v>3879</v>
      </c>
      <c r="J1577" s="108" t="str">
        <f>IF(Таблица97[[#This Row],[НК]]=1,Таблица97[[#This Row],[Продажа]],"")</f>
        <v/>
      </c>
      <c r="M1577" s="108">
        <v>3024</v>
      </c>
      <c r="N1577" s="108">
        <f>Таблица97[[#This Row],[Продажа]]-Таблица97[[#This Row],[Закупка]]</f>
        <v>855</v>
      </c>
      <c r="O1577" s="108" t="str">
        <f>IF(Таблица97[[#This Row],[НК]]=1,Таблица97[[#This Row],[Маржа]],"")</f>
        <v/>
      </c>
    </row>
    <row r="1578" spans="1:15" ht="20.100000000000001" customHeight="1" x14ac:dyDescent="0.25">
      <c r="A1578" s="2">
        <v>515</v>
      </c>
      <c r="B1578" s="2" t="str">
        <f>TEXT(Таблица97[[#This Row],[Дата]],"ГГ")&amp;RIGHT("000"&amp;Таблица97[[#This Row],[Номер]],4)</f>
        <v>200515</v>
      </c>
      <c r="C1578" s="129">
        <v>43992</v>
      </c>
      <c r="D1578" s="2" t="s">
        <v>99</v>
      </c>
      <c r="E1578" s="108">
        <v>246624</v>
      </c>
      <c r="F1578" s="129">
        <v>44068</v>
      </c>
      <c r="H1578" s="129">
        <v>44022</v>
      </c>
      <c r="I1578" s="108">
        <f t="shared" si="71"/>
        <v>246624</v>
      </c>
      <c r="J1578" s="108" t="str">
        <f>IF(Таблица97[[#This Row],[НК]]=1,Таблица97[[#This Row],[Продажа]],"")</f>
        <v/>
      </c>
      <c r="K1578" s="108">
        <v>30000</v>
      </c>
      <c r="L1578" s="108">
        <f>10*600</f>
        <v>6000</v>
      </c>
      <c r="M1578" s="108">
        <v>113784</v>
      </c>
      <c r="N1578" s="108">
        <f>Таблица97[[#This Row],[Продажа]]-Таблица97[[#This Row],[Закупка]]</f>
        <v>132840</v>
      </c>
      <c r="O1578" s="108" t="str">
        <f>IF(Таблица97[[#This Row],[НК]]=1,Таблица97[[#This Row],[Маржа]],"")</f>
        <v/>
      </c>
    </row>
    <row r="1579" spans="1:15" ht="20.100000000000001" customHeight="1" x14ac:dyDescent="0.25">
      <c r="A1579" s="2">
        <v>821</v>
      </c>
      <c r="B1579" s="2" t="str">
        <f>TEXT(Таблица97[[#This Row],[Дата]],"ГГ")&amp;RIGHT("000"&amp;Таблица97[[#This Row],[Номер]],4)</f>
        <v>200821</v>
      </c>
      <c r="C1579" s="129">
        <v>44061</v>
      </c>
      <c r="D1579" s="2" t="s">
        <v>228</v>
      </c>
      <c r="E1579" s="108">
        <v>23866</v>
      </c>
      <c r="F1579" s="129">
        <v>44068</v>
      </c>
      <c r="H1579" s="129">
        <v>44090</v>
      </c>
      <c r="I1579" s="108">
        <f t="shared" si="71"/>
        <v>23866</v>
      </c>
      <c r="J1579" s="108" t="str">
        <f>IF(Таблица97[[#This Row],[НК]]=1,Таблица97[[#This Row],[Продажа]],"")</f>
        <v/>
      </c>
      <c r="M1579" s="108">
        <v>17041</v>
      </c>
      <c r="N1579" s="108">
        <f>Таблица97[[#This Row],[Продажа]]-Таблица97[[#This Row],[Закупка]]</f>
        <v>6825</v>
      </c>
      <c r="O1579" s="108" t="str">
        <f>IF(Таблица97[[#This Row],[НК]]=1,Таблица97[[#This Row],[Маржа]],"")</f>
        <v/>
      </c>
    </row>
    <row r="1580" spans="1:15" ht="20.100000000000001" customHeight="1" x14ac:dyDescent="0.25">
      <c r="A1580" s="2">
        <v>376</v>
      </c>
      <c r="B1580" s="2" t="str">
        <f>TEXT(Таблица97[[#This Row],[Дата]],"ГГ")&amp;RIGHT("000"&amp;Таблица97[[#This Row],[Номер]],4)</f>
        <v>200376</v>
      </c>
      <c r="C1580" s="129">
        <v>43983</v>
      </c>
      <c r="D1580" s="2" t="s">
        <v>38</v>
      </c>
      <c r="E1580" s="108">
        <v>108426</v>
      </c>
      <c r="F1580" s="129">
        <v>44069</v>
      </c>
      <c r="H1580" s="129">
        <v>44034</v>
      </c>
      <c r="I1580" s="108">
        <f t="shared" si="71"/>
        <v>108426</v>
      </c>
      <c r="J1580" s="108" t="str">
        <f>IF(Таблица97[[#This Row],[НК]]=1,Таблица97[[#This Row],[Продажа]],"")</f>
        <v/>
      </c>
      <c r="M1580" s="108">
        <v>79628</v>
      </c>
      <c r="N1580" s="108">
        <f>Таблица97[[#This Row],[Продажа]]-Таблица97[[#This Row],[Закупка]]</f>
        <v>28798</v>
      </c>
      <c r="O1580" s="108" t="str">
        <f>IF(Таблица97[[#This Row],[НК]]=1,Таблица97[[#This Row],[Маржа]],"")</f>
        <v/>
      </c>
    </row>
    <row r="1581" spans="1:15" ht="20.100000000000001" customHeight="1" x14ac:dyDescent="0.25">
      <c r="A1581" s="2">
        <v>739</v>
      </c>
      <c r="B1581" s="2" t="str">
        <f>TEXT(Таблица97[[#This Row],[Дата]],"ГГ")&amp;RIGHT("000"&amp;Таблица97[[#This Row],[Номер]],4)</f>
        <v>200739</v>
      </c>
      <c r="C1581" s="129">
        <v>44040</v>
      </c>
      <c r="D1581" s="2" t="s">
        <v>209</v>
      </c>
      <c r="E1581" s="108">
        <v>2204.9</v>
      </c>
      <c r="F1581" s="129">
        <v>44074</v>
      </c>
      <c r="H1581" s="129">
        <v>44040</v>
      </c>
      <c r="I1581" s="108">
        <f t="shared" si="71"/>
        <v>2204.9</v>
      </c>
      <c r="J1581" s="108" t="str">
        <f>IF(Таблица97[[#This Row],[НК]]=1,Таблица97[[#This Row],[Продажа]],"")</f>
        <v/>
      </c>
      <c r="M1581" s="108">
        <v>1764</v>
      </c>
      <c r="N1581" s="108">
        <f>Таблица97[[#This Row],[Продажа]]-Таблица97[[#This Row],[Закупка]]</f>
        <v>440.90000000000009</v>
      </c>
      <c r="O1581" s="108" t="str">
        <f>IF(Таблица97[[#This Row],[НК]]=1,Таблица97[[#This Row],[Маржа]],"")</f>
        <v/>
      </c>
    </row>
    <row r="1582" spans="1:15" ht="20.100000000000001" customHeight="1" x14ac:dyDescent="0.25">
      <c r="A1582" s="2">
        <v>867</v>
      </c>
      <c r="B1582" s="2" t="str">
        <f>TEXT(Таблица97[[#This Row],[Дата]],"ГГ")&amp;RIGHT("000"&amp;Таблица97[[#This Row],[Номер]],4)</f>
        <v>200867</v>
      </c>
      <c r="C1582" s="129">
        <v>44074</v>
      </c>
      <c r="D1582" s="2" t="s">
        <v>209</v>
      </c>
      <c r="E1582" s="108">
        <v>4400</v>
      </c>
      <c r="F1582" s="129">
        <v>44074</v>
      </c>
      <c r="H1582" s="129">
        <v>44081</v>
      </c>
      <c r="I1582" s="108">
        <f t="shared" si="71"/>
        <v>4400</v>
      </c>
      <c r="J1582" s="108" t="str">
        <f>IF(Таблица97[[#This Row],[НК]]=1,Таблица97[[#This Row],[Продажа]],"")</f>
        <v/>
      </c>
      <c r="M1582" s="108">
        <v>4000</v>
      </c>
      <c r="N1582" s="108">
        <f>Таблица97[[#This Row],[Продажа]]-Таблица97[[#This Row],[Закупка]]</f>
        <v>400</v>
      </c>
      <c r="O1582" s="108" t="str">
        <f>IF(Таблица97[[#This Row],[НК]]=1,Таблица97[[#This Row],[Маржа]],"")</f>
        <v/>
      </c>
    </row>
    <row r="1583" spans="1:15" ht="20.100000000000001" customHeight="1" x14ac:dyDescent="0.25">
      <c r="A1583" s="2">
        <v>772</v>
      </c>
      <c r="B1583" s="2" t="str">
        <f>TEXT(Таблица97[[#This Row],[Дата]],"ГГ")&amp;RIGHT("000"&amp;Таблица97[[#This Row],[Номер]],4)</f>
        <v>200772</v>
      </c>
      <c r="C1583" s="129">
        <v>44050</v>
      </c>
      <c r="D1583" s="2" t="s">
        <v>11</v>
      </c>
      <c r="E1583" s="108">
        <v>2381</v>
      </c>
      <c r="F1583" s="129">
        <v>44074</v>
      </c>
      <c r="H1583" s="129">
        <v>44076</v>
      </c>
      <c r="I1583" s="108">
        <f t="shared" si="71"/>
        <v>2381</v>
      </c>
      <c r="J1583" s="108" t="str">
        <f>IF(Таблица97[[#This Row],[НК]]=1,Таблица97[[#This Row],[Продажа]],"")</f>
        <v/>
      </c>
      <c r="M1583" s="108">
        <v>1449</v>
      </c>
      <c r="N1583" s="108">
        <f>Таблица97[[#This Row],[Продажа]]-Таблица97[[#This Row],[Закупка]]</f>
        <v>932</v>
      </c>
      <c r="O1583" s="108" t="str">
        <f>IF(Таблица97[[#This Row],[НК]]=1,Таблица97[[#This Row],[Маржа]],"")</f>
        <v/>
      </c>
    </row>
    <row r="1584" spans="1:15" ht="20.100000000000001" customHeight="1" x14ac:dyDescent="0.25">
      <c r="A1584" s="2">
        <v>756</v>
      </c>
      <c r="B1584" s="2" t="str">
        <f>TEXT(Таблица97[[#This Row],[Дата]],"ГГ")&amp;RIGHT("000"&amp;Таблица97[[#This Row],[Номер]],4)</f>
        <v>200756</v>
      </c>
      <c r="C1584" s="129">
        <v>44047</v>
      </c>
      <c r="D1584" s="2" t="s">
        <v>11</v>
      </c>
      <c r="E1584" s="108">
        <v>19041</v>
      </c>
      <c r="F1584" s="129">
        <v>44074</v>
      </c>
      <c r="H1584" s="129">
        <v>44076</v>
      </c>
      <c r="I1584" s="108">
        <f t="shared" si="71"/>
        <v>19041</v>
      </c>
      <c r="J1584" s="108" t="str">
        <f>IF(Таблица97[[#This Row],[НК]]=1,Таблица97[[#This Row],[Продажа]],"")</f>
        <v/>
      </c>
      <c r="M1584" s="108">
        <v>14850</v>
      </c>
      <c r="N1584" s="108">
        <f>Таблица97[[#This Row],[Продажа]]-Таблица97[[#This Row],[Закупка]]</f>
        <v>4191</v>
      </c>
      <c r="O1584" s="108" t="str">
        <f>IF(Таблица97[[#This Row],[НК]]=1,Таблица97[[#This Row],[Маржа]],"")</f>
        <v/>
      </c>
    </row>
    <row r="1585" spans="1:15" ht="20.100000000000001" customHeight="1" x14ac:dyDescent="0.25">
      <c r="A1585" s="2">
        <v>851</v>
      </c>
      <c r="B1585" s="2" t="str">
        <f>TEXT(Таблица97[[#This Row],[Дата]],"ГГ")&amp;RIGHT("000"&amp;Таблица97[[#This Row],[Номер]],4)</f>
        <v>200851</v>
      </c>
      <c r="C1585" s="129">
        <v>44070</v>
      </c>
      <c r="D1585" s="2" t="s">
        <v>468</v>
      </c>
      <c r="E1585" s="108">
        <v>42147</v>
      </c>
      <c r="F1585" s="129">
        <v>44076</v>
      </c>
      <c r="H1585" s="129">
        <v>44147</v>
      </c>
      <c r="I1585" s="108">
        <f t="shared" ref="I1585:I1602" si="72">E1585</f>
        <v>42147</v>
      </c>
      <c r="J1585" s="108" t="str">
        <f>IF(Таблица97[[#This Row],[НК]]=1,Таблица97[[#This Row],[Продажа]],"")</f>
        <v/>
      </c>
      <c r="M1585" s="108">
        <v>32875</v>
      </c>
      <c r="N1585" s="108">
        <f>Таблица97[[#This Row],[Продажа]]-Таблица97[[#This Row],[Закупка]]</f>
        <v>9272</v>
      </c>
      <c r="O1585" s="108" t="str">
        <f>IF(Таблица97[[#This Row],[НК]]=1,Таблица97[[#This Row],[Маржа]],"")</f>
        <v/>
      </c>
    </row>
    <row r="1586" spans="1:15" ht="20.100000000000001" customHeight="1" x14ac:dyDescent="0.25">
      <c r="A1586" s="2">
        <v>888</v>
      </c>
      <c r="B1586" s="2" t="str">
        <f>TEXT(Таблица97[[#This Row],[Дата]],"ГГ")&amp;RIGHT("000"&amp;Таблица97[[#This Row],[Номер]],4)</f>
        <v>200888</v>
      </c>
      <c r="C1586" s="129">
        <v>44077</v>
      </c>
      <c r="D1586" s="2" t="s">
        <v>91</v>
      </c>
      <c r="E1586" s="108">
        <v>8892</v>
      </c>
      <c r="F1586" s="129">
        <v>44077</v>
      </c>
      <c r="H1586" s="129">
        <v>44084</v>
      </c>
      <c r="I1586" s="108">
        <f t="shared" si="72"/>
        <v>8892</v>
      </c>
      <c r="J1586" s="108" t="str">
        <f>IF(Таблица97[[#This Row],[НК]]=1,Таблица97[[#This Row],[Продажа]],"")</f>
        <v/>
      </c>
      <c r="M1586" s="108">
        <v>6054</v>
      </c>
      <c r="N1586" s="108">
        <f>Таблица97[[#This Row],[Продажа]]-Таблица97[[#This Row],[Закупка]]</f>
        <v>2838</v>
      </c>
      <c r="O1586" s="108" t="str">
        <f>IF(Таблица97[[#This Row],[НК]]=1,Таблица97[[#This Row],[Маржа]],"")</f>
        <v/>
      </c>
    </row>
    <row r="1587" spans="1:15" ht="20.100000000000001" customHeight="1" x14ac:dyDescent="0.25">
      <c r="A1587" s="2">
        <v>883</v>
      </c>
      <c r="B1587" s="2" t="str">
        <f>TEXT(Таблица97[[#This Row],[Дата]],"ГГ")&amp;RIGHT("000"&amp;Таблица97[[#This Row],[Номер]],4)</f>
        <v>200883</v>
      </c>
      <c r="C1587" s="129">
        <v>44076</v>
      </c>
      <c r="D1587" s="2" t="s">
        <v>372</v>
      </c>
      <c r="E1587" s="108">
        <v>2964</v>
      </c>
      <c r="F1587" s="129">
        <v>44077</v>
      </c>
      <c r="H1587" s="129">
        <v>44081</v>
      </c>
      <c r="I1587" s="108">
        <f t="shared" si="72"/>
        <v>2964</v>
      </c>
      <c r="J1587" s="108" t="str">
        <f>IF(Таблица97[[#This Row],[НК]]=1,Таблица97[[#This Row],[Продажа]],"")</f>
        <v/>
      </c>
      <c r="M1587" s="108">
        <v>2018</v>
      </c>
      <c r="N1587" s="108">
        <f>Таблица97[[#This Row],[Продажа]]-Таблица97[[#This Row],[Закупка]]</f>
        <v>946</v>
      </c>
      <c r="O1587" s="108" t="str">
        <f>IF(Таблица97[[#This Row],[НК]]=1,Таблица97[[#This Row],[Маржа]],"")</f>
        <v/>
      </c>
    </row>
    <row r="1588" spans="1:15" ht="20.100000000000001" customHeight="1" x14ac:dyDescent="0.25">
      <c r="A1588" s="2">
        <v>890</v>
      </c>
      <c r="B1588" s="2" t="str">
        <f>TEXT(Таблица97[[#This Row],[Дата]],"ГГ")&amp;RIGHT("000"&amp;Таблица97[[#This Row],[Номер]],4)</f>
        <v>200890</v>
      </c>
      <c r="C1588" s="129">
        <v>44077</v>
      </c>
      <c r="D1588" s="2" t="s">
        <v>469</v>
      </c>
      <c r="E1588" s="108">
        <v>2119</v>
      </c>
      <c r="F1588" s="129">
        <v>44077</v>
      </c>
      <c r="G1588" s="128">
        <v>1</v>
      </c>
      <c r="H1588" s="129">
        <v>44103</v>
      </c>
      <c r="I1588" s="108">
        <f t="shared" si="72"/>
        <v>2119</v>
      </c>
      <c r="J1588" s="108">
        <f>IF(Таблица97[[#This Row],[НК]]=1,Таблица97[[#This Row],[Продажа]],"")</f>
        <v>2119</v>
      </c>
      <c r="M1588" s="108">
        <v>1750</v>
      </c>
      <c r="N1588" s="108">
        <f>Таблица97[[#This Row],[Продажа]]-Таблица97[[#This Row],[Закупка]]</f>
        <v>369</v>
      </c>
      <c r="O1588" s="108">
        <f>IF(Таблица97[[#This Row],[НК]]=1,Таблица97[[#This Row],[Маржа]],"")</f>
        <v>369</v>
      </c>
    </row>
    <row r="1589" spans="1:15" ht="20.100000000000001" customHeight="1" x14ac:dyDescent="0.25">
      <c r="A1589" s="2">
        <v>914</v>
      </c>
      <c r="B1589" s="2" t="str">
        <f>TEXT(Таблица97[[#This Row],[Дата]],"ГГ")&amp;RIGHT("000"&amp;Таблица97[[#This Row],[Номер]],4)</f>
        <v>200914</v>
      </c>
      <c r="C1589" s="129">
        <v>44083</v>
      </c>
      <c r="D1589" s="2" t="s">
        <v>470</v>
      </c>
      <c r="E1589" s="108">
        <v>4389</v>
      </c>
      <c r="F1589" s="129">
        <v>44084</v>
      </c>
      <c r="G1589" s="128">
        <v>1</v>
      </c>
      <c r="H1589" s="129">
        <v>44103</v>
      </c>
      <c r="I1589" s="108">
        <f t="shared" si="72"/>
        <v>4389</v>
      </c>
      <c r="J1589" s="108">
        <f>IF(Таблица97[[#This Row],[НК]]=1,Таблица97[[#This Row],[Продажа]],"")</f>
        <v>4389</v>
      </c>
      <c r="M1589" s="108">
        <v>3423</v>
      </c>
      <c r="N1589" s="108">
        <f>Таблица97[[#This Row],[Продажа]]-Таблица97[[#This Row],[Закупка]]</f>
        <v>966</v>
      </c>
      <c r="O1589" s="108">
        <f>IF(Таблица97[[#This Row],[НК]]=1,Таблица97[[#This Row],[Маржа]],"")</f>
        <v>966</v>
      </c>
    </row>
    <row r="1590" spans="1:15" ht="20.100000000000001" customHeight="1" x14ac:dyDescent="0.25">
      <c r="A1590" s="2">
        <v>910</v>
      </c>
      <c r="B1590" s="2" t="str">
        <f>TEXT(Таблица97[[#This Row],[Дата]],"ГГ")&amp;RIGHT("000"&amp;Таблица97[[#This Row],[Номер]],4)</f>
        <v>200910</v>
      </c>
      <c r="C1590" s="129">
        <v>44083</v>
      </c>
      <c r="D1590" s="2" t="s">
        <v>404</v>
      </c>
      <c r="E1590" s="108">
        <v>68297</v>
      </c>
      <c r="F1590" s="129">
        <v>44084</v>
      </c>
      <c r="H1590" s="129">
        <v>44084</v>
      </c>
      <c r="I1590" s="108">
        <f t="shared" si="72"/>
        <v>68297</v>
      </c>
      <c r="J1590" s="108" t="str">
        <f>IF(Таблица97[[#This Row],[НК]]=1,Таблица97[[#This Row],[Продажа]],"")</f>
        <v/>
      </c>
      <c r="M1590" s="108">
        <v>47514</v>
      </c>
      <c r="N1590" s="108">
        <f>Таблица97[[#This Row],[Продажа]]-Таблица97[[#This Row],[Закупка]]</f>
        <v>20783</v>
      </c>
      <c r="O1590" s="108" t="str">
        <f>IF(Таблица97[[#This Row],[НК]]=1,Таблица97[[#This Row],[Маржа]],"")</f>
        <v/>
      </c>
    </row>
    <row r="1591" spans="1:15" ht="20.100000000000001" customHeight="1" x14ac:dyDescent="0.25">
      <c r="A1591" s="2">
        <v>916</v>
      </c>
      <c r="B1591" s="2" t="str">
        <f>TEXT(Таблица97[[#This Row],[Дата]],"ГГ")&amp;RIGHT("000"&amp;Таблица97[[#This Row],[Номер]],4)</f>
        <v>200916</v>
      </c>
      <c r="C1591" s="129">
        <v>44084</v>
      </c>
      <c r="D1591" s="2" t="s">
        <v>354</v>
      </c>
      <c r="E1591" s="108">
        <v>211450.3</v>
      </c>
      <c r="F1591" s="129">
        <v>44088</v>
      </c>
      <c r="H1591" s="129">
        <v>44109</v>
      </c>
      <c r="I1591" s="108">
        <f t="shared" si="72"/>
        <v>211450.3</v>
      </c>
      <c r="J1591" s="108" t="str">
        <f>IF(Таблица97[[#This Row],[НК]]=1,Таблица97[[#This Row],[Продажа]],"")</f>
        <v/>
      </c>
      <c r="M1591" s="108">
        <v>160092</v>
      </c>
      <c r="N1591" s="108">
        <f>Таблица97[[#This Row],[Продажа]]-Таблица97[[#This Row],[Закупка]]</f>
        <v>51358.299999999988</v>
      </c>
      <c r="O1591" s="108" t="str">
        <f>IF(Таблица97[[#This Row],[НК]]=1,Таблица97[[#This Row],[Маржа]],"")</f>
        <v/>
      </c>
    </row>
    <row r="1592" spans="1:15" ht="20.100000000000001" customHeight="1" x14ac:dyDescent="0.25">
      <c r="A1592" s="2">
        <v>921</v>
      </c>
      <c r="B1592" s="2" t="str">
        <f>TEXT(Таблица97[[#This Row],[Дата]],"ГГ")&amp;RIGHT("000"&amp;Таблица97[[#This Row],[Номер]],4)</f>
        <v>200921</v>
      </c>
      <c r="C1592" s="129">
        <v>44085</v>
      </c>
      <c r="D1592" s="2" t="s">
        <v>16</v>
      </c>
      <c r="E1592" s="108">
        <v>19278</v>
      </c>
      <c r="F1592" s="129">
        <v>44088</v>
      </c>
      <c r="H1592" s="129">
        <v>44103</v>
      </c>
      <c r="I1592" s="108">
        <f t="shared" si="72"/>
        <v>19278</v>
      </c>
      <c r="J1592" s="108" t="str">
        <f>IF(Таблица97[[#This Row],[НК]]=1,Таблица97[[#This Row],[Продажа]],"")</f>
        <v/>
      </c>
      <c r="M1592" s="108">
        <v>15036</v>
      </c>
      <c r="N1592" s="108">
        <f>Таблица97[[#This Row],[Продажа]]-Таблица97[[#This Row],[Закупка]]</f>
        <v>4242</v>
      </c>
      <c r="O1592" s="108" t="str">
        <f>IF(Таблица97[[#This Row],[НК]]=1,Таблица97[[#This Row],[Маржа]],"")</f>
        <v/>
      </c>
    </row>
    <row r="1593" spans="1:15" ht="20.100000000000001" customHeight="1" x14ac:dyDescent="0.25">
      <c r="A1593" s="2">
        <v>709</v>
      </c>
      <c r="B1593" s="2" t="str">
        <f>TEXT(Таблица97[[#This Row],[Дата]],"ГГ")&amp;RIGHT("000"&amp;Таблица97[[#This Row],[Номер]],4)</f>
        <v>200709</v>
      </c>
      <c r="C1593" s="129">
        <v>44035</v>
      </c>
      <c r="D1593" s="2" t="s">
        <v>56</v>
      </c>
      <c r="E1593" s="108">
        <v>184248</v>
      </c>
      <c r="F1593" s="129">
        <v>44091</v>
      </c>
      <c r="H1593" s="129">
        <v>44084</v>
      </c>
      <c r="I1593" s="108">
        <f t="shared" si="72"/>
        <v>184248</v>
      </c>
      <c r="J1593" s="108" t="str">
        <f>IF(Таблица97[[#This Row],[НК]]=1,Таблица97[[#This Row],[Продажа]],"")</f>
        <v/>
      </c>
      <c r="L1593" s="108">
        <v>5400</v>
      </c>
      <c r="M1593" s="108">
        <v>118244.6</v>
      </c>
      <c r="N1593" s="108">
        <f>Таблица97[[#This Row],[Продажа]]-Таблица97[[#This Row],[Закупка]]</f>
        <v>66003.399999999994</v>
      </c>
      <c r="O1593" s="108" t="str">
        <f>IF(Таблица97[[#This Row],[НК]]=1,Таблица97[[#This Row],[Маржа]],"")</f>
        <v/>
      </c>
    </row>
    <row r="1594" spans="1:15" ht="20.100000000000001" customHeight="1" x14ac:dyDescent="0.25">
      <c r="A1594" s="2">
        <v>573</v>
      </c>
      <c r="B1594" s="2" t="str">
        <f>TEXT(Таблица97[[#This Row],[Дата]],"ГГ")&amp;RIGHT("000"&amp;Таблица97[[#This Row],[Номер]],4)</f>
        <v>200573</v>
      </c>
      <c r="C1594" s="129">
        <v>44011</v>
      </c>
      <c r="D1594" s="2" t="s">
        <v>66</v>
      </c>
      <c r="E1594" s="108">
        <v>14636</v>
      </c>
      <c r="F1594" s="129">
        <v>44091</v>
      </c>
      <c r="H1594" s="129">
        <v>44033</v>
      </c>
      <c r="I1594" s="108">
        <f t="shared" si="72"/>
        <v>14636</v>
      </c>
      <c r="J1594" s="108" t="str">
        <f>IF(Таблица97[[#This Row],[НК]]=1,Таблица97[[#This Row],[Продажа]],"")</f>
        <v/>
      </c>
      <c r="M1594" s="108">
        <v>11266</v>
      </c>
      <c r="N1594" s="108">
        <f>Таблица97[[#This Row],[Продажа]]-Таблица97[[#This Row],[Закупка]]</f>
        <v>3370</v>
      </c>
      <c r="O1594" s="108" t="str">
        <f>IF(Таблица97[[#This Row],[НК]]=1,Таблица97[[#This Row],[Маржа]],"")</f>
        <v/>
      </c>
    </row>
    <row r="1595" spans="1:15" ht="20.100000000000001" customHeight="1" x14ac:dyDescent="0.25">
      <c r="A1595" s="2">
        <v>751</v>
      </c>
      <c r="B1595" s="2" t="str">
        <f>TEXT(Таблица97[[#This Row],[Дата]],"ГГ")&amp;RIGHT("000"&amp;Таблица97[[#This Row],[Номер]],4)</f>
        <v>200751</v>
      </c>
      <c r="C1595" s="129">
        <v>44046</v>
      </c>
      <c r="D1595" s="2" t="s">
        <v>66</v>
      </c>
      <c r="E1595" s="108">
        <v>6620</v>
      </c>
      <c r="F1595" s="129">
        <v>44091</v>
      </c>
      <c r="H1595" s="129">
        <v>44047</v>
      </c>
      <c r="I1595" s="108">
        <f t="shared" si="72"/>
        <v>6620</v>
      </c>
      <c r="J1595" s="108" t="str">
        <f>IF(Таблица97[[#This Row],[НК]]=1,Таблица97[[#This Row],[Продажа]],"")</f>
        <v/>
      </c>
      <c r="M1595" s="108">
        <v>5090</v>
      </c>
      <c r="N1595" s="108">
        <f>Таблица97[[#This Row],[Продажа]]-Таблица97[[#This Row],[Закупка]]</f>
        <v>1530</v>
      </c>
      <c r="O1595" s="108" t="str">
        <f>IF(Таблица97[[#This Row],[НК]]=1,Таблица97[[#This Row],[Маржа]],"")</f>
        <v/>
      </c>
    </row>
    <row r="1596" spans="1:15" ht="20.100000000000001" customHeight="1" x14ac:dyDescent="0.25">
      <c r="A1596" s="2">
        <v>589</v>
      </c>
      <c r="B1596" s="2" t="str">
        <f>TEXT(Таблица97[[#This Row],[Дата]],"ГГ")&amp;RIGHT("000"&amp;Таблица97[[#This Row],[Номер]],4)</f>
        <v>200589</v>
      </c>
      <c r="C1596" s="129">
        <v>44014</v>
      </c>
      <c r="D1596" s="2" t="s">
        <v>99</v>
      </c>
      <c r="E1596" s="108">
        <v>220412</v>
      </c>
      <c r="F1596" s="129">
        <v>44096</v>
      </c>
      <c r="H1596" s="129">
        <v>44062</v>
      </c>
      <c r="I1596" s="108">
        <f t="shared" si="72"/>
        <v>220412</v>
      </c>
      <c r="J1596" s="108" t="str">
        <f>IF(Таблица97[[#This Row],[НК]]=1,Таблица97[[#This Row],[Продажа]],"")</f>
        <v/>
      </c>
      <c r="K1596" s="108">
        <v>30000</v>
      </c>
      <c r="L1596" s="108">
        <f>10*600</f>
        <v>6000</v>
      </c>
      <c r="M1596" s="108">
        <v>93822</v>
      </c>
      <c r="N1596" s="108">
        <f>Таблица97[[#This Row],[Продажа]]-Таблица97[[#This Row],[Закупка]]</f>
        <v>126590</v>
      </c>
      <c r="O1596" s="108" t="str">
        <f>IF(Таблица97[[#This Row],[НК]]=1,Таблица97[[#This Row],[Маржа]],"")</f>
        <v/>
      </c>
    </row>
    <row r="1597" spans="1:15" ht="20.100000000000001" customHeight="1" x14ac:dyDescent="0.25">
      <c r="A1597" s="2">
        <v>939</v>
      </c>
      <c r="B1597" s="2" t="str">
        <f>TEXT(Таблица97[[#This Row],[Дата]],"ГГ")&amp;RIGHT("000"&amp;Таблица97[[#This Row],[Номер]],4)</f>
        <v>200939</v>
      </c>
      <c r="C1597" s="129">
        <v>44095</v>
      </c>
      <c r="D1597" s="2" t="s">
        <v>270</v>
      </c>
      <c r="E1597" s="108">
        <v>4391</v>
      </c>
      <c r="F1597" s="129">
        <v>44096</v>
      </c>
      <c r="H1597" s="129">
        <v>44116</v>
      </c>
      <c r="I1597" s="108">
        <f t="shared" si="72"/>
        <v>4391</v>
      </c>
      <c r="J1597" s="108" t="str">
        <f>IF(Таблица97[[#This Row],[НК]]=1,Таблица97[[#This Row],[Продажа]],"")</f>
        <v/>
      </c>
      <c r="M1597" s="108">
        <v>3425</v>
      </c>
      <c r="N1597" s="108">
        <f>Таблица97[[#This Row],[Продажа]]-Таблица97[[#This Row],[Закупка]]</f>
        <v>966</v>
      </c>
      <c r="O1597" s="108" t="str">
        <f>IF(Таблица97[[#This Row],[НК]]=1,Таблица97[[#This Row],[Маржа]],"")</f>
        <v/>
      </c>
    </row>
    <row r="1598" spans="1:15" ht="20.100000000000001" customHeight="1" x14ac:dyDescent="0.25">
      <c r="A1598" s="2">
        <v>949</v>
      </c>
      <c r="B1598" s="2" t="str">
        <f>TEXT(Таблица97[[#This Row],[Дата]],"ГГ")&amp;RIGHT("000"&amp;Таблица97[[#This Row],[Номер]],4)</f>
        <v>200949</v>
      </c>
      <c r="C1598" s="129">
        <v>44097</v>
      </c>
      <c r="D1598" s="2" t="s">
        <v>211</v>
      </c>
      <c r="E1598" s="108">
        <v>9554</v>
      </c>
      <c r="F1598" s="129">
        <v>44097</v>
      </c>
      <c r="H1598" s="129">
        <v>44103</v>
      </c>
      <c r="I1598" s="108">
        <f t="shared" si="72"/>
        <v>9554</v>
      </c>
      <c r="J1598" s="108" t="str">
        <f>IF(Таблица97[[#This Row],[НК]]=1,Таблица97[[#This Row],[Продажа]],"")</f>
        <v/>
      </c>
      <c r="M1598" s="108">
        <v>6947</v>
      </c>
      <c r="N1598" s="108">
        <f>Таблица97[[#This Row],[Продажа]]-Таблица97[[#This Row],[Закупка]]</f>
        <v>2607</v>
      </c>
      <c r="O1598" s="108" t="str">
        <f>IF(Таблица97[[#This Row],[НК]]=1,Таблица97[[#This Row],[Маржа]],"")</f>
        <v/>
      </c>
    </row>
    <row r="1599" spans="1:15" ht="20.100000000000001" customHeight="1" x14ac:dyDescent="0.25">
      <c r="A1599" s="2">
        <v>937</v>
      </c>
      <c r="B1599" s="2" t="str">
        <f>TEXT(Таблица97[[#This Row],[Дата]],"ГГ")&amp;RIGHT("000"&amp;Таблица97[[#This Row],[Номер]],4)</f>
        <v>200937</v>
      </c>
      <c r="C1599" s="129">
        <v>44097</v>
      </c>
      <c r="D1599" s="2" t="s">
        <v>12</v>
      </c>
      <c r="E1599" s="108">
        <v>3138</v>
      </c>
      <c r="F1599" s="129">
        <v>44097</v>
      </c>
      <c r="H1599" s="129">
        <v>44098</v>
      </c>
      <c r="I1599" s="108">
        <f t="shared" si="72"/>
        <v>3138</v>
      </c>
      <c r="J1599" s="108" t="str">
        <f>IF(Таблица97[[#This Row],[НК]]=1,Таблица97[[#This Row],[Продажа]],"")</f>
        <v/>
      </c>
      <c r="M1599" s="108">
        <v>2018</v>
      </c>
      <c r="N1599" s="108">
        <f>Таблица97[[#This Row],[Продажа]]-Таблица97[[#This Row],[Закупка]]</f>
        <v>1120</v>
      </c>
      <c r="O1599" s="108" t="str">
        <f>IF(Таблица97[[#This Row],[НК]]=1,Таблица97[[#This Row],[Маржа]],"")</f>
        <v/>
      </c>
    </row>
    <row r="1600" spans="1:15" ht="20.100000000000001" customHeight="1" x14ac:dyDescent="0.25">
      <c r="A1600" s="2">
        <v>905</v>
      </c>
      <c r="B1600" s="2" t="str">
        <f>TEXT(Таблица97[[#This Row],[Дата]],"ГГ")&amp;RIGHT("000"&amp;Таблица97[[#This Row],[Номер]],4)</f>
        <v>200905</v>
      </c>
      <c r="C1600" s="129">
        <v>44082</v>
      </c>
      <c r="D1600" s="2" t="s">
        <v>56</v>
      </c>
      <c r="E1600" s="108">
        <v>65687</v>
      </c>
      <c r="F1600" s="129">
        <v>44099</v>
      </c>
      <c r="H1600" s="129">
        <v>44090</v>
      </c>
      <c r="I1600" s="108">
        <f t="shared" si="72"/>
        <v>65687</v>
      </c>
      <c r="J1600" s="108" t="str">
        <f>IF(Таблица97[[#This Row],[НК]]=1,Таблица97[[#This Row],[Продажа]],"")</f>
        <v/>
      </c>
      <c r="L1600" s="108">
        <v>4200</v>
      </c>
      <c r="M1600" s="108">
        <v>37866.300000000003</v>
      </c>
      <c r="N1600" s="108">
        <f>Таблица97[[#This Row],[Продажа]]-Таблица97[[#This Row],[Закупка]]</f>
        <v>27820.699999999997</v>
      </c>
      <c r="O1600" s="108" t="str">
        <f>IF(Таблица97[[#This Row],[НК]]=1,Таблица97[[#This Row],[Маржа]],"")</f>
        <v/>
      </c>
    </row>
    <row r="1601" spans="1:15" ht="20.100000000000001" customHeight="1" x14ac:dyDescent="0.25">
      <c r="A1601" s="2">
        <v>946</v>
      </c>
      <c r="B1601" s="2" t="str">
        <f>TEXT(Таблица97[[#This Row],[Дата]],"ГГ")&amp;RIGHT("000"&amp;Таблица97[[#This Row],[Номер]],4)</f>
        <v>200946</v>
      </c>
      <c r="C1601" s="129">
        <v>44096</v>
      </c>
      <c r="D1601" s="2" t="s">
        <v>403</v>
      </c>
      <c r="E1601" s="108">
        <v>7106</v>
      </c>
      <c r="F1601" s="129">
        <v>44102</v>
      </c>
      <c r="H1601" s="129">
        <v>44111</v>
      </c>
      <c r="I1601" s="108">
        <f t="shared" si="72"/>
        <v>7106</v>
      </c>
      <c r="J1601" s="108" t="str">
        <f>IF(Таблица97[[#This Row],[НК]]=1,Таблица97[[#This Row],[Продажа]],"")</f>
        <v/>
      </c>
      <c r="M1601" s="108">
        <v>5168</v>
      </c>
      <c r="N1601" s="108">
        <f>Таблица97[[#This Row],[Продажа]]-Таблица97[[#This Row],[Закупка]]</f>
        <v>1938</v>
      </c>
      <c r="O1601" s="108" t="str">
        <f>IF(Таблица97[[#This Row],[НК]]=1,Таблица97[[#This Row],[Маржа]],"")</f>
        <v/>
      </c>
    </row>
    <row r="1602" spans="1:15" ht="20.100000000000001" customHeight="1" x14ac:dyDescent="0.25">
      <c r="A1602" s="2">
        <v>925</v>
      </c>
      <c r="B1602" s="2" t="str">
        <f>TEXT(Таблица97[[#This Row],[Дата]],"ГГ")&amp;RIGHT("000"&amp;Таблица97[[#This Row],[Номер]],4)</f>
        <v>200925</v>
      </c>
      <c r="C1602" s="129">
        <v>44088</v>
      </c>
      <c r="D1602" s="2" t="s">
        <v>13</v>
      </c>
      <c r="E1602" s="108">
        <v>3138</v>
      </c>
      <c r="F1602" s="129">
        <v>44103</v>
      </c>
      <c r="H1602" s="129">
        <v>44092</v>
      </c>
      <c r="I1602" s="108">
        <f t="shared" si="72"/>
        <v>3138</v>
      </c>
      <c r="J1602" s="108" t="str">
        <f>IF(Таблица97[[#This Row],[НК]]=1,Таблица97[[#This Row],[Продажа]],"")</f>
        <v/>
      </c>
      <c r="M1602" s="108">
        <v>2018</v>
      </c>
      <c r="N1602" s="108">
        <f>Таблица97[[#This Row],[Продажа]]-Таблица97[[#This Row],[Закупка]]</f>
        <v>1120</v>
      </c>
      <c r="O1602" s="108" t="str">
        <f>IF(Таблица97[[#This Row],[НК]]=1,Таблица97[[#This Row],[Маржа]],"")</f>
        <v/>
      </c>
    </row>
    <row r="1603" spans="1:15" ht="20.100000000000001" customHeight="1" x14ac:dyDescent="0.25">
      <c r="A1603" s="2">
        <v>852</v>
      </c>
      <c r="B1603" s="2" t="str">
        <f>TEXT(Таблица97[[#This Row],[Дата]],"ГГ")&amp;RIGHT("000"&amp;Таблица97[[#This Row],[Номер]],4)</f>
        <v>200852</v>
      </c>
      <c r="C1603" s="129">
        <v>44084</v>
      </c>
      <c r="D1603" s="2" t="s">
        <v>13</v>
      </c>
      <c r="E1603" s="108">
        <v>195634</v>
      </c>
      <c r="F1603" s="129">
        <v>44104</v>
      </c>
      <c r="H1603" s="129">
        <v>44116</v>
      </c>
      <c r="I1603" s="108">
        <v>146725.5</v>
      </c>
      <c r="J1603" s="108" t="str">
        <f>IF(Таблица97[[#This Row],[НК]]=1,Таблица97[[#This Row],[Продажа]],"")</f>
        <v/>
      </c>
      <c r="M1603" s="108">
        <v>107410</v>
      </c>
      <c r="N1603" s="108">
        <f>Таблица97[[#This Row],[Продажа]]-Таблица97[[#This Row],[Закупка]]</f>
        <v>39315.5</v>
      </c>
      <c r="O1603" s="108" t="str">
        <f>IF(Таблица97[[#This Row],[НК]]=1,Таблица97[[#This Row],[Маржа]],"")</f>
        <v/>
      </c>
    </row>
    <row r="1604" spans="1:15" ht="20.100000000000001" customHeight="1" x14ac:dyDescent="0.25">
      <c r="A1604" s="2">
        <v>588</v>
      </c>
      <c r="B1604" s="2" t="str">
        <f>TEXT(Таблица97[[#This Row],[Дата]],"ГГ")&amp;RIGHT("000"&amp;Таблица97[[#This Row],[Номер]],4)</f>
        <v>200588</v>
      </c>
      <c r="C1604" s="129">
        <v>44014</v>
      </c>
      <c r="D1604" s="2" t="s">
        <v>433</v>
      </c>
      <c r="E1604" s="108">
        <v>2742</v>
      </c>
      <c r="F1604" s="129">
        <v>44105</v>
      </c>
      <c r="H1604" s="129">
        <v>44019</v>
      </c>
      <c r="I1604" s="108">
        <f>E1604</f>
        <v>2742</v>
      </c>
      <c r="J1604" s="108" t="str">
        <f>IF(Таблица97[[#This Row],[НК]]=1,Таблица97[[#This Row],[Продажа]],"")</f>
        <v/>
      </c>
      <c r="M1604" s="108">
        <v>1864</v>
      </c>
      <c r="N1604" s="108">
        <f>Таблица97[[#This Row],[Продажа]]-Таблица97[[#This Row],[Закупка]]</f>
        <v>878</v>
      </c>
      <c r="O1604" s="108" t="str">
        <f>IF(Таблица97[[#This Row],[НК]]=1,Таблица97[[#This Row],[Маржа]],"")</f>
        <v/>
      </c>
    </row>
    <row r="1605" spans="1:15" ht="20.100000000000001" customHeight="1" x14ac:dyDescent="0.25">
      <c r="A1605" s="2">
        <v>973</v>
      </c>
      <c r="B1605" s="2" t="str">
        <f>TEXT(Таблица97[[#This Row],[Дата]],"ГГ")&amp;RIGHT("000"&amp;Таблица97[[#This Row],[Номер]],4)</f>
        <v>200973</v>
      </c>
      <c r="C1605" s="129">
        <v>44106</v>
      </c>
      <c r="D1605" s="2" t="s">
        <v>211</v>
      </c>
      <c r="E1605" s="108">
        <v>13690</v>
      </c>
      <c r="F1605" s="129">
        <v>44109</v>
      </c>
      <c r="H1605" s="129">
        <v>44123</v>
      </c>
      <c r="I1605" s="108">
        <f>E1605</f>
        <v>13690</v>
      </c>
      <c r="J1605" s="108" t="str">
        <f>IF(Таблица97[[#This Row],[НК]]=1,Таблица97[[#This Row],[Продажа]],"")</f>
        <v/>
      </c>
      <c r="M1605" s="108">
        <v>11280</v>
      </c>
      <c r="N1605" s="108">
        <f>Таблица97[[#This Row],[Продажа]]-Таблица97[[#This Row],[Закупка]]</f>
        <v>2410</v>
      </c>
      <c r="O1605" s="108" t="str">
        <f>IF(Таблица97[[#This Row],[НК]]=1,Таблица97[[#This Row],[Маржа]],"")</f>
        <v/>
      </c>
    </row>
    <row r="1606" spans="1:15" ht="20.100000000000001" customHeight="1" x14ac:dyDescent="0.25">
      <c r="A1606" s="2">
        <v>1008</v>
      </c>
      <c r="B1606" s="2" t="str">
        <f>TEXT(Таблица97[[#This Row],[Дата]],"ГГ")&amp;RIGHT("000"&amp;Таблица97[[#This Row],[Номер]],4)</f>
        <v>201008</v>
      </c>
      <c r="C1606" s="129">
        <v>44117</v>
      </c>
      <c r="D1606" s="2" t="s">
        <v>372</v>
      </c>
      <c r="E1606" s="108">
        <v>3665</v>
      </c>
      <c r="F1606" s="129">
        <v>44117</v>
      </c>
      <c r="H1606" s="129">
        <v>44119</v>
      </c>
      <c r="I1606" s="108">
        <f>E1606</f>
        <v>3665</v>
      </c>
      <c r="J1606" s="108" t="str">
        <f>IF(Таблица97[[#This Row],[НК]]=1,Таблица97[[#This Row],[Продажа]],"")</f>
        <v/>
      </c>
      <c r="M1606" s="108">
        <v>2858</v>
      </c>
      <c r="N1606" s="108">
        <f>Таблица97[[#This Row],[Продажа]]-Таблица97[[#This Row],[Закупка]]</f>
        <v>807</v>
      </c>
      <c r="O1606" s="108" t="str">
        <f>IF(Таблица97[[#This Row],[НК]]=1,Таблица97[[#This Row],[Маржа]],"")</f>
        <v/>
      </c>
    </row>
    <row r="1607" spans="1:15" ht="20.100000000000001" customHeight="1" x14ac:dyDescent="0.25">
      <c r="A1607" s="2">
        <v>827</v>
      </c>
      <c r="B1607" s="2" t="str">
        <f>TEXT(Таблица97[[#This Row],[Дата]],"ГГ")&amp;RIGHT("000"&amp;Таблица97[[#This Row],[Номер]],4)</f>
        <v>200827</v>
      </c>
      <c r="C1607" s="129">
        <v>44082</v>
      </c>
      <c r="D1607" s="2" t="s">
        <v>65</v>
      </c>
      <c r="E1607" s="108">
        <v>272424.03999999998</v>
      </c>
      <c r="F1607" s="129">
        <v>44119</v>
      </c>
      <c r="H1607" s="129">
        <v>44084</v>
      </c>
      <c r="I1607" s="108">
        <v>246537.07</v>
      </c>
      <c r="J1607" s="108" t="str">
        <f>IF(Таблица97[[#This Row],[НК]]=1,Таблица97[[#This Row],[Продажа]],"")</f>
        <v/>
      </c>
      <c r="L1607" s="108">
        <f>16*1200</f>
        <v>19200</v>
      </c>
      <c r="M1607" s="108">
        <v>147569.68</v>
      </c>
      <c r="N1607" s="108">
        <f>Таблица97[[#This Row],[Продажа]]-Таблица97[[#This Row],[Закупка]]</f>
        <v>98967.390000000014</v>
      </c>
      <c r="O1607" s="108" t="str">
        <f>IF(Таблица97[[#This Row],[НК]]=1,Таблица97[[#This Row],[Маржа]],"")</f>
        <v/>
      </c>
    </row>
    <row r="1608" spans="1:15" ht="20.100000000000001" customHeight="1" x14ac:dyDescent="0.25">
      <c r="A1608" s="2">
        <v>901</v>
      </c>
      <c r="B1608" s="2" t="str">
        <f>TEXT(Таблица97[[#This Row],[Дата]],"ГГ")&amp;RIGHT("000"&amp;Таблица97[[#This Row],[Номер]],4)</f>
        <v>200901</v>
      </c>
      <c r="C1608" s="129">
        <v>44081</v>
      </c>
      <c r="D1608" s="2" t="s">
        <v>303</v>
      </c>
      <c r="E1608" s="108">
        <v>6043.5</v>
      </c>
      <c r="F1608" s="129">
        <v>44120</v>
      </c>
      <c r="H1608" s="129">
        <v>44120</v>
      </c>
      <c r="I1608" s="108">
        <f t="shared" ref="I1608:I1615" si="73">E1608</f>
        <v>6043.5</v>
      </c>
      <c r="J1608" s="108" t="str">
        <f>IF(Таблица97[[#This Row],[НК]]=1,Таблица97[[#This Row],[Продажа]],"")</f>
        <v/>
      </c>
      <c r="M1608" s="108">
        <v>5425</v>
      </c>
      <c r="N1608" s="108">
        <f>Таблица97[[#This Row],[Продажа]]-Таблица97[[#This Row],[Закупка]]</f>
        <v>618.5</v>
      </c>
      <c r="O1608" s="108" t="str">
        <f>IF(Таблица97[[#This Row],[НК]]=1,Таблица97[[#This Row],[Маржа]],"")</f>
        <v/>
      </c>
    </row>
    <row r="1609" spans="1:15" ht="20.100000000000001" customHeight="1" x14ac:dyDescent="0.25">
      <c r="A1609" s="2">
        <v>1035</v>
      </c>
      <c r="B1609" s="2" t="str">
        <f>TEXT(Таблица97[[#This Row],[Дата]],"ГГ")&amp;RIGHT("000"&amp;Таблица97[[#This Row],[Номер]],4)</f>
        <v>201035</v>
      </c>
      <c r="C1609" s="129">
        <v>44124</v>
      </c>
      <c r="D1609" s="2" t="s">
        <v>471</v>
      </c>
      <c r="E1609" s="108">
        <v>2156</v>
      </c>
      <c r="F1609" s="129">
        <v>44126</v>
      </c>
      <c r="G1609" s="128">
        <v>1</v>
      </c>
      <c r="H1609" s="129">
        <v>44127</v>
      </c>
      <c r="I1609" s="108">
        <f t="shared" si="73"/>
        <v>2156</v>
      </c>
      <c r="J1609" s="108">
        <f>IF(Таблица97[[#This Row],[НК]]=1,Таблица97[[#This Row],[Продажа]],"")</f>
        <v>2156</v>
      </c>
      <c r="M1609" s="108">
        <v>1504</v>
      </c>
      <c r="N1609" s="108">
        <f>Таблица97[[#This Row],[Продажа]]-Таблица97[[#This Row],[Закупка]]</f>
        <v>652</v>
      </c>
      <c r="O1609" s="108">
        <f>IF(Таблица97[[#This Row],[НК]]=1,Таблица97[[#This Row],[Маржа]],"")</f>
        <v>652</v>
      </c>
    </row>
    <row r="1610" spans="1:15" ht="20.100000000000001" customHeight="1" x14ac:dyDescent="0.25">
      <c r="A1610" s="2">
        <v>1045</v>
      </c>
      <c r="B1610" s="2" t="str">
        <f>TEXT(Таблица97[[#This Row],[Дата]],"ГГ")&amp;RIGHT("000"&amp;Таблица97[[#This Row],[Номер]],4)</f>
        <v>201045</v>
      </c>
      <c r="C1610" s="129">
        <v>44126</v>
      </c>
      <c r="D1610" s="2" t="s">
        <v>179</v>
      </c>
      <c r="E1610" s="108">
        <v>12144</v>
      </c>
      <c r="F1610" s="129">
        <v>44130</v>
      </c>
      <c r="H1610" s="129">
        <v>44162</v>
      </c>
      <c r="I1610" s="108">
        <f t="shared" si="73"/>
        <v>12144</v>
      </c>
      <c r="J1610" s="108" t="str">
        <f>IF(Таблица97[[#This Row],[НК]]=1,Таблица97[[#This Row],[Продажа]],"")</f>
        <v/>
      </c>
      <c r="M1610" s="108">
        <v>8607</v>
      </c>
      <c r="N1610" s="108">
        <f>Таблица97[[#This Row],[Продажа]]-Таблица97[[#This Row],[Закупка]]</f>
        <v>3537</v>
      </c>
      <c r="O1610" s="108" t="str">
        <f>IF(Таблица97[[#This Row],[НК]]=1,Таблица97[[#This Row],[Маржа]],"")</f>
        <v/>
      </c>
    </row>
    <row r="1611" spans="1:15" ht="20.100000000000001" customHeight="1" x14ac:dyDescent="0.25">
      <c r="A1611" s="2">
        <v>867</v>
      </c>
      <c r="B1611" s="2" t="str">
        <f>TEXT(Таблица97[[#This Row],[Дата]],"ГГ")&amp;RIGHT("000"&amp;Таблица97[[#This Row],[Номер]],4)</f>
        <v>200867</v>
      </c>
      <c r="C1611" s="129">
        <v>44074</v>
      </c>
      <c r="D1611" s="2" t="s">
        <v>209</v>
      </c>
      <c r="E1611" s="108">
        <v>3269.55</v>
      </c>
      <c r="F1611" s="129">
        <v>44130</v>
      </c>
      <c r="H1611" s="129">
        <v>44081</v>
      </c>
      <c r="I1611" s="108">
        <f t="shared" si="73"/>
        <v>3269.55</v>
      </c>
      <c r="J1611" s="108" t="str">
        <f>IF(Таблица97[[#This Row],[НК]]=1,Таблица97[[#This Row],[Продажа]],"")</f>
        <v/>
      </c>
      <c r="M1611" s="108">
        <v>2947</v>
      </c>
      <c r="N1611" s="108">
        <f>Таблица97[[#This Row],[Продажа]]-Таблица97[[#This Row],[Закупка]]</f>
        <v>322.55000000000018</v>
      </c>
      <c r="O1611" s="108" t="str">
        <f>IF(Таблица97[[#This Row],[НК]]=1,Таблица97[[#This Row],[Маржа]],"")</f>
        <v/>
      </c>
    </row>
    <row r="1612" spans="1:15" ht="20.100000000000001" customHeight="1" x14ac:dyDescent="0.25">
      <c r="A1612" s="2">
        <v>1041</v>
      </c>
      <c r="B1612" s="2" t="str">
        <f>TEXT(Таблица97[[#This Row],[Дата]],"ГГ")&amp;RIGHT("000"&amp;Таблица97[[#This Row],[Номер]],4)</f>
        <v>201041</v>
      </c>
      <c r="C1612" s="129">
        <v>44125</v>
      </c>
      <c r="D1612" s="2" t="s">
        <v>403</v>
      </c>
      <c r="E1612" s="108">
        <v>7501</v>
      </c>
      <c r="F1612" s="129">
        <v>44130</v>
      </c>
      <c r="H1612" s="129">
        <v>44133</v>
      </c>
      <c r="I1612" s="108">
        <f t="shared" si="73"/>
        <v>7501</v>
      </c>
      <c r="J1612" s="108" t="str">
        <f>IF(Таблица97[[#This Row],[НК]]=1,Таблица97[[#This Row],[Продажа]],"")</f>
        <v/>
      </c>
      <c r="M1612" s="108">
        <v>5168</v>
      </c>
      <c r="N1612" s="108">
        <f>Таблица97[[#This Row],[Продажа]]-Таблица97[[#This Row],[Закупка]]</f>
        <v>2333</v>
      </c>
      <c r="O1612" s="108" t="str">
        <f>IF(Таблица97[[#This Row],[НК]]=1,Таблица97[[#This Row],[Маржа]],"")</f>
        <v/>
      </c>
    </row>
    <row r="1613" spans="1:15" ht="20.100000000000001" customHeight="1" x14ac:dyDescent="0.25">
      <c r="A1613" s="2">
        <v>1055</v>
      </c>
      <c r="B1613" s="2" t="str">
        <f>TEXT(Таблица97[[#This Row],[Дата]],"ГГ")&amp;RIGHT("000"&amp;Таблица97[[#This Row],[Номер]],4)</f>
        <v>201055</v>
      </c>
      <c r="C1613" s="129">
        <v>44127</v>
      </c>
      <c r="D1613" s="2" t="s">
        <v>372</v>
      </c>
      <c r="E1613" s="108">
        <v>5702</v>
      </c>
      <c r="F1613" s="129">
        <v>44130</v>
      </c>
      <c r="H1613" s="129">
        <v>44154</v>
      </c>
      <c r="I1613" s="108">
        <f t="shared" si="73"/>
        <v>5702</v>
      </c>
      <c r="J1613" s="108" t="str">
        <f>IF(Таблица97[[#This Row],[НК]]=1,Таблица97[[#This Row],[Продажа]],"")</f>
        <v/>
      </c>
      <c r="M1613" s="108">
        <v>4448</v>
      </c>
      <c r="N1613" s="108">
        <f>Таблица97[[#This Row],[Продажа]]-Таблица97[[#This Row],[Закупка]]</f>
        <v>1254</v>
      </c>
      <c r="O1613" s="108" t="str">
        <f>IF(Таблица97[[#This Row],[НК]]=1,Таблица97[[#This Row],[Маржа]],"")</f>
        <v/>
      </c>
    </row>
    <row r="1614" spans="1:15" ht="20.100000000000001" customHeight="1" x14ac:dyDescent="0.25">
      <c r="A1614" s="2">
        <v>1032</v>
      </c>
      <c r="B1614" s="2" t="str">
        <f>TEXT(Таблица97[[#This Row],[Дата]],"ГГ")&amp;RIGHT("000"&amp;Таблица97[[#This Row],[Номер]],4)</f>
        <v>201032</v>
      </c>
      <c r="C1614" s="129">
        <v>44124</v>
      </c>
      <c r="D1614" s="2" t="s">
        <v>206</v>
      </c>
      <c r="E1614" s="108">
        <v>9874</v>
      </c>
      <c r="F1614" s="129">
        <v>44131</v>
      </c>
      <c r="H1614" s="129">
        <v>44124</v>
      </c>
      <c r="I1614" s="108">
        <f t="shared" si="73"/>
        <v>9874</v>
      </c>
      <c r="J1614" s="108" t="str">
        <f>IF(Таблица97[[#This Row],[НК]]=1,Таблица97[[#This Row],[Продажа]],"")</f>
        <v/>
      </c>
      <c r="M1614" s="108">
        <v>7366</v>
      </c>
      <c r="N1614" s="108">
        <f>Таблица97[[#This Row],[Продажа]]-Таблица97[[#This Row],[Закупка]]</f>
        <v>2508</v>
      </c>
      <c r="O1614" s="108" t="str">
        <f>IF(Таблица97[[#This Row],[НК]]=1,Таблица97[[#This Row],[Маржа]],"")</f>
        <v/>
      </c>
    </row>
    <row r="1615" spans="1:15" ht="20.100000000000001" customHeight="1" x14ac:dyDescent="0.25">
      <c r="A1615" s="2">
        <v>1033</v>
      </c>
      <c r="B1615" s="2" t="str">
        <f>TEXT(Таблица97[[#This Row],[Дата]],"ГГ")&amp;RIGHT("000"&amp;Таблица97[[#This Row],[Номер]],4)</f>
        <v>201033</v>
      </c>
      <c r="C1615" s="129">
        <v>44124</v>
      </c>
      <c r="D1615" s="2" t="s">
        <v>206</v>
      </c>
      <c r="E1615" s="108">
        <v>9054</v>
      </c>
      <c r="F1615" s="129">
        <v>44131</v>
      </c>
      <c r="H1615" s="129">
        <v>44124</v>
      </c>
      <c r="I1615" s="108">
        <f t="shared" si="73"/>
        <v>9054</v>
      </c>
      <c r="J1615" s="108" t="str">
        <f>IF(Таблица97[[#This Row],[НК]]=1,Таблица97[[#This Row],[Продажа]],"")</f>
        <v/>
      </c>
      <c r="M1615" s="108">
        <v>6368</v>
      </c>
      <c r="N1615" s="108">
        <f>Таблица97[[#This Row],[Продажа]]-Таблица97[[#This Row],[Закупка]]</f>
        <v>2686</v>
      </c>
      <c r="O1615" s="108" t="str">
        <f>IF(Таблица97[[#This Row],[НК]]=1,Таблица97[[#This Row],[Маржа]],"")</f>
        <v/>
      </c>
    </row>
    <row r="1616" spans="1:15" ht="20.100000000000001" customHeight="1" x14ac:dyDescent="0.25">
      <c r="A1616" s="2">
        <v>944</v>
      </c>
      <c r="B1616" s="2" t="str">
        <f>TEXT(Таблица97[[#This Row],[Дата]],"ГГ")&amp;RIGHT("000"&amp;Таблица97[[#This Row],[Номер]],4)</f>
        <v>200944</v>
      </c>
      <c r="C1616" s="129">
        <v>44133</v>
      </c>
      <c r="D1616" s="2" t="s">
        <v>387</v>
      </c>
      <c r="E1616" s="108">
        <v>3164</v>
      </c>
      <c r="F1616" s="129">
        <v>44133</v>
      </c>
      <c r="H1616" s="129">
        <v>44148</v>
      </c>
      <c r="I1616" s="108">
        <v>2998</v>
      </c>
      <c r="J1616" s="108" t="str">
        <f>IF(Таблица97[[#This Row],[НК]]=1,Таблица97[[#This Row],[Продажа]],"")</f>
        <v/>
      </c>
      <c r="M1616" s="108">
        <v>2000</v>
      </c>
      <c r="N1616" s="108">
        <f>Таблица97[[#This Row],[Продажа]]-Таблица97[[#This Row],[Закупка]]</f>
        <v>998</v>
      </c>
      <c r="O1616" s="108" t="str">
        <f>IF(Таблица97[[#This Row],[НК]]=1,Таблица97[[#This Row],[Маржа]],"")</f>
        <v/>
      </c>
    </row>
    <row r="1617" spans="1:15" ht="20.100000000000001" customHeight="1" x14ac:dyDescent="0.25">
      <c r="A1617" s="2">
        <v>1081</v>
      </c>
      <c r="B1617" s="2" t="str">
        <f>TEXT(Таблица97[[#This Row],[Дата]],"ГГ")&amp;RIGHT("000"&amp;Таблица97[[#This Row],[Номер]],4)</f>
        <v>201081</v>
      </c>
      <c r="C1617" s="129">
        <v>44133</v>
      </c>
      <c r="D1617" s="2" t="s">
        <v>443</v>
      </c>
      <c r="E1617" s="108">
        <v>5799.98</v>
      </c>
      <c r="F1617" s="129">
        <v>44133</v>
      </c>
      <c r="H1617" s="129">
        <v>44138</v>
      </c>
      <c r="I1617" s="108">
        <f>E1617</f>
        <v>5799.98</v>
      </c>
      <c r="J1617" s="108" t="str">
        <f>IF(Таблица97[[#This Row],[НК]]=1,Таблица97[[#This Row],[Продажа]],"")</f>
        <v/>
      </c>
      <c r="M1617" s="108">
        <v>4044</v>
      </c>
      <c r="N1617" s="108">
        <f>Таблица97[[#This Row],[Продажа]]-Таблица97[[#This Row],[Закупка]]</f>
        <v>1755.9799999999996</v>
      </c>
      <c r="O1617" s="108" t="str">
        <f>IF(Таблица97[[#This Row],[НК]]=1,Таблица97[[#This Row],[Маржа]],"")</f>
        <v/>
      </c>
    </row>
    <row r="1618" spans="1:15" ht="20.100000000000001" customHeight="1" x14ac:dyDescent="0.25">
      <c r="A1618" s="2">
        <v>951</v>
      </c>
      <c r="B1618" s="2" t="str">
        <f>TEXT(Таблица97[[#This Row],[Дата]],"ГГ")&amp;RIGHT("000"&amp;Таблица97[[#This Row],[Номер]],4)</f>
        <v>200951</v>
      </c>
      <c r="C1618" s="129">
        <v>44098</v>
      </c>
      <c r="D1618" s="2" t="s">
        <v>433</v>
      </c>
      <c r="E1618" s="108">
        <v>40990</v>
      </c>
      <c r="F1618" s="129">
        <v>44133</v>
      </c>
      <c r="H1618" s="129">
        <v>44099</v>
      </c>
      <c r="I1618" s="108">
        <f>E1618</f>
        <v>40990</v>
      </c>
      <c r="J1618" s="108" t="str">
        <f>IF(Таблица97[[#This Row],[НК]]=1,Таблица97[[#This Row],[Продажа]],"")</f>
        <v/>
      </c>
      <c r="M1618" s="108">
        <v>30127</v>
      </c>
      <c r="N1618" s="108">
        <f>Таблица97[[#This Row],[Продажа]]-Таблица97[[#This Row],[Закупка]]</f>
        <v>10863</v>
      </c>
      <c r="O1618" s="108" t="str">
        <f>IF(Таблица97[[#This Row],[НК]]=1,Таблица97[[#This Row],[Маржа]],"")</f>
        <v/>
      </c>
    </row>
    <row r="1619" spans="1:15" ht="20.100000000000001" customHeight="1" x14ac:dyDescent="0.25">
      <c r="A1619" s="2">
        <v>827</v>
      </c>
      <c r="B1619" s="2" t="str">
        <f>TEXT(Таблица97[[#This Row],[Дата]],"ГГ")&amp;RIGHT("000"&amp;Таблица97[[#This Row],[Номер]],4)</f>
        <v>200827</v>
      </c>
      <c r="C1619" s="129">
        <v>44082</v>
      </c>
      <c r="D1619" s="2" t="s">
        <v>65</v>
      </c>
      <c r="E1619" s="108">
        <v>272424.03999999998</v>
      </c>
      <c r="F1619" s="129">
        <v>44133</v>
      </c>
      <c r="H1619" s="129">
        <v>44102</v>
      </c>
      <c r="I1619" s="108">
        <v>25886.97</v>
      </c>
      <c r="J1619" s="108" t="str">
        <f>IF(Таблица97[[#This Row],[НК]]=1,Таблица97[[#This Row],[Продажа]],"")</f>
        <v/>
      </c>
      <c r="M1619" s="108">
        <v>21378</v>
      </c>
      <c r="N1619" s="108">
        <f>Таблица97[[#This Row],[Продажа]]-Таблица97[[#This Row],[Закупка]]</f>
        <v>4508.9700000000012</v>
      </c>
      <c r="O1619" s="108" t="str">
        <f>IF(Таблица97[[#This Row],[НК]]=1,Таблица97[[#This Row],[Маржа]],"")</f>
        <v/>
      </c>
    </row>
    <row r="1620" spans="1:15" ht="20.100000000000001" customHeight="1" x14ac:dyDescent="0.25">
      <c r="A1620" s="2">
        <v>1062</v>
      </c>
      <c r="B1620" s="2" t="str">
        <f>TEXT(Таблица97[[#This Row],[Дата]],"ГГ")&amp;RIGHT("000"&amp;Таблица97[[#This Row],[Номер]],4)</f>
        <v>201062</v>
      </c>
      <c r="C1620" s="129">
        <v>44130</v>
      </c>
      <c r="D1620" s="2" t="s">
        <v>209</v>
      </c>
      <c r="E1620" s="108">
        <v>10291.799999999999</v>
      </c>
      <c r="F1620" s="129">
        <v>44133</v>
      </c>
      <c r="H1620" s="129">
        <v>44158</v>
      </c>
      <c r="I1620" s="108">
        <v>698</v>
      </c>
      <c r="J1620" s="108" t="str">
        <f>IF(Таблица97[[#This Row],[НК]]=1,Таблица97[[#This Row],[Продажа]],"")</f>
        <v/>
      </c>
      <c r="M1620" s="108">
        <v>630</v>
      </c>
      <c r="N1620" s="108">
        <f>Таблица97[[#This Row],[Продажа]]-Таблица97[[#This Row],[Закупка]]</f>
        <v>68</v>
      </c>
      <c r="O1620" s="108" t="str">
        <f>IF(Таблица97[[#This Row],[НК]]=1,Таблица97[[#This Row],[Маржа]],"")</f>
        <v/>
      </c>
    </row>
    <row r="1621" spans="1:15" ht="20.100000000000001" customHeight="1" x14ac:dyDescent="0.25">
      <c r="A1621" s="2">
        <v>852</v>
      </c>
      <c r="B1621" s="2" t="str">
        <f>TEXT(Таблица97[[#This Row],[Дата]],"ГГ")&amp;RIGHT("000"&amp;Таблица97[[#This Row],[Номер]],4)</f>
        <v>200852</v>
      </c>
      <c r="C1621" s="129">
        <v>44084</v>
      </c>
      <c r="D1621" s="2" t="s">
        <v>13</v>
      </c>
      <c r="E1621" s="108">
        <v>195634</v>
      </c>
      <c r="F1621" s="129">
        <v>44134</v>
      </c>
      <c r="H1621" s="129">
        <v>44116</v>
      </c>
      <c r="I1621" s="108">
        <v>48908.5</v>
      </c>
      <c r="J1621" s="108" t="str">
        <f>IF(Таблица97[[#This Row],[НК]]=1,Таблица97[[#This Row],[Продажа]],"")</f>
        <v/>
      </c>
      <c r="M1621" s="108">
        <v>35803</v>
      </c>
      <c r="N1621" s="108">
        <f>Таблица97[[#This Row],[Продажа]]-Таблица97[[#This Row],[Закупка]]</f>
        <v>13105.5</v>
      </c>
      <c r="O1621" s="108" t="str">
        <f>IF(Таблица97[[#This Row],[НК]]=1,Таблица97[[#This Row],[Маржа]],"")</f>
        <v/>
      </c>
    </row>
    <row r="1622" spans="1:15" ht="20.100000000000001" customHeight="1" x14ac:dyDescent="0.25">
      <c r="A1622" s="2">
        <v>1089</v>
      </c>
      <c r="B1622" s="2" t="str">
        <f>TEXT(Таблица97[[#This Row],[Дата]],"ГГ")&amp;RIGHT("000"&amp;Таблица97[[#This Row],[Номер]],4)</f>
        <v>201089</v>
      </c>
      <c r="C1622" s="129">
        <v>44133</v>
      </c>
      <c r="D1622" s="2" t="s">
        <v>16</v>
      </c>
      <c r="E1622" s="108">
        <v>15002</v>
      </c>
      <c r="F1622" s="129">
        <v>44134</v>
      </c>
      <c r="H1622" s="129">
        <v>44137</v>
      </c>
      <c r="I1622" s="108">
        <f t="shared" ref="I1622:I1628" si="74">E1622</f>
        <v>15002</v>
      </c>
      <c r="J1622" s="108" t="str">
        <f>IF(Таблица97[[#This Row],[НК]]=1,Таблица97[[#This Row],[Продажа]],"")</f>
        <v/>
      </c>
      <c r="M1622" s="108">
        <v>10336</v>
      </c>
      <c r="N1622" s="108">
        <f>Таблица97[[#This Row],[Продажа]]-Таблица97[[#This Row],[Закупка]]</f>
        <v>4666</v>
      </c>
      <c r="O1622" s="108" t="str">
        <f>IF(Таблица97[[#This Row],[НК]]=1,Таблица97[[#This Row],[Маржа]],"")</f>
        <v/>
      </c>
    </row>
    <row r="1623" spans="1:15" ht="20.100000000000001" customHeight="1" x14ac:dyDescent="0.25">
      <c r="A1623" s="2">
        <v>1091</v>
      </c>
      <c r="B1623" s="2" t="str">
        <f>TEXT(Таблица97[[#This Row],[Дата]],"ГГ")&amp;RIGHT("000"&amp;Таблица97[[#This Row],[Номер]],4)</f>
        <v>201091</v>
      </c>
      <c r="C1623" s="129">
        <v>44133</v>
      </c>
      <c r="D1623" s="2" t="s">
        <v>440</v>
      </c>
      <c r="E1623" s="108">
        <v>2303</v>
      </c>
      <c r="F1623" s="129">
        <v>44134</v>
      </c>
      <c r="H1623" s="129">
        <v>44133</v>
      </c>
      <c r="I1623" s="108">
        <f t="shared" si="74"/>
        <v>2303</v>
      </c>
      <c r="J1623" s="108" t="str">
        <f>IF(Таблица97[[#This Row],[НК]]=1,Таблица97[[#This Row],[Продажа]],"")</f>
        <v/>
      </c>
      <c r="M1623" s="108">
        <v>1796</v>
      </c>
      <c r="N1623" s="108">
        <f>Таблица97[[#This Row],[Продажа]]-Таблица97[[#This Row],[Закупка]]</f>
        <v>507</v>
      </c>
      <c r="O1623" s="108" t="str">
        <f>IF(Таблица97[[#This Row],[НК]]=1,Таблица97[[#This Row],[Маржа]],"")</f>
        <v/>
      </c>
    </row>
    <row r="1624" spans="1:15" ht="20.100000000000001" customHeight="1" x14ac:dyDescent="0.25">
      <c r="A1624" s="2">
        <v>920</v>
      </c>
      <c r="B1624" s="2" t="str">
        <f>TEXT(Таблица97[[#This Row],[Дата]],"ГГ")&amp;RIGHT("000"&amp;Таблица97[[#This Row],[Номер]],4)</f>
        <v>200920</v>
      </c>
      <c r="C1624" s="129">
        <v>44130</v>
      </c>
      <c r="D1624" s="2" t="s">
        <v>301</v>
      </c>
      <c r="E1624" s="108">
        <v>7400</v>
      </c>
      <c r="F1624" s="129">
        <v>44134</v>
      </c>
      <c r="H1624" s="129">
        <v>44162</v>
      </c>
      <c r="I1624" s="108">
        <f t="shared" si="74"/>
        <v>7400</v>
      </c>
      <c r="J1624" s="108" t="str">
        <f>IF(Таблица97[[#This Row],[НК]]=1,Таблица97[[#This Row],[Продажа]],"")</f>
        <v/>
      </c>
      <c r="M1624" s="108">
        <v>5090</v>
      </c>
      <c r="N1624" s="108">
        <f>Таблица97[[#This Row],[Продажа]]-Таблица97[[#This Row],[Закупка]]</f>
        <v>2310</v>
      </c>
      <c r="O1624" s="108" t="str">
        <f>IF(Таблица97[[#This Row],[НК]]=1,Таблица97[[#This Row],[Маржа]],"")</f>
        <v/>
      </c>
    </row>
    <row r="1625" spans="1:15" ht="20.100000000000001" customHeight="1" x14ac:dyDescent="0.25">
      <c r="A1625" s="2">
        <v>965</v>
      </c>
      <c r="B1625" s="2" t="str">
        <f>TEXT(Таблица97[[#This Row],[Дата]],"ГГ")&amp;RIGHT("000"&amp;Таблица97[[#This Row],[Номер]],4)</f>
        <v>200965</v>
      </c>
      <c r="C1625" s="129">
        <v>44105</v>
      </c>
      <c r="D1625" s="2" t="s">
        <v>56</v>
      </c>
      <c r="E1625" s="108">
        <v>69929</v>
      </c>
      <c r="F1625" s="129">
        <v>44134</v>
      </c>
      <c r="H1625" s="129">
        <v>44110</v>
      </c>
      <c r="I1625" s="108">
        <f t="shared" si="74"/>
        <v>69929</v>
      </c>
      <c r="J1625" s="108" t="str">
        <f>IF(Таблица97[[#This Row],[НК]]=1,Таблица97[[#This Row],[Продажа]],"")</f>
        <v/>
      </c>
      <c r="L1625" s="108">
        <v>2400</v>
      </c>
      <c r="M1625" s="108">
        <v>44184.1</v>
      </c>
      <c r="N1625" s="108">
        <f>Таблица97[[#This Row],[Продажа]]-Таблица97[[#This Row],[Закупка]]</f>
        <v>25744.9</v>
      </c>
      <c r="O1625" s="108" t="str">
        <f>IF(Таблица97[[#This Row],[НК]]=1,Таблица97[[#This Row],[Маржа]],"")</f>
        <v/>
      </c>
    </row>
    <row r="1626" spans="1:15" ht="20.100000000000001" customHeight="1" x14ac:dyDescent="0.25">
      <c r="A1626" s="2">
        <v>1114</v>
      </c>
      <c r="B1626" s="2" t="str">
        <f>TEXT(Таблица97[[#This Row],[Дата]],"ГГ")&amp;RIGHT("000"&amp;Таблица97[[#This Row],[Номер]],4)</f>
        <v>201114</v>
      </c>
      <c r="C1626" s="129">
        <v>44140</v>
      </c>
      <c r="D1626" s="2" t="s">
        <v>473</v>
      </c>
      <c r="E1626" s="108">
        <v>4128</v>
      </c>
      <c r="F1626" s="129">
        <v>44140</v>
      </c>
      <c r="G1626" s="128">
        <v>1</v>
      </c>
      <c r="H1626" s="129">
        <v>44189</v>
      </c>
      <c r="I1626" s="108">
        <f t="shared" si="74"/>
        <v>4128</v>
      </c>
      <c r="J1626" s="108">
        <f>IF(Таблица97[[#This Row],[НК]]=1,Таблица97[[#This Row],[Продажа]],"")</f>
        <v>4128</v>
      </c>
      <c r="M1626" s="108">
        <v>2724</v>
      </c>
      <c r="N1626" s="108">
        <f>Таблица97[[#This Row],[Продажа]]-Таблица97[[#This Row],[Закупка]]</f>
        <v>1404</v>
      </c>
      <c r="O1626" s="108">
        <f>IF(Таблица97[[#This Row],[НК]]=1,Таблица97[[#This Row],[Маржа]],"")</f>
        <v>1404</v>
      </c>
    </row>
    <row r="1627" spans="1:15" ht="20.100000000000001" customHeight="1" x14ac:dyDescent="0.25">
      <c r="A1627" s="2">
        <v>1029</v>
      </c>
      <c r="B1627" s="2" t="str">
        <f>TEXT(Таблица97[[#This Row],[Дата]],"ГГ")&amp;RIGHT("000"&amp;Таблица97[[#This Row],[Номер]],4)</f>
        <v>201029</v>
      </c>
      <c r="C1627" s="129">
        <v>44124</v>
      </c>
      <c r="D1627" s="2" t="s">
        <v>13</v>
      </c>
      <c r="E1627" s="108">
        <v>18750</v>
      </c>
      <c r="F1627" s="129">
        <v>44141</v>
      </c>
      <c r="H1627" s="129">
        <v>44132</v>
      </c>
      <c r="I1627" s="108">
        <f t="shared" si="74"/>
        <v>18750</v>
      </c>
      <c r="J1627" s="108" t="str">
        <f>IF(Таблица97[[#This Row],[НК]]=1,Таблица97[[#This Row],[Продажа]],"")</f>
        <v/>
      </c>
      <c r="M1627" s="108">
        <v>11420</v>
      </c>
      <c r="N1627" s="108">
        <f>Таблица97[[#This Row],[Продажа]]-Таблица97[[#This Row],[Закупка]]</f>
        <v>7330</v>
      </c>
      <c r="O1627" s="108" t="str">
        <f>IF(Таблица97[[#This Row],[НК]]=1,Таблица97[[#This Row],[Маржа]],"")</f>
        <v/>
      </c>
    </row>
    <row r="1628" spans="1:15" ht="20.100000000000001" customHeight="1" x14ac:dyDescent="0.25">
      <c r="A1628" s="2">
        <v>1078</v>
      </c>
      <c r="B1628" s="2" t="str">
        <f>TEXT(Таблица97[[#This Row],[Дата]],"ГГ")&amp;RIGHT("000"&amp;Таблица97[[#This Row],[Номер]],4)</f>
        <v>201078</v>
      </c>
      <c r="C1628" s="129">
        <v>44132</v>
      </c>
      <c r="D1628" s="2" t="s">
        <v>472</v>
      </c>
      <c r="E1628" s="108">
        <v>91482</v>
      </c>
      <c r="F1628" s="129">
        <v>44141</v>
      </c>
      <c r="G1628" s="128">
        <v>1</v>
      </c>
      <c r="H1628" s="129">
        <v>44134</v>
      </c>
      <c r="I1628" s="108">
        <f t="shared" si="74"/>
        <v>91482</v>
      </c>
      <c r="J1628" s="108">
        <f>IF(Таблица97[[#This Row],[НК]]=1,Таблица97[[#This Row],[Продажа]],"")</f>
        <v>91482</v>
      </c>
      <c r="M1628" s="108">
        <v>60300</v>
      </c>
      <c r="N1628" s="108">
        <f>Таблица97[[#This Row],[Продажа]]-Таблица97[[#This Row],[Закупка]]</f>
        <v>31182</v>
      </c>
      <c r="O1628" s="108">
        <f>IF(Таблица97[[#This Row],[НК]]=1,Таблица97[[#This Row],[Маржа]],"")</f>
        <v>31182</v>
      </c>
    </row>
    <row r="1629" spans="1:15" ht="20.100000000000001" customHeight="1" x14ac:dyDescent="0.25">
      <c r="A1629" s="2">
        <v>944</v>
      </c>
      <c r="B1629" s="2" t="str">
        <f>TEXT(Таблица97[[#This Row],[Дата]],"ГГ")&amp;RIGHT("000"&amp;Таблица97[[#This Row],[Номер]],4)</f>
        <v>200944</v>
      </c>
      <c r="C1629" s="129">
        <v>44133</v>
      </c>
      <c r="D1629" s="2" t="s">
        <v>387</v>
      </c>
      <c r="E1629" s="108">
        <v>3164</v>
      </c>
      <c r="F1629" s="129">
        <v>44141</v>
      </c>
      <c r="H1629" s="129">
        <v>44148</v>
      </c>
      <c r="I1629" s="108">
        <v>166</v>
      </c>
      <c r="J1629" s="108" t="str">
        <f>IF(Таблица97[[#This Row],[НК]]=1,Таблица97[[#This Row],[Продажа]],"")</f>
        <v/>
      </c>
      <c r="M1629" s="108">
        <v>208</v>
      </c>
      <c r="N1629" s="108">
        <f>Таблица97[[#This Row],[Продажа]]-Таблица97[[#This Row],[Закупка]]</f>
        <v>-42</v>
      </c>
      <c r="O1629" s="108" t="str">
        <f>IF(Таблица97[[#This Row],[НК]]=1,Таблица97[[#This Row],[Маржа]],"")</f>
        <v/>
      </c>
    </row>
    <row r="1630" spans="1:15" ht="20.100000000000001" customHeight="1" x14ac:dyDescent="0.25">
      <c r="A1630" s="2">
        <v>1060</v>
      </c>
      <c r="B1630" s="2" t="str">
        <f>TEXT(Таблица97[[#This Row],[Дата]],"ГГ")&amp;RIGHT("000"&amp;Таблица97[[#This Row],[Номер]],4)</f>
        <v>201060</v>
      </c>
      <c r="C1630" s="129">
        <v>44130</v>
      </c>
      <c r="D1630" s="2" t="s">
        <v>474</v>
      </c>
      <c r="E1630" s="108">
        <v>13990</v>
      </c>
      <c r="F1630" s="129">
        <v>44144</v>
      </c>
      <c r="G1630" s="128">
        <v>1</v>
      </c>
      <c r="H1630" s="129">
        <v>44171</v>
      </c>
      <c r="I1630" s="108">
        <f t="shared" ref="I1630:I1637" si="75">E1630</f>
        <v>13990</v>
      </c>
      <c r="J1630" s="108">
        <f>IF(Таблица97[[#This Row],[НК]]=1,Таблица97[[#This Row],[Продажа]],"")</f>
        <v>13990</v>
      </c>
      <c r="M1630" s="108">
        <v>10282</v>
      </c>
      <c r="N1630" s="108">
        <f>Таблица97[[#This Row],[Продажа]]-Таблица97[[#This Row],[Закупка]]</f>
        <v>3708</v>
      </c>
      <c r="O1630" s="108">
        <f>IF(Таблица97[[#This Row],[НК]]=1,Таблица97[[#This Row],[Маржа]],"")</f>
        <v>3708</v>
      </c>
    </row>
    <row r="1631" spans="1:15" ht="20.100000000000001" customHeight="1" x14ac:dyDescent="0.25">
      <c r="A1631" s="2">
        <v>1066</v>
      </c>
      <c r="B1631" s="2" t="str">
        <f>TEXT(Таблица97[[#This Row],[Дата]],"ГГ")&amp;RIGHT("000"&amp;Таблица97[[#This Row],[Номер]],4)</f>
        <v>201066</v>
      </c>
      <c r="C1631" s="129">
        <v>44131</v>
      </c>
      <c r="D1631" s="2" t="s">
        <v>11</v>
      </c>
      <c r="E1631" s="108">
        <v>7492</v>
      </c>
      <c r="F1631" s="129">
        <v>44151</v>
      </c>
      <c r="H1631" s="129">
        <v>44153</v>
      </c>
      <c r="I1631" s="108">
        <f t="shared" si="75"/>
        <v>7492</v>
      </c>
      <c r="J1631" s="108" t="str">
        <f>IF(Таблица97[[#This Row],[НК]]=1,Таблица97[[#This Row],[Продажа]],"")</f>
        <v/>
      </c>
      <c r="M1631" s="108">
        <v>5228</v>
      </c>
      <c r="N1631" s="108">
        <f>Таблица97[[#This Row],[Продажа]]-Таблица97[[#This Row],[Закупка]]</f>
        <v>2264</v>
      </c>
      <c r="O1631" s="108" t="str">
        <f>IF(Таблица97[[#This Row],[НК]]=1,Таблица97[[#This Row],[Маржа]],"")</f>
        <v/>
      </c>
    </row>
    <row r="1632" spans="1:15" ht="20.100000000000001" customHeight="1" x14ac:dyDescent="0.25">
      <c r="A1632" s="2">
        <v>1141</v>
      </c>
      <c r="B1632" s="2" t="str">
        <f>TEXT(Таблица97[[#This Row],[Дата]],"ГГ")&amp;RIGHT("000"&amp;Таблица97[[#This Row],[Номер]],4)</f>
        <v>201141</v>
      </c>
      <c r="C1632" s="129">
        <v>44148</v>
      </c>
      <c r="D1632" s="2" t="s">
        <v>410</v>
      </c>
      <c r="E1632" s="108">
        <v>48970</v>
      </c>
      <c r="F1632" s="129">
        <v>44151</v>
      </c>
      <c r="H1632" s="129">
        <v>44208</v>
      </c>
      <c r="I1632" s="108">
        <f t="shared" si="75"/>
        <v>48970</v>
      </c>
      <c r="J1632" s="108" t="str">
        <f>IF(Таблица97[[#This Row],[НК]]=1,Таблица97[[#This Row],[Продажа]],"")</f>
        <v/>
      </c>
      <c r="M1632" s="108">
        <v>32650</v>
      </c>
      <c r="N1632" s="108">
        <f>Таблица97[[#This Row],[Продажа]]-Таблица97[[#This Row],[Закупка]]</f>
        <v>16320</v>
      </c>
      <c r="O1632" s="108" t="str">
        <f>IF(Таблица97[[#This Row],[НК]]=1,Таблица97[[#This Row],[Маржа]],"")</f>
        <v/>
      </c>
    </row>
    <row r="1633" spans="1:15" ht="20.100000000000001" customHeight="1" x14ac:dyDescent="0.25">
      <c r="A1633" s="2">
        <v>1156</v>
      </c>
      <c r="B1633" s="2" t="str">
        <f>TEXT(Таблица97[[#This Row],[Дата]],"ГГ")&amp;RIGHT("000"&amp;Таблица97[[#This Row],[Номер]],4)</f>
        <v>201156</v>
      </c>
      <c r="C1633" s="129">
        <v>44152</v>
      </c>
      <c r="D1633" s="2" t="s">
        <v>437</v>
      </c>
      <c r="E1633" s="108">
        <v>828</v>
      </c>
      <c r="F1633" s="129">
        <v>44153</v>
      </c>
      <c r="H1633" s="129">
        <v>44154</v>
      </c>
      <c r="I1633" s="108">
        <f t="shared" si="75"/>
        <v>828</v>
      </c>
      <c r="J1633" s="108" t="str">
        <f>IF(Таблица97[[#This Row],[НК]]=1,Таблица97[[#This Row],[Продажа]],"")</f>
        <v/>
      </c>
      <c r="M1633" s="108">
        <v>489</v>
      </c>
      <c r="N1633" s="108">
        <f>Таблица97[[#This Row],[Продажа]]-Таблица97[[#This Row],[Закупка]]</f>
        <v>339</v>
      </c>
      <c r="O1633" s="108" t="str">
        <f>IF(Таблица97[[#This Row],[НК]]=1,Таблица97[[#This Row],[Маржа]],"")</f>
        <v/>
      </c>
    </row>
    <row r="1634" spans="1:15" ht="20.100000000000001" customHeight="1" x14ac:dyDescent="0.25">
      <c r="A1634" s="2">
        <v>1161</v>
      </c>
      <c r="B1634" s="2" t="str">
        <f>TEXT(Таблица97[[#This Row],[Дата]],"ГГ")&amp;RIGHT("000"&amp;Таблица97[[#This Row],[Номер]],4)</f>
        <v>201161</v>
      </c>
      <c r="C1634" s="129">
        <v>44153</v>
      </c>
      <c r="D1634" s="2" t="s">
        <v>149</v>
      </c>
      <c r="E1634" s="108">
        <v>17870</v>
      </c>
      <c r="F1634" s="129">
        <v>44155</v>
      </c>
      <c r="H1634" s="129">
        <v>44208</v>
      </c>
      <c r="I1634" s="108">
        <f t="shared" si="75"/>
        <v>17870</v>
      </c>
      <c r="J1634" s="108" t="str">
        <f>IF(Таблица97[[#This Row],[НК]]=1,Таблица97[[#This Row],[Продажа]],"")</f>
        <v/>
      </c>
      <c r="M1634" s="108">
        <v>11794</v>
      </c>
      <c r="N1634" s="108">
        <f>Таблица97[[#This Row],[Продажа]]-Таблица97[[#This Row],[Закупка]]</f>
        <v>6076</v>
      </c>
      <c r="O1634" s="108" t="str">
        <f>IF(Таблица97[[#This Row],[НК]]=1,Таблица97[[#This Row],[Маржа]],"")</f>
        <v/>
      </c>
    </row>
    <row r="1635" spans="1:15" ht="20.100000000000001" customHeight="1" x14ac:dyDescent="0.25">
      <c r="A1635" s="2">
        <v>1158</v>
      </c>
      <c r="B1635" s="2" t="str">
        <f>TEXT(Таблица97[[#This Row],[Дата]],"ГГ")&amp;RIGHT("000"&amp;Таблица97[[#This Row],[Номер]],4)</f>
        <v>201158</v>
      </c>
      <c r="C1635" s="129">
        <v>44152</v>
      </c>
      <c r="D1635" s="2" t="s">
        <v>403</v>
      </c>
      <c r="E1635" s="108">
        <v>7501</v>
      </c>
      <c r="F1635" s="129">
        <v>44158</v>
      </c>
      <c r="H1635" s="129">
        <v>44160</v>
      </c>
      <c r="I1635" s="108">
        <f t="shared" si="75"/>
        <v>7501</v>
      </c>
      <c r="J1635" s="108" t="str">
        <f>IF(Таблица97[[#This Row],[НК]]=1,Таблица97[[#This Row],[Продажа]],"")</f>
        <v/>
      </c>
      <c r="M1635" s="108">
        <v>5775</v>
      </c>
      <c r="N1635" s="108">
        <f>Таблица97[[#This Row],[Продажа]]-Таблица97[[#This Row],[Закупка]]</f>
        <v>1726</v>
      </c>
      <c r="O1635" s="108" t="str">
        <f>IF(Таблица97[[#This Row],[НК]]=1,Таблица97[[#This Row],[Маржа]],"")</f>
        <v/>
      </c>
    </row>
    <row r="1636" spans="1:15" ht="20.100000000000001" customHeight="1" x14ac:dyDescent="0.25">
      <c r="A1636" s="2">
        <v>1149</v>
      </c>
      <c r="B1636" s="2" t="str">
        <f>TEXT(Таблица97[[#This Row],[Дата]],"ГГ")&amp;RIGHT("000"&amp;Таблица97[[#This Row],[Номер]],4)</f>
        <v>201149</v>
      </c>
      <c r="C1636" s="129">
        <v>44151</v>
      </c>
      <c r="D1636" s="2" t="s">
        <v>403</v>
      </c>
      <c r="E1636" s="108">
        <v>9498</v>
      </c>
      <c r="F1636" s="129">
        <v>44158</v>
      </c>
      <c r="H1636" s="129">
        <v>44160</v>
      </c>
      <c r="I1636" s="108">
        <f t="shared" si="75"/>
        <v>9498</v>
      </c>
      <c r="J1636" s="108" t="str">
        <f>IF(Таблица97[[#This Row],[НК]]=1,Таблица97[[#This Row],[Продажа]],"")</f>
        <v/>
      </c>
      <c r="M1636" s="108">
        <v>7019</v>
      </c>
      <c r="N1636" s="108">
        <f>Таблица97[[#This Row],[Продажа]]-Таблица97[[#This Row],[Закупка]]</f>
        <v>2479</v>
      </c>
      <c r="O1636" s="108" t="str">
        <f>IF(Таблица97[[#This Row],[НК]]=1,Таблица97[[#This Row],[Маржа]],"")</f>
        <v/>
      </c>
    </row>
    <row r="1637" spans="1:15" ht="20.100000000000001" customHeight="1" x14ac:dyDescent="0.25">
      <c r="A1637" s="2">
        <v>1176</v>
      </c>
      <c r="B1637" s="2" t="str">
        <f>TEXT(Таблица97[[#This Row],[Дата]],"ГГ")&amp;RIGHT("000"&amp;Таблица97[[#This Row],[Номер]],4)</f>
        <v>201176</v>
      </c>
      <c r="C1637" s="129">
        <v>44155</v>
      </c>
      <c r="D1637" s="2" t="s">
        <v>45</v>
      </c>
      <c r="E1637" s="108">
        <v>3027</v>
      </c>
      <c r="F1637" s="129">
        <v>44158</v>
      </c>
      <c r="H1637" s="129">
        <v>44169</v>
      </c>
      <c r="I1637" s="108">
        <f t="shared" si="75"/>
        <v>3027</v>
      </c>
      <c r="J1637" s="108" t="str">
        <f>IF(Таблица97[[#This Row],[НК]]=1,Таблица97[[#This Row],[Продажа]],"")</f>
        <v/>
      </c>
      <c r="M1637" s="108">
        <v>2361</v>
      </c>
      <c r="N1637" s="108">
        <f>Таблица97[[#This Row],[Продажа]]-Таблица97[[#This Row],[Закупка]]</f>
        <v>666</v>
      </c>
      <c r="O1637" s="108" t="str">
        <f>IF(Таблица97[[#This Row],[НК]]=1,Таблица97[[#This Row],[Маржа]],"")</f>
        <v/>
      </c>
    </row>
    <row r="1638" spans="1:15" ht="20.100000000000001" customHeight="1" x14ac:dyDescent="0.25">
      <c r="A1638" s="2">
        <v>1062</v>
      </c>
      <c r="B1638" s="2" t="str">
        <f>TEXT(Таблица97[[#This Row],[Дата]],"ГГ")&amp;RIGHT("000"&amp;Таблица97[[#This Row],[Номер]],4)</f>
        <v>201062</v>
      </c>
      <c r="C1638" s="129">
        <v>44130</v>
      </c>
      <c r="D1638" s="2" t="s">
        <v>209</v>
      </c>
      <c r="E1638" s="108">
        <v>10291.799999999999</v>
      </c>
      <c r="F1638" s="129">
        <v>44159</v>
      </c>
      <c r="H1638" s="129">
        <v>44158</v>
      </c>
      <c r="I1638" s="108">
        <v>9593.7999999999993</v>
      </c>
      <c r="J1638" s="108" t="str">
        <f>IF(Таблица97[[#This Row],[НК]]=1,Таблица97[[#This Row],[Продажа]],"")</f>
        <v/>
      </c>
      <c r="M1638" s="108">
        <v>8814</v>
      </c>
      <c r="N1638" s="108">
        <f>Таблица97[[#This Row],[Продажа]]-Таблица97[[#This Row],[Закупка]]</f>
        <v>779.79999999999927</v>
      </c>
      <c r="O1638" s="108" t="str">
        <f>IF(Таблица97[[#This Row],[НК]]=1,Таблица97[[#This Row],[Маржа]],"")</f>
        <v/>
      </c>
    </row>
    <row r="1639" spans="1:15" ht="20.100000000000001" customHeight="1" x14ac:dyDescent="0.25">
      <c r="A1639" s="2">
        <v>1187</v>
      </c>
      <c r="B1639" s="2" t="str">
        <f>TEXT(Таблица97[[#This Row],[Дата]],"ГГ")&amp;RIGHT("000"&amp;Таблица97[[#This Row],[Номер]],4)</f>
        <v>201187</v>
      </c>
      <c r="C1639" s="129">
        <v>44159</v>
      </c>
      <c r="D1639" s="2" t="s">
        <v>372</v>
      </c>
      <c r="E1639" s="108">
        <v>37990</v>
      </c>
      <c r="F1639" s="129">
        <v>44160</v>
      </c>
      <c r="H1639" s="129">
        <v>44161</v>
      </c>
      <c r="I1639" s="108">
        <f>E1639</f>
        <v>37990</v>
      </c>
      <c r="J1639" s="108" t="str">
        <f>IF(Таблица97[[#This Row],[НК]]=1,Таблица97[[#This Row],[Продажа]],"")</f>
        <v/>
      </c>
      <c r="M1639" s="108">
        <v>24982</v>
      </c>
      <c r="N1639" s="108">
        <f>Таблица97[[#This Row],[Продажа]]-Таблица97[[#This Row],[Закупка]]</f>
        <v>13008</v>
      </c>
      <c r="O1639" s="108" t="str">
        <f>IF(Таблица97[[#This Row],[НК]]=1,Таблица97[[#This Row],[Маржа]],"")</f>
        <v/>
      </c>
    </row>
    <row r="1640" spans="1:15" ht="20.100000000000001" customHeight="1" x14ac:dyDescent="0.25">
      <c r="A1640" s="2">
        <v>1109</v>
      </c>
      <c r="B1640" s="2" t="str">
        <f>TEXT(Таблица97[[#This Row],[Дата]],"ГГ")&amp;RIGHT("000"&amp;Таблица97[[#This Row],[Номер]],4)</f>
        <v>201109</v>
      </c>
      <c r="C1640" s="129">
        <v>44138</v>
      </c>
      <c r="D1640" s="2" t="s">
        <v>475</v>
      </c>
      <c r="E1640" s="108">
        <v>42990</v>
      </c>
      <c r="F1640" s="129">
        <v>44160</v>
      </c>
      <c r="H1640" s="129">
        <v>44161</v>
      </c>
      <c r="I1640" s="108">
        <f>E1640</f>
        <v>42990</v>
      </c>
      <c r="J1640" s="108" t="str">
        <f>IF(Таблица97[[#This Row],[НК]]=1,Таблица97[[#This Row],[Продажа]],"")</f>
        <v/>
      </c>
      <c r="M1640" s="108">
        <v>30127</v>
      </c>
      <c r="N1640" s="108">
        <f>Таблица97[[#This Row],[Продажа]]-Таблица97[[#This Row],[Закупка]]</f>
        <v>12863</v>
      </c>
      <c r="O1640" s="108" t="str">
        <f>IF(Таблица97[[#This Row],[НК]]=1,Таблица97[[#This Row],[Маржа]],"")</f>
        <v/>
      </c>
    </row>
    <row r="1641" spans="1:15" ht="20.100000000000001" customHeight="1" x14ac:dyDescent="0.25">
      <c r="A1641" s="2">
        <v>1082</v>
      </c>
      <c r="B1641" s="2" t="str">
        <f>TEXT(Таблица97[[#This Row],[Дата]],"ГГ")&amp;RIGHT("000"&amp;Таблица97[[#This Row],[Номер]],4)</f>
        <v>201082</v>
      </c>
      <c r="C1641" s="129">
        <v>44134</v>
      </c>
      <c r="D1641" s="2" t="s">
        <v>65</v>
      </c>
      <c r="E1641" s="108">
        <v>151988.4</v>
      </c>
      <c r="F1641" s="129">
        <v>44161</v>
      </c>
      <c r="H1641" s="129">
        <v>44137</v>
      </c>
      <c r="I1641" s="108">
        <v>43300.800000000003</v>
      </c>
      <c r="J1641" s="108" t="str">
        <f>IF(Таблица97[[#This Row],[НК]]=1,Таблица97[[#This Row],[Продажа]],"")</f>
        <v/>
      </c>
      <c r="L1641" s="108">
        <f>1200*4</f>
        <v>4800</v>
      </c>
      <c r="M1641" s="108">
        <v>21365.22</v>
      </c>
      <c r="N1641" s="108">
        <f>Таблица97[[#This Row],[Продажа]]-Таблица97[[#This Row],[Закупка]]</f>
        <v>21935.58</v>
      </c>
      <c r="O1641" s="108" t="str">
        <f>IF(Таблица97[[#This Row],[НК]]=1,Таблица97[[#This Row],[Маржа]],"")</f>
        <v/>
      </c>
    </row>
    <row r="1642" spans="1:15" ht="20.100000000000001" customHeight="1" x14ac:dyDescent="0.25">
      <c r="A1642" s="2">
        <v>1074</v>
      </c>
      <c r="B1642" s="2" t="str">
        <f>TEXT(Таблица97[[#This Row],[Дата]],"ГГ")&amp;RIGHT("000"&amp;Таблица97[[#This Row],[Номер]],4)</f>
        <v>201074</v>
      </c>
      <c r="C1642" s="129">
        <v>44132</v>
      </c>
      <c r="D1642" s="2" t="s">
        <v>13</v>
      </c>
      <c r="E1642" s="108">
        <v>19417</v>
      </c>
      <c r="F1642" s="129">
        <v>44165</v>
      </c>
      <c r="H1642" s="129">
        <v>44155</v>
      </c>
      <c r="I1642" s="108">
        <f>E1642</f>
        <v>19417</v>
      </c>
      <c r="J1642" s="108" t="str">
        <f>IF(Таблица97[[#This Row],[НК]]=1,Таблица97[[#This Row],[Продажа]],"")</f>
        <v/>
      </c>
      <c r="M1642" s="108">
        <v>14190</v>
      </c>
      <c r="N1642" s="108">
        <f>Таблица97[[#This Row],[Продажа]]-Таблица97[[#This Row],[Закупка]]</f>
        <v>5227</v>
      </c>
      <c r="O1642" s="108" t="str">
        <f>IF(Таблица97[[#This Row],[НК]]=1,Таблица97[[#This Row],[Маржа]],"")</f>
        <v/>
      </c>
    </row>
    <row r="1643" spans="1:15" ht="20.100000000000001" customHeight="1" x14ac:dyDescent="0.25">
      <c r="A1643" s="2">
        <v>1126</v>
      </c>
      <c r="B1643" s="2" t="str">
        <f>TEXT(Таблица97[[#This Row],[Дата]],"ГГ")&amp;RIGHT("000"&amp;Таблица97[[#This Row],[Номер]],4)</f>
        <v>201126</v>
      </c>
      <c r="C1643" s="129">
        <v>44145</v>
      </c>
      <c r="D1643" s="2" t="s">
        <v>56</v>
      </c>
      <c r="E1643" s="108">
        <v>46466</v>
      </c>
      <c r="F1643" s="129">
        <v>44165</v>
      </c>
      <c r="H1643" s="129">
        <v>44154</v>
      </c>
      <c r="I1643" s="108">
        <f>E1643</f>
        <v>46466</v>
      </c>
      <c r="J1643" s="108" t="str">
        <f>IF(Таблица97[[#This Row],[НК]]=1,Таблица97[[#This Row],[Продажа]],"")</f>
        <v/>
      </c>
      <c r="L1643" s="108">
        <v>1200</v>
      </c>
      <c r="M1643" s="108">
        <v>30299.3</v>
      </c>
      <c r="N1643" s="108">
        <f>Таблица97[[#This Row],[Продажа]]-Таблица97[[#This Row],[Закупка]]</f>
        <v>16166.7</v>
      </c>
      <c r="O1643" s="108" t="str">
        <f>IF(Таблица97[[#This Row],[НК]]=1,Таблица97[[#This Row],[Маржа]],"")</f>
        <v/>
      </c>
    </row>
    <row r="1644" spans="1:15" ht="20.100000000000001" customHeight="1" x14ac:dyDescent="0.25">
      <c r="A1644" s="2">
        <v>1197</v>
      </c>
      <c r="B1644" s="2" t="str">
        <f>TEXT(Таблица97[[#This Row],[Дата]],"ГГ")&amp;RIGHT("000"&amp;Таблица97[[#This Row],[Номер]],4)</f>
        <v>201197</v>
      </c>
      <c r="C1644" s="129">
        <v>44161</v>
      </c>
      <c r="D1644" s="2" t="s">
        <v>476</v>
      </c>
      <c r="E1644" s="108">
        <v>35561</v>
      </c>
      <c r="F1644" s="129">
        <v>44167</v>
      </c>
      <c r="H1644" s="129">
        <v>44168</v>
      </c>
      <c r="I1644" s="108">
        <f t="shared" ref="I1644:I1649" si="76">E1644</f>
        <v>35561</v>
      </c>
      <c r="J1644" s="108" t="str">
        <f>IF(Таблица97[[#This Row],[НК]]=1,Таблица97[[#This Row],[Продажа]],"")</f>
        <v/>
      </c>
      <c r="M1644" s="108">
        <v>26023</v>
      </c>
      <c r="N1644" s="108">
        <f>Таблица97[[#This Row],[Продажа]]-Таблица97[[#This Row],[Закупка]]</f>
        <v>9538</v>
      </c>
      <c r="O1644" s="108" t="str">
        <f>IF(Таблица97[[#This Row],[НК]]=1,Таблица97[[#This Row],[Маржа]],"")</f>
        <v/>
      </c>
    </row>
    <row r="1645" spans="1:15" ht="20.100000000000001" customHeight="1" x14ac:dyDescent="0.25">
      <c r="A1645" s="2">
        <v>1215</v>
      </c>
      <c r="B1645" s="2" t="str">
        <f>TEXT(Таблица97[[#This Row],[Дата]],"ГГ")&amp;RIGHT("000"&amp;Таблица97[[#This Row],[Номер]],4)</f>
        <v>201215</v>
      </c>
      <c r="C1645" s="129">
        <v>44168</v>
      </c>
      <c r="D1645" s="2" t="s">
        <v>281</v>
      </c>
      <c r="E1645" s="108">
        <v>4836</v>
      </c>
      <c r="F1645" s="129">
        <v>44169</v>
      </c>
      <c r="H1645" s="129">
        <v>44169</v>
      </c>
      <c r="I1645" s="108">
        <f t="shared" si="76"/>
        <v>4836</v>
      </c>
      <c r="J1645" s="108" t="str">
        <f>IF(Таблица97[[#This Row],[НК]]=1,Таблица97[[#This Row],[Продажа]],"")</f>
        <v/>
      </c>
      <c r="M1645" s="108">
        <v>3437</v>
      </c>
      <c r="N1645" s="108">
        <f>Таблица97[[#This Row],[Продажа]]-Таблица97[[#This Row],[Закупка]]</f>
        <v>1399</v>
      </c>
      <c r="O1645" s="108" t="str">
        <f>IF(Таблица97[[#This Row],[НК]]=1,Таблица97[[#This Row],[Маржа]],"")</f>
        <v/>
      </c>
    </row>
    <row r="1646" spans="1:15" ht="20.100000000000001" customHeight="1" x14ac:dyDescent="0.25">
      <c r="A1646" s="2">
        <v>1214</v>
      </c>
      <c r="B1646" s="2" t="str">
        <f>TEXT(Таблица97[[#This Row],[Дата]],"ГГ")&amp;RIGHT("000"&amp;Таблица97[[#This Row],[Номер]],4)</f>
        <v>201214</v>
      </c>
      <c r="C1646" s="129">
        <v>44168</v>
      </c>
      <c r="D1646" s="2" t="s">
        <v>69</v>
      </c>
      <c r="E1646" s="108">
        <v>7094</v>
      </c>
      <c r="F1646" s="129">
        <v>44169</v>
      </c>
      <c r="H1646" s="129">
        <v>44174</v>
      </c>
      <c r="I1646" s="108">
        <f t="shared" si="76"/>
        <v>7094</v>
      </c>
      <c r="J1646" s="108" t="str">
        <f>IF(Таблица97[[#This Row],[НК]]=1,Таблица97[[#This Row],[Продажа]],"")</f>
        <v/>
      </c>
      <c r="M1646" s="108">
        <v>4950</v>
      </c>
      <c r="N1646" s="108">
        <f>Таблица97[[#This Row],[Продажа]]-Таблица97[[#This Row],[Закупка]]</f>
        <v>2144</v>
      </c>
      <c r="O1646" s="108" t="str">
        <f>IF(Таблица97[[#This Row],[НК]]=1,Таблица97[[#This Row],[Маржа]],"")</f>
        <v/>
      </c>
    </row>
    <row r="1647" spans="1:15" ht="20.100000000000001" customHeight="1" x14ac:dyDescent="0.25">
      <c r="A1647" s="2">
        <v>1222</v>
      </c>
      <c r="B1647" s="2" t="str">
        <f>TEXT(Таблица97[[#This Row],[Дата]],"ГГ")&amp;RIGHT("000"&amp;Таблица97[[#This Row],[Номер]],4)</f>
        <v>201222</v>
      </c>
      <c r="C1647" s="129">
        <v>44162</v>
      </c>
      <c r="D1647" s="2" t="s">
        <v>365</v>
      </c>
      <c r="E1647" s="108">
        <v>1506</v>
      </c>
      <c r="F1647" s="129">
        <v>44174</v>
      </c>
      <c r="H1647" s="129">
        <v>44175</v>
      </c>
      <c r="I1647" s="108">
        <f t="shared" si="76"/>
        <v>1506</v>
      </c>
      <c r="J1647" s="108" t="str">
        <f>IF(Таблица97[[#This Row],[НК]]=1,Таблица97[[#This Row],[Продажа]],"")</f>
        <v/>
      </c>
      <c r="M1647" s="108">
        <v>1595</v>
      </c>
      <c r="N1647" s="108">
        <f>Таблица97[[#This Row],[Продажа]]-Таблица97[[#This Row],[Закупка]]</f>
        <v>-89</v>
      </c>
      <c r="O1647" s="108" t="str">
        <f>IF(Таблица97[[#This Row],[НК]]=1,Таблица97[[#This Row],[Маржа]],"")</f>
        <v/>
      </c>
    </row>
    <row r="1648" spans="1:15" ht="20.100000000000001" customHeight="1" x14ac:dyDescent="0.25">
      <c r="A1648" s="2">
        <v>1208</v>
      </c>
      <c r="B1648" s="2" t="str">
        <f>TEXT(Таблица97[[#This Row],[Дата]],"ГГ")&amp;RIGHT("000"&amp;Таблица97[[#This Row],[Номер]],4)</f>
        <v>201208</v>
      </c>
      <c r="C1648" s="129">
        <v>44166</v>
      </c>
      <c r="D1648" s="2" t="s">
        <v>477</v>
      </c>
      <c r="E1648" s="108">
        <v>26648</v>
      </c>
      <c r="F1648" s="129">
        <v>44174</v>
      </c>
      <c r="G1648" s="128">
        <v>1</v>
      </c>
      <c r="H1648" s="129">
        <v>44181</v>
      </c>
      <c r="I1648" s="108">
        <f t="shared" si="76"/>
        <v>26648</v>
      </c>
      <c r="J1648" s="108">
        <f>IF(Таблица97[[#This Row],[НК]]=1,Таблица97[[#This Row],[Продажа]],"")</f>
        <v>26648</v>
      </c>
      <c r="L1648" s="108">
        <v>600</v>
      </c>
      <c r="M1648" s="108">
        <v>15596</v>
      </c>
      <c r="N1648" s="108">
        <f>Таблица97[[#This Row],[Продажа]]-Таблица97[[#This Row],[Закупка]]</f>
        <v>11052</v>
      </c>
      <c r="O1648" s="108">
        <f>IF(Таблица97[[#This Row],[НК]]=1,Таблица97[[#This Row],[Маржа]],"")</f>
        <v>11052</v>
      </c>
    </row>
    <row r="1649" spans="1:15" ht="20.100000000000001" customHeight="1" x14ac:dyDescent="0.25">
      <c r="A1649" s="2">
        <v>1188</v>
      </c>
      <c r="B1649" s="2" t="str">
        <f>TEXT(Таблица97[[#This Row],[Дата]],"ГГ")&amp;RIGHT("000"&amp;Таблица97[[#This Row],[Номер]],4)</f>
        <v>201188</v>
      </c>
      <c r="C1649" s="129">
        <v>44166</v>
      </c>
      <c r="D1649" s="2" t="s">
        <v>477</v>
      </c>
      <c r="E1649" s="108">
        <v>324146</v>
      </c>
      <c r="F1649" s="129">
        <v>44174</v>
      </c>
      <c r="G1649" s="128">
        <v>1</v>
      </c>
      <c r="H1649" s="129">
        <v>44232</v>
      </c>
      <c r="I1649" s="108">
        <f t="shared" si="76"/>
        <v>324146</v>
      </c>
      <c r="J1649" s="108">
        <f>IF(Таблица97[[#This Row],[НК]]=1,Таблица97[[#This Row],[Продажа]],"")</f>
        <v>324146</v>
      </c>
      <c r="M1649" s="108">
        <v>247625</v>
      </c>
      <c r="N1649" s="108">
        <f>Таблица97[[#This Row],[Продажа]]-Таблица97[[#This Row],[Закупка]]</f>
        <v>76521</v>
      </c>
      <c r="O1649" s="108">
        <f>IF(Таблица97[[#This Row],[НК]]=1,Таблица97[[#This Row],[Маржа]],"")</f>
        <v>76521</v>
      </c>
    </row>
    <row r="1650" spans="1:15" ht="20.100000000000001" customHeight="1" x14ac:dyDescent="0.25">
      <c r="A1650" s="2">
        <v>1082</v>
      </c>
      <c r="B1650" s="2" t="str">
        <f>TEXT(Таблица97[[#This Row],[Дата]],"ГГ")&amp;RIGHT("000"&amp;Таблица97[[#This Row],[Номер]],4)</f>
        <v>201082</v>
      </c>
      <c r="C1650" s="129">
        <v>44134</v>
      </c>
      <c r="D1650" s="2" t="s">
        <v>65</v>
      </c>
      <c r="E1650" s="108">
        <v>151988.4</v>
      </c>
      <c r="F1650" s="129">
        <v>44175</v>
      </c>
      <c r="H1650" s="129">
        <v>44155</v>
      </c>
      <c r="I1650" s="108">
        <v>108687.6</v>
      </c>
      <c r="J1650" s="108" t="str">
        <f>IF(Таблица97[[#This Row],[НК]]=1,Таблица97[[#This Row],[Продажа]],"")</f>
        <v/>
      </c>
      <c r="L1650" s="108">
        <f>1200*12</f>
        <v>14400</v>
      </c>
      <c r="M1650" s="108">
        <v>55443.4</v>
      </c>
      <c r="N1650" s="108">
        <f>Таблица97[[#This Row],[Продажа]]-Таблица97[[#This Row],[Закупка]]</f>
        <v>53244.200000000004</v>
      </c>
      <c r="O1650" s="108" t="str">
        <f>IF(Таблица97[[#This Row],[НК]]=1,Таблица97[[#This Row],[Маржа]],"")</f>
        <v/>
      </c>
    </row>
    <row r="1651" spans="1:15" ht="20.100000000000001" customHeight="1" x14ac:dyDescent="0.25">
      <c r="A1651" s="2">
        <v>991</v>
      </c>
      <c r="B1651" s="2" t="str">
        <f>TEXT(Таблица97[[#This Row],[Дата]],"ГГ")&amp;RIGHT("000"&amp;Таблица97[[#This Row],[Номер]],4)</f>
        <v>200991</v>
      </c>
      <c r="C1651" s="129">
        <v>44133</v>
      </c>
      <c r="D1651" s="2" t="s">
        <v>65</v>
      </c>
      <c r="E1651" s="108">
        <v>874385.02</v>
      </c>
      <c r="F1651" s="129">
        <v>44175</v>
      </c>
      <c r="H1651" s="129">
        <v>44155</v>
      </c>
      <c r="I1651" s="108">
        <v>77347.199999999997</v>
      </c>
      <c r="J1651" s="108" t="str">
        <f>IF(Таблица97[[#This Row],[НК]]=1,Таблица97[[#This Row],[Продажа]],"")</f>
        <v/>
      </c>
      <c r="L1651" s="108">
        <v>7200</v>
      </c>
      <c r="M1651" s="108">
        <v>34463.599999999999</v>
      </c>
      <c r="N1651" s="108">
        <f>Таблица97[[#This Row],[Продажа]]-Таблица97[[#This Row],[Закупка]]</f>
        <v>42883.6</v>
      </c>
      <c r="O1651" s="108" t="str">
        <f>IF(Таблица97[[#This Row],[НК]]=1,Таблица97[[#This Row],[Маржа]],"")</f>
        <v/>
      </c>
    </row>
    <row r="1652" spans="1:15" ht="20.100000000000001" customHeight="1" x14ac:dyDescent="0.25">
      <c r="A1652" s="2">
        <v>1180</v>
      </c>
      <c r="B1652" s="2" t="str">
        <f>TEXT(Таблица97[[#This Row],[Дата]],"ГГ")&amp;RIGHT("000"&amp;Таблица97[[#This Row],[Номер]],4)</f>
        <v>201180</v>
      </c>
      <c r="C1652" s="129">
        <v>44158</v>
      </c>
      <c r="D1652" s="2" t="s">
        <v>65</v>
      </c>
      <c r="E1652" s="108">
        <v>8280</v>
      </c>
      <c r="F1652" s="129">
        <v>44175</v>
      </c>
      <c r="H1652" s="129">
        <v>44161</v>
      </c>
      <c r="I1652" s="108">
        <f>E1652</f>
        <v>8280</v>
      </c>
      <c r="J1652" s="108" t="str">
        <f>IF(Таблица97[[#This Row],[НК]]=1,Таблица97[[#This Row],[Продажа]],"")</f>
        <v/>
      </c>
      <c r="M1652" s="108">
        <v>7530</v>
      </c>
      <c r="N1652" s="108">
        <f>Таблица97[[#This Row],[Продажа]]-Таблица97[[#This Row],[Закупка]]</f>
        <v>750</v>
      </c>
      <c r="O1652" s="108" t="str">
        <f>IF(Таблица97[[#This Row],[НК]]=1,Таблица97[[#This Row],[Маржа]],"")</f>
        <v/>
      </c>
    </row>
    <row r="1653" spans="1:15" ht="20.100000000000001" customHeight="1" x14ac:dyDescent="0.25">
      <c r="A1653" s="2">
        <v>1024</v>
      </c>
      <c r="B1653" s="2" t="str">
        <f>TEXT(Таблица97[[#This Row],[Дата]],"ГГ")&amp;RIGHT("000"&amp;Таблица97[[#This Row],[Номер]],4)</f>
        <v>201024</v>
      </c>
      <c r="C1653" s="129">
        <v>44120</v>
      </c>
      <c r="D1653" s="2" t="s">
        <v>303</v>
      </c>
      <c r="E1653" s="108">
        <v>7730.75</v>
      </c>
      <c r="F1653" s="129">
        <v>44176</v>
      </c>
      <c r="H1653" s="129">
        <v>44176</v>
      </c>
      <c r="I1653" s="108">
        <v>5213.05</v>
      </c>
      <c r="J1653" s="108" t="str">
        <f>IF(Таблица97[[#This Row],[НК]]=1,Таблица97[[#This Row],[Продажа]],"")</f>
        <v/>
      </c>
      <c r="M1653" s="108">
        <v>4909</v>
      </c>
      <c r="N1653" s="108">
        <f>Таблица97[[#This Row],[Продажа]]-Таблица97[[#This Row],[Закупка]]</f>
        <v>304.05000000000018</v>
      </c>
      <c r="O1653" s="108" t="str">
        <f>IF(Таблица97[[#This Row],[НК]]=1,Таблица97[[#This Row],[Маржа]],"")</f>
        <v/>
      </c>
    </row>
    <row r="1654" spans="1:15" ht="20.100000000000001" customHeight="1" x14ac:dyDescent="0.25">
      <c r="A1654" s="2">
        <v>1237</v>
      </c>
      <c r="B1654" s="2" t="str">
        <f>TEXT(Таблица97[[#This Row],[Дата]],"ГГ")&amp;RIGHT("000"&amp;Таблица97[[#This Row],[Номер]],4)</f>
        <v>201237</v>
      </c>
      <c r="C1654" s="129">
        <v>44175</v>
      </c>
      <c r="D1654" s="2" t="s">
        <v>479</v>
      </c>
      <c r="E1654" s="108">
        <v>11590</v>
      </c>
      <c r="F1654" s="129">
        <v>44180</v>
      </c>
      <c r="G1654" s="128">
        <v>1</v>
      </c>
      <c r="H1654" s="129">
        <v>44183</v>
      </c>
      <c r="I1654" s="108">
        <f>E1654</f>
        <v>11590</v>
      </c>
      <c r="J1654" s="108">
        <f>IF(Таблица97[[#This Row],[НК]]=1,Таблица97[[#This Row],[Продажа]],"")</f>
        <v>11590</v>
      </c>
      <c r="M1654" s="108">
        <v>8518</v>
      </c>
      <c r="N1654" s="108">
        <f>Таблица97[[#This Row],[Продажа]]-Таблица97[[#This Row],[Закупка]]</f>
        <v>3072</v>
      </c>
      <c r="O1654" s="108">
        <f>IF(Таблица97[[#This Row],[НК]]=1,Таблица97[[#This Row],[Маржа]],"")</f>
        <v>3072</v>
      </c>
    </row>
    <row r="1655" spans="1:15" ht="20.100000000000001" customHeight="1" x14ac:dyDescent="0.25">
      <c r="A1655" s="2">
        <v>1241</v>
      </c>
      <c r="B1655" s="2" t="str">
        <f>TEXT(Таблица97[[#This Row],[Дата]],"ГГ")&amp;RIGHT("000"&amp;Таблица97[[#This Row],[Номер]],4)</f>
        <v>201241</v>
      </c>
      <c r="C1655" s="129">
        <v>44175</v>
      </c>
      <c r="D1655" s="2" t="s">
        <v>480</v>
      </c>
      <c r="E1655" s="108">
        <v>400000</v>
      </c>
      <c r="F1655" s="129">
        <v>44186</v>
      </c>
      <c r="G1655" s="128">
        <v>1</v>
      </c>
      <c r="H1655" s="129">
        <v>44195</v>
      </c>
      <c r="I1655" s="108">
        <v>120000</v>
      </c>
      <c r="J1655" s="108">
        <f>IF(Таблица97[[#This Row],[НК]]=1,Таблица97[[#This Row],[Продажа]],"")</f>
        <v>120000</v>
      </c>
      <c r="M1655" s="108">
        <v>78000</v>
      </c>
      <c r="N1655" s="108">
        <f>Таблица97[[#This Row],[Продажа]]-Таблица97[[#This Row],[Закупка]]</f>
        <v>42000</v>
      </c>
      <c r="O1655" s="108">
        <f>IF(Таблица97[[#This Row],[НК]]=1,Таблица97[[#This Row],[Маржа]],"")</f>
        <v>42000</v>
      </c>
    </row>
    <row r="1656" spans="1:15" ht="20.100000000000001" customHeight="1" x14ac:dyDescent="0.25">
      <c r="A1656" s="2">
        <v>1258</v>
      </c>
      <c r="B1656" s="2" t="str">
        <f>TEXT(Таблица97[[#This Row],[Дата]],"ГГ")&amp;RIGHT("000"&amp;Таблица97[[#This Row],[Номер]],4)</f>
        <v>201258</v>
      </c>
      <c r="C1656" s="129">
        <v>44182</v>
      </c>
      <c r="D1656" s="2" t="s">
        <v>443</v>
      </c>
      <c r="E1656" s="108">
        <v>2046</v>
      </c>
      <c r="F1656" s="129">
        <v>44186</v>
      </c>
      <c r="H1656" s="129">
        <v>44222</v>
      </c>
      <c r="I1656" s="108">
        <f>E1656</f>
        <v>2046</v>
      </c>
      <c r="J1656" s="108" t="str">
        <f>IF(Таблица97[[#This Row],[НК]]=1,Таблица97[[#This Row],[Продажа]],"")</f>
        <v/>
      </c>
      <c r="M1656" s="108">
        <v>1104</v>
      </c>
      <c r="N1656" s="108">
        <f>Таблица97[[#This Row],[Продажа]]-Таблица97[[#This Row],[Закупка]]</f>
        <v>942</v>
      </c>
      <c r="O1656" s="108" t="str">
        <f>IF(Таблица97[[#This Row],[НК]]=1,Таблица97[[#This Row],[Маржа]],"")</f>
        <v/>
      </c>
    </row>
    <row r="1657" spans="1:15" ht="20.100000000000001" customHeight="1" x14ac:dyDescent="0.25">
      <c r="A1657" s="2">
        <v>1072</v>
      </c>
      <c r="B1657" s="2" t="str">
        <f>TEXT(Таблица97[[#This Row],[Дата]],"ГГ")&amp;RIGHT("000"&amp;Таблица97[[#This Row],[Номер]],4)</f>
        <v>201072</v>
      </c>
      <c r="C1657" s="129">
        <v>44131</v>
      </c>
      <c r="D1657" s="2" t="s">
        <v>66</v>
      </c>
      <c r="E1657" s="108">
        <v>7400</v>
      </c>
      <c r="F1657" s="129">
        <v>44186</v>
      </c>
      <c r="H1657" s="129">
        <v>44132</v>
      </c>
      <c r="I1657" s="108">
        <f>E1657</f>
        <v>7400</v>
      </c>
      <c r="J1657" s="108" t="str">
        <f>IF(Таблица97[[#This Row],[НК]]=1,Таблица97[[#This Row],[Продажа]],"")</f>
        <v/>
      </c>
      <c r="M1657" s="108">
        <v>5090</v>
      </c>
      <c r="N1657" s="108">
        <f>Таблица97[[#This Row],[Продажа]]-Таблица97[[#This Row],[Закупка]]</f>
        <v>2310</v>
      </c>
      <c r="O1657" s="108" t="str">
        <f>IF(Таблица97[[#This Row],[НК]]=1,Таблица97[[#This Row],[Маржа]],"")</f>
        <v/>
      </c>
    </row>
    <row r="1658" spans="1:15" ht="20.100000000000001" customHeight="1" x14ac:dyDescent="0.25">
      <c r="A1658" s="2">
        <v>1111</v>
      </c>
      <c r="B1658" s="2" t="str">
        <f>TEXT(Таблица97[[#This Row],[Дата]],"ГГ")&amp;RIGHT("000"&amp;Таблица97[[#This Row],[Номер]],4)</f>
        <v>201111</v>
      </c>
      <c r="C1658" s="129">
        <v>44140</v>
      </c>
      <c r="D1658" s="2" t="s">
        <v>66</v>
      </c>
      <c r="E1658" s="108">
        <v>13909</v>
      </c>
      <c r="F1658" s="129">
        <v>44186</v>
      </c>
      <c r="H1658" s="129">
        <v>44141</v>
      </c>
      <c r="I1658" s="108">
        <f>E1658</f>
        <v>13909</v>
      </c>
      <c r="J1658" s="108" t="str">
        <f>IF(Таблица97[[#This Row],[НК]]=1,Таблица97[[#This Row],[Продажа]],"")</f>
        <v/>
      </c>
      <c r="M1658" s="108">
        <v>9614</v>
      </c>
      <c r="N1658" s="108">
        <f>Таблица97[[#This Row],[Продажа]]-Таблица97[[#This Row],[Закупка]]</f>
        <v>4295</v>
      </c>
      <c r="O1658" s="108" t="str">
        <f>IF(Таблица97[[#This Row],[НК]]=1,Таблица97[[#This Row],[Маржа]],"")</f>
        <v/>
      </c>
    </row>
    <row r="1659" spans="1:15" ht="20.100000000000001" customHeight="1" x14ac:dyDescent="0.25">
      <c r="A1659" s="2">
        <v>1219</v>
      </c>
      <c r="B1659" s="2" t="str">
        <f>TEXT(Таблица97[[#This Row],[Дата]],"ГГ")&amp;RIGHT("000"&amp;Таблица97[[#This Row],[Номер]],4)</f>
        <v>201219</v>
      </c>
      <c r="C1659" s="129">
        <v>44169</v>
      </c>
      <c r="D1659" s="2" t="s">
        <v>13</v>
      </c>
      <c r="E1659" s="108">
        <v>20502</v>
      </c>
      <c r="F1659" s="129">
        <v>44188</v>
      </c>
      <c r="H1659" s="129">
        <v>44174</v>
      </c>
      <c r="I1659" s="108">
        <v>17602</v>
      </c>
      <c r="J1659" s="108" t="str">
        <f>IF(Таблица97[[#This Row],[НК]]=1,Таблица97[[#This Row],[Продажа]],"")</f>
        <v/>
      </c>
      <c r="M1659" s="108">
        <v>12224</v>
      </c>
      <c r="N1659" s="108">
        <f>Таблица97[[#This Row],[Продажа]]-Таблица97[[#This Row],[Закупка]]</f>
        <v>5378</v>
      </c>
      <c r="O1659" s="108" t="str">
        <f>IF(Таблица97[[#This Row],[НК]]=1,Таблица97[[#This Row],[Маржа]],"")</f>
        <v/>
      </c>
    </row>
    <row r="1660" spans="1:15" ht="20.100000000000001" customHeight="1" x14ac:dyDescent="0.25">
      <c r="A1660" s="2">
        <v>1241</v>
      </c>
      <c r="B1660" s="2" t="str">
        <f>TEXT(Таблица97[[#This Row],[Дата]],"ГГ")&amp;RIGHT("000"&amp;Таблица97[[#This Row],[Номер]],4)</f>
        <v>201241</v>
      </c>
      <c r="C1660" s="129">
        <v>44175</v>
      </c>
      <c r="D1660" s="2" t="s">
        <v>480</v>
      </c>
      <c r="E1660" s="108">
        <v>400000</v>
      </c>
      <c r="F1660" s="129">
        <v>44193</v>
      </c>
      <c r="G1660" s="128">
        <v>1</v>
      </c>
      <c r="H1660" s="129">
        <v>44195</v>
      </c>
      <c r="I1660" s="108">
        <v>280000</v>
      </c>
      <c r="J1660" s="108">
        <f>IF(Таблица97[[#This Row],[НК]]=1,Таблица97[[#This Row],[Продажа]],"")</f>
        <v>280000</v>
      </c>
      <c r="M1660" s="108">
        <v>182000</v>
      </c>
      <c r="N1660" s="108">
        <f>Таблица97[[#This Row],[Продажа]]-Таблица97[[#This Row],[Закупка]]</f>
        <v>98000</v>
      </c>
      <c r="O1660" s="108">
        <f>IF(Таблица97[[#This Row],[НК]]=1,Таблица97[[#This Row],[Маржа]],"")</f>
        <v>98000</v>
      </c>
    </row>
    <row r="1661" spans="1:15" ht="20.100000000000001" customHeight="1" x14ac:dyDescent="0.25">
      <c r="A1661" s="2">
        <v>1249</v>
      </c>
      <c r="B1661" s="2" t="str">
        <f>TEXT(Таблица97[[#This Row],[Дата]],"ГГ")&amp;RIGHT("000"&amp;Таблица97[[#This Row],[Номер]],4)</f>
        <v>201249</v>
      </c>
      <c r="C1661" s="129">
        <v>44179</v>
      </c>
      <c r="D1661" s="2" t="s">
        <v>11</v>
      </c>
      <c r="E1661" s="108">
        <v>11775</v>
      </c>
      <c r="F1661" s="129">
        <v>44195</v>
      </c>
      <c r="H1661" s="129">
        <v>44195</v>
      </c>
      <c r="I1661" s="108">
        <f>E1661</f>
        <v>11775</v>
      </c>
      <c r="J1661" s="108" t="str">
        <f>IF(Таблица97[[#This Row],[НК]]=1,Таблица97[[#This Row],[Продажа]],"")</f>
        <v/>
      </c>
      <c r="M1661" s="108">
        <v>6985</v>
      </c>
      <c r="N1661" s="108">
        <f>Таблица97[[#This Row],[Продажа]]-Таблица97[[#This Row],[Закупка]]</f>
        <v>4790</v>
      </c>
      <c r="O1661" s="108" t="str">
        <f>IF(Таблица97[[#This Row],[НК]]=1,Таблица97[[#This Row],[Маржа]],"")</f>
        <v/>
      </c>
    </row>
    <row r="1662" spans="1:15" ht="20.100000000000001" customHeight="1" x14ac:dyDescent="0.25">
      <c r="A1662" s="2">
        <v>1281</v>
      </c>
      <c r="B1662" s="2" t="str">
        <f>TEXT(Таблица97[[#This Row],[Дата]],"ГГ")&amp;RIGHT("000"&amp;Таблица97[[#This Row],[Номер]],4)</f>
        <v>201281</v>
      </c>
      <c r="C1662" s="129">
        <v>44195</v>
      </c>
      <c r="D1662" s="2" t="s">
        <v>443</v>
      </c>
      <c r="E1662" s="108">
        <v>2658</v>
      </c>
      <c r="F1662" s="129">
        <v>44207</v>
      </c>
      <c r="H1662" s="129">
        <v>44222</v>
      </c>
      <c r="I1662" s="108">
        <f t="shared" ref="I1662:I1667" si="77">E1662</f>
        <v>2658</v>
      </c>
      <c r="J1662" s="108" t="str">
        <f>IF(Таблица97[[#This Row],[НК]]=1,Таблица97[[#This Row],[Продажа]],"")</f>
        <v/>
      </c>
      <c r="M1662" s="108">
        <v>2094</v>
      </c>
      <c r="N1662" s="108">
        <f>Таблица97[[#This Row],[Продажа]]-Таблица97[[#This Row],[Закупка]]</f>
        <v>564</v>
      </c>
      <c r="O1662" s="108" t="str">
        <f>IF(Таблица97[[#This Row],[НК]]=1,Таблица97[[#This Row],[Маржа]],"")</f>
        <v/>
      </c>
    </row>
    <row r="1663" spans="1:15" ht="20.100000000000001" customHeight="1" x14ac:dyDescent="0.25">
      <c r="A1663" s="2">
        <v>1183</v>
      </c>
      <c r="B1663" s="2" t="str">
        <f>TEXT(Таблица97[[#This Row],[Дата]],"ГГ")&amp;RIGHT("000"&amp;Таблица97[[#This Row],[Номер]],4)</f>
        <v>201183</v>
      </c>
      <c r="C1663" s="129">
        <v>44188</v>
      </c>
      <c r="D1663" s="2" t="s">
        <v>51</v>
      </c>
      <c r="E1663" s="108">
        <v>363398</v>
      </c>
      <c r="F1663" s="129">
        <v>44207</v>
      </c>
      <c r="H1663" s="129">
        <v>44216</v>
      </c>
      <c r="I1663" s="108">
        <f t="shared" si="77"/>
        <v>363398</v>
      </c>
      <c r="J1663" s="108" t="str">
        <f>IF(Таблица97[[#This Row],[НК]]=1,Таблица97[[#This Row],[Продажа]],"")</f>
        <v/>
      </c>
      <c r="M1663" s="108">
        <v>186660</v>
      </c>
      <c r="N1663" s="108">
        <f>Таблица97[[#This Row],[Продажа]]-Таблица97[[#This Row],[Закупка]]</f>
        <v>176738</v>
      </c>
      <c r="O1663" s="108" t="str">
        <f>IF(Таблица97[[#This Row],[НК]]=1,Таблица97[[#This Row],[Маржа]],"")</f>
        <v/>
      </c>
    </row>
    <row r="1664" spans="1:15" ht="20.100000000000001" customHeight="1" x14ac:dyDescent="0.25">
      <c r="A1664" s="2">
        <v>11</v>
      </c>
      <c r="B1664" s="2" t="str">
        <f>TEXT(Таблица97[[#This Row],[Дата]],"ГГ")&amp;RIGHT("000"&amp;Таблица97[[#This Row],[Номер]],4)</f>
        <v>210011</v>
      </c>
      <c r="C1664" s="129">
        <v>44208</v>
      </c>
      <c r="D1664" s="2" t="s">
        <v>118</v>
      </c>
      <c r="E1664" s="108">
        <v>15716.5</v>
      </c>
      <c r="F1664" s="129">
        <v>44208</v>
      </c>
      <c r="H1664" s="129">
        <v>44209</v>
      </c>
      <c r="I1664" s="108">
        <f t="shared" si="77"/>
        <v>15716.5</v>
      </c>
      <c r="J1664" s="108" t="str">
        <f>IF(Таблица97[[#This Row],[НК]]=1,Таблица97[[#This Row],[Продажа]],"")</f>
        <v/>
      </c>
      <c r="M1664" s="108">
        <v>13579</v>
      </c>
      <c r="N1664" s="108">
        <f>Таблица97[[#This Row],[Продажа]]-Таблица97[[#This Row],[Закупка]]</f>
        <v>2137.5</v>
      </c>
      <c r="O1664" s="108" t="str">
        <f>IF(Таблица97[[#This Row],[НК]]=1,Таблица97[[#This Row],[Маржа]],"")</f>
        <v/>
      </c>
    </row>
    <row r="1665" spans="1:15" ht="20.100000000000001" customHeight="1" x14ac:dyDescent="0.25">
      <c r="A1665" s="2">
        <v>12</v>
      </c>
      <c r="B1665" s="2" t="str">
        <f>TEXT(Таблица97[[#This Row],[Дата]],"ГГ")&amp;RIGHT("000"&amp;Таблица97[[#This Row],[Номер]],4)</f>
        <v>210012</v>
      </c>
      <c r="C1665" s="129">
        <v>44208</v>
      </c>
      <c r="D1665" s="2" t="s">
        <v>91</v>
      </c>
      <c r="E1665" s="108">
        <v>66990</v>
      </c>
      <c r="F1665" s="129">
        <v>44209</v>
      </c>
      <c r="H1665" s="129">
        <v>44238</v>
      </c>
      <c r="I1665" s="108">
        <f t="shared" si="77"/>
        <v>66990</v>
      </c>
      <c r="J1665" s="108" t="str">
        <f>IF(Таблица97[[#This Row],[НК]]=1,Таблица97[[#This Row],[Продажа]],"")</f>
        <v/>
      </c>
      <c r="M1665" s="108">
        <v>49197</v>
      </c>
      <c r="N1665" s="108">
        <f>Таблица97[[#This Row],[Продажа]]-Таблица97[[#This Row],[Закупка]]</f>
        <v>17793</v>
      </c>
      <c r="O1665" s="108" t="str">
        <f>IF(Таблица97[[#This Row],[НК]]=1,Таблица97[[#This Row],[Маржа]],"")</f>
        <v/>
      </c>
    </row>
    <row r="1666" spans="1:15" ht="20.100000000000001" customHeight="1" x14ac:dyDescent="0.25">
      <c r="A1666" s="2">
        <v>2</v>
      </c>
      <c r="B1666" s="2" t="str">
        <f>TEXT(Таблица97[[#This Row],[Дата]],"ГГ")&amp;RIGHT("000"&amp;Таблица97[[#This Row],[Номер]],4)</f>
        <v>210002</v>
      </c>
      <c r="C1666" s="129">
        <v>44207</v>
      </c>
      <c r="D1666" s="2" t="s">
        <v>270</v>
      </c>
      <c r="E1666" s="108">
        <v>5864</v>
      </c>
      <c r="F1666" s="129">
        <v>44210</v>
      </c>
      <c r="H1666" s="129">
        <v>44207</v>
      </c>
      <c r="I1666" s="108">
        <f t="shared" si="77"/>
        <v>5864</v>
      </c>
      <c r="J1666" s="108" t="str">
        <f>IF(Таблица97[[#This Row],[НК]]=1,Таблица97[[#This Row],[Продажа]],"")</f>
        <v/>
      </c>
      <c r="M1666" s="108">
        <v>4659</v>
      </c>
      <c r="N1666" s="108">
        <f>Таблица97[[#This Row],[Продажа]]-Таблица97[[#This Row],[Закупка]]</f>
        <v>1205</v>
      </c>
      <c r="O1666" s="108" t="str">
        <f>IF(Таблица97[[#This Row],[НК]]=1,Таблица97[[#This Row],[Маржа]],"")</f>
        <v/>
      </c>
    </row>
    <row r="1667" spans="1:15" ht="20.100000000000001" customHeight="1" x14ac:dyDescent="0.25">
      <c r="A1667" s="2">
        <v>3</v>
      </c>
      <c r="B1667" s="2" t="str">
        <f>TEXT(Таблица97[[#This Row],[Дата]],"ГГ")&amp;RIGHT("000"&amp;Таблица97[[#This Row],[Номер]],4)</f>
        <v>210003</v>
      </c>
      <c r="C1667" s="129">
        <v>44207</v>
      </c>
      <c r="D1667" s="2" t="s">
        <v>481</v>
      </c>
      <c r="E1667" s="108">
        <v>10000</v>
      </c>
      <c r="F1667" s="129">
        <v>44211</v>
      </c>
      <c r="H1667" s="129">
        <v>44221</v>
      </c>
      <c r="I1667" s="108">
        <f t="shared" si="77"/>
        <v>10000</v>
      </c>
      <c r="J1667" s="108" t="str">
        <f>IF(Таблица97[[#This Row],[НК]]=1,Таблица97[[#This Row],[Продажа]],"")</f>
        <v/>
      </c>
      <c r="L1667" s="108">
        <v>1200</v>
      </c>
      <c r="M1667" s="108">
        <v>3085</v>
      </c>
      <c r="N1667" s="108">
        <f>Таблица97[[#This Row],[Продажа]]-Таблица97[[#This Row],[Закупка]]</f>
        <v>6915</v>
      </c>
      <c r="O1667" s="108" t="str">
        <f>IF(Таблица97[[#This Row],[НК]]=1,Таблица97[[#This Row],[Маржа]],"")</f>
        <v/>
      </c>
    </row>
    <row r="1668" spans="1:15" ht="20.100000000000001" customHeight="1" x14ac:dyDescent="0.25">
      <c r="A1668" s="2">
        <v>991</v>
      </c>
      <c r="B1668" s="2" t="str">
        <f>TEXT(Таблица97[[#This Row],[Дата]],"ГГ")&amp;RIGHT("000"&amp;Таблица97[[#This Row],[Номер]],4)</f>
        <v>200991</v>
      </c>
      <c r="C1668" s="129">
        <v>44133</v>
      </c>
      <c r="D1668" s="2" t="s">
        <v>65</v>
      </c>
      <c r="E1668" s="108">
        <v>874385.02</v>
      </c>
      <c r="F1668" s="129">
        <v>44222</v>
      </c>
      <c r="H1668" s="129">
        <v>44189</v>
      </c>
      <c r="I1668" s="108">
        <v>744171.82</v>
      </c>
      <c r="J1668" s="108" t="str">
        <f>IF(Таблица97[[#This Row],[НК]]=1,Таблица97[[#This Row],[Продажа]],"")</f>
        <v/>
      </c>
      <c r="M1668" s="108">
        <v>661422</v>
      </c>
      <c r="N1668" s="108">
        <f>Таблица97[[#This Row],[Продажа]]-Таблица97[[#This Row],[Закупка]]</f>
        <v>82749.819999999949</v>
      </c>
      <c r="O1668" s="108" t="str">
        <f>IF(Таблица97[[#This Row],[НК]]=1,Таблица97[[#This Row],[Маржа]],"")</f>
        <v/>
      </c>
    </row>
    <row r="1669" spans="1:15" ht="20.100000000000001" customHeight="1" x14ac:dyDescent="0.25">
      <c r="A1669" s="2">
        <v>4</v>
      </c>
      <c r="B1669" s="2" t="str">
        <f>TEXT(Таблица97[[#This Row],[Дата]],"ГГ")&amp;RIGHT("000"&amp;Таблица97[[#This Row],[Номер]],4)</f>
        <v>210004</v>
      </c>
      <c r="C1669" s="129">
        <v>44209</v>
      </c>
      <c r="D1669" s="2" t="s">
        <v>228</v>
      </c>
      <c r="E1669" s="108">
        <v>12607</v>
      </c>
      <c r="F1669" s="129">
        <v>44222</v>
      </c>
      <c r="H1669" s="129">
        <v>44245</v>
      </c>
      <c r="I1669" s="108">
        <f>E1669</f>
        <v>12607</v>
      </c>
      <c r="J1669" s="108" t="str">
        <f>IF(Таблица97[[#This Row],[НК]]=1,Таблица97[[#This Row],[Продажа]],"")</f>
        <v/>
      </c>
      <c r="M1669" s="108">
        <v>8320</v>
      </c>
      <c r="N1669" s="108">
        <f>Таблица97[[#This Row],[Продажа]]-Таблица97[[#This Row],[Закупка]]</f>
        <v>4287</v>
      </c>
      <c r="O1669" s="108" t="str">
        <f>IF(Таблица97[[#This Row],[НК]]=1,Таблица97[[#This Row],[Маржа]],"")</f>
        <v/>
      </c>
    </row>
    <row r="1670" spans="1:15" ht="20.100000000000001" customHeight="1" x14ac:dyDescent="0.25">
      <c r="A1670" s="2">
        <v>1144</v>
      </c>
      <c r="B1670" s="2" t="str">
        <f>TEXT(Таблица97[[#This Row],[Дата]],"ГГ")&amp;RIGHT("000"&amp;Таблица97[[#This Row],[Номер]],4)</f>
        <v>201144</v>
      </c>
      <c r="C1670" s="129">
        <v>44165</v>
      </c>
      <c r="D1670" s="2" t="s">
        <v>433</v>
      </c>
      <c r="E1670" s="108">
        <v>84000</v>
      </c>
      <c r="F1670" s="129">
        <v>44223</v>
      </c>
      <c r="H1670" s="129">
        <v>44187</v>
      </c>
      <c r="I1670" s="108">
        <f>E1670</f>
        <v>84000</v>
      </c>
      <c r="J1670" s="108" t="str">
        <f>IF(Таблица97[[#This Row],[НК]]=1,Таблица97[[#This Row],[Продажа]],"")</f>
        <v/>
      </c>
      <c r="M1670" s="108">
        <v>61222</v>
      </c>
      <c r="N1670" s="108">
        <f>Таблица97[[#This Row],[Продажа]]-Таблица97[[#This Row],[Закупка]]</f>
        <v>22778</v>
      </c>
      <c r="O1670" s="108" t="str">
        <f>IF(Таблица97[[#This Row],[НК]]=1,Таблица97[[#This Row],[Маржа]],"")</f>
        <v/>
      </c>
    </row>
    <row r="1671" spans="1:15" ht="20.100000000000001" customHeight="1" x14ac:dyDescent="0.25">
      <c r="A1671" s="2">
        <v>48</v>
      </c>
      <c r="B1671" s="2" t="str">
        <f>TEXT(Таблица97[[#This Row],[Дата]],"ГГ")&amp;RIGHT("000"&amp;Таблица97[[#This Row],[Номер]],4)</f>
        <v>210048</v>
      </c>
      <c r="C1671" s="129">
        <v>44222</v>
      </c>
      <c r="D1671" s="2" t="s">
        <v>149</v>
      </c>
      <c r="E1671" s="108">
        <v>8534</v>
      </c>
      <c r="F1671" s="129">
        <v>44224</v>
      </c>
      <c r="H1671" s="129">
        <v>44225</v>
      </c>
      <c r="I1671" s="108">
        <f>E1671</f>
        <v>8534</v>
      </c>
      <c r="J1671" s="108" t="str">
        <f>IF(Таблица97[[#This Row],[НК]]=1,Таблица97[[#This Row],[Продажа]],"")</f>
        <v/>
      </c>
      <c r="M1671" s="108">
        <v>6026</v>
      </c>
      <c r="N1671" s="108">
        <f>Таблица97[[#This Row],[Продажа]]-Таблица97[[#This Row],[Закупка]]</f>
        <v>2508</v>
      </c>
      <c r="O1671" s="108" t="str">
        <f>IF(Таблица97[[#This Row],[НК]]=1,Таблица97[[#This Row],[Маржа]],"")</f>
        <v/>
      </c>
    </row>
    <row r="1672" spans="1:15" ht="20.100000000000001" customHeight="1" x14ac:dyDescent="0.25">
      <c r="A1672" s="2">
        <v>1146</v>
      </c>
      <c r="B1672" s="2" t="str">
        <f>TEXT(Таблица97[[#This Row],[Дата]],"ГГ")&amp;RIGHT("000"&amp;Таблица97[[#This Row],[Номер]],4)</f>
        <v>201146</v>
      </c>
      <c r="C1672" s="129">
        <v>44165</v>
      </c>
      <c r="D1672" s="2" t="s">
        <v>433</v>
      </c>
      <c r="E1672" s="108">
        <v>60300</v>
      </c>
      <c r="F1672" s="129">
        <v>44228</v>
      </c>
      <c r="H1672" s="129">
        <v>44187</v>
      </c>
      <c r="I1672" s="108">
        <f t="shared" ref="I1672:I1696" si="78">E1672</f>
        <v>60300</v>
      </c>
      <c r="J1672" s="108" t="str">
        <f>IF(Таблица97[[#This Row],[НК]]=1,Таблица97[[#This Row],[Продажа]],"")</f>
        <v/>
      </c>
      <c r="M1672" s="108">
        <v>43012</v>
      </c>
      <c r="N1672" s="108">
        <f>Таблица97[[#This Row],[Продажа]]-Таблица97[[#This Row],[Закупка]]</f>
        <v>17288</v>
      </c>
      <c r="O1672" s="108" t="str">
        <f>IF(Таблица97[[#This Row],[НК]]=1,Таблица97[[#This Row],[Маржа]],"")</f>
        <v/>
      </c>
    </row>
    <row r="1673" spans="1:15" ht="20.100000000000001" customHeight="1" x14ac:dyDescent="0.25">
      <c r="A1673" s="2">
        <v>1</v>
      </c>
      <c r="B1673" s="2" t="str">
        <f>TEXT(Таблица97[[#This Row],[Дата]],"ГГ")&amp;RIGHT("000"&amp;Таблица97[[#This Row],[Номер]],4)</f>
        <v>210001</v>
      </c>
      <c r="C1673" s="129">
        <v>44207</v>
      </c>
      <c r="D1673" s="2" t="s">
        <v>228</v>
      </c>
      <c r="E1673" s="108">
        <v>6724</v>
      </c>
      <c r="F1673" s="129">
        <v>44229</v>
      </c>
      <c r="H1673" s="129">
        <v>44209</v>
      </c>
      <c r="I1673" s="108">
        <f t="shared" si="78"/>
        <v>6724</v>
      </c>
      <c r="J1673" s="108" t="str">
        <f>IF(Таблица97[[#This Row],[НК]]=1,Таблица97[[#This Row],[Продажа]],"")</f>
        <v/>
      </c>
      <c r="M1673" s="108">
        <v>4894</v>
      </c>
      <c r="N1673" s="108">
        <f>Таблица97[[#This Row],[Продажа]]-Таблица97[[#This Row],[Закупка]]</f>
        <v>1830</v>
      </c>
      <c r="O1673" s="108" t="str">
        <f>IF(Таблица97[[#This Row],[НК]]=1,Таблица97[[#This Row],[Маржа]],"")</f>
        <v/>
      </c>
    </row>
    <row r="1674" spans="1:15" ht="20.100000000000001" customHeight="1" x14ac:dyDescent="0.25">
      <c r="A1674" s="2">
        <v>87</v>
      </c>
      <c r="B1674" s="2" t="str">
        <f>TEXT(Таблица97[[#This Row],[Дата]],"ГГ")&amp;RIGHT("000"&amp;Таблица97[[#This Row],[Номер]],4)</f>
        <v>210087</v>
      </c>
      <c r="C1674" s="129">
        <v>44230</v>
      </c>
      <c r="D1674" s="2" t="s">
        <v>482</v>
      </c>
      <c r="E1674" s="108">
        <v>8566</v>
      </c>
      <c r="F1674" s="129">
        <v>44230</v>
      </c>
      <c r="G1674" s="128">
        <v>1</v>
      </c>
      <c r="H1674" s="129">
        <v>44235</v>
      </c>
      <c r="I1674" s="108">
        <f t="shared" si="78"/>
        <v>8566</v>
      </c>
      <c r="J1674" s="108">
        <f>IF(Таблица97[[#This Row],[НК]]=1,Таблица97[[#This Row],[Продажа]],"")</f>
        <v>8566</v>
      </c>
      <c r="M1674" s="108">
        <v>5826</v>
      </c>
      <c r="N1674" s="108">
        <f>Таблица97[[#This Row],[Продажа]]-Таблица97[[#This Row],[Закупка]]</f>
        <v>2740</v>
      </c>
      <c r="O1674" s="108">
        <f>IF(Таблица97[[#This Row],[НК]]=1,Таблица97[[#This Row],[Маржа]],"")</f>
        <v>2740</v>
      </c>
    </row>
    <row r="1675" spans="1:15" ht="20.100000000000001" customHeight="1" x14ac:dyDescent="0.25">
      <c r="A1675" s="2">
        <v>57</v>
      </c>
      <c r="B1675" s="2" t="str">
        <f>TEXT(Таблица97[[#This Row],[Дата]],"ГГ")&amp;RIGHT("000"&amp;Таблица97[[#This Row],[Номер]],4)</f>
        <v>210057</v>
      </c>
      <c r="C1675" s="129">
        <v>44224</v>
      </c>
      <c r="D1675" s="2" t="s">
        <v>483</v>
      </c>
      <c r="E1675" s="108">
        <v>17713</v>
      </c>
      <c r="F1675" s="129">
        <v>44230</v>
      </c>
      <c r="G1675" s="128">
        <v>1</v>
      </c>
      <c r="H1675" s="129">
        <v>44264</v>
      </c>
      <c r="I1675" s="108">
        <f t="shared" si="78"/>
        <v>17713</v>
      </c>
      <c r="J1675" s="108">
        <f>IF(Таблица97[[#This Row],[НК]]=1,Таблица97[[#This Row],[Продажа]],"")</f>
        <v>17713</v>
      </c>
      <c r="M1675" s="108">
        <v>13817</v>
      </c>
      <c r="N1675" s="108">
        <f>Таблица97[[#This Row],[Продажа]]-Таблица97[[#This Row],[Закупка]]</f>
        <v>3896</v>
      </c>
      <c r="O1675" s="108">
        <f>IF(Таблица97[[#This Row],[НК]]=1,Таблица97[[#This Row],[Маржа]],"")</f>
        <v>3896</v>
      </c>
    </row>
    <row r="1676" spans="1:15" ht="20.100000000000001" customHeight="1" x14ac:dyDescent="0.25">
      <c r="A1676" s="2">
        <v>99</v>
      </c>
      <c r="B1676" s="2" t="str">
        <f>TEXT(Таблица97[[#This Row],[Дата]],"ГГ")&amp;RIGHT("000"&amp;Таблица97[[#This Row],[Номер]],4)</f>
        <v>210099</v>
      </c>
      <c r="C1676" s="129">
        <v>44231</v>
      </c>
      <c r="D1676" s="2" t="s">
        <v>470</v>
      </c>
      <c r="E1676" s="108">
        <v>24444</v>
      </c>
      <c r="F1676" s="129">
        <v>44231</v>
      </c>
      <c r="H1676" s="129">
        <v>44271</v>
      </c>
      <c r="I1676" s="108">
        <f t="shared" si="78"/>
        <v>24444</v>
      </c>
      <c r="J1676" s="108" t="str">
        <f>IF(Таблица97[[#This Row],[НК]]=1,Таблица97[[#This Row],[Продажа]],"")</f>
        <v/>
      </c>
      <c r="M1676" s="108">
        <v>19068</v>
      </c>
      <c r="N1676" s="108">
        <f>Таблица97[[#This Row],[Продажа]]-Таблица97[[#This Row],[Закупка]]</f>
        <v>5376</v>
      </c>
      <c r="O1676" s="108" t="str">
        <f>IF(Таблица97[[#This Row],[НК]]=1,Таблица97[[#This Row],[Маржа]],"")</f>
        <v/>
      </c>
    </row>
    <row r="1677" spans="1:15" ht="20.100000000000001" customHeight="1" x14ac:dyDescent="0.25">
      <c r="A1677" s="2">
        <v>92</v>
      </c>
      <c r="B1677" s="2" t="str">
        <f>TEXT(Таблица97[[#This Row],[Дата]],"ГГ")&amp;RIGHT("000"&amp;Таблица97[[#This Row],[Номер]],4)</f>
        <v>210092</v>
      </c>
      <c r="C1677" s="129">
        <v>44230</v>
      </c>
      <c r="D1677" s="2" t="s">
        <v>424</v>
      </c>
      <c r="E1677" s="108">
        <v>2710</v>
      </c>
      <c r="F1677" s="129">
        <v>44232</v>
      </c>
      <c r="H1677" s="129">
        <v>44235</v>
      </c>
      <c r="I1677" s="108">
        <f t="shared" si="78"/>
        <v>2710</v>
      </c>
      <c r="J1677" s="108" t="str">
        <f>IF(Таблица97[[#This Row],[НК]]=1,Таблица97[[#This Row],[Продажа]],"")</f>
        <v/>
      </c>
      <c r="M1677" s="108">
        <v>2030.15</v>
      </c>
      <c r="N1677" s="108">
        <f>Таблица97[[#This Row],[Продажа]]-Таблица97[[#This Row],[Закупка]]</f>
        <v>679.84999999999991</v>
      </c>
      <c r="O1677" s="108" t="str">
        <f>IF(Таблица97[[#This Row],[НК]]=1,Таблица97[[#This Row],[Маржа]],"")</f>
        <v/>
      </c>
    </row>
    <row r="1678" spans="1:15" ht="20.100000000000001" customHeight="1" x14ac:dyDescent="0.25">
      <c r="A1678" s="2">
        <v>1244</v>
      </c>
      <c r="B1678" s="2" t="str">
        <f>TEXT(Таблица97[[#This Row],[Дата]],"ГГ")&amp;RIGHT("000"&amp;Таблица97[[#This Row],[Номер]],4)</f>
        <v>201244</v>
      </c>
      <c r="C1678" s="129">
        <v>44176</v>
      </c>
      <c r="D1678" s="2" t="s">
        <v>56</v>
      </c>
      <c r="E1678" s="108">
        <v>5702</v>
      </c>
      <c r="F1678" s="129">
        <v>44235</v>
      </c>
      <c r="H1678" s="129">
        <v>44194</v>
      </c>
      <c r="I1678" s="108">
        <f t="shared" si="78"/>
        <v>5702</v>
      </c>
      <c r="J1678" s="108" t="str">
        <f>IF(Таблица97[[#This Row],[НК]]=1,Таблица97[[#This Row],[Продажа]],"")</f>
        <v/>
      </c>
      <c r="M1678" s="108">
        <v>4447</v>
      </c>
      <c r="N1678" s="108">
        <f>Таблица97[[#This Row],[Продажа]]-Таблица97[[#This Row],[Закупка]]</f>
        <v>1255</v>
      </c>
      <c r="O1678" s="108" t="str">
        <f>IF(Таблица97[[#This Row],[НК]]=1,Таблица97[[#This Row],[Маржа]],"")</f>
        <v/>
      </c>
    </row>
    <row r="1679" spans="1:15" ht="20.100000000000001" customHeight="1" x14ac:dyDescent="0.25">
      <c r="A1679" s="2">
        <v>15</v>
      </c>
      <c r="B1679" s="2" t="str">
        <f>TEXT(Таблица97[[#This Row],[Дата]],"ГГ")&amp;RIGHT("000"&amp;Таблица97[[#This Row],[Номер]],4)</f>
        <v>210015</v>
      </c>
      <c r="C1679" s="129">
        <v>44209</v>
      </c>
      <c r="D1679" s="2" t="s">
        <v>56</v>
      </c>
      <c r="E1679" s="108">
        <v>38947</v>
      </c>
      <c r="F1679" s="129">
        <v>44235</v>
      </c>
      <c r="H1679" s="129">
        <v>44221</v>
      </c>
      <c r="I1679" s="108">
        <f t="shared" si="78"/>
        <v>38947</v>
      </c>
      <c r="J1679" s="108" t="str">
        <f>IF(Таблица97[[#This Row],[НК]]=1,Таблица97[[#This Row],[Продажа]],"")</f>
        <v/>
      </c>
      <c r="M1679" s="108">
        <v>28479</v>
      </c>
      <c r="N1679" s="108">
        <f>Таблица97[[#This Row],[Продажа]]-Таблица97[[#This Row],[Закупка]]</f>
        <v>10468</v>
      </c>
      <c r="O1679" s="108" t="str">
        <f>IF(Таблица97[[#This Row],[НК]]=1,Таблица97[[#This Row],[Маржа]],"")</f>
        <v/>
      </c>
    </row>
    <row r="1680" spans="1:15" ht="20.100000000000001" customHeight="1" x14ac:dyDescent="0.25">
      <c r="A1680" s="2">
        <v>1211</v>
      </c>
      <c r="B1680" s="2" t="str">
        <f>TEXT(Таблица97[[#This Row],[Дата]],"ГГ")&amp;RIGHT("000"&amp;Таблица97[[#This Row],[Номер]],4)</f>
        <v>201211</v>
      </c>
      <c r="C1680" s="129">
        <v>44167</v>
      </c>
      <c r="D1680" s="2" t="s">
        <v>56</v>
      </c>
      <c r="E1680" s="108">
        <v>98783</v>
      </c>
      <c r="F1680" s="129">
        <v>44235</v>
      </c>
      <c r="H1680" s="129">
        <v>44221</v>
      </c>
      <c r="I1680" s="108">
        <f t="shared" si="78"/>
        <v>98783</v>
      </c>
      <c r="J1680" s="108" t="str">
        <f>IF(Таблица97[[#This Row],[НК]]=1,Таблица97[[#This Row],[Продажа]],"")</f>
        <v/>
      </c>
      <c r="M1680" s="108">
        <v>70144</v>
      </c>
      <c r="N1680" s="108">
        <f>Таблица97[[#This Row],[Продажа]]-Таблица97[[#This Row],[Закупка]]</f>
        <v>28639</v>
      </c>
      <c r="O1680" s="108" t="str">
        <f>IF(Таблица97[[#This Row],[НК]]=1,Таблица97[[#This Row],[Маржа]],"")</f>
        <v/>
      </c>
    </row>
    <row r="1681" spans="1:15" ht="20.100000000000001" customHeight="1" x14ac:dyDescent="0.25">
      <c r="A1681" s="2">
        <v>80</v>
      </c>
      <c r="B1681" s="2" t="str">
        <f>TEXT(Таблица97[[#This Row],[Дата]],"ГГ")&amp;RIGHT("000"&amp;Таблица97[[#This Row],[Номер]],4)</f>
        <v>210080</v>
      </c>
      <c r="C1681" s="129">
        <v>44229</v>
      </c>
      <c r="D1681" s="2" t="s">
        <v>206</v>
      </c>
      <c r="E1681" s="108">
        <v>2299</v>
      </c>
      <c r="F1681" s="129">
        <v>44237</v>
      </c>
      <c r="H1681" s="129">
        <v>44229</v>
      </c>
      <c r="I1681" s="108">
        <f t="shared" si="78"/>
        <v>2299</v>
      </c>
      <c r="J1681" s="108" t="str">
        <f>IF(Таблица97[[#This Row],[НК]]=1,Таблица97[[#This Row],[Продажа]],"")</f>
        <v/>
      </c>
      <c r="M1681" s="108">
        <v>1767</v>
      </c>
      <c r="N1681" s="108">
        <f>Таблица97[[#This Row],[Продажа]]-Таблица97[[#This Row],[Закупка]]</f>
        <v>532</v>
      </c>
      <c r="O1681" s="108" t="str">
        <f>IF(Таблица97[[#This Row],[НК]]=1,Таблица97[[#This Row],[Маржа]],"")</f>
        <v/>
      </c>
    </row>
    <row r="1682" spans="1:15" ht="20.100000000000001" customHeight="1" x14ac:dyDescent="0.25">
      <c r="A1682" s="2">
        <v>112</v>
      </c>
      <c r="B1682" s="2" t="str">
        <f>TEXT(Таблица97[[#This Row],[Дата]],"ГГ")&amp;RIGHT("000"&amp;Таблица97[[#This Row],[Номер]],4)</f>
        <v>210112</v>
      </c>
      <c r="C1682" s="129">
        <v>44235</v>
      </c>
      <c r="D1682" s="2" t="s">
        <v>443</v>
      </c>
      <c r="E1682" s="108">
        <v>3110</v>
      </c>
      <c r="F1682" s="129">
        <v>44237</v>
      </c>
      <c r="H1682" s="129">
        <v>44230</v>
      </c>
      <c r="I1682" s="108">
        <f t="shared" si="78"/>
        <v>3110</v>
      </c>
      <c r="J1682" s="108" t="str">
        <f>IF(Таблица97[[#This Row],[НК]]=1,Таблица97[[#This Row],[Продажа]],"")</f>
        <v/>
      </c>
      <c r="M1682" s="108">
        <v>1864</v>
      </c>
      <c r="N1682" s="108">
        <f>Таблица97[[#This Row],[Продажа]]-Таблица97[[#This Row],[Закупка]]</f>
        <v>1246</v>
      </c>
      <c r="O1682" s="108" t="str">
        <f>IF(Таблица97[[#This Row],[НК]]=1,Таблица97[[#This Row],[Маржа]],"")</f>
        <v/>
      </c>
    </row>
    <row r="1683" spans="1:15" ht="20.100000000000001" customHeight="1" x14ac:dyDescent="0.25">
      <c r="A1683" s="2">
        <v>1157</v>
      </c>
      <c r="B1683" s="2" t="str">
        <f>TEXT(Таблица97[[#This Row],[Дата]],"ГГ")&amp;RIGHT("000"&amp;Таблица97[[#This Row],[Номер]],4)</f>
        <v>201157</v>
      </c>
      <c r="C1683" s="129">
        <v>44152</v>
      </c>
      <c r="D1683" s="2" t="s">
        <v>275</v>
      </c>
      <c r="E1683" s="108">
        <v>2660</v>
      </c>
      <c r="F1683" s="129">
        <v>44238</v>
      </c>
      <c r="H1683" s="129">
        <v>44208</v>
      </c>
      <c r="I1683" s="108">
        <f t="shared" si="78"/>
        <v>2660</v>
      </c>
      <c r="J1683" s="108" t="str">
        <f>IF(Таблица97[[#This Row],[НК]]=1,Таблица97[[#This Row],[Продажа]],"")</f>
        <v/>
      </c>
      <c r="M1683" s="108">
        <v>2044</v>
      </c>
      <c r="N1683" s="108">
        <f>Таблица97[[#This Row],[Продажа]]-Таблица97[[#This Row],[Закупка]]</f>
        <v>616</v>
      </c>
      <c r="O1683" s="108" t="str">
        <f>IF(Таблица97[[#This Row],[НК]]=1,Таблица97[[#This Row],[Маржа]],"")</f>
        <v/>
      </c>
    </row>
    <row r="1684" spans="1:15" ht="20.100000000000001" customHeight="1" x14ac:dyDescent="0.25">
      <c r="A1684" s="2">
        <v>125</v>
      </c>
      <c r="B1684" s="2" t="str">
        <f>TEXT(Таблица97[[#This Row],[Дата]],"ГГ")&amp;RIGHT("000"&amp;Таблица97[[#This Row],[Номер]],4)</f>
        <v>210125</v>
      </c>
      <c r="C1684" s="129">
        <v>44239</v>
      </c>
      <c r="D1684" s="2" t="s">
        <v>443</v>
      </c>
      <c r="E1684" s="108">
        <v>13590</v>
      </c>
      <c r="F1684" s="129">
        <v>44243</v>
      </c>
      <c r="H1684" s="129">
        <v>44264</v>
      </c>
      <c r="I1684" s="108">
        <f t="shared" si="78"/>
        <v>13590</v>
      </c>
      <c r="J1684" s="108" t="str">
        <f>IF(Таблица97[[#This Row],[НК]]=1,Таблица97[[#This Row],[Продажа]],"")</f>
        <v/>
      </c>
      <c r="M1684" s="108">
        <v>10600</v>
      </c>
      <c r="N1684" s="108">
        <f>Таблица97[[#This Row],[Продажа]]-Таблица97[[#This Row],[Закупка]]</f>
        <v>2990</v>
      </c>
      <c r="O1684" s="108" t="str">
        <f>IF(Таблица97[[#This Row],[НК]]=1,Таблица97[[#This Row],[Маржа]],"")</f>
        <v/>
      </c>
    </row>
    <row r="1685" spans="1:15" ht="20.100000000000001" customHeight="1" x14ac:dyDescent="0.25">
      <c r="A1685" s="2">
        <v>123</v>
      </c>
      <c r="B1685" s="2" t="str">
        <f>TEXT(Таблица97[[#This Row],[Дата]],"ГГ")&amp;RIGHT("000"&amp;Таблица97[[#This Row],[Номер]],4)</f>
        <v>210123</v>
      </c>
      <c r="C1685" s="129">
        <v>44239</v>
      </c>
      <c r="D1685" s="2" t="s">
        <v>410</v>
      </c>
      <c r="E1685" s="108">
        <v>191394</v>
      </c>
      <c r="F1685" s="129">
        <v>44243</v>
      </c>
      <c r="H1685" s="129">
        <v>44270</v>
      </c>
      <c r="I1685" s="108">
        <f t="shared" si="78"/>
        <v>191394</v>
      </c>
      <c r="J1685" s="108" t="str">
        <f>IF(Таблица97[[#This Row],[НК]]=1,Таблица97[[#This Row],[Продажа]],"")</f>
        <v/>
      </c>
      <c r="M1685" s="108">
        <v>138868</v>
      </c>
      <c r="N1685" s="108">
        <f>Таблица97[[#This Row],[Продажа]]-Таблица97[[#This Row],[Закупка]]</f>
        <v>52526</v>
      </c>
      <c r="O1685" s="108" t="str">
        <f>IF(Таблица97[[#This Row],[НК]]=1,Таблица97[[#This Row],[Маржа]],"")</f>
        <v/>
      </c>
    </row>
    <row r="1686" spans="1:15" ht="20.100000000000001" customHeight="1" x14ac:dyDescent="0.25">
      <c r="A1686" s="2">
        <v>134</v>
      </c>
      <c r="B1686" s="2" t="str">
        <f>TEXT(Таблица97[[#This Row],[Дата]],"ГГ")&amp;RIGHT("000"&amp;Таблица97[[#This Row],[Номер]],4)</f>
        <v>210134</v>
      </c>
      <c r="C1686" s="129">
        <v>44243</v>
      </c>
      <c r="D1686" s="2" t="s">
        <v>442</v>
      </c>
      <c r="E1686" s="108">
        <v>3212</v>
      </c>
      <c r="F1686" s="129">
        <v>44243</v>
      </c>
      <c r="H1686" s="129">
        <v>44245</v>
      </c>
      <c r="I1686" s="108">
        <f t="shared" si="78"/>
        <v>3212</v>
      </c>
      <c r="J1686" s="108" t="str">
        <f>IF(Таблица97[[#This Row],[НК]]=1,Таблица97[[#This Row],[Продажа]],"")</f>
        <v/>
      </c>
      <c r="M1686" s="108">
        <v>2208</v>
      </c>
      <c r="N1686" s="108">
        <f>Таблица97[[#This Row],[Продажа]]-Таблица97[[#This Row],[Закупка]]</f>
        <v>1004</v>
      </c>
      <c r="O1686" s="108" t="str">
        <f>IF(Таблица97[[#This Row],[НК]]=1,Таблица97[[#This Row],[Маржа]],"")</f>
        <v/>
      </c>
    </row>
    <row r="1687" spans="1:15" ht="20.100000000000001" customHeight="1" x14ac:dyDescent="0.25">
      <c r="A1687" s="2">
        <v>130</v>
      </c>
      <c r="B1687" s="2" t="str">
        <f>TEXT(Таблица97[[#This Row],[Дата]],"ГГ")&amp;RIGHT("000"&amp;Таблица97[[#This Row],[Номер]],4)</f>
        <v>210130</v>
      </c>
      <c r="C1687" s="129">
        <v>44242</v>
      </c>
      <c r="D1687" s="2" t="s">
        <v>485</v>
      </c>
      <c r="E1687" s="108">
        <v>5000</v>
      </c>
      <c r="F1687" s="129">
        <v>44244</v>
      </c>
      <c r="G1687" s="128">
        <v>1</v>
      </c>
      <c r="H1687" s="129">
        <v>44257</v>
      </c>
      <c r="I1687" s="108">
        <f t="shared" si="78"/>
        <v>5000</v>
      </c>
      <c r="J1687" s="108">
        <f>IF(Таблица97[[#This Row],[НК]]=1,Таблица97[[#This Row],[Продажа]],"")</f>
        <v>5000</v>
      </c>
      <c r="L1687" s="108">
        <v>600</v>
      </c>
      <c r="M1687" s="108">
        <v>1367</v>
      </c>
      <c r="N1687" s="108">
        <f>Таблица97[[#This Row],[Продажа]]-Таблица97[[#This Row],[Закупка]]</f>
        <v>3633</v>
      </c>
      <c r="O1687" s="108">
        <f>IF(Таблица97[[#This Row],[НК]]=1,Таблица97[[#This Row],[Маржа]],"")</f>
        <v>3633</v>
      </c>
    </row>
    <row r="1688" spans="1:15" ht="20.100000000000001" customHeight="1" x14ac:dyDescent="0.25">
      <c r="A1688" s="2">
        <v>133</v>
      </c>
      <c r="B1688" s="2" t="str">
        <f>TEXT(Таблица97[[#This Row],[Дата]],"ГГ")&amp;RIGHT("000"&amp;Таблица97[[#This Row],[Номер]],4)</f>
        <v>210133</v>
      </c>
      <c r="C1688" s="129">
        <v>44243</v>
      </c>
      <c r="D1688" s="2" t="s">
        <v>486</v>
      </c>
      <c r="E1688" s="108">
        <v>102645.4</v>
      </c>
      <c r="F1688" s="129">
        <v>44245</v>
      </c>
      <c r="G1688" s="128">
        <v>1</v>
      </c>
      <c r="H1688" s="129">
        <v>44245</v>
      </c>
      <c r="I1688" s="108">
        <f t="shared" si="78"/>
        <v>102645.4</v>
      </c>
      <c r="J1688" s="108">
        <f>IF(Таблица97[[#This Row],[НК]]=1,Таблица97[[#This Row],[Продажа]],"")</f>
        <v>102645.4</v>
      </c>
      <c r="M1688" s="108">
        <v>64033.93</v>
      </c>
      <c r="N1688" s="108">
        <f>Таблица97[[#This Row],[Продажа]]-Таблица97[[#This Row],[Закупка]]</f>
        <v>38611.469999999994</v>
      </c>
      <c r="O1688" s="108">
        <f>IF(Таблица97[[#This Row],[НК]]=1,Таблица97[[#This Row],[Маржа]],"")</f>
        <v>38611.469999999994</v>
      </c>
    </row>
    <row r="1689" spans="1:15" ht="20.100000000000001" customHeight="1" x14ac:dyDescent="0.25">
      <c r="A1689" s="2">
        <v>132</v>
      </c>
      <c r="B1689" s="2" t="str">
        <f>TEXT(Таблица97[[#This Row],[Дата]],"ГГ")&amp;RIGHT("000"&amp;Таблица97[[#This Row],[Номер]],4)</f>
        <v>210132</v>
      </c>
      <c r="C1689" s="129">
        <v>44243</v>
      </c>
      <c r="D1689" s="2" t="s">
        <v>437</v>
      </c>
      <c r="E1689" s="108">
        <v>4020</v>
      </c>
      <c r="F1689" s="129">
        <v>44246</v>
      </c>
      <c r="H1689" s="129">
        <v>44245</v>
      </c>
      <c r="I1689" s="108">
        <f t="shared" si="78"/>
        <v>4020</v>
      </c>
      <c r="J1689" s="108" t="str">
        <f>IF(Таблица97[[#This Row],[НК]]=1,Таблица97[[#This Row],[Продажа]],"")</f>
        <v/>
      </c>
      <c r="M1689" s="108">
        <v>2777</v>
      </c>
      <c r="N1689" s="108">
        <f>Таблица97[[#This Row],[Продажа]]-Таблица97[[#This Row],[Закупка]]</f>
        <v>1243</v>
      </c>
      <c r="O1689" s="108" t="str">
        <f>IF(Таблица97[[#This Row],[НК]]=1,Таблица97[[#This Row],[Маржа]],"")</f>
        <v/>
      </c>
    </row>
    <row r="1690" spans="1:15" ht="20.100000000000001" customHeight="1" x14ac:dyDescent="0.25">
      <c r="A1690" s="2">
        <v>141</v>
      </c>
      <c r="B1690" s="2" t="str">
        <f>TEXT(Таблица97[[#This Row],[Дата]],"ГГ")&amp;RIGHT("000"&amp;Таблица97[[#This Row],[Номер]],4)</f>
        <v>210141</v>
      </c>
      <c r="C1690" s="129">
        <v>44245</v>
      </c>
      <c r="D1690" s="2" t="s">
        <v>16</v>
      </c>
      <c r="E1690" s="108">
        <v>20955</v>
      </c>
      <c r="F1690" s="129">
        <v>44246</v>
      </c>
      <c r="H1690" s="129">
        <v>44252</v>
      </c>
      <c r="I1690" s="108">
        <f t="shared" si="78"/>
        <v>20955</v>
      </c>
      <c r="J1690" s="108" t="str">
        <f>IF(Таблица97[[#This Row],[НК]]=1,Таблица97[[#This Row],[Продажа]],"")</f>
        <v/>
      </c>
      <c r="M1690" s="108">
        <v>17325</v>
      </c>
      <c r="N1690" s="108">
        <f>Таблица97[[#This Row],[Продажа]]-Таблица97[[#This Row],[Закупка]]</f>
        <v>3630</v>
      </c>
      <c r="O1690" s="108" t="str">
        <f>IF(Таблица97[[#This Row],[НК]]=1,Таблица97[[#This Row],[Маржа]],"")</f>
        <v/>
      </c>
    </row>
    <row r="1691" spans="1:15" ht="20.100000000000001" customHeight="1" x14ac:dyDescent="0.25">
      <c r="A1691" s="2">
        <v>77</v>
      </c>
      <c r="B1691" s="2" t="str">
        <f>TEXT(Таблица97[[#This Row],[Дата]],"ГГ")&amp;RIGHT("000"&amp;Таблица97[[#This Row],[Номер]],4)</f>
        <v>210077</v>
      </c>
      <c r="C1691" s="129">
        <v>44239</v>
      </c>
      <c r="D1691" s="2" t="s">
        <v>302</v>
      </c>
      <c r="E1691" s="108">
        <v>8564</v>
      </c>
      <c r="F1691" s="129">
        <v>44251</v>
      </c>
      <c r="H1691" s="129">
        <v>44239</v>
      </c>
      <c r="I1691" s="108">
        <f t="shared" si="78"/>
        <v>8564</v>
      </c>
      <c r="J1691" s="108" t="str">
        <f>IF(Таблица97[[#This Row],[НК]]=1,Таблица97[[#This Row],[Продажа]],"")</f>
        <v/>
      </c>
      <c r="M1691" s="108">
        <v>6197</v>
      </c>
      <c r="N1691" s="108">
        <f>Таблица97[[#This Row],[Продажа]]-Таблица97[[#This Row],[Закупка]]</f>
        <v>2367</v>
      </c>
      <c r="O1691" s="108" t="str">
        <f>IF(Таблица97[[#This Row],[НК]]=1,Таблица97[[#This Row],[Маржа]],"")</f>
        <v/>
      </c>
    </row>
    <row r="1692" spans="1:15" ht="20.100000000000001" customHeight="1" x14ac:dyDescent="0.25">
      <c r="A1692" s="2">
        <v>47</v>
      </c>
      <c r="B1692" s="2" t="str">
        <f>TEXT(Таблица97[[#This Row],[Дата]],"ГГ")&amp;RIGHT("000"&amp;Таблица97[[#This Row],[Номер]],4)</f>
        <v>210047</v>
      </c>
      <c r="C1692" s="129">
        <v>44222</v>
      </c>
      <c r="D1692" s="2" t="s">
        <v>56</v>
      </c>
      <c r="E1692" s="108">
        <v>54003</v>
      </c>
      <c r="F1692" s="129">
        <v>44252</v>
      </c>
      <c r="H1692" s="129">
        <v>44243</v>
      </c>
      <c r="I1692" s="108">
        <f t="shared" si="78"/>
        <v>54003</v>
      </c>
      <c r="J1692" s="108" t="str">
        <f>IF(Таблица97[[#This Row],[НК]]=1,Таблица97[[#This Row],[Продажа]],"")</f>
        <v/>
      </c>
      <c r="M1692" s="108">
        <v>40601</v>
      </c>
      <c r="N1692" s="108">
        <f>Таблица97[[#This Row],[Продажа]]-Таблица97[[#This Row],[Закупка]]</f>
        <v>13402</v>
      </c>
      <c r="O1692" s="108" t="str">
        <f>IF(Таблица97[[#This Row],[НК]]=1,Таблица97[[#This Row],[Маржа]],"")</f>
        <v/>
      </c>
    </row>
    <row r="1693" spans="1:15" ht="20.100000000000001" customHeight="1" x14ac:dyDescent="0.25">
      <c r="A1693" s="2">
        <v>159</v>
      </c>
      <c r="B1693" s="2" t="str">
        <f>TEXT(Таблица97[[#This Row],[Дата]],"ГГ")&amp;RIGHT("000"&amp;Таблица97[[#This Row],[Номер]],4)</f>
        <v>210159</v>
      </c>
      <c r="C1693" s="129">
        <v>44252</v>
      </c>
      <c r="D1693" s="2" t="s">
        <v>487</v>
      </c>
      <c r="E1693" s="108">
        <v>3362</v>
      </c>
      <c r="F1693" s="129">
        <v>44252</v>
      </c>
      <c r="G1693" s="128">
        <v>1</v>
      </c>
      <c r="H1693" s="129">
        <v>44253</v>
      </c>
      <c r="I1693" s="108">
        <f t="shared" si="78"/>
        <v>3362</v>
      </c>
      <c r="J1693" s="108">
        <f>IF(Таблица97[[#This Row],[НК]]=1,Таблица97[[#This Row],[Продажа]],"")</f>
        <v>3362</v>
      </c>
      <c r="M1693" s="108">
        <v>2447</v>
      </c>
      <c r="N1693" s="108">
        <f>Таблица97[[#This Row],[Продажа]]-Таблица97[[#This Row],[Закупка]]</f>
        <v>915</v>
      </c>
      <c r="O1693" s="108">
        <f>IF(Таблица97[[#This Row],[НК]]=1,Таблица97[[#This Row],[Маржа]],"")</f>
        <v>915</v>
      </c>
    </row>
    <row r="1694" spans="1:15" ht="20.100000000000001" customHeight="1" x14ac:dyDescent="0.25">
      <c r="A1694" s="2">
        <v>150</v>
      </c>
      <c r="B1694" s="2" t="str">
        <f>TEXT(Таблица97[[#This Row],[Дата]],"ГГ")&amp;RIGHT("000"&amp;Таблица97[[#This Row],[Номер]],4)</f>
        <v>210150</v>
      </c>
      <c r="C1694" s="129">
        <v>44247</v>
      </c>
      <c r="D1694" s="2" t="s">
        <v>83</v>
      </c>
      <c r="E1694" s="108">
        <v>7111</v>
      </c>
      <c r="F1694" s="129">
        <v>44252</v>
      </c>
      <c r="H1694" s="129">
        <v>44253</v>
      </c>
      <c r="I1694" s="108">
        <f t="shared" si="78"/>
        <v>7111</v>
      </c>
      <c r="J1694" s="108" t="str">
        <f>IF(Таблица97[[#This Row],[НК]]=1,Таблица97[[#This Row],[Продажа]],"")</f>
        <v/>
      </c>
      <c r="M1694" s="108">
        <v>6375</v>
      </c>
      <c r="N1694" s="108">
        <f>Таблица97[[#This Row],[Продажа]]-Таблица97[[#This Row],[Закупка]]</f>
        <v>736</v>
      </c>
      <c r="O1694" s="108" t="str">
        <f>IF(Таблица97[[#This Row],[НК]]=1,Таблица97[[#This Row],[Маржа]],"")</f>
        <v/>
      </c>
    </row>
    <row r="1695" spans="1:15" ht="20.100000000000001" customHeight="1" x14ac:dyDescent="0.25">
      <c r="A1695" s="2">
        <v>1248</v>
      </c>
      <c r="B1695" s="2" t="str">
        <f>TEXT(Таблица97[[#This Row],[Дата]],"ГГ")&amp;RIGHT("000"&amp;Таблица97[[#This Row],[Номер]],4)</f>
        <v>201248</v>
      </c>
      <c r="C1695" s="129">
        <v>44179</v>
      </c>
      <c r="D1695" s="2" t="s">
        <v>99</v>
      </c>
      <c r="E1695" s="108">
        <v>120490</v>
      </c>
      <c r="F1695" s="129">
        <v>44252</v>
      </c>
      <c r="H1695" s="129">
        <v>44222</v>
      </c>
      <c r="I1695" s="108">
        <f t="shared" si="78"/>
        <v>120490</v>
      </c>
      <c r="J1695" s="108" t="str">
        <f>IF(Таблица97[[#This Row],[НК]]=1,Таблица97[[#This Row],[Продажа]],"")</f>
        <v/>
      </c>
      <c r="L1695" s="108">
        <f>12*600</f>
        <v>7200</v>
      </c>
      <c r="M1695" s="108">
        <v>93324</v>
      </c>
      <c r="N1695" s="108">
        <f>Таблица97[[#This Row],[Продажа]]-Таблица97[[#This Row],[Закупка]]</f>
        <v>27166</v>
      </c>
      <c r="O1695" s="108" t="str">
        <f>IF(Таблица97[[#This Row],[НК]]=1,Таблица97[[#This Row],[Маржа]],"")</f>
        <v/>
      </c>
    </row>
    <row r="1696" spans="1:15" ht="20.100000000000001" customHeight="1" x14ac:dyDescent="0.25">
      <c r="A1696" s="2">
        <v>131</v>
      </c>
      <c r="B1696" s="2" t="str">
        <f>TEXT(Таблица97[[#This Row],[Дата]],"ГГ")&amp;RIGHT("000"&amp;Таблица97[[#This Row],[Номер]],4)</f>
        <v>210131</v>
      </c>
      <c r="C1696" s="129">
        <v>44242</v>
      </c>
      <c r="D1696" s="2" t="s">
        <v>403</v>
      </c>
      <c r="E1696" s="108">
        <v>6985</v>
      </c>
      <c r="F1696" s="129">
        <v>44253</v>
      </c>
      <c r="H1696" s="129">
        <v>44293</v>
      </c>
      <c r="I1696" s="108">
        <f t="shared" si="78"/>
        <v>6985</v>
      </c>
      <c r="J1696" s="108" t="str">
        <f>IF(Таблица97[[#This Row],[НК]]=1,Таблица97[[#This Row],[Продажа]],"")</f>
        <v/>
      </c>
      <c r="M1696" s="108">
        <v>5378</v>
      </c>
      <c r="N1696" s="108">
        <f>Таблица97[[#This Row],[Продажа]]-Таблица97[[#This Row],[Закупка]]</f>
        <v>1607</v>
      </c>
      <c r="O1696" s="108" t="str">
        <f>IF(Таблица97[[#This Row],[НК]]=1,Таблица97[[#This Row],[Маржа]],"")</f>
        <v/>
      </c>
    </row>
    <row r="1697" spans="1:15" ht="20.100000000000001" customHeight="1" x14ac:dyDescent="0.25">
      <c r="A1697" s="2">
        <v>163</v>
      </c>
      <c r="B1697" s="2" t="str">
        <f>TEXT(Таблица97[[#This Row],[Дата]],"ГГ")&amp;RIGHT("000"&amp;Таблица97[[#This Row],[Номер]],4)</f>
        <v>210163</v>
      </c>
      <c r="C1697" s="129">
        <v>44256</v>
      </c>
      <c r="D1697" s="2" t="s">
        <v>303</v>
      </c>
      <c r="E1697" s="108">
        <v>4659.7</v>
      </c>
      <c r="F1697" s="129">
        <v>44256</v>
      </c>
      <c r="H1697" s="129">
        <v>44256</v>
      </c>
      <c r="I1697" s="108">
        <f t="shared" ref="I1697:I1709" si="79">E1697</f>
        <v>4659.7</v>
      </c>
      <c r="J1697" s="108" t="str">
        <f>IF(Таблица97[[#This Row],[НК]]=1,Таблица97[[#This Row],[Продажа]],"")</f>
        <v/>
      </c>
      <c r="M1697" s="108">
        <v>3295</v>
      </c>
      <c r="N1697" s="108">
        <f>Таблица97[[#This Row],[Продажа]]-Таблица97[[#This Row],[Закупка]]</f>
        <v>1364.6999999999998</v>
      </c>
      <c r="O1697" s="108" t="str">
        <f>IF(Таблица97[[#This Row],[НК]]=1,Таблица97[[#This Row],[Маржа]],"")</f>
        <v/>
      </c>
    </row>
    <row r="1698" spans="1:15" ht="20.100000000000001" customHeight="1" x14ac:dyDescent="0.25">
      <c r="A1698" s="2">
        <v>161</v>
      </c>
      <c r="B1698" s="2" t="str">
        <f>TEXT(Таблица97[[#This Row],[Дата]],"ГГ")&amp;RIGHT("000"&amp;Таблица97[[#This Row],[Номер]],4)</f>
        <v>210161</v>
      </c>
      <c r="C1698" s="129">
        <v>44253</v>
      </c>
      <c r="D1698" s="2" t="s">
        <v>410</v>
      </c>
      <c r="E1698" s="108">
        <v>39550</v>
      </c>
      <c r="F1698" s="129">
        <v>44256</v>
      </c>
      <c r="H1698" s="129">
        <v>44299</v>
      </c>
      <c r="I1698" s="108">
        <f t="shared" si="79"/>
        <v>39550</v>
      </c>
      <c r="J1698" s="108" t="str">
        <f>IF(Таблица97[[#This Row],[НК]]=1,Таблица97[[#This Row],[Продажа]],"")</f>
        <v/>
      </c>
      <c r="M1698" s="108">
        <v>30450</v>
      </c>
      <c r="N1698" s="108">
        <f>Таблица97[[#This Row],[Продажа]]-Таблица97[[#This Row],[Закупка]]</f>
        <v>9100</v>
      </c>
      <c r="O1698" s="108" t="str">
        <f>IF(Таблица97[[#This Row],[НК]]=1,Таблица97[[#This Row],[Маржа]],"")</f>
        <v/>
      </c>
    </row>
    <row r="1699" spans="1:15" ht="20.100000000000001" customHeight="1" x14ac:dyDescent="0.25">
      <c r="A1699" s="2">
        <v>127</v>
      </c>
      <c r="B1699" s="2" t="str">
        <f>TEXT(Таблица97[[#This Row],[Дата]],"ГГ")&amp;RIGHT("000"&amp;Таблица97[[#This Row],[Номер]],4)</f>
        <v>210127</v>
      </c>
      <c r="C1699" s="129">
        <v>44242</v>
      </c>
      <c r="D1699" s="2" t="s">
        <v>484</v>
      </c>
      <c r="E1699" s="108">
        <v>145656</v>
      </c>
      <c r="F1699" s="129">
        <v>44256</v>
      </c>
      <c r="G1699" s="128">
        <v>1</v>
      </c>
      <c r="H1699" s="129">
        <v>44265</v>
      </c>
      <c r="I1699" s="108">
        <f t="shared" si="79"/>
        <v>145656</v>
      </c>
      <c r="J1699" s="108">
        <f>IF(Таблица97[[#This Row],[НК]]=1,Таблица97[[#This Row],[Продажа]],"")</f>
        <v>145656</v>
      </c>
      <c r="M1699" s="108">
        <v>105183</v>
      </c>
      <c r="N1699" s="108">
        <f>Таблица97[[#This Row],[Продажа]]-Таблица97[[#This Row],[Закупка]]</f>
        <v>40473</v>
      </c>
      <c r="O1699" s="108">
        <f>IF(Таблица97[[#This Row],[НК]]=1,Таблица97[[#This Row],[Маржа]],"")</f>
        <v>40473</v>
      </c>
    </row>
    <row r="1700" spans="1:15" ht="20.100000000000001" customHeight="1" x14ac:dyDescent="0.25">
      <c r="A1700" s="2">
        <v>142</v>
      </c>
      <c r="B1700" s="2" t="str">
        <f>TEXT(Таблица97[[#This Row],[Дата]],"ГГ")&amp;RIGHT("000"&amp;Таблица97[[#This Row],[Номер]],4)</f>
        <v>210142</v>
      </c>
      <c r="C1700" s="129">
        <v>44245</v>
      </c>
      <c r="D1700" s="2" t="s">
        <v>14</v>
      </c>
      <c r="E1700" s="108">
        <v>31430</v>
      </c>
      <c r="F1700" s="129">
        <v>44257</v>
      </c>
      <c r="H1700" s="129">
        <v>44257</v>
      </c>
      <c r="I1700" s="108">
        <f t="shared" si="79"/>
        <v>31430</v>
      </c>
      <c r="J1700" s="108" t="str">
        <f>IF(Таблица97[[#This Row],[НК]]=1,Таблица97[[#This Row],[Продажа]],"")</f>
        <v/>
      </c>
      <c r="M1700" s="108">
        <v>23136.5</v>
      </c>
      <c r="N1700" s="108">
        <f>Таблица97[[#This Row],[Продажа]]-Таблица97[[#This Row],[Закупка]]</f>
        <v>8293.5</v>
      </c>
      <c r="O1700" s="108" t="str">
        <f>IF(Таблица97[[#This Row],[НК]]=1,Таблица97[[#This Row],[Маржа]],"")</f>
        <v/>
      </c>
    </row>
    <row r="1701" spans="1:15" ht="20.100000000000001" customHeight="1" x14ac:dyDescent="0.25">
      <c r="A1701" s="2">
        <v>31</v>
      </c>
      <c r="B1701" s="2" t="str">
        <f>TEXT(Таблица97[[#This Row],[Дата]],"ГГ")&amp;RIGHT("000"&amp;Таблица97[[#This Row],[Номер]],4)</f>
        <v>210031</v>
      </c>
      <c r="C1701" s="129">
        <v>44216</v>
      </c>
      <c r="D1701" s="2" t="s">
        <v>275</v>
      </c>
      <c r="E1701" s="108">
        <v>7416</v>
      </c>
      <c r="F1701" s="129">
        <v>44257</v>
      </c>
      <c r="H1701" s="129">
        <v>44224</v>
      </c>
      <c r="I1701" s="108">
        <f t="shared" si="79"/>
        <v>7416</v>
      </c>
      <c r="J1701" s="108" t="str">
        <f>IF(Таблица97[[#This Row],[НК]]=1,Таблица97[[#This Row],[Продажа]],"")</f>
        <v/>
      </c>
      <c r="M1701" s="108">
        <v>5715</v>
      </c>
      <c r="N1701" s="108">
        <f>Таблица97[[#This Row],[Продажа]]-Таблица97[[#This Row],[Закупка]]</f>
        <v>1701</v>
      </c>
      <c r="O1701" s="108" t="str">
        <f>IF(Таблица97[[#This Row],[НК]]=1,Таблица97[[#This Row],[Маржа]],"")</f>
        <v/>
      </c>
    </row>
    <row r="1702" spans="1:15" ht="20.100000000000001" customHeight="1" x14ac:dyDescent="0.25">
      <c r="A1702" s="2">
        <v>167</v>
      </c>
      <c r="B1702" s="2" t="str">
        <f>TEXT(Таблица97[[#This Row],[Дата]],"ГГ")&amp;RIGHT("000"&amp;Таблица97[[#This Row],[Номер]],4)</f>
        <v>210167</v>
      </c>
      <c r="C1702" s="129">
        <v>44257</v>
      </c>
      <c r="D1702" s="2" t="s">
        <v>211</v>
      </c>
      <c r="E1702" s="108">
        <v>9733</v>
      </c>
      <c r="F1702" s="129">
        <v>44258</v>
      </c>
      <c r="H1702" s="129">
        <v>44305</v>
      </c>
      <c r="I1702" s="108">
        <f t="shared" si="79"/>
        <v>9733</v>
      </c>
      <c r="J1702" s="108" t="str">
        <f>IF(Таблица97[[#This Row],[НК]]=1,Таблица97[[#This Row],[Продажа]],"")</f>
        <v/>
      </c>
      <c r="M1702" s="108">
        <v>5228</v>
      </c>
      <c r="N1702" s="108">
        <f>Таблица97[[#This Row],[Продажа]]-Таблица97[[#This Row],[Закупка]]</f>
        <v>4505</v>
      </c>
      <c r="O1702" s="108" t="str">
        <f>IF(Таблица97[[#This Row],[НК]]=1,Таблица97[[#This Row],[Маржа]],"")</f>
        <v/>
      </c>
    </row>
    <row r="1703" spans="1:15" ht="20.100000000000001" customHeight="1" x14ac:dyDescent="0.25">
      <c r="A1703" s="2">
        <v>169</v>
      </c>
      <c r="B1703" s="2" t="str">
        <f>TEXT(Таблица97[[#This Row],[Дата]],"ГГ")&amp;RIGHT("000"&amp;Таблица97[[#This Row],[Номер]],4)</f>
        <v>210169</v>
      </c>
      <c r="C1703" s="129">
        <v>44258</v>
      </c>
      <c r="D1703" s="2" t="s">
        <v>270</v>
      </c>
      <c r="E1703" s="108">
        <v>5512</v>
      </c>
      <c r="F1703" s="129">
        <v>44259</v>
      </c>
      <c r="H1703" s="129">
        <v>44270</v>
      </c>
      <c r="I1703" s="108">
        <f t="shared" si="79"/>
        <v>5512</v>
      </c>
      <c r="J1703" s="108" t="str">
        <f>IF(Таблица97[[#This Row],[НК]]=1,Таблица97[[#This Row],[Продажа]],"")</f>
        <v/>
      </c>
      <c r="M1703" s="108">
        <v>4067</v>
      </c>
      <c r="N1703" s="108">
        <f>Таблица97[[#This Row],[Продажа]]-Таблица97[[#This Row],[Закупка]]</f>
        <v>1445</v>
      </c>
      <c r="O1703" s="108" t="str">
        <f>IF(Таблица97[[#This Row],[НК]]=1,Таблица97[[#This Row],[Маржа]],"")</f>
        <v/>
      </c>
    </row>
    <row r="1704" spans="1:15" ht="20.100000000000001" customHeight="1" x14ac:dyDescent="0.25">
      <c r="A1704" s="2">
        <v>1205</v>
      </c>
      <c r="B1704" s="2" t="str">
        <f>TEXT(Таблица97[[#This Row],[Дата]],"ГГ")&amp;RIGHT("000"&amp;Таблица97[[#This Row],[Номер]],4)</f>
        <v>201205</v>
      </c>
      <c r="C1704" s="129">
        <v>44166</v>
      </c>
      <c r="D1704" s="2" t="s">
        <v>478</v>
      </c>
      <c r="E1704" s="108">
        <v>70599</v>
      </c>
      <c r="F1704" s="129">
        <v>44266</v>
      </c>
      <c r="G1704" s="128">
        <v>1</v>
      </c>
      <c r="H1704" s="129">
        <v>44218</v>
      </c>
      <c r="I1704" s="108">
        <f t="shared" si="79"/>
        <v>70599</v>
      </c>
      <c r="J1704" s="108">
        <f>IF(Таблица97[[#This Row],[НК]]=1,Таблица97[[#This Row],[Продажа]],"")</f>
        <v>70599</v>
      </c>
      <c r="L1704" s="108">
        <f>6*1200</f>
        <v>7200</v>
      </c>
      <c r="M1704" s="108">
        <v>32694.560000000001</v>
      </c>
      <c r="N1704" s="108">
        <f>Таблица97[[#This Row],[Продажа]]-Таблица97[[#This Row],[Закупка]]</f>
        <v>37904.44</v>
      </c>
      <c r="O1704" s="108">
        <f>IF(Таблица97[[#This Row],[НК]]=1,Таблица97[[#This Row],[Маржа]],"")</f>
        <v>37904.44</v>
      </c>
    </row>
    <row r="1705" spans="1:15" ht="20.100000000000001" customHeight="1" x14ac:dyDescent="0.25">
      <c r="A1705" s="2">
        <v>198</v>
      </c>
      <c r="B1705" s="2" t="str">
        <f>TEXT(Таблица97[[#This Row],[Дата]],"ГГ")&amp;RIGHT("000"&amp;Таблица97[[#This Row],[Номер]],4)</f>
        <v>210198</v>
      </c>
      <c r="C1705" s="129">
        <v>44266</v>
      </c>
      <c r="D1705" s="2" t="s">
        <v>307</v>
      </c>
      <c r="E1705" s="108">
        <v>108424</v>
      </c>
      <c r="F1705" s="129">
        <v>44266</v>
      </c>
      <c r="H1705" s="129">
        <v>44271</v>
      </c>
      <c r="I1705" s="108">
        <f t="shared" si="79"/>
        <v>108424</v>
      </c>
      <c r="J1705" s="108" t="str">
        <f>IF(Таблица97[[#This Row],[НК]]=1,Таблица97[[#This Row],[Продажа]],"")</f>
        <v/>
      </c>
      <c r="L1705" s="108">
        <v>600</v>
      </c>
      <c r="M1705" s="108">
        <v>73152</v>
      </c>
      <c r="N1705" s="108">
        <f>Таблица97[[#This Row],[Продажа]]-Таблица97[[#This Row],[Закупка]]</f>
        <v>35272</v>
      </c>
      <c r="O1705" s="108" t="str">
        <f>IF(Таблица97[[#This Row],[НК]]=1,Таблица97[[#This Row],[Маржа]],"")</f>
        <v/>
      </c>
    </row>
    <row r="1706" spans="1:15" ht="20.100000000000001" customHeight="1" x14ac:dyDescent="0.25">
      <c r="A1706" s="2">
        <v>199</v>
      </c>
      <c r="B1706" s="2" t="str">
        <f>TEXT(Таблица97[[#This Row],[Дата]],"ГГ")&amp;RIGHT("000"&amp;Таблица97[[#This Row],[Номер]],4)</f>
        <v>210199</v>
      </c>
      <c r="C1706" s="129">
        <v>44266</v>
      </c>
      <c r="D1706" s="2" t="s">
        <v>179</v>
      </c>
      <c r="E1706" s="108">
        <v>6332</v>
      </c>
      <c r="F1706" s="129">
        <v>44271</v>
      </c>
      <c r="H1706" s="129">
        <v>44298</v>
      </c>
      <c r="I1706" s="108">
        <f t="shared" si="79"/>
        <v>6332</v>
      </c>
      <c r="J1706" s="108" t="str">
        <f>IF(Таблица97[[#This Row],[НК]]=1,Таблица97[[#This Row],[Продажа]],"")</f>
        <v/>
      </c>
      <c r="M1706" s="108">
        <v>4939</v>
      </c>
      <c r="N1706" s="108">
        <f>Таблица97[[#This Row],[Продажа]]-Таблица97[[#This Row],[Закупка]]</f>
        <v>1393</v>
      </c>
      <c r="O1706" s="108" t="str">
        <f>IF(Таблица97[[#This Row],[НК]]=1,Таблица97[[#This Row],[Маржа]],"")</f>
        <v/>
      </c>
    </row>
    <row r="1707" spans="1:15" ht="20.100000000000001" customHeight="1" x14ac:dyDescent="0.25">
      <c r="A1707" s="2">
        <v>182</v>
      </c>
      <c r="B1707" s="2" t="str">
        <f>TEXT(Таблица97[[#This Row],[Дата]],"ГГ")&amp;RIGHT("000"&amp;Таблица97[[#This Row],[Номер]],4)</f>
        <v>210182</v>
      </c>
      <c r="C1707" s="129">
        <v>44259</v>
      </c>
      <c r="D1707" s="2" t="s">
        <v>228</v>
      </c>
      <c r="E1707" s="108">
        <v>20835</v>
      </c>
      <c r="F1707" s="129">
        <v>44271</v>
      </c>
      <c r="H1707" s="129">
        <v>44295</v>
      </c>
      <c r="I1707" s="108">
        <f t="shared" si="79"/>
        <v>20835</v>
      </c>
      <c r="J1707" s="108" t="str">
        <f>IF(Таблица97[[#This Row],[НК]]=1,Таблица97[[#This Row],[Продажа]],"")</f>
        <v/>
      </c>
      <c r="M1707" s="108">
        <v>13751</v>
      </c>
      <c r="N1707" s="108">
        <f>Таблица97[[#This Row],[Продажа]]-Таблица97[[#This Row],[Закупка]]</f>
        <v>7084</v>
      </c>
      <c r="O1707" s="108" t="str">
        <f>IF(Таблица97[[#This Row],[НК]]=1,Таблица97[[#This Row],[Маржа]],"")</f>
        <v/>
      </c>
    </row>
    <row r="1708" spans="1:15" ht="20.100000000000001" customHeight="1" x14ac:dyDescent="0.25">
      <c r="A1708" s="2">
        <v>213</v>
      </c>
      <c r="B1708" s="2" t="str">
        <f>TEXT(Таблица97[[#This Row],[Дата]],"ГГ")&amp;RIGHT("000"&amp;Таблица97[[#This Row],[Номер]],4)</f>
        <v>210213</v>
      </c>
      <c r="C1708" s="129">
        <v>44272</v>
      </c>
      <c r="D1708" s="2" t="s">
        <v>326</v>
      </c>
      <c r="E1708" s="108">
        <v>3576</v>
      </c>
      <c r="F1708" s="129">
        <v>44272</v>
      </c>
      <c r="H1708" s="129">
        <v>44272</v>
      </c>
      <c r="I1708" s="108">
        <f t="shared" si="79"/>
        <v>3576</v>
      </c>
      <c r="J1708" s="108" t="str">
        <f>IF(Таблица97[[#This Row],[НК]]=1,Таблица97[[#This Row],[Продажа]],"")</f>
        <v/>
      </c>
      <c r="M1708" s="108">
        <v>2178</v>
      </c>
      <c r="N1708" s="108">
        <f>Таблица97[[#This Row],[Продажа]]-Таблица97[[#This Row],[Закупка]]</f>
        <v>1398</v>
      </c>
      <c r="O1708" s="108" t="str">
        <f>IF(Таблица97[[#This Row],[НК]]=1,Таблица97[[#This Row],[Маржа]],"")</f>
        <v/>
      </c>
    </row>
    <row r="1709" spans="1:15" ht="20.100000000000001" customHeight="1" x14ac:dyDescent="0.25">
      <c r="A1709" s="2">
        <v>1051</v>
      </c>
      <c r="B1709" s="2" t="str">
        <f>TEXT(Таблица97[[#This Row],[Дата]],"ГГ")&amp;RIGHT("000"&amp;Таблица97[[#This Row],[Номер]],4)</f>
        <v>201051</v>
      </c>
      <c r="C1709" s="129">
        <v>44130</v>
      </c>
      <c r="D1709" s="2" t="s">
        <v>433</v>
      </c>
      <c r="E1709" s="108">
        <v>63920</v>
      </c>
      <c r="F1709" s="129">
        <v>44272</v>
      </c>
      <c r="H1709" s="129">
        <v>44238</v>
      </c>
      <c r="I1709" s="108">
        <f t="shared" si="79"/>
        <v>63920</v>
      </c>
      <c r="J1709" s="108" t="str">
        <f>IF(Таблица97[[#This Row],[НК]]=1,Таблица97[[#This Row],[Продажа]],"")</f>
        <v/>
      </c>
      <c r="M1709" s="108">
        <v>53591</v>
      </c>
      <c r="N1709" s="108">
        <f>Таблица97[[#This Row],[Продажа]]-Таблица97[[#This Row],[Закупка]]</f>
        <v>10329</v>
      </c>
      <c r="O1709" s="108" t="str">
        <f>IF(Таблица97[[#This Row],[НК]]=1,Таблица97[[#This Row],[Маржа]],"")</f>
        <v/>
      </c>
    </row>
    <row r="1710" spans="1:15" ht="20.100000000000001" customHeight="1" x14ac:dyDescent="0.25">
      <c r="A1710" s="2">
        <v>991</v>
      </c>
      <c r="B1710" s="2" t="str">
        <f>TEXT(Таблица97[[#This Row],[Дата]],"ГГ")&amp;RIGHT("000"&amp;Таблица97[[#This Row],[Номер]],4)</f>
        <v>200991</v>
      </c>
      <c r="C1710" s="129">
        <v>44133</v>
      </c>
      <c r="D1710" s="2" t="s">
        <v>65</v>
      </c>
      <c r="E1710" s="108">
        <v>874385.02</v>
      </c>
      <c r="F1710" s="129">
        <v>44273</v>
      </c>
      <c r="H1710" s="129">
        <v>44243</v>
      </c>
      <c r="I1710" s="108">
        <v>52866</v>
      </c>
      <c r="J1710" s="108" t="str">
        <f>IF(Таблица97[[#This Row],[НК]]=1,Таблица97[[#This Row],[Продажа]],"")</f>
        <v/>
      </c>
      <c r="M1710" s="108">
        <v>47827</v>
      </c>
      <c r="N1710" s="108">
        <f>Таблица97[[#This Row],[Продажа]]-Таблица97[[#This Row],[Закупка]]</f>
        <v>5039</v>
      </c>
      <c r="O1710" s="108" t="str">
        <f>IF(Таблица97[[#This Row],[НК]]=1,Таблица97[[#This Row],[Маржа]],"")</f>
        <v/>
      </c>
    </row>
    <row r="1711" spans="1:15" ht="20.100000000000001" customHeight="1" x14ac:dyDescent="0.25">
      <c r="A1711" s="2">
        <v>36</v>
      </c>
      <c r="B1711" s="2" t="str">
        <f>TEXT(Таблица97[[#This Row],[Дата]],"ГГ")&amp;RIGHT("000"&amp;Таблица97[[#This Row],[Номер]],4)</f>
        <v>210036</v>
      </c>
      <c r="C1711" s="129">
        <v>44229</v>
      </c>
      <c r="D1711" s="2" t="s">
        <v>65</v>
      </c>
      <c r="E1711" s="108">
        <v>453609.6</v>
      </c>
      <c r="F1711" s="129">
        <v>44273</v>
      </c>
      <c r="H1711" s="129">
        <v>44243</v>
      </c>
      <c r="I1711" s="108">
        <v>332587.2</v>
      </c>
      <c r="J1711" s="108" t="str">
        <f>IF(Таблица97[[#This Row],[НК]]=1,Таблица97[[#This Row],[Продажа]],"")</f>
        <v/>
      </c>
      <c r="L1711" s="108">
        <f>32*1200</f>
        <v>38400</v>
      </c>
      <c r="M1711" s="108">
        <v>172763.85</v>
      </c>
      <c r="N1711" s="108">
        <f>Таблица97[[#This Row],[Продажа]]-Таблица97[[#This Row],[Закупка]]</f>
        <v>159823.35</v>
      </c>
      <c r="O1711" s="108" t="str">
        <f>IF(Таблица97[[#This Row],[НК]]=1,Таблица97[[#This Row],[Маржа]],"")</f>
        <v/>
      </c>
    </row>
    <row r="1712" spans="1:15" ht="20.100000000000001" customHeight="1" x14ac:dyDescent="0.25">
      <c r="A1712" s="2">
        <v>168</v>
      </c>
      <c r="B1712" s="2" t="str">
        <f>TEXT(Таблица97[[#This Row],[Дата]],"ГГ")&amp;RIGHT("000"&amp;Таблица97[[#This Row],[Номер]],4)</f>
        <v>210168</v>
      </c>
      <c r="C1712" s="129">
        <v>44258</v>
      </c>
      <c r="D1712" s="2" t="s">
        <v>13</v>
      </c>
      <c r="E1712" s="108">
        <v>13448</v>
      </c>
      <c r="F1712" s="129">
        <v>44274</v>
      </c>
      <c r="H1712" s="129">
        <v>44259</v>
      </c>
      <c r="I1712" s="108">
        <f t="shared" ref="I1712:I1724" si="80">E1712</f>
        <v>13448</v>
      </c>
      <c r="J1712" s="108" t="str">
        <f>IF(Таблица97[[#This Row],[НК]]=1,Таблица97[[#This Row],[Продажа]],"")</f>
        <v/>
      </c>
      <c r="M1712" s="108">
        <v>9788</v>
      </c>
      <c r="N1712" s="108">
        <f>Таблица97[[#This Row],[Продажа]]-Таблица97[[#This Row],[Закупка]]</f>
        <v>3660</v>
      </c>
      <c r="O1712" s="108" t="str">
        <f>IF(Таблица97[[#This Row],[НК]]=1,Таблица97[[#This Row],[Маржа]],"")</f>
        <v/>
      </c>
    </row>
    <row r="1713" spans="1:15" ht="20.100000000000001" customHeight="1" x14ac:dyDescent="0.25">
      <c r="A1713" s="2">
        <v>18</v>
      </c>
      <c r="B1713" s="2" t="str">
        <f>TEXT(Таблица97[[#This Row],[Дата]],"ГГ")&amp;RIGHT("000"&amp;Таблица97[[#This Row],[Номер]],4)</f>
        <v>210018</v>
      </c>
      <c r="C1713" s="129">
        <v>44229</v>
      </c>
      <c r="D1713" s="2" t="s">
        <v>275</v>
      </c>
      <c r="E1713" s="108">
        <v>41220</v>
      </c>
      <c r="F1713" s="129">
        <v>44274</v>
      </c>
      <c r="H1713" s="129">
        <v>44243</v>
      </c>
      <c r="I1713" s="108">
        <f t="shared" si="80"/>
        <v>41220</v>
      </c>
      <c r="J1713" s="108" t="str">
        <f>IF(Таблица97[[#This Row],[НК]]=1,Таблица97[[#This Row],[Продажа]],"")</f>
        <v/>
      </c>
      <c r="M1713" s="108">
        <v>28321</v>
      </c>
      <c r="N1713" s="108">
        <f>Таблица97[[#This Row],[Продажа]]-Таблица97[[#This Row],[Закупка]]</f>
        <v>12899</v>
      </c>
      <c r="O1713" s="108" t="str">
        <f>IF(Таблица97[[#This Row],[НК]]=1,Таблица97[[#This Row],[Маржа]],"")</f>
        <v/>
      </c>
    </row>
    <row r="1714" spans="1:15" ht="20.100000000000001" customHeight="1" x14ac:dyDescent="0.25">
      <c r="A1714" s="2">
        <v>160</v>
      </c>
      <c r="B1714" s="2" t="str">
        <f>TEXT(Таблица97[[#This Row],[Дата]],"ГГ")&amp;RIGHT("000"&amp;Таблица97[[#This Row],[Номер]],4)</f>
        <v>210160</v>
      </c>
      <c r="C1714" s="129">
        <v>44253</v>
      </c>
      <c r="D1714" s="2" t="s">
        <v>403</v>
      </c>
      <c r="E1714" s="108">
        <v>7910</v>
      </c>
      <c r="F1714" s="129">
        <v>44277</v>
      </c>
      <c r="H1714" s="129">
        <v>44254</v>
      </c>
      <c r="I1714" s="108">
        <f t="shared" si="80"/>
        <v>7910</v>
      </c>
      <c r="J1714" s="108" t="str">
        <f>IF(Таблица97[[#This Row],[НК]]=1,Таблица97[[#This Row],[Продажа]],"")</f>
        <v/>
      </c>
      <c r="M1714" s="108">
        <v>6788</v>
      </c>
      <c r="N1714" s="108">
        <f>Таблица97[[#This Row],[Продажа]]-Таблица97[[#This Row],[Закупка]]</f>
        <v>1122</v>
      </c>
      <c r="O1714" s="108" t="str">
        <f>IF(Таблица97[[#This Row],[НК]]=1,Таблица97[[#This Row],[Маржа]],"")</f>
        <v/>
      </c>
    </row>
    <row r="1715" spans="1:15" ht="20.100000000000001" customHeight="1" x14ac:dyDescent="0.25">
      <c r="A1715" s="2">
        <v>227</v>
      </c>
      <c r="B1715" s="2" t="str">
        <f>TEXT(Таблица97[[#This Row],[Дата]],"ГГ")&amp;RIGHT("000"&amp;Таблица97[[#This Row],[Номер]],4)</f>
        <v>210227</v>
      </c>
      <c r="C1715" s="129">
        <v>44273</v>
      </c>
      <c r="D1715" s="2" t="s">
        <v>489</v>
      </c>
      <c r="E1715" s="108">
        <v>11756</v>
      </c>
      <c r="F1715" s="129">
        <v>44277</v>
      </c>
      <c r="H1715" s="129">
        <v>44277</v>
      </c>
      <c r="I1715" s="108">
        <f t="shared" si="80"/>
        <v>11756</v>
      </c>
      <c r="J1715" s="108" t="str">
        <f>IF(Таблица97[[#This Row],[НК]]=1,Таблица97[[#This Row],[Продажа]],"")</f>
        <v/>
      </c>
      <c r="M1715" s="108">
        <v>7758</v>
      </c>
      <c r="N1715" s="108">
        <f>Таблица97[[#This Row],[Продажа]]-Таблица97[[#This Row],[Закупка]]</f>
        <v>3998</v>
      </c>
      <c r="O1715" s="108" t="str">
        <f>IF(Таблица97[[#This Row],[НК]]=1,Таблица97[[#This Row],[Маржа]],"")</f>
        <v/>
      </c>
    </row>
    <row r="1716" spans="1:15" ht="20.100000000000001" customHeight="1" x14ac:dyDescent="0.25">
      <c r="A1716" s="2">
        <v>195</v>
      </c>
      <c r="B1716" s="2" t="str">
        <f>TEXT(Таблица97[[#This Row],[Дата]],"ГГ")&amp;RIGHT("000"&amp;Таблица97[[#This Row],[Номер]],4)</f>
        <v>210195</v>
      </c>
      <c r="C1716" s="129">
        <v>44265</v>
      </c>
      <c r="D1716" s="2" t="s">
        <v>488</v>
      </c>
      <c r="E1716" s="108">
        <v>24990</v>
      </c>
      <c r="F1716" s="129">
        <v>44279</v>
      </c>
      <c r="H1716" s="129">
        <v>44265</v>
      </c>
      <c r="I1716" s="108">
        <f t="shared" si="80"/>
        <v>24990</v>
      </c>
      <c r="J1716" s="108" t="str">
        <f>IF(Таблица97[[#This Row],[НК]]=1,Таблица97[[#This Row],[Продажа]],"")</f>
        <v/>
      </c>
      <c r="M1716" s="108">
        <v>18367</v>
      </c>
      <c r="N1716" s="108">
        <f>Таблица97[[#This Row],[Продажа]]-Таблица97[[#This Row],[Закупка]]</f>
        <v>6623</v>
      </c>
      <c r="O1716" s="108" t="str">
        <f>IF(Таблица97[[#This Row],[НК]]=1,Таблица97[[#This Row],[Маржа]],"")</f>
        <v/>
      </c>
    </row>
    <row r="1717" spans="1:15" ht="20.100000000000001" customHeight="1" x14ac:dyDescent="0.25">
      <c r="A1717" s="2">
        <v>239</v>
      </c>
      <c r="B1717" s="2" t="str">
        <f>TEXT(Таблица97[[#This Row],[Дата]],"ГГ")&amp;RIGHT("000"&amp;Таблица97[[#This Row],[Номер]],4)</f>
        <v>210239</v>
      </c>
      <c r="C1717" s="129">
        <v>44278</v>
      </c>
      <c r="D1717" s="2" t="s">
        <v>470</v>
      </c>
      <c r="E1717" s="108">
        <v>2150</v>
      </c>
      <c r="F1717" s="129">
        <v>44280</v>
      </c>
      <c r="H1717" s="129">
        <v>44284</v>
      </c>
      <c r="I1717" s="108">
        <f t="shared" si="80"/>
        <v>2150</v>
      </c>
      <c r="J1717" s="108" t="str">
        <f>IF(Таблица97[[#This Row],[НК]]=1,Таблица97[[#This Row],[Продажа]],"")</f>
        <v/>
      </c>
      <c r="M1717" s="108">
        <v>1675</v>
      </c>
      <c r="N1717" s="108">
        <f>Таблица97[[#This Row],[Продажа]]-Таблица97[[#This Row],[Закупка]]</f>
        <v>475</v>
      </c>
      <c r="O1717" s="108" t="str">
        <f>IF(Таблица97[[#This Row],[НК]]=1,Таблица97[[#This Row],[Маржа]],"")</f>
        <v/>
      </c>
    </row>
    <row r="1718" spans="1:15" ht="20.100000000000001" customHeight="1" x14ac:dyDescent="0.25">
      <c r="A1718" s="2">
        <v>244</v>
      </c>
      <c r="B1718" s="2" t="str">
        <f>TEXT(Таблица97[[#This Row],[Дата]],"ГГ")&amp;RIGHT("000"&amp;Таблица97[[#This Row],[Номер]],4)</f>
        <v>210244</v>
      </c>
      <c r="C1718" s="129">
        <v>44280</v>
      </c>
      <c r="D1718" s="2" t="s">
        <v>490</v>
      </c>
      <c r="E1718" s="108">
        <v>11590</v>
      </c>
      <c r="F1718" s="129">
        <v>44280</v>
      </c>
      <c r="G1718" s="128">
        <v>1</v>
      </c>
      <c r="H1718" s="129">
        <v>44280</v>
      </c>
      <c r="I1718" s="108">
        <f t="shared" si="80"/>
        <v>11590</v>
      </c>
      <c r="J1718" s="108">
        <f>IF(Таблица97[[#This Row],[НК]]=1,Таблица97[[#This Row],[Продажа]],"")</f>
        <v>11590</v>
      </c>
      <c r="M1718" s="108">
        <v>8407.75</v>
      </c>
      <c r="N1718" s="108">
        <f>Таблица97[[#This Row],[Продажа]]-Таблица97[[#This Row],[Закупка]]</f>
        <v>3182.25</v>
      </c>
      <c r="O1718" s="108">
        <f>IF(Таблица97[[#This Row],[НК]]=1,Таблица97[[#This Row],[Маржа]],"")</f>
        <v>3182.25</v>
      </c>
    </row>
    <row r="1719" spans="1:15" ht="20.100000000000001" customHeight="1" x14ac:dyDescent="0.25">
      <c r="A1719" s="2">
        <v>188</v>
      </c>
      <c r="B1719" s="2" t="str">
        <f>TEXT(Таблица97[[#This Row],[Дата]],"ГГ")&amp;RIGHT("000"&amp;Таблица97[[#This Row],[Номер]],4)</f>
        <v>210188</v>
      </c>
      <c r="C1719" s="129">
        <v>44264</v>
      </c>
      <c r="D1719" s="2" t="s">
        <v>60</v>
      </c>
      <c r="E1719" s="108">
        <v>31764</v>
      </c>
      <c r="F1719" s="129">
        <v>44281</v>
      </c>
      <c r="H1719" s="129">
        <v>44266</v>
      </c>
      <c r="I1719" s="108">
        <f t="shared" si="80"/>
        <v>31764</v>
      </c>
      <c r="J1719" s="108" t="str">
        <f>IF(Таблица97[[#This Row],[НК]]=1,Таблица97[[#This Row],[Продажа]],"")</f>
        <v/>
      </c>
      <c r="M1719" s="108">
        <v>19184</v>
      </c>
      <c r="N1719" s="108">
        <f>Таблица97[[#This Row],[Продажа]]-Таблица97[[#This Row],[Закупка]]</f>
        <v>12580</v>
      </c>
      <c r="O1719" s="108" t="str">
        <f>IF(Таблица97[[#This Row],[НК]]=1,Таблица97[[#This Row],[Маржа]],"")</f>
        <v/>
      </c>
    </row>
    <row r="1720" spans="1:15" ht="20.100000000000001" customHeight="1" x14ac:dyDescent="0.25">
      <c r="A1720" s="2">
        <v>140</v>
      </c>
      <c r="B1720" s="2" t="str">
        <f>TEXT(Таблица97[[#This Row],[Дата]],"ГГ")&amp;RIGHT("000"&amp;Таблица97[[#This Row],[Номер]],4)</f>
        <v>210140</v>
      </c>
      <c r="C1720" s="129">
        <v>44245</v>
      </c>
      <c r="D1720" s="2" t="s">
        <v>209</v>
      </c>
      <c r="E1720" s="108">
        <v>7587.95</v>
      </c>
      <c r="F1720" s="129">
        <v>44284</v>
      </c>
      <c r="H1720" s="129">
        <v>44252</v>
      </c>
      <c r="I1720" s="108">
        <f t="shared" si="80"/>
        <v>7587.95</v>
      </c>
      <c r="J1720" s="108" t="str">
        <f>IF(Таблица97[[#This Row],[НК]]=1,Таблица97[[#This Row],[Продажа]],"")</f>
        <v/>
      </c>
      <c r="M1720" s="108">
        <v>6137</v>
      </c>
      <c r="N1720" s="108">
        <f>Таблица97[[#This Row],[Продажа]]-Таблица97[[#This Row],[Закупка]]</f>
        <v>1450.9499999999998</v>
      </c>
      <c r="O1720" s="108" t="str">
        <f>IF(Таблица97[[#This Row],[НК]]=1,Таблица97[[#This Row],[Маржа]],"")</f>
        <v/>
      </c>
    </row>
    <row r="1721" spans="1:15" ht="20.100000000000001" customHeight="1" x14ac:dyDescent="0.25">
      <c r="A1721" s="2">
        <v>62</v>
      </c>
      <c r="B1721" s="2" t="str">
        <f>TEXT(Таблица97[[#This Row],[Дата]],"ГГ")&amp;RIGHT("000"&amp;Таблица97[[#This Row],[Номер]],4)</f>
        <v>210062</v>
      </c>
      <c r="C1721" s="129">
        <v>44228</v>
      </c>
      <c r="D1721" s="2" t="s">
        <v>228</v>
      </c>
      <c r="E1721" s="108">
        <v>30509</v>
      </c>
      <c r="F1721" s="129">
        <v>44285</v>
      </c>
      <c r="H1721" s="129">
        <v>44266</v>
      </c>
      <c r="I1721" s="108">
        <f t="shared" si="80"/>
        <v>30509</v>
      </c>
      <c r="J1721" s="108" t="str">
        <f>IF(Таблица97[[#This Row],[НК]]=1,Таблица97[[#This Row],[Продажа]],"")</f>
        <v/>
      </c>
      <c r="M1721" s="108">
        <v>20118</v>
      </c>
      <c r="N1721" s="108">
        <f>Таблица97[[#This Row],[Продажа]]-Таблица97[[#This Row],[Закупка]]</f>
        <v>10391</v>
      </c>
      <c r="O1721" s="108" t="str">
        <f>IF(Таблица97[[#This Row],[НК]]=1,Таблица97[[#This Row],[Маржа]],"")</f>
        <v/>
      </c>
    </row>
    <row r="1722" spans="1:15" ht="20.100000000000001" customHeight="1" x14ac:dyDescent="0.25">
      <c r="A1722" s="2">
        <v>264</v>
      </c>
      <c r="B1722" s="2" t="str">
        <f>TEXT(Таблица97[[#This Row],[Дата]],"ГГ")&amp;RIGHT("000"&amp;Таблица97[[#This Row],[Номер]],4)</f>
        <v>210264</v>
      </c>
      <c r="C1722" s="129">
        <v>44284</v>
      </c>
      <c r="D1722" s="2" t="s">
        <v>396</v>
      </c>
      <c r="E1722" s="108">
        <v>13990</v>
      </c>
      <c r="F1722" s="129">
        <v>44285</v>
      </c>
      <c r="H1722" s="129">
        <v>44302</v>
      </c>
      <c r="I1722" s="108">
        <f t="shared" si="80"/>
        <v>13990</v>
      </c>
      <c r="J1722" s="108" t="str">
        <f>IF(Таблица97[[#This Row],[НК]]=1,Таблица97[[#This Row],[Продажа]],"")</f>
        <v/>
      </c>
      <c r="M1722" s="108">
        <v>10283</v>
      </c>
      <c r="N1722" s="108">
        <f>Таблица97[[#This Row],[Продажа]]-Таблица97[[#This Row],[Закупка]]</f>
        <v>3707</v>
      </c>
      <c r="O1722" s="108" t="str">
        <f>IF(Таблица97[[#This Row],[НК]]=1,Таблица97[[#This Row],[Маржа]],"")</f>
        <v/>
      </c>
    </row>
    <row r="1723" spans="1:15" ht="20.100000000000001" customHeight="1" x14ac:dyDescent="0.25">
      <c r="A1723" s="2">
        <v>59</v>
      </c>
      <c r="B1723" s="2" t="str">
        <f>TEXT(Таблица97[[#This Row],[Дата]],"ГГ")&amp;RIGHT("000"&amp;Таблица97[[#This Row],[Номер]],4)</f>
        <v>210059</v>
      </c>
      <c r="C1723" s="129">
        <v>44225</v>
      </c>
      <c r="D1723" s="2" t="s">
        <v>99</v>
      </c>
      <c r="E1723" s="108">
        <v>207414</v>
      </c>
      <c r="F1723" s="129">
        <v>44285</v>
      </c>
      <c r="H1723" s="129">
        <v>44264</v>
      </c>
      <c r="I1723" s="108">
        <f t="shared" si="80"/>
        <v>207414</v>
      </c>
      <c r="J1723" s="108" t="str">
        <f>IF(Таблица97[[#This Row],[НК]]=1,Таблица97[[#This Row],[Продажа]],"")</f>
        <v/>
      </c>
      <c r="L1723" s="108">
        <f>23*600</f>
        <v>13800</v>
      </c>
      <c r="M1723" s="108">
        <v>162389.9</v>
      </c>
      <c r="N1723" s="108">
        <f>Таблица97[[#This Row],[Продажа]]-Таблица97[[#This Row],[Закупка]]</f>
        <v>45024.100000000006</v>
      </c>
      <c r="O1723" s="108" t="str">
        <f>IF(Таблица97[[#This Row],[НК]]=1,Таблица97[[#This Row],[Маржа]],"")</f>
        <v/>
      </c>
    </row>
    <row r="1724" spans="1:15" ht="20.100000000000001" customHeight="1" x14ac:dyDescent="0.25">
      <c r="A1724" s="2">
        <v>1247</v>
      </c>
      <c r="B1724" s="2" t="str">
        <f>TEXT(Таблица97[[#This Row],[Дата]],"ГГ")&amp;RIGHT("000"&amp;Таблица97[[#This Row],[Номер]],4)</f>
        <v>201247</v>
      </c>
      <c r="C1724" s="129">
        <v>44179</v>
      </c>
      <c r="D1724" s="2" t="s">
        <v>433</v>
      </c>
      <c r="E1724" s="108">
        <v>49564</v>
      </c>
      <c r="F1724" s="129">
        <v>44286</v>
      </c>
      <c r="H1724" s="129">
        <v>44222</v>
      </c>
      <c r="I1724" s="108">
        <f t="shared" si="80"/>
        <v>49564</v>
      </c>
      <c r="J1724" s="108" t="str">
        <f>IF(Таблица97[[#This Row],[НК]]=1,Таблица97[[#This Row],[Продажа]],"")</f>
        <v/>
      </c>
      <c r="M1724" s="108">
        <v>35062</v>
      </c>
      <c r="N1724" s="108">
        <f>Таблица97[[#This Row],[Продажа]]-Таблица97[[#This Row],[Закупка]]</f>
        <v>14502</v>
      </c>
      <c r="O1724" s="108" t="str">
        <f>IF(Таблица97[[#This Row],[НК]]=1,Таблица97[[#This Row],[Маржа]],"")</f>
        <v/>
      </c>
    </row>
    <row r="1725" spans="1:15" ht="20.100000000000001" customHeight="1" x14ac:dyDescent="0.25">
      <c r="A1725" s="2">
        <v>1224</v>
      </c>
      <c r="B1725" s="2" t="str">
        <f>TEXT(Таблица97[[#This Row],[Дата]],"ГГ")&amp;RIGHT("000"&amp;Таблица97[[#This Row],[Номер]],4)</f>
        <v>201224</v>
      </c>
      <c r="C1725" s="129">
        <v>44173</v>
      </c>
      <c r="D1725" s="2" t="s">
        <v>38</v>
      </c>
      <c r="E1725" s="108">
        <v>137560</v>
      </c>
      <c r="F1725" s="129">
        <v>44287</v>
      </c>
      <c r="H1725" s="129">
        <v>44173</v>
      </c>
      <c r="I1725" s="108">
        <f t="shared" ref="I1725:I1734" si="81">E1725</f>
        <v>137560</v>
      </c>
      <c r="J1725" s="108" t="str">
        <f>IF(Таблица97[[#This Row],[НК]]=1,Таблица97[[#This Row],[Продажа]],"")</f>
        <v/>
      </c>
      <c r="M1725" s="108">
        <v>94672.53</v>
      </c>
      <c r="N1725" s="108">
        <f>Таблица97[[#This Row],[Продажа]]-Таблица97[[#This Row],[Закупка]]</f>
        <v>42887.47</v>
      </c>
      <c r="O1725" s="108" t="str">
        <f>IF(Таблица97[[#This Row],[НК]]=1,Таблица97[[#This Row],[Маржа]],"")</f>
        <v/>
      </c>
    </row>
    <row r="1726" spans="1:15" ht="20.100000000000001" customHeight="1" x14ac:dyDescent="0.25">
      <c r="A1726" s="2">
        <v>268</v>
      </c>
      <c r="B1726" s="2" t="str">
        <f>TEXT(Таблица97[[#This Row],[Дата]],"ГГ")&amp;RIGHT("000"&amp;Таблица97[[#This Row],[Номер]],4)</f>
        <v>210268</v>
      </c>
      <c r="C1726" s="129">
        <v>44285</v>
      </c>
      <c r="D1726" s="2" t="s">
        <v>443</v>
      </c>
      <c r="E1726" s="108">
        <v>6220</v>
      </c>
      <c r="F1726" s="129">
        <v>44287</v>
      </c>
      <c r="H1726" s="129">
        <v>44294</v>
      </c>
      <c r="I1726" s="108">
        <f t="shared" si="81"/>
        <v>6220</v>
      </c>
      <c r="J1726" s="108" t="str">
        <f>IF(Таблица97[[#This Row],[НК]]=1,Таблица97[[#This Row],[Продажа]],"")</f>
        <v/>
      </c>
      <c r="M1726" s="108">
        <v>3728</v>
      </c>
      <c r="N1726" s="108">
        <f>Таблица97[[#This Row],[Продажа]]-Таблица97[[#This Row],[Закупка]]</f>
        <v>2492</v>
      </c>
      <c r="O1726" s="108" t="str">
        <f>IF(Таблица97[[#This Row],[НК]]=1,Таблица97[[#This Row],[Маржа]],"")</f>
        <v/>
      </c>
    </row>
    <row r="1727" spans="1:15" ht="20.100000000000001" customHeight="1" x14ac:dyDescent="0.25">
      <c r="A1727" s="2">
        <v>100</v>
      </c>
      <c r="B1727" s="2" t="str">
        <f>TEXT(Таблица97[[#This Row],[Дата]],"ГГ")&amp;RIGHT("000"&amp;Таблица97[[#This Row],[Номер]],4)</f>
        <v>210100</v>
      </c>
      <c r="C1727" s="129">
        <v>44231</v>
      </c>
      <c r="D1727" s="2" t="s">
        <v>66</v>
      </c>
      <c r="E1727" s="108">
        <v>1250</v>
      </c>
      <c r="F1727" s="129">
        <v>44287</v>
      </c>
      <c r="H1727" s="129">
        <v>44232</v>
      </c>
      <c r="I1727" s="108">
        <f t="shared" si="81"/>
        <v>1250</v>
      </c>
      <c r="J1727" s="108" t="str">
        <f>IF(Таблица97[[#This Row],[НК]]=1,Таблица97[[#This Row],[Продажа]],"")</f>
        <v/>
      </c>
      <c r="M1727" s="108">
        <v>893</v>
      </c>
      <c r="N1727" s="108">
        <f>Таблица97[[#This Row],[Продажа]]-Таблица97[[#This Row],[Закупка]]</f>
        <v>357</v>
      </c>
      <c r="O1727" s="108" t="str">
        <f>IF(Таблица97[[#This Row],[НК]]=1,Таблица97[[#This Row],[Маржа]],"")</f>
        <v/>
      </c>
    </row>
    <row r="1728" spans="1:15" ht="20.100000000000001" customHeight="1" x14ac:dyDescent="0.25">
      <c r="A1728" s="2">
        <v>233</v>
      </c>
      <c r="B1728" s="2" t="str">
        <f>TEXT(Таблица97[[#This Row],[Дата]],"ГГ")&amp;RIGHT("000"&amp;Таблица97[[#This Row],[Номер]],4)</f>
        <v>210233</v>
      </c>
      <c r="C1728" s="129">
        <v>44284</v>
      </c>
      <c r="D1728" s="2" t="s">
        <v>11</v>
      </c>
      <c r="E1728" s="108">
        <v>9196</v>
      </c>
      <c r="F1728" s="129">
        <v>44288</v>
      </c>
      <c r="H1728" s="129">
        <v>44295</v>
      </c>
      <c r="I1728" s="108">
        <f t="shared" si="81"/>
        <v>9196</v>
      </c>
      <c r="J1728" s="108" t="str">
        <f>IF(Таблица97[[#This Row],[НК]]=1,Таблица97[[#This Row],[Продажа]],"")</f>
        <v/>
      </c>
      <c r="M1728" s="108">
        <v>7120</v>
      </c>
      <c r="N1728" s="108">
        <f>Таблица97[[#This Row],[Продажа]]-Таблица97[[#This Row],[Закупка]]</f>
        <v>2076</v>
      </c>
      <c r="O1728" s="108" t="str">
        <f>IF(Таблица97[[#This Row],[НК]]=1,Таблица97[[#This Row],[Маржа]],"")</f>
        <v/>
      </c>
    </row>
    <row r="1729" spans="1:15" ht="20.100000000000001" customHeight="1" x14ac:dyDescent="0.25">
      <c r="A1729" s="2">
        <v>292</v>
      </c>
      <c r="B1729" s="2" t="str">
        <f>TEXT(Таблица97[[#This Row],[Дата]],"ГГ")&amp;RIGHT("000"&amp;Таблица97[[#This Row],[Номер]],4)</f>
        <v>210292</v>
      </c>
      <c r="C1729" s="129">
        <v>44288</v>
      </c>
      <c r="D1729" s="2" t="s">
        <v>443</v>
      </c>
      <c r="E1729" s="108">
        <v>2336</v>
      </c>
      <c r="F1729" s="129">
        <v>44291</v>
      </c>
      <c r="H1729" s="129">
        <v>44294</v>
      </c>
      <c r="I1729" s="108">
        <f t="shared" si="81"/>
        <v>2336</v>
      </c>
      <c r="J1729" s="108" t="str">
        <f>IF(Таблица97[[#This Row],[НК]]=1,Таблица97[[#This Row],[Продажа]],"")</f>
        <v/>
      </c>
      <c r="M1729" s="108">
        <v>1822</v>
      </c>
      <c r="N1729" s="108">
        <f>Таблица97[[#This Row],[Продажа]]-Таблица97[[#This Row],[Закупка]]</f>
        <v>514</v>
      </c>
      <c r="O1729" s="108" t="str">
        <f>IF(Таблица97[[#This Row],[НК]]=1,Таблица97[[#This Row],[Маржа]],"")</f>
        <v/>
      </c>
    </row>
    <row r="1730" spans="1:15" ht="20.100000000000001" customHeight="1" x14ac:dyDescent="0.25">
      <c r="A1730" s="2">
        <v>277</v>
      </c>
      <c r="B1730" s="2" t="str">
        <f>TEXT(Таблица97[[#This Row],[Дата]],"ГГ")&amp;RIGHT("000"&amp;Таблица97[[#This Row],[Номер]],4)</f>
        <v>210277</v>
      </c>
      <c r="C1730" s="129">
        <v>44287</v>
      </c>
      <c r="D1730" s="2" t="s">
        <v>139</v>
      </c>
      <c r="E1730" s="108">
        <v>8976</v>
      </c>
      <c r="F1730" s="129">
        <v>44293</v>
      </c>
      <c r="H1730" s="129">
        <v>44306</v>
      </c>
      <c r="I1730" s="108">
        <f t="shared" si="81"/>
        <v>8976</v>
      </c>
      <c r="J1730" s="108" t="str">
        <f>IF(Таблица97[[#This Row],[НК]]=1,Таблица97[[#This Row],[Продажа]],"")</f>
        <v/>
      </c>
      <c r="M1730" s="108">
        <v>6849</v>
      </c>
      <c r="N1730" s="108">
        <f>Таблица97[[#This Row],[Продажа]]-Таблица97[[#This Row],[Закупка]]</f>
        <v>2127</v>
      </c>
      <c r="O1730" s="108" t="str">
        <f>IF(Таблица97[[#This Row],[НК]]=1,Таблица97[[#This Row],[Маржа]],"")</f>
        <v/>
      </c>
    </row>
    <row r="1731" spans="1:15" ht="20.100000000000001" customHeight="1" x14ac:dyDescent="0.25">
      <c r="A1731" s="2">
        <v>306</v>
      </c>
      <c r="B1731" s="2" t="str">
        <f>TEXT(Таблица97[[#This Row],[Дата]],"ГГ")&amp;RIGHT("000"&amp;Таблица97[[#This Row],[Номер]],4)</f>
        <v>210306</v>
      </c>
      <c r="C1731" s="129">
        <v>44293</v>
      </c>
      <c r="D1731" s="2" t="s">
        <v>171</v>
      </c>
      <c r="E1731" s="108">
        <v>72980</v>
      </c>
      <c r="F1731" s="129">
        <v>44294</v>
      </c>
      <c r="H1731" s="129">
        <v>44308</v>
      </c>
      <c r="I1731" s="108">
        <f t="shared" si="81"/>
        <v>72980</v>
      </c>
      <c r="J1731" s="108" t="str">
        <f>IF(Таблица97[[#This Row],[НК]]=1,Таблица97[[#This Row],[Продажа]],"")</f>
        <v/>
      </c>
      <c r="M1731" s="108">
        <v>49417</v>
      </c>
      <c r="N1731" s="108">
        <f>Таблица97[[#This Row],[Продажа]]-Таблица97[[#This Row],[Закупка]]</f>
        <v>23563</v>
      </c>
      <c r="O1731" s="108" t="str">
        <f>IF(Таблица97[[#This Row],[НК]]=1,Таблица97[[#This Row],[Маржа]],"")</f>
        <v/>
      </c>
    </row>
    <row r="1732" spans="1:15" ht="20.100000000000001" customHeight="1" x14ac:dyDescent="0.25">
      <c r="A1732" s="2">
        <v>253</v>
      </c>
      <c r="B1732" s="2" t="str">
        <f>TEXT(Таблица97[[#This Row],[Дата]],"ГГ")&amp;RIGHT("000"&amp;Таблица97[[#This Row],[Номер]],4)</f>
        <v>210253</v>
      </c>
      <c r="C1732" s="129">
        <v>44281</v>
      </c>
      <c r="D1732" s="2" t="s">
        <v>316</v>
      </c>
      <c r="E1732" s="108">
        <v>4280</v>
      </c>
      <c r="F1732" s="129">
        <v>44295</v>
      </c>
      <c r="H1732" s="129">
        <v>44307</v>
      </c>
      <c r="I1732" s="108">
        <f t="shared" si="81"/>
        <v>4280</v>
      </c>
      <c r="J1732" s="108" t="str">
        <f>IF(Таблица97[[#This Row],[НК]]=1,Таблица97[[#This Row],[Продажа]],"")</f>
        <v/>
      </c>
      <c r="M1732" s="108">
        <v>2776</v>
      </c>
      <c r="N1732" s="108">
        <f>Таблица97[[#This Row],[Продажа]]-Таблица97[[#This Row],[Закупка]]</f>
        <v>1504</v>
      </c>
      <c r="O1732" s="108" t="str">
        <f>IF(Таблица97[[#This Row],[НК]]=1,Таблица97[[#This Row],[Маржа]],"")</f>
        <v/>
      </c>
    </row>
    <row r="1733" spans="1:15" ht="20.100000000000001" customHeight="1" x14ac:dyDescent="0.25">
      <c r="A1733" s="2">
        <v>318</v>
      </c>
      <c r="B1733" s="2" t="str">
        <f>TEXT(Таблица97[[#This Row],[Дата]],"ГГ")&amp;RIGHT("000"&amp;Таблица97[[#This Row],[Номер]],4)</f>
        <v>210318</v>
      </c>
      <c r="C1733" s="129">
        <v>44295</v>
      </c>
      <c r="D1733" s="2" t="s">
        <v>338</v>
      </c>
      <c r="E1733" s="108">
        <v>6890</v>
      </c>
      <c r="F1733" s="129">
        <v>44298</v>
      </c>
      <c r="H1733" s="129">
        <v>44301</v>
      </c>
      <c r="I1733" s="108">
        <f t="shared" si="81"/>
        <v>6890</v>
      </c>
      <c r="J1733" s="108" t="str">
        <f>IF(Таблица97[[#This Row],[НК]]=1,Таблица97[[#This Row],[Продажа]],"")</f>
        <v/>
      </c>
      <c r="M1733" s="108">
        <v>5060</v>
      </c>
      <c r="N1733" s="108">
        <f>Таблица97[[#This Row],[Продажа]]-Таблица97[[#This Row],[Закупка]]</f>
        <v>1830</v>
      </c>
      <c r="O1733" s="108" t="str">
        <f>IF(Таблица97[[#This Row],[НК]]=1,Таблица97[[#This Row],[Маржа]],"")</f>
        <v/>
      </c>
    </row>
    <row r="1734" spans="1:15" ht="20.100000000000001" customHeight="1" x14ac:dyDescent="0.25">
      <c r="A1734" s="2">
        <v>293</v>
      </c>
      <c r="B1734" s="2" t="str">
        <f>TEXT(Таблица97[[#This Row],[Дата]],"ГГ")&amp;RIGHT("000"&amp;Таблица97[[#This Row],[Номер]],4)</f>
        <v>210293</v>
      </c>
      <c r="C1734" s="129">
        <v>44291</v>
      </c>
      <c r="D1734" s="2" t="s">
        <v>33</v>
      </c>
      <c r="E1734" s="108">
        <v>6985</v>
      </c>
      <c r="F1734" s="129">
        <v>44299</v>
      </c>
      <c r="H1734" s="129">
        <v>44308</v>
      </c>
      <c r="I1734" s="108">
        <f t="shared" si="81"/>
        <v>6985</v>
      </c>
      <c r="J1734" s="108" t="str">
        <f>IF(Таблица97[[#This Row],[НК]]=1,Таблица97[[#This Row],[Продажа]],"")</f>
        <v/>
      </c>
      <c r="M1734" s="108">
        <v>5378</v>
      </c>
      <c r="N1734" s="108">
        <f>Таблица97[[#This Row],[Продажа]]-Таблица97[[#This Row],[Закупка]]</f>
        <v>1607</v>
      </c>
      <c r="O1734" s="108" t="str">
        <f>IF(Таблица97[[#This Row],[НК]]=1,Таблица97[[#This Row],[Маржа]],"")</f>
        <v/>
      </c>
    </row>
    <row r="1735" spans="1:15" ht="20.100000000000001" customHeight="1" x14ac:dyDescent="0.25">
      <c r="A1735" s="2">
        <v>36</v>
      </c>
      <c r="B1735" s="2" t="str">
        <f>TEXT(Таблица97[[#This Row],[Дата]],"ГГ")&amp;RIGHT("000"&amp;Таблица97[[#This Row],[Номер]],4)</f>
        <v>210036</v>
      </c>
      <c r="C1735" s="129">
        <v>44229</v>
      </c>
      <c r="D1735" s="2" t="s">
        <v>65</v>
      </c>
      <c r="E1735" s="108">
        <v>453609.6</v>
      </c>
      <c r="F1735" s="129">
        <v>44301</v>
      </c>
      <c r="H1735" s="129">
        <v>44264</v>
      </c>
      <c r="I1735" s="108">
        <v>121022.39999999999</v>
      </c>
      <c r="J1735" s="108" t="str">
        <f>IF(Таблица97[[#This Row],[НК]]=1,Таблица97[[#This Row],[Продажа]],"")</f>
        <v/>
      </c>
      <c r="M1735" s="108">
        <v>105735</v>
      </c>
      <c r="N1735" s="108">
        <f>Таблица97[[#This Row],[Продажа]]-Таблица97[[#This Row],[Закупка]]</f>
        <v>15287.399999999994</v>
      </c>
      <c r="O1735" s="108" t="str">
        <f>IF(Таблица97[[#This Row],[НК]]=1,Таблица97[[#This Row],[Маржа]],"")</f>
        <v/>
      </c>
    </row>
    <row r="1736" spans="1:15" ht="20.100000000000001" customHeight="1" x14ac:dyDescent="0.25">
      <c r="A1736" s="2">
        <v>214</v>
      </c>
      <c r="B1736" s="2" t="str">
        <f>TEXT(Таблица97[[#This Row],[Дата]],"ГГ")&amp;RIGHT("000"&amp;Таблица97[[#This Row],[Номер]],4)</f>
        <v>210214</v>
      </c>
      <c r="C1736" s="129">
        <v>44272</v>
      </c>
      <c r="D1736" s="2" t="s">
        <v>11</v>
      </c>
      <c r="E1736" s="108">
        <v>7360</v>
      </c>
      <c r="F1736" s="129">
        <v>44301</v>
      </c>
      <c r="H1736" s="129">
        <v>44313</v>
      </c>
      <c r="I1736" s="108">
        <f t="shared" ref="I1736:I1746" si="82">E1736</f>
        <v>7360</v>
      </c>
      <c r="J1736" s="108" t="str">
        <f>IF(Таблица97[[#This Row],[НК]]=1,Таблица97[[#This Row],[Продажа]],"")</f>
        <v/>
      </c>
      <c r="M1736" s="108">
        <v>5292.48</v>
      </c>
      <c r="N1736" s="108">
        <f>Таблица97[[#This Row],[Продажа]]-Таблица97[[#This Row],[Закупка]]</f>
        <v>2067.5200000000004</v>
      </c>
      <c r="O1736" s="108" t="str">
        <f>IF(Таблица97[[#This Row],[НК]]=1,Таблица97[[#This Row],[Маржа]],"")</f>
        <v/>
      </c>
    </row>
    <row r="1737" spans="1:15" ht="20.100000000000001" customHeight="1" x14ac:dyDescent="0.25">
      <c r="A1737" s="2">
        <v>348</v>
      </c>
      <c r="B1737" s="2" t="str">
        <f>TEXT(Таблица97[[#This Row],[Дата]],"ГГ")&amp;RIGHT("000"&amp;Таблица97[[#This Row],[Номер]],4)</f>
        <v>210348</v>
      </c>
      <c r="C1737" s="129">
        <v>44305</v>
      </c>
      <c r="D1737" s="2" t="s">
        <v>435</v>
      </c>
      <c r="E1737" s="108">
        <v>775</v>
      </c>
      <c r="F1737" s="129">
        <v>44306</v>
      </c>
      <c r="H1737" s="129">
        <v>44307</v>
      </c>
      <c r="I1737" s="108">
        <f t="shared" si="82"/>
        <v>775</v>
      </c>
      <c r="J1737" s="108" t="str">
        <f>IF(Таблица97[[#This Row],[НК]]=1,Таблица97[[#This Row],[Продажа]],"")</f>
        <v/>
      </c>
      <c r="M1737" s="108">
        <v>604</v>
      </c>
      <c r="N1737" s="108">
        <f>Таблица97[[#This Row],[Продажа]]-Таблица97[[#This Row],[Закупка]]</f>
        <v>171</v>
      </c>
      <c r="O1737" s="108" t="str">
        <f>IF(Таблица97[[#This Row],[НК]]=1,Таблица97[[#This Row],[Маржа]],"")</f>
        <v/>
      </c>
    </row>
    <row r="1738" spans="1:15" ht="20.100000000000001" customHeight="1" x14ac:dyDescent="0.25">
      <c r="A1738" s="2">
        <v>342</v>
      </c>
      <c r="B1738" s="2" t="str">
        <f>TEXT(Таблица97[[#This Row],[Дата]],"ГГ")&amp;RIGHT("000"&amp;Таблица97[[#This Row],[Номер]],4)</f>
        <v>210342</v>
      </c>
      <c r="C1738" s="129">
        <v>44305</v>
      </c>
      <c r="D1738" s="2" t="s">
        <v>281</v>
      </c>
      <c r="E1738" s="108">
        <v>1466</v>
      </c>
      <c r="F1738" s="129">
        <v>44306</v>
      </c>
      <c r="H1738" s="129">
        <v>44307</v>
      </c>
      <c r="I1738" s="108">
        <f t="shared" si="82"/>
        <v>1466</v>
      </c>
      <c r="J1738" s="108" t="str">
        <f>IF(Таблица97[[#This Row],[НК]]=1,Таблица97[[#This Row],[Продажа]],"")</f>
        <v/>
      </c>
      <c r="M1738" s="108">
        <v>1143</v>
      </c>
      <c r="N1738" s="108">
        <f>Таблица97[[#This Row],[Продажа]]-Таблица97[[#This Row],[Закупка]]</f>
        <v>323</v>
      </c>
      <c r="O1738" s="108" t="str">
        <f>IF(Таблица97[[#This Row],[НК]]=1,Таблица97[[#This Row],[Маржа]],"")</f>
        <v/>
      </c>
    </row>
    <row r="1739" spans="1:15" ht="20.100000000000001" customHeight="1" x14ac:dyDescent="0.25">
      <c r="A1739" s="2">
        <v>212</v>
      </c>
      <c r="B1739" s="2" t="str">
        <f>TEXT(Таблица97[[#This Row],[Дата]],"ГГ")&amp;RIGHT("000"&amp;Таблица97[[#This Row],[Номер]],4)</f>
        <v>210212</v>
      </c>
      <c r="C1739" s="129">
        <v>44294</v>
      </c>
      <c r="D1739" s="2" t="s">
        <v>13</v>
      </c>
      <c r="E1739" s="108">
        <v>86102.5</v>
      </c>
      <c r="F1739" s="129">
        <v>44306</v>
      </c>
      <c r="H1739" s="129">
        <v>44322</v>
      </c>
      <c r="I1739" s="108">
        <f t="shared" si="82"/>
        <v>86102.5</v>
      </c>
      <c r="J1739" s="108" t="str">
        <f>IF(Таблица97[[#This Row],[НК]]=1,Таблица97[[#This Row],[Продажа]],"")</f>
        <v/>
      </c>
      <c r="M1739" s="108">
        <v>66076.740000000005</v>
      </c>
      <c r="N1739" s="108">
        <f>Таблица97[[#This Row],[Продажа]]-Таблица97[[#This Row],[Закупка]]</f>
        <v>20025.759999999995</v>
      </c>
      <c r="O1739" s="108" t="str">
        <f>IF(Таблица97[[#This Row],[НК]]=1,Таблица97[[#This Row],[Маржа]],"")</f>
        <v/>
      </c>
    </row>
    <row r="1740" spans="1:15" ht="20.100000000000001" customHeight="1" x14ac:dyDescent="0.25">
      <c r="A1740" s="2">
        <v>236</v>
      </c>
      <c r="B1740" s="2" t="str">
        <f>TEXT(Таблица97[[#This Row],[Дата]],"ГГ")&amp;RIGHT("000"&amp;Таблица97[[#This Row],[Номер]],4)</f>
        <v>210236</v>
      </c>
      <c r="C1740" s="129">
        <v>44277</v>
      </c>
      <c r="D1740" s="2" t="s">
        <v>65</v>
      </c>
      <c r="E1740" s="108">
        <v>24433.99</v>
      </c>
      <c r="F1740" s="129">
        <v>44308</v>
      </c>
      <c r="H1740" s="129">
        <v>44278</v>
      </c>
      <c r="I1740" s="108">
        <f t="shared" si="82"/>
        <v>24433.99</v>
      </c>
      <c r="J1740" s="108" t="str">
        <f>IF(Таблица97[[#This Row],[НК]]=1,Таблица97[[#This Row],[Продажа]],"")</f>
        <v/>
      </c>
      <c r="M1740" s="108">
        <v>15970.52</v>
      </c>
      <c r="N1740" s="108">
        <f>Таблица97[[#This Row],[Продажа]]-Таблица97[[#This Row],[Закупка]]</f>
        <v>8463.4700000000012</v>
      </c>
      <c r="O1740" s="108" t="str">
        <f>IF(Таблица97[[#This Row],[НК]]=1,Таблица97[[#This Row],[Маржа]],"")</f>
        <v/>
      </c>
    </row>
    <row r="1741" spans="1:15" ht="20.100000000000001" customHeight="1" x14ac:dyDescent="0.25">
      <c r="A1741" s="2">
        <v>179</v>
      </c>
      <c r="B1741" s="2" t="str">
        <f>TEXT(Таблица97[[#This Row],[Дата]],"ГГ")&amp;RIGHT("000"&amp;Таблица97[[#This Row],[Номер]],4)</f>
        <v>210179</v>
      </c>
      <c r="C1741" s="129">
        <v>44259</v>
      </c>
      <c r="D1741" s="2" t="s">
        <v>209</v>
      </c>
      <c r="E1741" s="108">
        <v>8126.85</v>
      </c>
      <c r="F1741" s="129">
        <v>44310</v>
      </c>
      <c r="H1741" s="129">
        <v>44333</v>
      </c>
      <c r="I1741" s="108">
        <f t="shared" si="82"/>
        <v>8126.85</v>
      </c>
      <c r="J1741" s="108" t="str">
        <f>IF(Таблица97[[#This Row],[НК]]=1,Таблица97[[#This Row],[Продажа]],"")</f>
        <v/>
      </c>
      <c r="M1741" s="108">
        <v>7381</v>
      </c>
      <c r="N1741" s="108">
        <f>Таблица97[[#This Row],[Продажа]]-Таблица97[[#This Row],[Закупка]]</f>
        <v>745.85000000000036</v>
      </c>
      <c r="O1741" s="108" t="str">
        <f>IF(Таблица97[[#This Row],[НК]]=1,Таблица97[[#This Row],[Маржа]],"")</f>
        <v/>
      </c>
    </row>
    <row r="1742" spans="1:15" ht="20.100000000000001" customHeight="1" x14ac:dyDescent="0.25">
      <c r="A1742" s="2">
        <v>373</v>
      </c>
      <c r="B1742" s="2" t="str">
        <f>TEXT(Таблица97[[#This Row],[Дата]],"ГГ")&amp;RIGHT("000"&amp;Таблица97[[#This Row],[Номер]],4)</f>
        <v>210373</v>
      </c>
      <c r="C1742" s="129">
        <v>44312</v>
      </c>
      <c r="D1742" s="2" t="s">
        <v>149</v>
      </c>
      <c r="E1742" s="108">
        <v>18924</v>
      </c>
      <c r="F1742" s="129">
        <v>44313</v>
      </c>
      <c r="H1742" s="129">
        <v>44333</v>
      </c>
      <c r="I1742" s="108">
        <f t="shared" si="82"/>
        <v>18924</v>
      </c>
      <c r="J1742" s="108" t="str">
        <f>IF(Таблица97[[#This Row],[НК]]=1,Таблица97[[#This Row],[Продажа]],"")</f>
        <v/>
      </c>
      <c r="M1742" s="108">
        <v>12490</v>
      </c>
      <c r="N1742" s="108">
        <f>Таблица97[[#This Row],[Продажа]]-Таблица97[[#This Row],[Закупка]]</f>
        <v>6434</v>
      </c>
      <c r="O1742" s="108" t="str">
        <f>IF(Таблица97[[#This Row],[НК]]=1,Таблица97[[#This Row],[Маржа]],"")</f>
        <v/>
      </c>
    </row>
    <row r="1743" spans="1:15" ht="20.100000000000001" customHeight="1" x14ac:dyDescent="0.25">
      <c r="A1743" s="2">
        <v>351</v>
      </c>
      <c r="B1743" s="2" t="str">
        <f>TEXT(Таблица97[[#This Row],[Дата]],"ГГ")&amp;RIGHT("000"&amp;Таблица97[[#This Row],[Номер]],4)</f>
        <v>210351</v>
      </c>
      <c r="C1743" s="129">
        <v>44306</v>
      </c>
      <c r="D1743" s="2" t="s">
        <v>491</v>
      </c>
      <c r="E1743" s="108">
        <v>198990</v>
      </c>
      <c r="F1743" s="129">
        <v>44314</v>
      </c>
      <c r="G1743" s="128">
        <v>1</v>
      </c>
      <c r="H1743" s="129">
        <v>44315</v>
      </c>
      <c r="I1743" s="108">
        <f t="shared" si="82"/>
        <v>198990</v>
      </c>
      <c r="J1743" s="108">
        <f>IF(Таблица97[[#This Row],[НК]]=1,Таблица97[[#This Row],[Продажа]],"")</f>
        <v>198990</v>
      </c>
      <c r="M1743" s="108">
        <v>146138</v>
      </c>
      <c r="N1743" s="108">
        <f>Таблица97[[#This Row],[Продажа]]-Таблица97[[#This Row],[Закупка]]</f>
        <v>52852</v>
      </c>
      <c r="O1743" s="108">
        <f>IF(Таблица97[[#This Row],[НК]]=1,Таблица97[[#This Row],[Маржа]],"")</f>
        <v>52852</v>
      </c>
    </row>
    <row r="1744" spans="1:15" ht="20.100000000000001" customHeight="1" x14ac:dyDescent="0.25">
      <c r="A1744" s="2">
        <v>265</v>
      </c>
      <c r="B1744" s="2" t="str">
        <f>TEXT(Таблица97[[#This Row],[Дата]],"ГГ")&amp;RIGHT("000"&amp;Таблица97[[#This Row],[Номер]],4)</f>
        <v>210265</v>
      </c>
      <c r="C1744" s="129">
        <v>44285</v>
      </c>
      <c r="D1744" s="2" t="s">
        <v>53</v>
      </c>
      <c r="E1744" s="108">
        <v>14355</v>
      </c>
      <c r="F1744" s="129">
        <v>44314</v>
      </c>
      <c r="H1744" s="129">
        <v>44315</v>
      </c>
      <c r="I1744" s="108">
        <f t="shared" si="82"/>
        <v>14355</v>
      </c>
      <c r="J1744" s="108" t="str">
        <f>IF(Таблица97[[#This Row],[НК]]=1,Таблица97[[#This Row],[Продажа]],"")</f>
        <v/>
      </c>
      <c r="M1744" s="108">
        <v>11196</v>
      </c>
      <c r="N1744" s="108">
        <f>Таблица97[[#This Row],[Продажа]]-Таблица97[[#This Row],[Закупка]]</f>
        <v>3159</v>
      </c>
      <c r="O1744" s="108" t="str">
        <f>IF(Таблица97[[#This Row],[НК]]=1,Таблица97[[#This Row],[Маржа]],"")</f>
        <v/>
      </c>
    </row>
    <row r="1745" spans="1:15" ht="20.100000000000001" customHeight="1" x14ac:dyDescent="0.25">
      <c r="A1745" s="2">
        <v>334</v>
      </c>
      <c r="B1745" s="2" t="str">
        <f>TEXT(Таблица97[[#This Row],[Дата]],"ГГ")&amp;RIGHT("000"&amp;Таблица97[[#This Row],[Номер]],4)</f>
        <v>210334</v>
      </c>
      <c r="C1745" s="129">
        <v>44301</v>
      </c>
      <c r="D1745" s="2" t="s">
        <v>443</v>
      </c>
      <c r="E1745" s="108">
        <v>3212</v>
      </c>
      <c r="F1745" s="129">
        <v>44315</v>
      </c>
      <c r="H1745" s="129">
        <v>44321</v>
      </c>
      <c r="I1745" s="108">
        <f t="shared" si="82"/>
        <v>3212</v>
      </c>
      <c r="J1745" s="108" t="str">
        <f>IF(Таблица97[[#This Row],[НК]]=1,Таблица97[[#This Row],[Продажа]],"")</f>
        <v/>
      </c>
      <c r="M1745" s="108">
        <v>2208</v>
      </c>
      <c r="N1745" s="108">
        <f>Таблица97[[#This Row],[Продажа]]-Таблица97[[#This Row],[Закупка]]</f>
        <v>1004</v>
      </c>
      <c r="O1745" s="108" t="str">
        <f>IF(Таблица97[[#This Row],[НК]]=1,Таблица97[[#This Row],[Маржа]],"")</f>
        <v/>
      </c>
    </row>
    <row r="1746" spans="1:15" ht="20.100000000000001" customHeight="1" x14ac:dyDescent="0.25">
      <c r="A1746" s="2">
        <v>897</v>
      </c>
      <c r="B1746" s="2" t="str">
        <f>TEXT(Таблица97[[#This Row],[Дата]],"ГГ")&amp;RIGHT("000"&amp;Таблица97[[#This Row],[Номер]],4)</f>
        <v>200897</v>
      </c>
      <c r="C1746" s="129">
        <v>44110</v>
      </c>
      <c r="D1746" s="2" t="s">
        <v>38</v>
      </c>
      <c r="E1746" s="108">
        <v>1725817.5</v>
      </c>
      <c r="F1746" s="129">
        <v>44315</v>
      </c>
      <c r="H1746" s="129">
        <v>44189</v>
      </c>
      <c r="I1746" s="108">
        <f t="shared" si="82"/>
        <v>1725817.5</v>
      </c>
      <c r="J1746" s="108" t="str">
        <f>IF(Таблица97[[#This Row],[НК]]=1,Таблица97[[#This Row],[Продажа]],"")</f>
        <v/>
      </c>
      <c r="K1746" s="108">
        <v>50000</v>
      </c>
      <c r="L1746" s="108">
        <f>30*1200+1800</f>
        <v>37800</v>
      </c>
      <c r="M1746" s="108">
        <v>1412214.45</v>
      </c>
      <c r="N1746" s="108">
        <f>Таблица97[[#This Row],[Продажа]]-Таблица97[[#This Row],[Закупка]]</f>
        <v>313603.05000000005</v>
      </c>
      <c r="O1746" s="108" t="str">
        <f>IF(Таблица97[[#This Row],[НК]]=1,Таблица97[[#This Row],[Маржа]],"")</f>
        <v/>
      </c>
    </row>
    <row r="1747" spans="1:15" ht="20.100000000000001" customHeight="1" x14ac:dyDescent="0.25">
      <c r="A1747" s="2">
        <v>242</v>
      </c>
      <c r="B1747" s="2" t="str">
        <f>TEXT(Таблица97[[#This Row],[Дата]],"ГГ")&amp;RIGHT("000"&amp;Таблица97[[#This Row],[Номер]],4)</f>
        <v>210242</v>
      </c>
      <c r="C1747" s="129">
        <v>44279</v>
      </c>
      <c r="D1747" s="2" t="s">
        <v>99</v>
      </c>
      <c r="E1747" s="108">
        <v>70190</v>
      </c>
      <c r="F1747" s="129">
        <v>44320</v>
      </c>
      <c r="H1747" s="129">
        <v>44286</v>
      </c>
      <c r="I1747" s="108">
        <f t="shared" ref="I1747:I1770" si="83">E1747</f>
        <v>70190</v>
      </c>
      <c r="J1747" s="108" t="str">
        <f>IF(Таблица97[[#This Row],[НК]]=1,Таблица97[[#This Row],[Продажа]],"")</f>
        <v/>
      </c>
      <c r="M1747" s="108">
        <v>54746</v>
      </c>
      <c r="N1747" s="108">
        <f>Таблица97[[#This Row],[Продажа]]-Таблица97[[#This Row],[Закупка]]</f>
        <v>15444</v>
      </c>
      <c r="O1747" s="108" t="str">
        <f>IF(Таблица97[[#This Row],[НК]]=1,Таблица97[[#This Row],[Маржа]],"")</f>
        <v/>
      </c>
    </row>
    <row r="1748" spans="1:15" ht="20.100000000000001" customHeight="1" x14ac:dyDescent="0.25">
      <c r="A1748" s="2">
        <v>61</v>
      </c>
      <c r="B1748" s="2" t="str">
        <f>TEXT(Таблица97[[#This Row],[Дата]],"ГГ")&amp;RIGHT("000"&amp;Таблица97[[#This Row],[Номер]],4)</f>
        <v>210061</v>
      </c>
      <c r="C1748" s="129">
        <v>44232</v>
      </c>
      <c r="D1748" s="2" t="s">
        <v>65</v>
      </c>
      <c r="E1748" s="108">
        <v>84546</v>
      </c>
      <c r="F1748" s="129">
        <v>44322</v>
      </c>
      <c r="H1748" s="129">
        <v>44294</v>
      </c>
      <c r="I1748" s="108">
        <f t="shared" si="83"/>
        <v>84546</v>
      </c>
      <c r="J1748" s="108" t="str">
        <f>IF(Таблица97[[#This Row],[НК]]=1,Таблица97[[#This Row],[Продажа]],"")</f>
        <v/>
      </c>
      <c r="M1748" s="108">
        <v>68281</v>
      </c>
      <c r="N1748" s="108">
        <f>Таблица97[[#This Row],[Продажа]]-Таблица97[[#This Row],[Закупка]]</f>
        <v>16265</v>
      </c>
      <c r="O1748" s="108" t="str">
        <f>IF(Таблица97[[#This Row],[НК]]=1,Таблица97[[#This Row],[Маржа]],"")</f>
        <v/>
      </c>
    </row>
    <row r="1749" spans="1:15" ht="20.100000000000001" customHeight="1" x14ac:dyDescent="0.25">
      <c r="A1749" s="2">
        <v>276</v>
      </c>
      <c r="B1749" s="2" t="str">
        <f>TEXT(Таблица97[[#This Row],[Дата]],"ГГ")&amp;RIGHT("000"&amp;Таблица97[[#This Row],[Номер]],4)</f>
        <v>210276</v>
      </c>
      <c r="C1749" s="129">
        <v>44294</v>
      </c>
      <c r="D1749" s="2" t="s">
        <v>56</v>
      </c>
      <c r="E1749" s="108">
        <v>65583</v>
      </c>
      <c r="F1749" s="129">
        <v>44327</v>
      </c>
      <c r="H1749" s="129">
        <v>44314</v>
      </c>
      <c r="I1749" s="108">
        <f t="shared" si="83"/>
        <v>65583</v>
      </c>
      <c r="J1749" s="108" t="str">
        <f>IF(Таблица97[[#This Row],[НК]]=1,Таблица97[[#This Row],[Продажа]],"")</f>
        <v/>
      </c>
      <c r="M1749" s="108">
        <v>44078</v>
      </c>
      <c r="N1749" s="108">
        <f>Таблица97[[#This Row],[Продажа]]-Таблица97[[#This Row],[Закупка]]</f>
        <v>21505</v>
      </c>
      <c r="O1749" s="108" t="str">
        <f>IF(Таблица97[[#This Row],[НК]]=1,Таблица97[[#This Row],[Маржа]],"")</f>
        <v/>
      </c>
    </row>
    <row r="1750" spans="1:15" ht="20.100000000000001" customHeight="1" x14ac:dyDescent="0.25">
      <c r="A1750" s="2">
        <v>37</v>
      </c>
      <c r="B1750" s="2" t="str">
        <f>TEXT(Таблица97[[#This Row],[Дата]],"ГГ")&amp;RIGHT("000"&amp;Таблица97[[#This Row],[Номер]],4)</f>
        <v>210037</v>
      </c>
      <c r="C1750" s="129">
        <v>44256</v>
      </c>
      <c r="D1750" s="2" t="s">
        <v>56</v>
      </c>
      <c r="E1750" s="108">
        <v>394717</v>
      </c>
      <c r="F1750" s="129">
        <v>44327</v>
      </c>
      <c r="H1750" s="129">
        <v>44314</v>
      </c>
      <c r="I1750" s="108">
        <f t="shared" si="83"/>
        <v>394717</v>
      </c>
      <c r="J1750" s="108" t="str">
        <f>IF(Таблица97[[#This Row],[НК]]=1,Таблица97[[#This Row],[Продажа]],"")</f>
        <v/>
      </c>
      <c r="M1750" s="108">
        <v>316386</v>
      </c>
      <c r="N1750" s="108">
        <f>Таблица97[[#This Row],[Продажа]]-Таблица97[[#This Row],[Закупка]]</f>
        <v>78331</v>
      </c>
      <c r="O1750" s="108" t="str">
        <f>IF(Таблица97[[#This Row],[НК]]=1,Таблица97[[#This Row],[Маржа]],"")</f>
        <v/>
      </c>
    </row>
    <row r="1751" spans="1:15" ht="20.100000000000001" customHeight="1" x14ac:dyDescent="0.25">
      <c r="A1751" s="2">
        <v>399</v>
      </c>
      <c r="B1751" s="2" t="str">
        <f>TEXT(Таблица97[[#This Row],[Дата]],"ГГ")&amp;RIGHT("000"&amp;Таблица97[[#This Row],[Номер]],4)</f>
        <v>210399</v>
      </c>
      <c r="C1751" s="129">
        <v>44327</v>
      </c>
      <c r="D1751" s="2" t="s">
        <v>410</v>
      </c>
      <c r="E1751" s="108">
        <v>98720</v>
      </c>
      <c r="F1751" s="129">
        <v>44328</v>
      </c>
      <c r="H1751" s="129">
        <v>44342</v>
      </c>
      <c r="I1751" s="108">
        <f t="shared" si="83"/>
        <v>98720</v>
      </c>
      <c r="J1751" s="108" t="str">
        <f>IF(Таблица97[[#This Row],[НК]]=1,Таблица97[[#This Row],[Продажа]],"")</f>
        <v/>
      </c>
      <c r="M1751" s="108">
        <v>76470</v>
      </c>
      <c r="N1751" s="108">
        <f>Таблица97[[#This Row],[Продажа]]-Таблица97[[#This Row],[Закупка]]</f>
        <v>22250</v>
      </c>
      <c r="O1751" s="108" t="str">
        <f>IF(Таблица97[[#This Row],[НК]]=1,Таблица97[[#This Row],[Маржа]],"")</f>
        <v/>
      </c>
    </row>
    <row r="1752" spans="1:15" ht="20.100000000000001" customHeight="1" x14ac:dyDescent="0.25">
      <c r="A1752" s="2">
        <v>405</v>
      </c>
      <c r="B1752" s="2" t="str">
        <f>TEXT(Таблица97[[#This Row],[Дата]],"ГГ")&amp;RIGHT("000"&amp;Таблица97[[#This Row],[Номер]],4)</f>
        <v>210405</v>
      </c>
      <c r="C1752" s="129">
        <v>44327</v>
      </c>
      <c r="D1752" s="2" t="s">
        <v>230</v>
      </c>
      <c r="E1752" s="108">
        <v>8000</v>
      </c>
      <c r="F1752" s="129">
        <v>44328</v>
      </c>
      <c r="H1752" s="129">
        <v>44330</v>
      </c>
      <c r="I1752" s="108">
        <f t="shared" si="83"/>
        <v>8000</v>
      </c>
      <c r="J1752" s="108" t="str">
        <f>IF(Таблица97[[#This Row],[НК]]=1,Таблица97[[#This Row],[Продажа]],"")</f>
        <v/>
      </c>
      <c r="L1752" s="108">
        <v>1200</v>
      </c>
      <c r="M1752" s="108">
        <v>2357</v>
      </c>
      <c r="N1752" s="108">
        <f>Таблица97[[#This Row],[Продажа]]-Таблица97[[#This Row],[Закупка]]</f>
        <v>5643</v>
      </c>
      <c r="O1752" s="108" t="str">
        <f>IF(Таблица97[[#This Row],[НК]]=1,Таблица97[[#This Row],[Маржа]],"")</f>
        <v/>
      </c>
    </row>
    <row r="1753" spans="1:15" ht="20.100000000000001" customHeight="1" x14ac:dyDescent="0.25">
      <c r="A1753" s="2">
        <v>404</v>
      </c>
      <c r="B1753" s="2" t="str">
        <f>TEXT(Таблица97[[#This Row],[Дата]],"ГГ")&amp;RIGHT("000"&amp;Таблица97[[#This Row],[Номер]],4)</f>
        <v>210404</v>
      </c>
      <c r="C1753" s="129">
        <v>44327</v>
      </c>
      <c r="D1753" s="2" t="s">
        <v>430</v>
      </c>
      <c r="E1753" s="108">
        <v>4993</v>
      </c>
      <c r="F1753" s="129">
        <v>44328</v>
      </c>
      <c r="H1753" s="129">
        <v>44329</v>
      </c>
      <c r="I1753" s="108">
        <f t="shared" si="83"/>
        <v>4993</v>
      </c>
      <c r="J1753" s="108" t="str">
        <f>IF(Таблица97[[#This Row],[НК]]=1,Таблица97[[#This Row],[Продажа]],"")</f>
        <v/>
      </c>
      <c r="M1753" s="108">
        <v>3295</v>
      </c>
      <c r="N1753" s="108">
        <f>Таблица97[[#This Row],[Продажа]]-Таблица97[[#This Row],[Закупка]]</f>
        <v>1698</v>
      </c>
      <c r="O1753" s="108" t="str">
        <f>IF(Таблица97[[#This Row],[НК]]=1,Таблица97[[#This Row],[Маржа]],"")</f>
        <v/>
      </c>
    </row>
    <row r="1754" spans="1:15" ht="20.100000000000001" customHeight="1" x14ac:dyDescent="0.25">
      <c r="A1754" s="2">
        <v>400</v>
      </c>
      <c r="B1754" s="2" t="str">
        <f>TEXT(Таблица97[[#This Row],[Дата]],"ГГ")&amp;RIGHT("000"&amp;Таблица97[[#This Row],[Номер]],4)</f>
        <v>210400</v>
      </c>
      <c r="C1754" s="129">
        <v>44327</v>
      </c>
      <c r="D1754" s="2" t="s">
        <v>281</v>
      </c>
      <c r="E1754" s="108">
        <v>11377</v>
      </c>
      <c r="F1754" s="129">
        <v>44329</v>
      </c>
      <c r="H1754" s="129">
        <v>44328</v>
      </c>
      <c r="I1754" s="108">
        <f t="shared" si="83"/>
        <v>11377</v>
      </c>
      <c r="J1754" s="108" t="str">
        <f>IF(Таблица97[[#This Row],[НК]]=1,Таблица97[[#This Row],[Продажа]],"")</f>
        <v/>
      </c>
      <c r="M1754" s="108">
        <v>7000</v>
      </c>
      <c r="N1754" s="108">
        <f>Таблица97[[#This Row],[Продажа]]-Таблица97[[#This Row],[Закупка]]</f>
        <v>4377</v>
      </c>
      <c r="O1754" s="108" t="str">
        <f>IF(Таблица97[[#This Row],[НК]]=1,Таблица97[[#This Row],[Маржа]],"")</f>
        <v/>
      </c>
    </row>
    <row r="1755" spans="1:15" ht="20.100000000000001" customHeight="1" x14ac:dyDescent="0.25">
      <c r="A1755" s="2">
        <v>421</v>
      </c>
      <c r="B1755" s="2" t="str">
        <f>TEXT(Таблица97[[#This Row],[Дата]],"ГГ")&amp;RIGHT("000"&amp;Таблица97[[#This Row],[Номер]],4)</f>
        <v>210421</v>
      </c>
      <c r="C1755" s="129">
        <v>44329</v>
      </c>
      <c r="D1755" s="2" t="s">
        <v>492</v>
      </c>
      <c r="E1755" s="108">
        <v>9911</v>
      </c>
      <c r="F1755" s="129">
        <v>44329</v>
      </c>
      <c r="H1755" s="129">
        <v>44333</v>
      </c>
      <c r="I1755" s="108">
        <f t="shared" si="83"/>
        <v>9911</v>
      </c>
      <c r="J1755" s="108" t="str">
        <f>IF(Таблица97[[#This Row],[НК]]=1,Таблица97[[#This Row],[Продажа]],"")</f>
        <v/>
      </c>
      <c r="M1755" s="108">
        <v>7305</v>
      </c>
      <c r="N1755" s="108">
        <f>Таблица97[[#This Row],[Продажа]]-Таблица97[[#This Row],[Закупка]]</f>
        <v>2606</v>
      </c>
      <c r="O1755" s="108" t="str">
        <f>IF(Таблица97[[#This Row],[НК]]=1,Таблица97[[#This Row],[Маржа]],"")</f>
        <v/>
      </c>
    </row>
    <row r="1756" spans="1:15" ht="20.100000000000001" customHeight="1" x14ac:dyDescent="0.25">
      <c r="A1756" s="2">
        <v>148</v>
      </c>
      <c r="B1756" s="2" t="str">
        <f>TEXT(Таблица97[[#This Row],[Дата]],"ГГ")&amp;RIGHT("000"&amp;Таблица97[[#This Row],[Номер]],4)</f>
        <v>210148</v>
      </c>
      <c r="C1756" s="129">
        <v>44328</v>
      </c>
      <c r="D1756" s="2" t="s">
        <v>491</v>
      </c>
      <c r="E1756" s="108">
        <v>71485</v>
      </c>
      <c r="F1756" s="129">
        <v>44329</v>
      </c>
      <c r="H1756" s="129">
        <v>44333</v>
      </c>
      <c r="I1756" s="108">
        <f t="shared" si="83"/>
        <v>71485</v>
      </c>
      <c r="J1756" s="108" t="str">
        <f>IF(Таблица97[[#This Row],[НК]]=1,Таблица97[[#This Row],[Продажа]],"")</f>
        <v/>
      </c>
      <c r="M1756" s="108">
        <v>48136.44</v>
      </c>
      <c r="N1756" s="108">
        <f>Таблица97[[#This Row],[Продажа]]-Таблица97[[#This Row],[Закупка]]</f>
        <v>23348.559999999998</v>
      </c>
      <c r="O1756" s="108" t="str">
        <f>IF(Таблица97[[#This Row],[НК]]=1,Таблица97[[#This Row],[Маржа]],"")</f>
        <v/>
      </c>
    </row>
    <row r="1757" spans="1:15" ht="20.100000000000001" customHeight="1" x14ac:dyDescent="0.25">
      <c r="A1757" s="2">
        <v>407</v>
      </c>
      <c r="B1757" s="2" t="str">
        <f>TEXT(Таблица97[[#This Row],[Дата]],"ГГ")&amp;RIGHT("000"&amp;Таблица97[[#This Row],[Номер]],4)</f>
        <v>210407</v>
      </c>
      <c r="C1757" s="129">
        <v>44330</v>
      </c>
      <c r="D1757" s="2" t="s">
        <v>493</v>
      </c>
      <c r="E1757" s="108">
        <v>26115.5</v>
      </c>
      <c r="F1757" s="129">
        <v>44330</v>
      </c>
      <c r="G1757" s="128">
        <v>1</v>
      </c>
      <c r="H1757" s="129">
        <v>44330</v>
      </c>
      <c r="I1757" s="108">
        <f t="shared" si="83"/>
        <v>26115.5</v>
      </c>
      <c r="J1757" s="108">
        <f>IF(Таблица97[[#This Row],[НК]]=1,Таблица97[[#This Row],[Продажа]],"")</f>
        <v>26115.5</v>
      </c>
      <c r="M1757" s="108">
        <v>19697</v>
      </c>
      <c r="N1757" s="108">
        <f>Таблица97[[#This Row],[Продажа]]-Таблица97[[#This Row],[Закупка]]</f>
        <v>6418.5</v>
      </c>
      <c r="O1757" s="108">
        <f>IF(Таблица97[[#This Row],[НК]]=1,Таблица97[[#This Row],[Маржа]],"")</f>
        <v>6418.5</v>
      </c>
    </row>
    <row r="1758" spans="1:15" ht="20.100000000000001" customHeight="1" x14ac:dyDescent="0.25">
      <c r="A1758" s="2">
        <v>398</v>
      </c>
      <c r="B1758" s="2" t="str">
        <f>TEXT(Таблица97[[#This Row],[Дата]],"ГГ")&amp;RIGHT("000"&amp;Таблица97[[#This Row],[Номер]],4)</f>
        <v>210398</v>
      </c>
      <c r="C1758" s="129">
        <v>44323</v>
      </c>
      <c r="D1758" s="2" t="s">
        <v>494</v>
      </c>
      <c r="E1758" s="108">
        <v>2500</v>
      </c>
      <c r="F1758" s="129">
        <v>44330</v>
      </c>
      <c r="H1758" s="129">
        <v>44334</v>
      </c>
      <c r="I1758" s="108">
        <f t="shared" si="83"/>
        <v>2500</v>
      </c>
      <c r="J1758" s="108" t="str">
        <f>IF(Таблица97[[#This Row],[НК]]=1,Таблица97[[#This Row],[Продажа]],"")</f>
        <v/>
      </c>
      <c r="M1758" s="108">
        <v>1330</v>
      </c>
      <c r="N1758" s="108">
        <f>Таблица97[[#This Row],[Продажа]]-Таблица97[[#This Row],[Закупка]]</f>
        <v>1170</v>
      </c>
      <c r="O1758" s="108" t="str">
        <f>IF(Таблица97[[#This Row],[НК]]=1,Таблица97[[#This Row],[Маржа]],"")</f>
        <v/>
      </c>
    </row>
    <row r="1759" spans="1:15" ht="20.100000000000001" customHeight="1" x14ac:dyDescent="0.25">
      <c r="A1759" s="2">
        <v>427</v>
      </c>
      <c r="B1759" s="2" t="str">
        <f>TEXT(Таблица97[[#This Row],[Дата]],"ГГ")&amp;RIGHT("000"&amp;Таблица97[[#This Row],[Номер]],4)</f>
        <v>210427</v>
      </c>
      <c r="C1759" s="129">
        <v>44333</v>
      </c>
      <c r="D1759" s="2" t="s">
        <v>71</v>
      </c>
      <c r="E1759" s="108">
        <v>21056.5</v>
      </c>
      <c r="F1759" s="129">
        <v>44333</v>
      </c>
      <c r="H1759" s="129">
        <v>44334</v>
      </c>
      <c r="I1759" s="108">
        <f t="shared" si="83"/>
        <v>21056.5</v>
      </c>
      <c r="J1759" s="108" t="str">
        <f>IF(Таблица97[[#This Row],[НК]]=1,Таблица97[[#This Row],[Продажа]],"")</f>
        <v/>
      </c>
      <c r="M1759" s="108">
        <v>15865</v>
      </c>
      <c r="N1759" s="108">
        <f>Таблица97[[#This Row],[Продажа]]-Таблица97[[#This Row],[Закупка]]</f>
        <v>5191.5</v>
      </c>
      <c r="O1759" s="108" t="str">
        <f>IF(Таблица97[[#This Row],[НК]]=1,Таблица97[[#This Row],[Маржа]],"")</f>
        <v/>
      </c>
    </row>
    <row r="1760" spans="1:15" ht="20.100000000000001" customHeight="1" x14ac:dyDescent="0.25">
      <c r="A1760" s="2">
        <v>435</v>
      </c>
      <c r="B1760" s="2" t="str">
        <f>TEXT(Таблица97[[#This Row],[Дата]],"ГГ")&amp;RIGHT("000"&amp;Таблица97[[#This Row],[Номер]],4)</f>
        <v>210435</v>
      </c>
      <c r="C1760" s="129">
        <v>44333</v>
      </c>
      <c r="D1760" s="2" t="s">
        <v>492</v>
      </c>
      <c r="E1760" s="108">
        <v>19901</v>
      </c>
      <c r="F1760" s="129">
        <v>44333</v>
      </c>
      <c r="H1760" s="129">
        <v>44334</v>
      </c>
      <c r="I1760" s="108">
        <f t="shared" si="83"/>
        <v>19901</v>
      </c>
      <c r="J1760" s="108" t="str">
        <f>IF(Таблица97[[#This Row],[НК]]=1,Таблица97[[#This Row],[Продажа]],"")</f>
        <v/>
      </c>
      <c r="M1760" s="108">
        <v>14647</v>
      </c>
      <c r="N1760" s="108">
        <f>Таблица97[[#This Row],[Продажа]]-Таблица97[[#This Row],[Закупка]]</f>
        <v>5254</v>
      </c>
      <c r="O1760" s="108" t="str">
        <f>IF(Таблица97[[#This Row],[НК]]=1,Таблица97[[#This Row],[Маржа]],"")</f>
        <v/>
      </c>
    </row>
    <row r="1761" spans="1:15" ht="20.100000000000001" customHeight="1" x14ac:dyDescent="0.25">
      <c r="A1761" s="2">
        <v>444</v>
      </c>
      <c r="B1761" s="2" t="str">
        <f>TEXT(Таблица97[[#This Row],[Дата]],"ГГ")&amp;RIGHT("000"&amp;Таблица97[[#This Row],[Номер]],4)</f>
        <v>210444</v>
      </c>
      <c r="C1761" s="129">
        <v>44334</v>
      </c>
      <c r="D1761" s="2" t="s">
        <v>216</v>
      </c>
      <c r="E1761" s="108">
        <v>2248</v>
      </c>
      <c r="F1761" s="129">
        <v>44334</v>
      </c>
      <c r="H1761" s="129">
        <v>44336</v>
      </c>
      <c r="I1761" s="108">
        <f t="shared" si="83"/>
        <v>2248</v>
      </c>
      <c r="J1761" s="108" t="str">
        <f>IF(Таблица97[[#This Row],[НК]]=1,Таблица97[[#This Row],[Продажа]],"")</f>
        <v/>
      </c>
      <c r="M1761" s="108">
        <v>1504</v>
      </c>
      <c r="N1761" s="108">
        <f>Таблица97[[#This Row],[Продажа]]-Таблица97[[#This Row],[Закупка]]</f>
        <v>744</v>
      </c>
      <c r="O1761" s="108" t="str">
        <f>IF(Таблица97[[#This Row],[НК]]=1,Таблица97[[#This Row],[Маржа]],"")</f>
        <v/>
      </c>
    </row>
    <row r="1762" spans="1:15" ht="20.100000000000001" customHeight="1" x14ac:dyDescent="0.25">
      <c r="A1762" s="2">
        <v>406</v>
      </c>
      <c r="B1762" s="2" t="str">
        <f>TEXT(Таблица97[[#This Row],[Дата]],"ГГ")&amp;RIGHT("000"&amp;Таблица97[[#This Row],[Номер]],4)</f>
        <v>210406</v>
      </c>
      <c r="C1762" s="129">
        <v>44327</v>
      </c>
      <c r="D1762" s="2" t="s">
        <v>433</v>
      </c>
      <c r="E1762" s="108">
        <v>24990</v>
      </c>
      <c r="F1762" s="129">
        <v>44334</v>
      </c>
      <c r="H1762" s="129">
        <v>44327</v>
      </c>
      <c r="I1762" s="108">
        <f t="shared" si="83"/>
        <v>24990</v>
      </c>
      <c r="J1762" s="108" t="str">
        <f>IF(Таблица97[[#This Row],[НК]]=1,Таблица97[[#This Row],[Продажа]],"")</f>
        <v/>
      </c>
      <c r="M1762" s="108">
        <v>18367</v>
      </c>
      <c r="N1762" s="108">
        <f>Таблица97[[#This Row],[Продажа]]-Таблица97[[#This Row],[Закупка]]</f>
        <v>6623</v>
      </c>
      <c r="O1762" s="108" t="str">
        <f>IF(Таблица97[[#This Row],[НК]]=1,Таблица97[[#This Row],[Маржа]],"")</f>
        <v/>
      </c>
    </row>
    <row r="1763" spans="1:15" ht="20.100000000000001" customHeight="1" x14ac:dyDescent="0.25">
      <c r="A1763" s="2">
        <v>437</v>
      </c>
      <c r="B1763" s="2" t="str">
        <f>TEXT(Таблица97[[#This Row],[Дата]],"ГГ")&amp;RIGHT("000"&amp;Таблица97[[#This Row],[Номер]],4)</f>
        <v>210437</v>
      </c>
      <c r="C1763" s="129">
        <v>44333</v>
      </c>
      <c r="D1763" s="2" t="s">
        <v>353</v>
      </c>
      <c r="E1763" s="108">
        <v>43490</v>
      </c>
      <c r="F1763" s="129">
        <v>44335</v>
      </c>
      <c r="H1763" s="129">
        <v>44355</v>
      </c>
      <c r="I1763" s="108">
        <f t="shared" si="83"/>
        <v>43490</v>
      </c>
      <c r="J1763" s="108" t="str">
        <f>IF(Таблица97[[#This Row],[НК]]=1,Таблица97[[#This Row],[Продажа]],"")</f>
        <v/>
      </c>
      <c r="M1763" s="108">
        <v>32182.6</v>
      </c>
      <c r="N1763" s="108">
        <f>Таблица97[[#This Row],[Продажа]]-Таблица97[[#This Row],[Закупка]]</f>
        <v>11307.400000000001</v>
      </c>
      <c r="O1763" s="108" t="str">
        <f>IF(Таблица97[[#This Row],[НК]]=1,Таблица97[[#This Row],[Маржа]],"")</f>
        <v/>
      </c>
    </row>
    <row r="1764" spans="1:15" ht="20.100000000000001" customHeight="1" x14ac:dyDescent="0.25">
      <c r="A1764" s="2">
        <v>340</v>
      </c>
      <c r="B1764" s="2" t="str">
        <f>TEXT(Таблица97[[#This Row],[Дата]],"ГГ")&amp;RIGHT("000"&amp;Таблица97[[#This Row],[Номер]],4)</f>
        <v>210340</v>
      </c>
      <c r="C1764" s="129">
        <v>44335</v>
      </c>
      <c r="D1764" s="2" t="s">
        <v>373</v>
      </c>
      <c r="E1764" s="108">
        <v>24964.1</v>
      </c>
      <c r="F1764" s="129">
        <v>44337</v>
      </c>
      <c r="H1764" s="129">
        <v>44349</v>
      </c>
      <c r="I1764" s="108">
        <f t="shared" si="83"/>
        <v>24964.1</v>
      </c>
      <c r="J1764" s="108" t="str">
        <f>IF(Таблица97[[#This Row],[НК]]=1,Таблица97[[#This Row],[Продажа]],"")</f>
        <v/>
      </c>
      <c r="M1764" s="108">
        <v>18905</v>
      </c>
      <c r="N1764" s="108">
        <f>Таблица97[[#This Row],[Продажа]]-Таблица97[[#This Row],[Закупка]]</f>
        <v>6059.0999999999985</v>
      </c>
      <c r="O1764" s="108" t="str">
        <f>IF(Таблица97[[#This Row],[НК]]=1,Таблица97[[#This Row],[Маржа]],"")</f>
        <v/>
      </c>
    </row>
    <row r="1765" spans="1:15" ht="20.100000000000001" customHeight="1" x14ac:dyDescent="0.25">
      <c r="A1765" s="2">
        <v>462</v>
      </c>
      <c r="B1765" s="2" t="str">
        <f>TEXT(Таблица97[[#This Row],[Дата]],"ГГ")&amp;RIGHT("000"&amp;Таблица97[[#This Row],[Номер]],4)</f>
        <v>210462</v>
      </c>
      <c r="C1765" s="129">
        <v>44336</v>
      </c>
      <c r="D1765" s="2" t="s">
        <v>470</v>
      </c>
      <c r="E1765" s="108">
        <v>4300</v>
      </c>
      <c r="F1765" s="129">
        <v>44337</v>
      </c>
      <c r="H1765" s="129">
        <v>44341</v>
      </c>
      <c r="I1765" s="108">
        <f t="shared" si="83"/>
        <v>4300</v>
      </c>
      <c r="J1765" s="108" t="str">
        <f>IF(Таблица97[[#This Row],[НК]]=1,Таблица97[[#This Row],[Продажа]],"")</f>
        <v/>
      </c>
      <c r="M1765" s="108">
        <v>3350</v>
      </c>
      <c r="N1765" s="108">
        <f>Таблица97[[#This Row],[Продажа]]-Таблица97[[#This Row],[Закупка]]</f>
        <v>950</v>
      </c>
      <c r="O1765" s="108" t="str">
        <f>IF(Таблица97[[#This Row],[НК]]=1,Таблица97[[#This Row],[Маржа]],"")</f>
        <v/>
      </c>
    </row>
    <row r="1766" spans="1:15" ht="20.100000000000001" customHeight="1" x14ac:dyDescent="0.25">
      <c r="A1766" s="2">
        <v>384</v>
      </c>
      <c r="B1766" s="2" t="str">
        <f>TEXT(Таблица97[[#This Row],[Дата]],"ГГ")&amp;RIGHT("000"&amp;Таблица97[[#This Row],[Номер]],4)</f>
        <v>210384</v>
      </c>
      <c r="C1766" s="129">
        <v>44327</v>
      </c>
      <c r="D1766" s="2" t="s">
        <v>443</v>
      </c>
      <c r="E1766" s="108">
        <v>24956</v>
      </c>
      <c r="F1766" s="129">
        <v>44340</v>
      </c>
      <c r="H1766" s="129">
        <v>44342</v>
      </c>
      <c r="I1766" s="108">
        <f t="shared" si="83"/>
        <v>24956</v>
      </c>
      <c r="J1766" s="108" t="str">
        <f>IF(Таблица97[[#This Row],[НК]]=1,Таблица97[[#This Row],[Продажа]],"")</f>
        <v/>
      </c>
      <c r="M1766" s="108">
        <v>18142</v>
      </c>
      <c r="N1766" s="108">
        <f>Таблица97[[#This Row],[Продажа]]-Таблица97[[#This Row],[Закупка]]</f>
        <v>6814</v>
      </c>
      <c r="O1766" s="108" t="str">
        <f>IF(Таблица97[[#This Row],[НК]]=1,Таблица97[[#This Row],[Маржа]],"")</f>
        <v/>
      </c>
    </row>
    <row r="1767" spans="1:15" ht="20.100000000000001" customHeight="1" x14ac:dyDescent="0.25">
      <c r="A1767" s="2">
        <v>495</v>
      </c>
      <c r="B1767" s="2" t="str">
        <f>TEXT(Таблица97[[#This Row],[Дата]],"ГГ")&amp;RIGHT("000"&amp;Таблица97[[#This Row],[Номер]],4)</f>
        <v>210495</v>
      </c>
      <c r="C1767" s="129">
        <v>44342</v>
      </c>
      <c r="D1767" s="2" t="s">
        <v>492</v>
      </c>
      <c r="E1767" s="108">
        <v>8683</v>
      </c>
      <c r="F1767" s="129">
        <v>44342</v>
      </c>
      <c r="H1767" s="129">
        <v>44343</v>
      </c>
      <c r="I1767" s="108">
        <f t="shared" si="83"/>
        <v>8683</v>
      </c>
      <c r="J1767" s="108" t="str">
        <f>IF(Таблица97[[#This Row],[НК]]=1,Таблица97[[#This Row],[Продажа]],"")</f>
        <v/>
      </c>
      <c r="M1767" s="108">
        <v>6460</v>
      </c>
      <c r="N1767" s="108">
        <f>Таблица97[[#This Row],[Продажа]]-Таблица97[[#This Row],[Закупка]]</f>
        <v>2223</v>
      </c>
      <c r="O1767" s="108" t="str">
        <f>IF(Таблица97[[#This Row],[НК]]=1,Таблица97[[#This Row],[Маржа]],"")</f>
        <v/>
      </c>
    </row>
    <row r="1768" spans="1:15" ht="20.100000000000001" customHeight="1" x14ac:dyDescent="0.25">
      <c r="A1768" s="2">
        <v>467</v>
      </c>
      <c r="B1768" s="2" t="str">
        <f>TEXT(Таблица97[[#This Row],[Дата]],"ГГ")&amp;RIGHT("000"&amp;Таблица97[[#This Row],[Номер]],4)</f>
        <v>210467</v>
      </c>
      <c r="C1768" s="129">
        <v>44336</v>
      </c>
      <c r="D1768" s="2" t="s">
        <v>443</v>
      </c>
      <c r="E1768" s="108">
        <v>6396</v>
      </c>
      <c r="F1768" s="129">
        <v>44342</v>
      </c>
      <c r="H1768" s="129">
        <v>44347</v>
      </c>
      <c r="I1768" s="108">
        <f t="shared" si="83"/>
        <v>6396</v>
      </c>
      <c r="J1768" s="108" t="str">
        <f>IF(Таблица97[[#This Row],[НК]]=1,Таблица97[[#This Row],[Продажа]],"")</f>
        <v/>
      </c>
      <c r="M1768" s="108">
        <v>3728</v>
      </c>
      <c r="N1768" s="108">
        <f>Таблица97[[#This Row],[Продажа]]-Таблица97[[#This Row],[Закупка]]</f>
        <v>2668</v>
      </c>
      <c r="O1768" s="108" t="str">
        <f>IF(Таблица97[[#This Row],[НК]]=1,Таблица97[[#This Row],[Маржа]],"")</f>
        <v/>
      </c>
    </row>
    <row r="1769" spans="1:15" ht="20.100000000000001" customHeight="1" x14ac:dyDescent="0.25">
      <c r="A1769" s="2">
        <v>494</v>
      </c>
      <c r="B1769" s="2" t="str">
        <f>TEXT(Таблица97[[#This Row],[Дата]],"ГГ")&amp;RIGHT("000"&amp;Таблица97[[#This Row],[Номер]],4)</f>
        <v>210494</v>
      </c>
      <c r="C1769" s="129">
        <v>44341</v>
      </c>
      <c r="D1769" s="2" t="s">
        <v>396</v>
      </c>
      <c r="E1769" s="108">
        <v>1032</v>
      </c>
      <c r="F1769" s="129">
        <v>44342</v>
      </c>
      <c r="H1769" s="129">
        <v>44344</v>
      </c>
      <c r="I1769" s="108">
        <f t="shared" si="83"/>
        <v>1032</v>
      </c>
      <c r="J1769" s="108" t="str">
        <f>IF(Таблица97[[#This Row],[НК]]=1,Таблица97[[#This Row],[Продажа]],"")</f>
        <v/>
      </c>
      <c r="M1769" s="108">
        <v>681</v>
      </c>
      <c r="N1769" s="108">
        <f>Таблица97[[#This Row],[Продажа]]-Таблица97[[#This Row],[Закупка]]</f>
        <v>351</v>
      </c>
      <c r="O1769" s="108" t="str">
        <f>IF(Таблица97[[#This Row],[НК]]=1,Таблица97[[#This Row],[Маржа]],"")</f>
        <v/>
      </c>
    </row>
    <row r="1770" spans="1:15" ht="20.100000000000001" customHeight="1" x14ac:dyDescent="0.25">
      <c r="A1770" s="2">
        <v>486</v>
      </c>
      <c r="B1770" s="2" t="str">
        <f>TEXT(Таблица97[[#This Row],[Дата]],"ГГ")&amp;RIGHT("000"&amp;Таблица97[[#This Row],[Номер]],4)</f>
        <v>210486</v>
      </c>
      <c r="C1770" s="129">
        <v>44340</v>
      </c>
      <c r="D1770" s="2" t="s">
        <v>495</v>
      </c>
      <c r="E1770" s="108">
        <v>13990</v>
      </c>
      <c r="F1770" s="129">
        <v>44343</v>
      </c>
      <c r="H1770" s="129">
        <v>44357</v>
      </c>
      <c r="I1770" s="108">
        <f t="shared" si="83"/>
        <v>13990</v>
      </c>
      <c r="J1770" s="108" t="str">
        <f>IF(Таблица97[[#This Row],[НК]]=1,Таблица97[[#This Row],[Продажа]],"")</f>
        <v/>
      </c>
      <c r="M1770" s="108">
        <v>10282</v>
      </c>
      <c r="N1770" s="108">
        <f>Таблица97[[#This Row],[Продажа]]-Таблица97[[#This Row],[Закупка]]</f>
        <v>3708</v>
      </c>
      <c r="O1770" s="108" t="str">
        <f>IF(Таблица97[[#This Row],[НК]]=1,Таблица97[[#This Row],[Маржа]],"")</f>
        <v/>
      </c>
    </row>
    <row r="1771" spans="1:15" ht="20.100000000000001" customHeight="1" x14ac:dyDescent="0.25">
      <c r="A1771" s="2">
        <v>515</v>
      </c>
      <c r="B1771" s="2" t="str">
        <f>TEXT(Таблица97[[#This Row],[Дата]],"ГГ")&amp;RIGHT("000"&amp;Таблица97[[#This Row],[Номер]],4)</f>
        <v>210515</v>
      </c>
      <c r="C1771" s="129">
        <v>44344</v>
      </c>
      <c r="D1771" s="2" t="s">
        <v>209</v>
      </c>
      <c r="E1771" s="108">
        <v>8894.4</v>
      </c>
      <c r="F1771" s="129">
        <v>44344</v>
      </c>
      <c r="H1771" s="129">
        <v>44371</v>
      </c>
      <c r="I1771" s="108">
        <v>1320</v>
      </c>
      <c r="J1771" s="108" t="str">
        <f>IF(Таблица97[[#This Row],[НК]]=1,Таблица97[[#This Row],[Продажа]],"")</f>
        <v/>
      </c>
      <c r="M1771" s="108">
        <v>1050</v>
      </c>
      <c r="N1771" s="108">
        <f>Таблица97[[#This Row],[Продажа]]-Таблица97[[#This Row],[Закупка]]</f>
        <v>270</v>
      </c>
      <c r="O1771" s="108" t="str">
        <f>IF(Таблица97[[#This Row],[НК]]=1,Таблица97[[#This Row],[Маржа]],"")</f>
        <v/>
      </c>
    </row>
    <row r="1772" spans="1:15" ht="20.100000000000001" customHeight="1" x14ac:dyDescent="0.25">
      <c r="A1772" s="2">
        <v>492</v>
      </c>
      <c r="B1772" s="2" t="str">
        <f>TEXT(Таблица97[[#This Row],[Дата]],"ГГ")&amp;RIGHT("000"&amp;Таблица97[[#This Row],[Номер]],4)</f>
        <v>210492</v>
      </c>
      <c r="C1772" s="129">
        <v>44341</v>
      </c>
      <c r="D1772" s="2" t="s">
        <v>403</v>
      </c>
      <c r="E1772" s="108">
        <v>7175</v>
      </c>
      <c r="F1772" s="129">
        <v>44347</v>
      </c>
      <c r="H1772" s="129">
        <v>44352</v>
      </c>
      <c r="I1772" s="108">
        <f t="shared" ref="I1772:I1777" si="84">E1772</f>
        <v>7175</v>
      </c>
      <c r="J1772" s="108" t="str">
        <f>IF(Таблица97[[#This Row],[НК]]=1,Таблица97[[#This Row],[Продажа]],"")</f>
        <v/>
      </c>
      <c r="M1772" s="108">
        <v>5378</v>
      </c>
      <c r="N1772" s="108">
        <f>Таблица97[[#This Row],[Продажа]]-Таблица97[[#This Row],[Закупка]]</f>
        <v>1797</v>
      </c>
      <c r="O1772" s="108" t="str">
        <f>IF(Таблица97[[#This Row],[НК]]=1,Таблица97[[#This Row],[Маржа]],"")</f>
        <v/>
      </c>
    </row>
    <row r="1773" spans="1:15" ht="20.100000000000001" customHeight="1" x14ac:dyDescent="0.25">
      <c r="A1773" s="2">
        <v>524</v>
      </c>
      <c r="B1773" s="2" t="str">
        <f>TEXT(Таблица97[[#This Row],[Дата]],"ГГ")&amp;RIGHT("000"&amp;Таблица97[[#This Row],[Номер]],4)</f>
        <v>210524</v>
      </c>
      <c r="C1773" s="129">
        <v>44347</v>
      </c>
      <c r="D1773" s="2" t="s">
        <v>91</v>
      </c>
      <c r="E1773" s="108">
        <v>10377</v>
      </c>
      <c r="F1773" s="129">
        <v>44348</v>
      </c>
      <c r="H1773" s="129">
        <v>44356</v>
      </c>
      <c r="I1773" s="108">
        <f t="shared" si="84"/>
        <v>10377</v>
      </c>
      <c r="J1773" s="108" t="str">
        <f>IF(Таблица97[[#This Row],[НК]]=1,Таблица97[[#This Row],[Продажа]],"")</f>
        <v/>
      </c>
      <c r="M1773" s="108">
        <v>7852.56</v>
      </c>
      <c r="N1773" s="108">
        <f>Таблица97[[#This Row],[Продажа]]-Таблица97[[#This Row],[Закупка]]</f>
        <v>2524.4399999999996</v>
      </c>
      <c r="O1773" s="108" t="str">
        <f>IF(Таблица97[[#This Row],[НК]]=1,Таблица97[[#This Row],[Маржа]],"")</f>
        <v/>
      </c>
    </row>
    <row r="1774" spans="1:15" ht="20.100000000000001" customHeight="1" x14ac:dyDescent="0.25">
      <c r="A1774" s="2">
        <v>517</v>
      </c>
      <c r="B1774" s="2" t="str">
        <f>TEXT(Таблица97[[#This Row],[Дата]],"ГГ")&amp;RIGHT("000"&amp;Таблица97[[#This Row],[Номер]],4)</f>
        <v>210517</v>
      </c>
      <c r="C1774" s="129">
        <v>44347</v>
      </c>
      <c r="D1774" s="2" t="s">
        <v>496</v>
      </c>
      <c r="E1774" s="108">
        <v>2440</v>
      </c>
      <c r="F1774" s="129">
        <v>44348</v>
      </c>
      <c r="H1774" s="129">
        <v>44349</v>
      </c>
      <c r="I1774" s="108">
        <f t="shared" si="84"/>
        <v>2440</v>
      </c>
      <c r="J1774" s="108" t="str">
        <f>IF(Таблица97[[#This Row],[НК]]=1,Таблица97[[#This Row],[Продажа]],"")</f>
        <v/>
      </c>
      <c r="M1774" s="108">
        <v>1316</v>
      </c>
      <c r="N1774" s="108">
        <f>Таблица97[[#This Row],[Продажа]]-Таблица97[[#This Row],[Закупка]]</f>
        <v>1124</v>
      </c>
      <c r="O1774" s="108" t="str">
        <f>IF(Таблица97[[#This Row],[НК]]=1,Таблица97[[#This Row],[Маржа]],"")</f>
        <v/>
      </c>
    </row>
    <row r="1775" spans="1:15" ht="20.100000000000001" customHeight="1" x14ac:dyDescent="0.25">
      <c r="A1775" s="2">
        <v>450</v>
      </c>
      <c r="B1775" s="2" t="str">
        <f>TEXT(Таблица97[[#This Row],[Дата]],"ГГ")&amp;RIGHT("000"&amp;Таблица97[[#This Row],[Номер]],4)</f>
        <v>210450</v>
      </c>
      <c r="C1775" s="129">
        <v>44335</v>
      </c>
      <c r="D1775" s="2" t="s">
        <v>236</v>
      </c>
      <c r="E1775" s="108">
        <v>88090</v>
      </c>
      <c r="F1775" s="129">
        <v>44350</v>
      </c>
      <c r="H1775" s="129">
        <v>44355</v>
      </c>
      <c r="I1775" s="108">
        <f t="shared" si="84"/>
        <v>88090</v>
      </c>
      <c r="J1775" s="108" t="str">
        <f>IF(Таблица97[[#This Row],[НК]]=1,Таблица97[[#This Row],[Продажа]],"")</f>
        <v/>
      </c>
      <c r="M1775" s="108">
        <v>64038.5</v>
      </c>
      <c r="N1775" s="108">
        <f>Таблица97[[#This Row],[Продажа]]-Таблица97[[#This Row],[Закупка]]</f>
        <v>24051.5</v>
      </c>
      <c r="O1775" s="108" t="str">
        <f>IF(Таблица97[[#This Row],[НК]]=1,Таблица97[[#This Row],[Маржа]],"")</f>
        <v/>
      </c>
    </row>
    <row r="1776" spans="1:15" ht="20.100000000000001" customHeight="1" x14ac:dyDescent="0.25">
      <c r="A1776" s="2">
        <v>262</v>
      </c>
      <c r="B1776" s="2" t="str">
        <f>TEXT(Таблица97[[#This Row],[Дата]],"ГГ")&amp;RIGHT("000"&amp;Таблица97[[#This Row],[Номер]],4)</f>
        <v>210262</v>
      </c>
      <c r="C1776" s="129">
        <v>44284</v>
      </c>
      <c r="D1776" s="2" t="s">
        <v>66</v>
      </c>
      <c r="E1776" s="108">
        <v>2500</v>
      </c>
      <c r="F1776" s="129">
        <v>44351</v>
      </c>
      <c r="H1776" s="129">
        <v>44291</v>
      </c>
      <c r="I1776" s="108">
        <f t="shared" si="84"/>
        <v>2500</v>
      </c>
      <c r="J1776" s="108" t="str">
        <f>IF(Таблица97[[#This Row],[НК]]=1,Таблица97[[#This Row],[Продажа]],"")</f>
        <v/>
      </c>
      <c r="M1776" s="108">
        <v>1786</v>
      </c>
      <c r="N1776" s="108">
        <f>Таблица97[[#This Row],[Продажа]]-Таблица97[[#This Row],[Закупка]]</f>
        <v>714</v>
      </c>
      <c r="O1776" s="108" t="str">
        <f>IF(Таблица97[[#This Row],[НК]]=1,Таблица97[[#This Row],[Маржа]],"")</f>
        <v/>
      </c>
    </row>
    <row r="1777" spans="1:15" ht="20.100000000000001" customHeight="1" x14ac:dyDescent="0.25">
      <c r="A1777" s="2">
        <v>554</v>
      </c>
      <c r="B1777" s="2" t="str">
        <f>TEXT(Таблица97[[#This Row],[Дата]],"ГГ")&amp;RIGHT("000"&amp;Таблица97[[#This Row],[Номер]],4)</f>
        <v>210554</v>
      </c>
      <c r="C1777" s="129">
        <v>44354</v>
      </c>
      <c r="D1777" s="2" t="s">
        <v>497</v>
      </c>
      <c r="E1777" s="108">
        <v>5330</v>
      </c>
      <c r="F1777" s="129">
        <v>44355</v>
      </c>
      <c r="H1777" s="129">
        <v>44369</v>
      </c>
      <c r="I1777" s="108">
        <f t="shared" si="84"/>
        <v>5330</v>
      </c>
      <c r="J1777" s="108" t="str">
        <f>IF(Таблица97[[#This Row],[НК]]=1,Таблица97[[#This Row],[Продажа]],"")</f>
        <v/>
      </c>
      <c r="M1777" s="108">
        <v>4158</v>
      </c>
      <c r="N1777" s="108">
        <f>Таблица97[[#This Row],[Продажа]]-Таблица97[[#This Row],[Закупка]]</f>
        <v>1172</v>
      </c>
      <c r="O1777" s="108" t="str">
        <f>IF(Таблица97[[#This Row],[НК]]=1,Таблица97[[#This Row],[Маржа]],"")</f>
        <v/>
      </c>
    </row>
    <row r="1778" spans="1:15" ht="20.100000000000001" customHeight="1" x14ac:dyDescent="0.25">
      <c r="A1778" s="2">
        <v>482</v>
      </c>
      <c r="B1778" s="2" t="str">
        <f>TEXT(Таблица97[[#This Row],[Дата]],"ГГ")&amp;RIGHT("000"&amp;Таблица97[[#This Row],[Номер]],4)</f>
        <v>210482</v>
      </c>
      <c r="C1778" s="129">
        <v>44340</v>
      </c>
      <c r="D1778" s="2" t="s">
        <v>60</v>
      </c>
      <c r="E1778" s="108">
        <v>5015</v>
      </c>
      <c r="F1778" s="129">
        <v>44355</v>
      </c>
      <c r="H1778" s="129">
        <v>44341</v>
      </c>
      <c r="I1778" s="108">
        <v>4031</v>
      </c>
      <c r="J1778" s="108" t="str">
        <f>IF(Таблица97[[#This Row],[НК]]=1,Таблица97[[#This Row],[Продажа]],"")</f>
        <v/>
      </c>
      <c r="M1778" s="108">
        <v>2847</v>
      </c>
      <c r="N1778" s="108">
        <f>Таблица97[[#This Row],[Продажа]]-Таблица97[[#This Row],[Закупка]]</f>
        <v>1184</v>
      </c>
      <c r="O1778" s="108" t="str">
        <f>IF(Таблица97[[#This Row],[НК]]=1,Таблица97[[#This Row],[Маржа]],"")</f>
        <v/>
      </c>
    </row>
    <row r="1779" spans="1:15" ht="20.100000000000001" customHeight="1" x14ac:dyDescent="0.25">
      <c r="A1779" s="2">
        <v>545</v>
      </c>
      <c r="B1779" s="2" t="str">
        <f>TEXT(Таблица97[[#This Row],[Дата]],"ГГ")&amp;RIGHT("000"&amp;Таблица97[[#This Row],[Номер]],4)</f>
        <v>210545</v>
      </c>
      <c r="C1779" s="129">
        <v>44350</v>
      </c>
      <c r="D1779" s="2" t="s">
        <v>77</v>
      </c>
      <c r="E1779" s="108">
        <v>4208</v>
      </c>
      <c r="F1779" s="129">
        <v>44355</v>
      </c>
      <c r="H1779" s="129">
        <v>44357</v>
      </c>
      <c r="I1779" s="108">
        <f t="shared" ref="I1779:I1787" si="85">E1779</f>
        <v>4208</v>
      </c>
      <c r="J1779" s="108" t="str">
        <f>IF(Таблица97[[#This Row],[НК]]=1,Таблица97[[#This Row],[Продажа]],"")</f>
        <v/>
      </c>
      <c r="M1779" s="108">
        <v>3190</v>
      </c>
      <c r="N1779" s="108">
        <f>Таблица97[[#This Row],[Продажа]]-Таблица97[[#This Row],[Закупка]]</f>
        <v>1018</v>
      </c>
      <c r="O1779" s="108" t="str">
        <f>IF(Таблица97[[#This Row],[НК]]=1,Таблица97[[#This Row],[Маржа]],"")</f>
        <v/>
      </c>
    </row>
    <row r="1780" spans="1:15" ht="20.100000000000001" customHeight="1" x14ac:dyDescent="0.25">
      <c r="A1780" s="2">
        <v>538</v>
      </c>
      <c r="B1780" s="2" t="str">
        <f>TEXT(Таблица97[[#This Row],[Дата]],"ГГ")&amp;RIGHT("000"&amp;Таблица97[[#This Row],[Номер]],4)</f>
        <v>210538</v>
      </c>
      <c r="C1780" s="129">
        <v>44348</v>
      </c>
      <c r="D1780" s="2" t="s">
        <v>13</v>
      </c>
      <c r="E1780" s="108">
        <v>13836</v>
      </c>
      <c r="F1780" s="129">
        <v>44362</v>
      </c>
      <c r="H1780" s="129">
        <v>44350</v>
      </c>
      <c r="I1780" s="108">
        <f t="shared" si="85"/>
        <v>13836</v>
      </c>
      <c r="J1780" s="108" t="str">
        <f>IF(Таблица97[[#This Row],[НК]]=1,Таблица97[[#This Row],[Продажа]],"")</f>
        <v/>
      </c>
      <c r="M1780" s="108">
        <v>10488</v>
      </c>
      <c r="N1780" s="108">
        <f>Таблица97[[#This Row],[Продажа]]-Таблица97[[#This Row],[Закупка]]</f>
        <v>3348</v>
      </c>
      <c r="O1780" s="108" t="str">
        <f>IF(Таблица97[[#This Row],[НК]]=1,Таблица97[[#This Row],[Маржа]],"")</f>
        <v/>
      </c>
    </row>
    <row r="1781" spans="1:15" ht="20.100000000000001" customHeight="1" x14ac:dyDescent="0.25">
      <c r="A1781" s="2">
        <v>585</v>
      </c>
      <c r="B1781" s="2" t="str">
        <f>TEXT(Таблица97[[#This Row],[Дата]],"ГГ")&amp;RIGHT("000"&amp;Таблица97[[#This Row],[Номер]],4)</f>
        <v>210585</v>
      </c>
      <c r="C1781" s="129">
        <v>44358</v>
      </c>
      <c r="D1781" s="2" t="s">
        <v>334</v>
      </c>
      <c r="E1781" s="108">
        <v>4309</v>
      </c>
      <c r="F1781" s="129">
        <v>44363</v>
      </c>
      <c r="H1781" s="129">
        <v>44362</v>
      </c>
      <c r="I1781" s="108">
        <f t="shared" si="85"/>
        <v>4309</v>
      </c>
      <c r="J1781" s="108" t="str">
        <f>IF(Таблица97[[#This Row],[НК]]=1,Таблица97[[#This Row],[Продажа]],"")</f>
        <v/>
      </c>
      <c r="M1781" s="108">
        <v>3308</v>
      </c>
      <c r="N1781" s="108">
        <f>Таблица97[[#This Row],[Продажа]]-Таблица97[[#This Row],[Закупка]]</f>
        <v>1001</v>
      </c>
      <c r="O1781" s="108" t="str">
        <f>IF(Таблица97[[#This Row],[НК]]=1,Таблица97[[#This Row],[Маржа]],"")</f>
        <v/>
      </c>
    </row>
    <row r="1782" spans="1:15" ht="20.100000000000001" customHeight="1" x14ac:dyDescent="0.25">
      <c r="A1782" s="2">
        <v>527</v>
      </c>
      <c r="B1782" s="2" t="str">
        <f>TEXT(Таблица97[[#This Row],[Дата]],"ГГ")&amp;RIGHT("000"&amp;Таблица97[[#This Row],[Номер]],4)</f>
        <v>210527</v>
      </c>
      <c r="C1782" s="129">
        <v>44347</v>
      </c>
      <c r="D1782" s="2" t="s">
        <v>56</v>
      </c>
      <c r="E1782" s="108">
        <v>29339</v>
      </c>
      <c r="F1782" s="129">
        <v>44363</v>
      </c>
      <c r="H1782" s="129">
        <v>44348</v>
      </c>
      <c r="I1782" s="108">
        <f t="shared" si="85"/>
        <v>29339</v>
      </c>
      <c r="J1782" s="108" t="str">
        <f>IF(Таблица97[[#This Row],[НК]]=1,Таблица97[[#This Row],[Продажа]],"")</f>
        <v/>
      </c>
      <c r="M1782" s="108">
        <v>22258</v>
      </c>
      <c r="N1782" s="108">
        <f>Таблица97[[#This Row],[Продажа]]-Таблица97[[#This Row],[Закупка]]</f>
        <v>7081</v>
      </c>
      <c r="O1782" s="108" t="str">
        <f>IF(Таблица97[[#This Row],[НК]]=1,Таблица97[[#This Row],[Маржа]],"")</f>
        <v/>
      </c>
    </row>
    <row r="1783" spans="1:15" ht="20.100000000000001" customHeight="1" x14ac:dyDescent="0.25">
      <c r="A1783" s="2">
        <v>561</v>
      </c>
      <c r="B1783" s="2" t="str">
        <f>TEXT(Таблица97[[#This Row],[Дата]],"ГГ")&amp;RIGHT("000"&amp;Таблица97[[#This Row],[Номер]],4)</f>
        <v>210561</v>
      </c>
      <c r="C1783" s="129">
        <v>44355</v>
      </c>
      <c r="D1783" s="2" t="s">
        <v>498</v>
      </c>
      <c r="E1783" s="108">
        <v>35682</v>
      </c>
      <c r="F1783" s="129">
        <v>44363</v>
      </c>
      <c r="G1783" s="128">
        <v>1</v>
      </c>
      <c r="H1783" s="129">
        <v>44368</v>
      </c>
      <c r="I1783" s="108">
        <f t="shared" si="85"/>
        <v>35682</v>
      </c>
      <c r="J1783" s="108">
        <f>IF(Таблица97[[#This Row],[НК]]=1,Таблица97[[#This Row],[Продажа]],"")</f>
        <v>35682</v>
      </c>
      <c r="L1783" s="108">
        <v>600</v>
      </c>
      <c r="M1783" s="108">
        <v>24877.7</v>
      </c>
      <c r="N1783" s="108">
        <f>Таблица97[[#This Row],[Продажа]]-Таблица97[[#This Row],[Закупка]]</f>
        <v>10804.3</v>
      </c>
      <c r="O1783" s="108">
        <f>IF(Таблица97[[#This Row],[НК]]=1,Таблица97[[#This Row],[Маржа]],"")</f>
        <v>10804.3</v>
      </c>
    </row>
    <row r="1784" spans="1:15" ht="20.100000000000001" customHeight="1" x14ac:dyDescent="0.25">
      <c r="A1784" s="2">
        <v>590</v>
      </c>
      <c r="B1784" s="2" t="str">
        <f>TEXT(Таблица97[[#This Row],[Дата]],"ГГ")&amp;RIGHT("000"&amp;Таблица97[[#This Row],[Номер]],4)</f>
        <v>210590</v>
      </c>
      <c r="C1784" s="129">
        <v>44362</v>
      </c>
      <c r="D1784" s="2" t="s">
        <v>455</v>
      </c>
      <c r="E1784" s="108">
        <v>24200</v>
      </c>
      <c r="F1784" s="129">
        <v>44364</v>
      </c>
      <c r="H1784" s="129">
        <v>44376</v>
      </c>
      <c r="I1784" s="108">
        <f t="shared" si="85"/>
        <v>24200</v>
      </c>
      <c r="J1784" s="108" t="str">
        <f>IF(Таблица97[[#This Row],[НК]]=1,Таблица97[[#This Row],[Продажа]],"")</f>
        <v/>
      </c>
      <c r="L1784" s="108">
        <v>2400</v>
      </c>
      <c r="M1784" s="108">
        <v>10917.88</v>
      </c>
      <c r="N1784" s="108">
        <f>Таблица97[[#This Row],[Продажа]]-Таблица97[[#This Row],[Закупка]]</f>
        <v>13282.12</v>
      </c>
      <c r="O1784" s="108" t="str">
        <f>IF(Таблица97[[#This Row],[НК]]=1,Таблица97[[#This Row],[Маржа]],"")</f>
        <v/>
      </c>
    </row>
    <row r="1785" spans="1:15" ht="20.100000000000001" customHeight="1" x14ac:dyDescent="0.25">
      <c r="A1785" s="2">
        <v>599</v>
      </c>
      <c r="B1785" s="2" t="str">
        <f>TEXT(Таблица97[[#This Row],[Дата]],"ГГ")&amp;RIGHT("000"&amp;Таблица97[[#This Row],[Номер]],4)</f>
        <v>210599</v>
      </c>
      <c r="C1785" s="129">
        <v>44364</v>
      </c>
      <c r="D1785" s="2" t="s">
        <v>5</v>
      </c>
      <c r="E1785" s="108">
        <v>51552</v>
      </c>
      <c r="F1785" s="129">
        <v>44364</v>
      </c>
      <c r="H1785" s="129">
        <v>44364</v>
      </c>
      <c r="I1785" s="108">
        <f t="shared" si="85"/>
        <v>51552</v>
      </c>
      <c r="J1785" s="108" t="str">
        <f>IF(Таблица97[[#This Row],[НК]]=1,Таблица97[[#This Row],[Продажа]],"")</f>
        <v/>
      </c>
      <c r="M1785" s="108">
        <v>37870.9</v>
      </c>
      <c r="N1785" s="108">
        <f>Таблица97[[#This Row],[Продажа]]-Таблица97[[#This Row],[Закупка]]</f>
        <v>13681.099999999999</v>
      </c>
      <c r="O1785" s="108" t="str">
        <f>IF(Таблица97[[#This Row],[НК]]=1,Таблица97[[#This Row],[Маржа]],"")</f>
        <v/>
      </c>
    </row>
    <row r="1786" spans="1:15" ht="20.100000000000001" customHeight="1" x14ac:dyDescent="0.25">
      <c r="A1786" s="2">
        <v>596</v>
      </c>
      <c r="B1786" s="2" t="str">
        <f>TEXT(Таблица97[[#This Row],[Дата]],"ГГ")&amp;RIGHT("000"&amp;Таблица97[[#This Row],[Номер]],4)</f>
        <v>210596</v>
      </c>
      <c r="C1786" s="129">
        <v>44363</v>
      </c>
      <c r="D1786" s="2" t="s">
        <v>270</v>
      </c>
      <c r="E1786" s="108">
        <v>9157</v>
      </c>
      <c r="F1786" s="129">
        <v>44364</v>
      </c>
      <c r="H1786" s="129">
        <v>44375</v>
      </c>
      <c r="I1786" s="108">
        <f t="shared" si="85"/>
        <v>9157</v>
      </c>
      <c r="J1786" s="108" t="str">
        <f>IF(Таблица97[[#This Row],[НК]]=1,Таблица97[[#This Row],[Продажа]],"")</f>
        <v/>
      </c>
      <c r="M1786" s="108">
        <v>7109</v>
      </c>
      <c r="N1786" s="108">
        <f>Таблица97[[#This Row],[Продажа]]-Таблица97[[#This Row],[Закупка]]</f>
        <v>2048</v>
      </c>
      <c r="O1786" s="108" t="str">
        <f>IF(Таблица97[[#This Row],[НК]]=1,Таблица97[[#This Row],[Маржа]],"")</f>
        <v/>
      </c>
    </row>
    <row r="1787" spans="1:15" ht="20.100000000000001" hidden="1" customHeight="1" x14ac:dyDescent="0.25">
      <c r="A1787" s="2">
        <v>525</v>
      </c>
      <c r="B1787" s="2" t="str">
        <f>TEXT(Таблица97[[#This Row],[Дата]],"ГГ")&amp;RIGHT("000"&amp;Таблица97[[#This Row],[Номер]],4)</f>
        <v>210525</v>
      </c>
      <c r="C1787" s="129">
        <v>44347</v>
      </c>
      <c r="D1787" s="2" t="s">
        <v>302</v>
      </c>
      <c r="E1787" s="108">
        <v>6639</v>
      </c>
      <c r="F1787" s="129">
        <v>44365</v>
      </c>
      <c r="H1787" s="129">
        <v>44355</v>
      </c>
      <c r="I1787" s="108">
        <f t="shared" si="85"/>
        <v>6639</v>
      </c>
      <c r="J1787" s="108" t="str">
        <f>IF(Таблица97[[#This Row],[НК]]=1,Таблица97[[#This Row],[Продажа]],"")</f>
        <v/>
      </c>
      <c r="N1787" s="108">
        <f>Таблица97[[#This Row],[Продажа]]-Таблица97[[#This Row],[Закупка]]</f>
        <v>6639</v>
      </c>
      <c r="O1787" s="108" t="str">
        <f>IF(Таблица97[[#This Row],[НК]]=1,Таблица97[[#This Row],[Маржа]],"")</f>
        <v/>
      </c>
    </row>
    <row r="1788" spans="1:15" ht="20.100000000000001" hidden="1" customHeight="1" x14ac:dyDescent="0.25">
      <c r="A1788" s="2">
        <v>542</v>
      </c>
      <c r="B1788" s="2" t="str">
        <f>TEXT(Таблица97[[#This Row],[Дата]],"ГГ")&amp;RIGHT("000"&amp;Таблица97[[#This Row],[Номер]],4)</f>
        <v>210542</v>
      </c>
      <c r="C1788" s="129">
        <v>44349</v>
      </c>
      <c r="D1788" s="2" t="s">
        <v>60</v>
      </c>
      <c r="E1788" s="108">
        <v>16080</v>
      </c>
      <c r="F1788" s="129">
        <v>44366</v>
      </c>
      <c r="H1788" s="129">
        <v>44356</v>
      </c>
      <c r="I1788" s="108">
        <v>6030</v>
      </c>
      <c r="J1788" s="108" t="str">
        <f>IF(Таблица97[[#This Row],[НК]]=1,Таблица97[[#This Row],[Продажа]],"")</f>
        <v/>
      </c>
      <c r="N1788" s="108">
        <f>Таблица97[[#This Row],[Продажа]]-Таблица97[[#This Row],[Закупка]]</f>
        <v>6030</v>
      </c>
      <c r="O1788" s="108" t="str">
        <f>IF(Таблица97[[#This Row],[НК]]=1,Таблица97[[#This Row],[Маржа]],"")</f>
        <v/>
      </c>
    </row>
    <row r="1789" spans="1:15" ht="20.100000000000001" hidden="1" customHeight="1" x14ac:dyDescent="0.25">
      <c r="A1789" s="2">
        <v>482</v>
      </c>
      <c r="B1789" s="2" t="str">
        <f>TEXT(Таблица97[[#This Row],[Дата]],"ГГ")&amp;RIGHT("000"&amp;Таблица97[[#This Row],[Номер]],4)</f>
        <v>210482</v>
      </c>
      <c r="C1789" s="129">
        <v>44340</v>
      </c>
      <c r="D1789" s="2" t="s">
        <v>60</v>
      </c>
      <c r="E1789" s="108">
        <v>5015</v>
      </c>
      <c r="F1789" s="129">
        <v>44367</v>
      </c>
      <c r="H1789" s="129">
        <v>44356</v>
      </c>
      <c r="I1789" s="108">
        <v>984</v>
      </c>
      <c r="J1789" s="108" t="str">
        <f>IF(Таблица97[[#This Row],[НК]]=1,Таблица97[[#This Row],[Продажа]],"")</f>
        <v/>
      </c>
      <c r="N1789" s="108">
        <f>Таблица97[[#This Row],[Продажа]]-Таблица97[[#This Row],[Закупка]]</f>
        <v>984</v>
      </c>
      <c r="O1789" s="108" t="str">
        <f>IF(Таблица97[[#This Row],[НК]]=1,Таблица97[[#This Row],[Маржа]],"")</f>
        <v/>
      </c>
    </row>
    <row r="1790" spans="1:15" ht="20.100000000000001" customHeight="1" x14ac:dyDescent="0.25">
      <c r="A1790" s="2">
        <v>584</v>
      </c>
      <c r="B1790" s="2" t="str">
        <f>TEXT(Таблица97[[#This Row],[Дата]],"ГГ")&amp;RIGHT("000"&amp;Таблица97[[#This Row],[Номер]],4)</f>
        <v>210584</v>
      </c>
      <c r="C1790" s="129">
        <v>44358</v>
      </c>
      <c r="D1790" s="2" t="s">
        <v>410</v>
      </c>
      <c r="E1790" s="108">
        <v>28495</v>
      </c>
      <c r="F1790" s="129">
        <v>44368</v>
      </c>
      <c r="H1790" s="129">
        <v>44397</v>
      </c>
      <c r="I1790" s="108">
        <f>E1790</f>
        <v>28495</v>
      </c>
      <c r="J1790" s="108" t="str">
        <f>IF(Таблица97[[#This Row],[НК]]=1,Таблица97[[#This Row],[Продажа]],"")</f>
        <v/>
      </c>
      <c r="M1790" s="108">
        <v>16329.5</v>
      </c>
      <c r="N1790" s="108">
        <f>Таблица97[[#This Row],[Продажа]]-Таблица97[[#This Row],[Закупка]]</f>
        <v>12165.5</v>
      </c>
      <c r="O1790" s="108" t="str">
        <f>IF(Таблица97[[#This Row],[НК]]=1,Таблица97[[#This Row],[Маржа]],"")</f>
        <v/>
      </c>
    </row>
    <row r="1791" spans="1:15" ht="20.100000000000001" customHeight="1" x14ac:dyDescent="0.25">
      <c r="A1791" s="2">
        <v>623</v>
      </c>
      <c r="B1791" s="2" t="str">
        <f>TEXT(Таблица97[[#This Row],[Дата]],"ГГ")&amp;RIGHT("000"&amp;Таблица97[[#This Row],[Номер]],4)</f>
        <v>210623</v>
      </c>
      <c r="C1791" s="129">
        <v>44371</v>
      </c>
      <c r="D1791" s="2" t="s">
        <v>475</v>
      </c>
      <c r="E1791" s="108">
        <v>3330</v>
      </c>
      <c r="F1791" s="129">
        <v>44371</v>
      </c>
      <c r="H1791" s="129">
        <v>44371</v>
      </c>
      <c r="I1791" s="108">
        <f>E1791</f>
        <v>3330</v>
      </c>
      <c r="J1791" s="108" t="str">
        <f>IF(Таблица97[[#This Row],[НК]]=1,Таблица97[[#This Row],[Продажа]],"")</f>
        <v/>
      </c>
      <c r="M1791" s="108">
        <v>531.5</v>
      </c>
      <c r="N1791" s="108">
        <f>Таблица97[[#This Row],[Продажа]]-Таблица97[[#This Row],[Закупка]]</f>
        <v>2798.5</v>
      </c>
      <c r="O1791" s="108" t="str">
        <f>IF(Таблица97[[#This Row],[НК]]=1,Таблица97[[#This Row],[Маржа]],"")</f>
        <v/>
      </c>
    </row>
    <row r="1792" spans="1:15" ht="20.100000000000001" customHeight="1" x14ac:dyDescent="0.25">
      <c r="A1792" s="2">
        <v>497</v>
      </c>
      <c r="B1792" s="2" t="str">
        <f>TEXT(Таблица97[[#This Row],[Дата]],"ГГ")&amp;RIGHT("000"&amp;Таблица97[[#This Row],[Номер]],4)</f>
        <v>210497</v>
      </c>
      <c r="C1792" s="129">
        <v>44362</v>
      </c>
      <c r="D1792" s="2" t="s">
        <v>499</v>
      </c>
      <c r="E1792" s="108">
        <v>9544</v>
      </c>
      <c r="F1792" s="129">
        <v>44377</v>
      </c>
      <c r="G1792" s="128">
        <v>1</v>
      </c>
      <c r="H1792" s="129">
        <v>44364</v>
      </c>
      <c r="I1792" s="108">
        <f>E1792</f>
        <v>9544</v>
      </c>
      <c r="J1792" s="108">
        <f>IF(Таблица97[[#This Row],[НК]]=1,Таблица97[[#This Row],[Продажа]],"")</f>
        <v>9544</v>
      </c>
      <c r="M1792" s="108">
        <v>6301</v>
      </c>
      <c r="N1792" s="108">
        <f>Таблица97[[#This Row],[Продажа]]-Таблица97[[#This Row],[Закупка]]</f>
        <v>3243</v>
      </c>
      <c r="O1792" s="108">
        <f>IF(Таблица97[[#This Row],[НК]]=1,Таблица97[[#This Row],[Маржа]],"")</f>
        <v>3243</v>
      </c>
    </row>
    <row r="1793" spans="1:15" ht="20.100000000000001" customHeight="1" x14ac:dyDescent="0.25">
      <c r="A1793" s="2">
        <v>644</v>
      </c>
      <c r="B1793" s="2" t="str">
        <f>TEXT(Таблица97[[#This Row],[Дата]],"ГГ")&amp;RIGHT("000"&amp;Таблица97[[#This Row],[Номер]],4)</f>
        <v>210644</v>
      </c>
      <c r="C1793" s="129">
        <v>44377</v>
      </c>
      <c r="D1793" s="2" t="s">
        <v>209</v>
      </c>
      <c r="E1793" s="108">
        <v>8894.4</v>
      </c>
      <c r="F1793" s="129">
        <v>44377</v>
      </c>
      <c r="H1793" s="129">
        <v>44406</v>
      </c>
      <c r="I1793" s="108">
        <f>E1793</f>
        <v>8894.4</v>
      </c>
      <c r="J1793" s="108" t="str">
        <f>IF(Таблица97[[#This Row],[НК]]=1,Таблица97[[#This Row],[Продажа]],"")</f>
        <v/>
      </c>
      <c r="M1793" s="108">
        <v>8057</v>
      </c>
      <c r="N1793" s="108">
        <f>Таблица97[[#This Row],[Продажа]]-Таблица97[[#This Row],[Закупка]]</f>
        <v>837.39999999999964</v>
      </c>
      <c r="O1793" s="108" t="str">
        <f>IF(Таблица97[[#This Row],[НК]]=1,Таблица97[[#This Row],[Маржа]],"")</f>
        <v/>
      </c>
    </row>
    <row r="1794" spans="1:15" ht="20.100000000000001" customHeight="1" x14ac:dyDescent="0.25">
      <c r="A1794" s="2">
        <v>515</v>
      </c>
      <c r="B1794" s="2" t="str">
        <f>TEXT(Таблица97[[#This Row],[Дата]],"ГГ")&amp;RIGHT("000"&amp;Таблица97[[#This Row],[Номер]],4)</f>
        <v>210515</v>
      </c>
      <c r="C1794" s="129">
        <v>44344</v>
      </c>
      <c r="D1794" s="2" t="s">
        <v>209</v>
      </c>
      <c r="E1794" s="108">
        <v>8894.4</v>
      </c>
      <c r="F1794" s="129">
        <v>44377</v>
      </c>
      <c r="H1794" s="129">
        <v>44371</v>
      </c>
      <c r="I1794" s="108">
        <v>7574.4</v>
      </c>
      <c r="J1794" s="108" t="str">
        <f>IF(Таблица97[[#This Row],[НК]]=1,Таблица97[[#This Row],[Продажа]],"")</f>
        <v/>
      </c>
      <c r="M1794" s="108">
        <v>6792</v>
      </c>
      <c r="N1794" s="108">
        <f>Таблица97[[#This Row],[Продажа]]-Таблица97[[#This Row],[Закупка]]</f>
        <v>782.39999999999964</v>
      </c>
      <c r="O1794" s="108" t="str">
        <f>IF(Таблица97[[#This Row],[НК]]=1,Таблица97[[#This Row],[Маржа]],"")</f>
        <v/>
      </c>
    </row>
    <row r="1795" spans="1:15" ht="20.100000000000001" customHeight="1" x14ac:dyDescent="0.25">
      <c r="A1795" s="2">
        <v>542</v>
      </c>
      <c r="B1795" s="2" t="str">
        <f>TEXT(Таблица97[[#This Row],[Дата]],"ГГ")&amp;RIGHT("000"&amp;Таблица97[[#This Row],[Номер]],4)</f>
        <v>210542</v>
      </c>
      <c r="C1795" s="129">
        <v>44349</v>
      </c>
      <c r="D1795" s="2" t="s">
        <v>60</v>
      </c>
      <c r="E1795" s="108">
        <v>16080</v>
      </c>
      <c r="F1795" s="129">
        <v>44378</v>
      </c>
      <c r="H1795" s="129">
        <v>44363</v>
      </c>
      <c r="I1795" s="108">
        <v>10050</v>
      </c>
      <c r="J1795" s="108" t="str">
        <f>IF(Таблица97[[#This Row],[НК]]=1,Таблица97[[#This Row],[Продажа]],"")</f>
        <v/>
      </c>
      <c r="M1795" s="108">
        <v>7835</v>
      </c>
      <c r="N1795" s="108">
        <f>Таблица97[[#This Row],[Продажа]]-Таблица97[[#This Row],[Закупка]]</f>
        <v>2215</v>
      </c>
      <c r="O1795" s="108" t="str">
        <f>IF(Таблица97[[#This Row],[НК]]=1,Таблица97[[#This Row],[Маржа]],"")</f>
        <v/>
      </c>
    </row>
    <row r="1796" spans="1:15" ht="20.100000000000001" customHeight="1" x14ac:dyDescent="0.25">
      <c r="A1796" s="2">
        <v>621</v>
      </c>
      <c r="B1796" s="2" t="str">
        <f>TEXT(Таблица97[[#This Row],[Дата]],"ГГ")&amp;RIGHT("000"&amp;Таблица97[[#This Row],[Номер]],4)</f>
        <v>210621</v>
      </c>
      <c r="C1796" s="129">
        <v>44378</v>
      </c>
      <c r="D1796" s="2" t="s">
        <v>500</v>
      </c>
      <c r="E1796" s="108">
        <v>120290</v>
      </c>
      <c r="F1796" s="129">
        <v>44379</v>
      </c>
      <c r="G1796" s="128">
        <v>1</v>
      </c>
      <c r="H1796" s="129">
        <v>44379</v>
      </c>
      <c r="I1796" s="108">
        <f t="shared" ref="I1796:I1813" si="86">E1796</f>
        <v>120290</v>
      </c>
      <c r="J1796" s="108">
        <f>IF(Таблица97[[#This Row],[НК]]=1,Таблица97[[#This Row],[Продажа]],"")</f>
        <v>120290</v>
      </c>
      <c r="M1796" s="108">
        <v>76737</v>
      </c>
      <c r="N1796" s="108">
        <f>Таблица97[[#This Row],[Продажа]]-Таблица97[[#This Row],[Закупка]]</f>
        <v>43553</v>
      </c>
      <c r="O1796" s="108">
        <f>IF(Таблица97[[#This Row],[НК]]=1,Таблица97[[#This Row],[Маржа]],"")</f>
        <v>43553</v>
      </c>
    </row>
    <row r="1797" spans="1:15" ht="20.100000000000001" customHeight="1" x14ac:dyDescent="0.25">
      <c r="A1797" s="2">
        <v>657</v>
      </c>
      <c r="B1797" s="2" t="str">
        <f>TEXT(Таблица97[[#This Row],[Дата]],"ГГ")&amp;RIGHT("000"&amp;Таблица97[[#This Row],[Номер]],4)</f>
        <v>210657</v>
      </c>
      <c r="C1797" s="129">
        <v>44382</v>
      </c>
      <c r="D1797" s="2" t="s">
        <v>500</v>
      </c>
      <c r="E1797" s="108">
        <v>116980</v>
      </c>
      <c r="F1797" s="129">
        <v>44382</v>
      </c>
      <c r="G1797" s="128">
        <v>1</v>
      </c>
      <c r="H1797" s="129">
        <v>44382</v>
      </c>
      <c r="I1797" s="108">
        <f t="shared" si="86"/>
        <v>116980</v>
      </c>
      <c r="J1797" s="108">
        <f>IF(Таблица97[[#This Row],[НК]]=1,Таблица97[[#This Row],[Продажа]],"")</f>
        <v>116980</v>
      </c>
      <c r="M1797" s="108">
        <v>77807.38</v>
      </c>
      <c r="N1797" s="108">
        <f>Таблица97[[#This Row],[Продажа]]-Таблица97[[#This Row],[Закупка]]</f>
        <v>39172.619999999995</v>
      </c>
      <c r="O1797" s="108">
        <f>IF(Таблица97[[#This Row],[НК]]=1,Таблица97[[#This Row],[Маржа]],"")</f>
        <v>39172.619999999995</v>
      </c>
    </row>
    <row r="1798" spans="1:15" ht="20.100000000000001" customHeight="1" x14ac:dyDescent="0.25">
      <c r="A1798" s="2">
        <v>629</v>
      </c>
      <c r="B1798" s="2" t="str">
        <f>TEXT(Таблица97[[#This Row],[Дата]],"ГГ")&amp;RIGHT("000"&amp;Таблица97[[#This Row],[Номер]],4)</f>
        <v>210629</v>
      </c>
      <c r="C1798" s="129">
        <v>44375</v>
      </c>
      <c r="D1798" s="2" t="s">
        <v>403</v>
      </c>
      <c r="E1798" s="108">
        <v>7175</v>
      </c>
      <c r="F1798" s="129">
        <v>44382</v>
      </c>
      <c r="H1798" s="129">
        <v>44383</v>
      </c>
      <c r="I1798" s="108">
        <f t="shared" si="86"/>
        <v>7175</v>
      </c>
      <c r="J1798" s="108" t="str">
        <f>IF(Таблица97[[#This Row],[НК]]=1,Таблица97[[#This Row],[Продажа]],"")</f>
        <v/>
      </c>
      <c r="M1798" s="108">
        <v>5461.43</v>
      </c>
      <c r="N1798" s="108">
        <f>Таблица97[[#This Row],[Продажа]]-Таблица97[[#This Row],[Закупка]]</f>
        <v>1713.5699999999997</v>
      </c>
      <c r="O1798" s="108" t="str">
        <f>IF(Таблица97[[#This Row],[НК]]=1,Таблица97[[#This Row],[Маржа]],"")</f>
        <v/>
      </c>
    </row>
    <row r="1799" spans="1:15" ht="20.100000000000001" customHeight="1" x14ac:dyDescent="0.25">
      <c r="A1799" s="2">
        <v>675</v>
      </c>
      <c r="B1799" s="2" t="str">
        <f>TEXT(Таблица97[[#This Row],[Дата]],"ГГ")&amp;RIGHT("000"&amp;Таблица97[[#This Row],[Номер]],4)</f>
        <v>210675</v>
      </c>
      <c r="C1799" s="129">
        <v>44382</v>
      </c>
      <c r="D1799" s="2" t="s">
        <v>270</v>
      </c>
      <c r="E1799" s="108">
        <v>18990</v>
      </c>
      <c r="F1799" s="129">
        <v>44383</v>
      </c>
      <c r="H1799" s="129">
        <v>44383</v>
      </c>
      <c r="I1799" s="108">
        <f t="shared" si="86"/>
        <v>18990</v>
      </c>
      <c r="J1799" s="108" t="str">
        <f>IF(Таблица97[[#This Row],[НК]]=1,Таблица97[[#This Row],[Продажа]],"")</f>
        <v/>
      </c>
      <c r="M1799" s="108">
        <v>14052</v>
      </c>
      <c r="N1799" s="108">
        <f>Таблица97[[#This Row],[Продажа]]-Таблица97[[#This Row],[Закупка]]</f>
        <v>4938</v>
      </c>
      <c r="O1799" s="108" t="str">
        <f>IF(Таблица97[[#This Row],[НК]]=1,Таблица97[[#This Row],[Маржа]],"")</f>
        <v/>
      </c>
    </row>
    <row r="1800" spans="1:15" ht="20.100000000000001" customHeight="1" x14ac:dyDescent="0.25">
      <c r="A1800" s="2">
        <v>682</v>
      </c>
      <c r="B1800" s="2" t="str">
        <f>TEXT(Таблица97[[#This Row],[Дата]],"ГГ")&amp;RIGHT("000"&amp;Таблица97[[#This Row],[Номер]],4)</f>
        <v>210682</v>
      </c>
      <c r="C1800" s="129">
        <v>44383</v>
      </c>
      <c r="D1800" s="2" t="s">
        <v>496</v>
      </c>
      <c r="E1800" s="108">
        <v>2500</v>
      </c>
      <c r="F1800" s="129">
        <v>44383</v>
      </c>
      <c r="H1800" s="129">
        <v>44384</v>
      </c>
      <c r="I1800" s="108">
        <f t="shared" si="86"/>
        <v>2500</v>
      </c>
      <c r="J1800" s="108" t="str">
        <f>IF(Таблица97[[#This Row],[НК]]=1,Таблица97[[#This Row],[Продажа]],"")</f>
        <v/>
      </c>
      <c r="M1800" s="108">
        <v>1330.31</v>
      </c>
      <c r="N1800" s="108">
        <f>Таблица97[[#This Row],[Продажа]]-Таблица97[[#This Row],[Закупка]]</f>
        <v>1169.69</v>
      </c>
      <c r="O1800" s="108" t="str">
        <f>IF(Таблица97[[#This Row],[НК]]=1,Таблица97[[#This Row],[Маржа]],"")</f>
        <v/>
      </c>
    </row>
    <row r="1801" spans="1:15" ht="20.100000000000001" customHeight="1" x14ac:dyDescent="0.25">
      <c r="A1801" s="2">
        <v>656</v>
      </c>
      <c r="B1801" s="2" t="str">
        <f>TEXT(Таблица97[[#This Row],[Дата]],"ГГ")&amp;RIGHT("000"&amp;Таблица97[[#This Row],[Номер]],4)</f>
        <v>210656</v>
      </c>
      <c r="C1801" s="129">
        <v>44379</v>
      </c>
      <c r="D1801" s="2" t="s">
        <v>270</v>
      </c>
      <c r="E1801" s="108">
        <v>6032</v>
      </c>
      <c r="F1801" s="129">
        <v>44384</v>
      </c>
      <c r="H1801" s="129">
        <v>44379</v>
      </c>
      <c r="I1801" s="108">
        <f t="shared" si="86"/>
        <v>6032</v>
      </c>
      <c r="J1801" s="108" t="str">
        <f>IF(Таблица97[[#This Row],[НК]]=1,Таблица97[[#This Row],[Продажа]],"")</f>
        <v/>
      </c>
      <c r="M1801" s="108">
        <v>4704</v>
      </c>
      <c r="N1801" s="108">
        <f>Таблица97[[#This Row],[Продажа]]-Таблица97[[#This Row],[Закупка]]</f>
        <v>1328</v>
      </c>
      <c r="O1801" s="108" t="str">
        <f>IF(Таблица97[[#This Row],[НК]]=1,Таблица97[[#This Row],[Маржа]],"")</f>
        <v/>
      </c>
    </row>
    <row r="1802" spans="1:15" ht="20.100000000000001" customHeight="1" x14ac:dyDescent="0.25">
      <c r="A1802" s="2">
        <v>659</v>
      </c>
      <c r="B1802" s="2" t="str">
        <f>TEXT(Таблица97[[#This Row],[Дата]],"ГГ")&amp;RIGHT("000"&amp;Таблица97[[#This Row],[Номер]],4)</f>
        <v>210659</v>
      </c>
      <c r="C1802" s="129">
        <v>44382</v>
      </c>
      <c r="D1802" s="2" t="s">
        <v>474</v>
      </c>
      <c r="E1802" s="108">
        <v>14490</v>
      </c>
      <c r="F1802" s="129">
        <v>44384</v>
      </c>
      <c r="H1802" s="129">
        <v>44399</v>
      </c>
      <c r="I1802" s="108">
        <f t="shared" si="86"/>
        <v>14490</v>
      </c>
      <c r="J1802" s="108" t="str">
        <f>IF(Таблица97[[#This Row],[НК]]=1,Таблица97[[#This Row],[Продажа]],"")</f>
        <v/>
      </c>
      <c r="M1802" s="108">
        <v>10650</v>
      </c>
      <c r="N1802" s="108">
        <f>Таблица97[[#This Row],[Продажа]]-Таблица97[[#This Row],[Закупка]]</f>
        <v>3840</v>
      </c>
      <c r="O1802" s="108" t="str">
        <f>IF(Таблица97[[#This Row],[НК]]=1,Таблица97[[#This Row],[Маржа]],"")</f>
        <v/>
      </c>
    </row>
    <row r="1803" spans="1:15" ht="20.100000000000001" customHeight="1" x14ac:dyDescent="0.25">
      <c r="A1803" s="2">
        <v>696</v>
      </c>
      <c r="B1803" s="2" t="str">
        <f>TEXT(Таблица97[[#This Row],[Дата]],"ГГ")&amp;RIGHT("000"&amp;Таблица97[[#This Row],[Номер]],4)</f>
        <v>210696</v>
      </c>
      <c r="C1803" s="129">
        <v>44384</v>
      </c>
      <c r="D1803" s="2" t="s">
        <v>149</v>
      </c>
      <c r="E1803" s="108">
        <v>9348</v>
      </c>
      <c r="F1803" s="129">
        <v>44385</v>
      </c>
      <c r="H1803" s="129">
        <v>44386</v>
      </c>
      <c r="I1803" s="108">
        <f t="shared" si="86"/>
        <v>9348</v>
      </c>
      <c r="J1803" s="108" t="str">
        <f>IF(Таблица97[[#This Row],[НК]]=1,Таблица97[[#This Row],[Продажа]],"")</f>
        <v/>
      </c>
      <c r="M1803" s="108">
        <v>7290</v>
      </c>
      <c r="N1803" s="108">
        <f>Таблица97[[#This Row],[Продажа]]-Таблица97[[#This Row],[Закупка]]</f>
        <v>2058</v>
      </c>
      <c r="O1803" s="108" t="str">
        <f>IF(Таблица97[[#This Row],[НК]]=1,Таблица97[[#This Row],[Маржа]],"")</f>
        <v/>
      </c>
    </row>
    <row r="1804" spans="1:15" ht="20.100000000000001" customHeight="1" x14ac:dyDescent="0.25">
      <c r="A1804" s="2">
        <v>618</v>
      </c>
      <c r="B1804" s="2" t="str">
        <f>TEXT(Таблица97[[#This Row],[Дата]],"ГГ")&amp;RIGHT("000"&amp;Таблица97[[#This Row],[Номер]],4)</f>
        <v>210618</v>
      </c>
      <c r="C1804" s="129">
        <v>44369</v>
      </c>
      <c r="D1804" s="2" t="s">
        <v>455</v>
      </c>
      <c r="E1804" s="108">
        <v>24149</v>
      </c>
      <c r="F1804" s="129">
        <v>44385</v>
      </c>
      <c r="H1804" s="129">
        <v>44399</v>
      </c>
      <c r="I1804" s="108">
        <f t="shared" si="86"/>
        <v>24149</v>
      </c>
      <c r="J1804" s="108" t="str">
        <f>IF(Таблица97[[#This Row],[НК]]=1,Таблица97[[#This Row],[Продажа]],"")</f>
        <v/>
      </c>
      <c r="L1804" s="108">
        <v>1200</v>
      </c>
      <c r="M1804" s="108">
        <v>14930</v>
      </c>
      <c r="N1804" s="108">
        <f>Таблица97[[#This Row],[Продажа]]-Таблица97[[#This Row],[Закупка]]</f>
        <v>9219</v>
      </c>
      <c r="O1804" s="108" t="str">
        <f>IF(Таблица97[[#This Row],[НК]]=1,Таблица97[[#This Row],[Маржа]],"")</f>
        <v/>
      </c>
    </row>
    <row r="1805" spans="1:15" ht="20.100000000000001" customHeight="1" x14ac:dyDescent="0.25">
      <c r="A1805" s="2">
        <v>710</v>
      </c>
      <c r="B1805" s="2" t="str">
        <f>TEXT(Таблица97[[#This Row],[Дата]],"ГГ")&amp;RIGHT("000"&amp;Таблица97[[#This Row],[Номер]],4)</f>
        <v>210710</v>
      </c>
      <c r="C1805" s="129">
        <v>44390</v>
      </c>
      <c r="D1805" s="2" t="s">
        <v>281</v>
      </c>
      <c r="E1805" s="108">
        <v>3537</v>
      </c>
      <c r="F1805" s="129">
        <v>44391</v>
      </c>
      <c r="H1805" s="129">
        <v>44392</v>
      </c>
      <c r="I1805" s="108">
        <f t="shared" si="86"/>
        <v>3537</v>
      </c>
      <c r="J1805" s="108" t="str">
        <f>IF(Таблица97[[#This Row],[НК]]=1,Таблица97[[#This Row],[Продажа]],"")</f>
        <v/>
      </c>
      <c r="M1805" s="108">
        <v>2714</v>
      </c>
      <c r="N1805" s="108">
        <f>Таблица97[[#This Row],[Продажа]]-Таблица97[[#This Row],[Закупка]]</f>
        <v>823</v>
      </c>
      <c r="O1805" s="108" t="str">
        <f>IF(Таблица97[[#This Row],[НК]]=1,Таблица97[[#This Row],[Маржа]],"")</f>
        <v/>
      </c>
    </row>
    <row r="1806" spans="1:15" ht="20.100000000000001" customHeight="1" x14ac:dyDescent="0.25">
      <c r="A1806" s="2">
        <v>622</v>
      </c>
      <c r="B1806" s="2" t="str">
        <f>TEXT(Таблица97[[#This Row],[Дата]],"ГГ")&amp;RIGHT("000"&amp;Таблица97[[#This Row],[Номер]],4)</f>
        <v>210622</v>
      </c>
      <c r="C1806" s="129">
        <v>44401</v>
      </c>
      <c r="D1806" s="2" t="s">
        <v>69</v>
      </c>
      <c r="E1806" s="108">
        <v>21357</v>
      </c>
      <c r="F1806" s="129">
        <v>44393</v>
      </c>
      <c r="H1806" s="129">
        <v>44412</v>
      </c>
      <c r="I1806" s="108">
        <f t="shared" si="86"/>
        <v>21357</v>
      </c>
      <c r="J1806" s="108" t="str">
        <f>IF(Таблица97[[#This Row],[НК]]=1,Таблица97[[#This Row],[Продажа]],"")</f>
        <v/>
      </c>
      <c r="M1806" s="108">
        <v>14410</v>
      </c>
      <c r="N1806" s="108">
        <f>Таблица97[[#This Row],[Продажа]]-Таблица97[[#This Row],[Закупка]]</f>
        <v>6947</v>
      </c>
      <c r="O1806" s="108" t="str">
        <f>IF(Таблица97[[#This Row],[НК]]=1,Таблица97[[#This Row],[Маржа]],"")</f>
        <v/>
      </c>
    </row>
    <row r="1807" spans="1:15" ht="20.100000000000001" customHeight="1" x14ac:dyDescent="0.25">
      <c r="A1807" s="2">
        <v>662</v>
      </c>
      <c r="B1807" s="2" t="str">
        <f>TEXT(Таблица97[[#This Row],[Дата]],"ГГ")&amp;RIGHT("000"&amp;Таблица97[[#This Row],[Номер]],4)</f>
        <v>210662</v>
      </c>
      <c r="C1807" s="129">
        <v>44382</v>
      </c>
      <c r="D1807" s="2" t="s">
        <v>467</v>
      </c>
      <c r="E1807" s="108">
        <v>6990</v>
      </c>
      <c r="F1807" s="129">
        <v>44393</v>
      </c>
      <c r="H1807" s="129">
        <v>44404</v>
      </c>
      <c r="I1807" s="108">
        <f t="shared" si="86"/>
        <v>6990</v>
      </c>
      <c r="J1807" s="108" t="str">
        <f>IF(Таблица97[[#This Row],[НК]]=1,Таблица97[[#This Row],[Продажа]],"")</f>
        <v/>
      </c>
      <c r="L1807" s="108">
        <v>600</v>
      </c>
      <c r="M1807" s="108">
        <v>3087.69</v>
      </c>
      <c r="N1807" s="108">
        <f>Таблица97[[#This Row],[Продажа]]-Таблица97[[#This Row],[Закупка]]</f>
        <v>3902.31</v>
      </c>
      <c r="O1807" s="108" t="str">
        <f>IF(Таблица97[[#This Row],[НК]]=1,Таблица97[[#This Row],[Маржа]],"")</f>
        <v/>
      </c>
    </row>
    <row r="1808" spans="1:15" ht="20.100000000000001" customHeight="1" x14ac:dyDescent="0.25">
      <c r="A1808" s="2">
        <v>592</v>
      </c>
      <c r="B1808" s="2" t="str">
        <f>TEXT(Таблица97[[#This Row],[Дата]],"ГГ")&amp;RIGHT("000"&amp;Таблица97[[#This Row],[Номер]],4)</f>
        <v>210592</v>
      </c>
      <c r="C1808" s="129">
        <v>44362</v>
      </c>
      <c r="D1808" s="2" t="s">
        <v>275</v>
      </c>
      <c r="E1808" s="108">
        <v>143169</v>
      </c>
      <c r="F1808" s="129">
        <v>44397</v>
      </c>
      <c r="H1808" s="129">
        <v>44376</v>
      </c>
      <c r="I1808" s="108">
        <f t="shared" si="86"/>
        <v>143169</v>
      </c>
      <c r="J1808" s="108" t="str">
        <f>IF(Таблица97[[#This Row],[НК]]=1,Таблица97[[#This Row],[Продажа]],"")</f>
        <v/>
      </c>
      <c r="M1808" s="108">
        <f>112584+1960</f>
        <v>114544</v>
      </c>
      <c r="N1808" s="108">
        <f>Таблица97[[#This Row],[Продажа]]-Таблица97[[#This Row],[Закупка]]</f>
        <v>28625</v>
      </c>
      <c r="O1808" s="108" t="str">
        <f>IF(Таблица97[[#This Row],[НК]]=1,Таблица97[[#This Row],[Маржа]],"")</f>
        <v/>
      </c>
    </row>
    <row r="1809" spans="1:15" ht="20.100000000000001" customHeight="1" x14ac:dyDescent="0.25">
      <c r="A1809" s="2">
        <v>185</v>
      </c>
      <c r="B1809" s="2" t="str">
        <f>TEXT(Таблица97[[#This Row],[Дата]],"ГГ")&amp;RIGHT("000"&amp;Таблица97[[#This Row],[Номер]],4)</f>
        <v>210185</v>
      </c>
      <c r="C1809" s="129">
        <v>44362</v>
      </c>
      <c r="D1809" s="2" t="s">
        <v>275</v>
      </c>
      <c r="E1809" s="108">
        <v>132040</v>
      </c>
      <c r="F1809" s="129">
        <v>44397</v>
      </c>
      <c r="H1809" s="129">
        <v>44369</v>
      </c>
      <c r="I1809" s="108">
        <f t="shared" si="86"/>
        <v>132040</v>
      </c>
      <c r="J1809" s="108" t="str">
        <f>IF(Таблица97[[#This Row],[НК]]=1,Таблица97[[#This Row],[Продажа]],"")</f>
        <v/>
      </c>
      <c r="M1809" s="108">
        <v>105812</v>
      </c>
      <c r="N1809" s="108">
        <f>Таблица97[[#This Row],[Продажа]]-Таблица97[[#This Row],[Закупка]]</f>
        <v>26228</v>
      </c>
      <c r="O1809" s="108" t="str">
        <f>IF(Таблица97[[#This Row],[НК]]=1,Таблица97[[#This Row],[Маржа]],"")</f>
        <v/>
      </c>
    </row>
    <row r="1810" spans="1:15" ht="20.100000000000001" customHeight="1" x14ac:dyDescent="0.25">
      <c r="A1810" s="2">
        <v>739</v>
      </c>
      <c r="B1810" s="2" t="str">
        <f>TEXT(Таблица97[[#This Row],[Дата]],"ГГ")&amp;RIGHT("000"&amp;Таблица97[[#This Row],[Номер]],4)</f>
        <v>210739</v>
      </c>
      <c r="C1810" s="129">
        <v>44398</v>
      </c>
      <c r="D1810" s="2" t="s">
        <v>51</v>
      </c>
      <c r="E1810" s="108">
        <v>65290</v>
      </c>
      <c r="F1810" s="129">
        <v>44399</v>
      </c>
      <c r="H1810" s="129">
        <v>44405</v>
      </c>
      <c r="I1810" s="108">
        <f t="shared" si="86"/>
        <v>65290</v>
      </c>
      <c r="J1810" s="108" t="str">
        <f>IF(Таблица97[[#This Row],[НК]]=1,Таблица97[[#This Row],[Продажа]],"")</f>
        <v/>
      </c>
      <c r="M1810" s="108">
        <v>48314</v>
      </c>
      <c r="N1810" s="108">
        <f>Таблица97[[#This Row],[Продажа]]-Таблица97[[#This Row],[Закупка]]</f>
        <v>16976</v>
      </c>
      <c r="O1810" s="108" t="str">
        <f>IF(Таблица97[[#This Row],[НК]]=1,Таблица97[[#This Row],[Маржа]],"")</f>
        <v/>
      </c>
    </row>
    <row r="1811" spans="1:15" ht="20.100000000000001" customHeight="1" x14ac:dyDescent="0.25">
      <c r="A1811" s="2">
        <v>701</v>
      </c>
      <c r="B1811" s="2" t="str">
        <f>TEXT(Таблица97[[#This Row],[Дата]],"ГГ")&amp;RIGHT("000"&amp;Таблица97[[#This Row],[Номер]],4)</f>
        <v>210701</v>
      </c>
      <c r="C1811" s="129">
        <v>44386</v>
      </c>
      <c r="D1811" s="2" t="s">
        <v>56</v>
      </c>
      <c r="E1811" s="108">
        <v>42361</v>
      </c>
      <c r="F1811" s="129">
        <v>44400</v>
      </c>
      <c r="H1811" s="129">
        <v>44392</v>
      </c>
      <c r="I1811" s="108">
        <f t="shared" si="86"/>
        <v>42361</v>
      </c>
      <c r="J1811" s="108" t="str">
        <f>IF(Таблица97[[#This Row],[НК]]=1,Таблица97[[#This Row],[Продажа]],"")</f>
        <v/>
      </c>
      <c r="M1811" s="108">
        <v>32134</v>
      </c>
      <c r="N1811" s="108">
        <f>Таблица97[[#This Row],[Продажа]]-Таблица97[[#This Row],[Закупка]]</f>
        <v>10227</v>
      </c>
      <c r="O1811" s="108" t="str">
        <f>IF(Таблица97[[#This Row],[НК]]=1,Таблица97[[#This Row],[Маржа]],"")</f>
        <v/>
      </c>
    </row>
    <row r="1812" spans="1:15" ht="20.100000000000001" customHeight="1" x14ac:dyDescent="0.25">
      <c r="A1812" s="2">
        <v>605</v>
      </c>
      <c r="B1812" s="2" t="str">
        <f>TEXT(Таблица97[[#This Row],[Дата]],"ГГ")&amp;RIGHT("000"&amp;Таблица97[[#This Row],[Номер]],4)</f>
        <v>210605</v>
      </c>
      <c r="C1812" s="129">
        <v>44397</v>
      </c>
      <c r="D1812" s="2" t="s">
        <v>494</v>
      </c>
      <c r="E1812" s="108">
        <v>69990</v>
      </c>
      <c r="F1812" s="129">
        <v>44405</v>
      </c>
      <c r="H1812" s="129">
        <v>44427</v>
      </c>
      <c r="I1812" s="108">
        <f t="shared" si="86"/>
        <v>69990</v>
      </c>
      <c r="J1812" s="108" t="str">
        <f>IF(Таблица97[[#This Row],[НК]]=1,Таблица97[[#This Row],[Продажа]],"")</f>
        <v/>
      </c>
      <c r="M1812" s="108">
        <v>51792.6</v>
      </c>
      <c r="N1812" s="108">
        <f>Таблица97[[#This Row],[Продажа]]-Таблица97[[#This Row],[Закупка]]</f>
        <v>18197.400000000001</v>
      </c>
      <c r="O1812" s="108" t="str">
        <f>IF(Таблица97[[#This Row],[НК]]=1,Таблица97[[#This Row],[Маржа]],"")</f>
        <v/>
      </c>
    </row>
    <row r="1813" spans="1:15" ht="20.100000000000001" customHeight="1" x14ac:dyDescent="0.25">
      <c r="A1813" s="2">
        <v>598</v>
      </c>
      <c r="B1813" s="2" t="str">
        <f>TEXT(Таблица97[[#This Row],[Дата]],"ГГ")&amp;RIGHT("000"&amp;Таблица97[[#This Row],[Номер]],4)</f>
        <v>210598</v>
      </c>
      <c r="C1813" s="129">
        <v>44363</v>
      </c>
      <c r="D1813" s="2" t="s">
        <v>66</v>
      </c>
      <c r="E1813" s="108">
        <v>2780</v>
      </c>
      <c r="F1813" s="129">
        <v>44406</v>
      </c>
      <c r="H1813" s="129">
        <v>44369</v>
      </c>
      <c r="I1813" s="108">
        <f t="shared" si="86"/>
        <v>2780</v>
      </c>
      <c r="J1813" s="108" t="str">
        <f>IF(Таблица97[[#This Row],[НК]]=1,Таблица97[[#This Row],[Продажа]],"")</f>
        <v/>
      </c>
      <c r="M1813" s="108">
        <v>1960</v>
      </c>
      <c r="N1813" s="108">
        <f>Таблица97[[#This Row],[Продажа]]-Таблица97[[#This Row],[Закупка]]</f>
        <v>820</v>
      </c>
      <c r="O1813" s="108" t="str">
        <f>IF(Таблица97[[#This Row],[НК]]=1,Таблица97[[#This Row],[Маржа]],"")</f>
        <v/>
      </c>
    </row>
    <row r="1814" spans="1:15" ht="20.100000000000001" customHeight="1" x14ac:dyDescent="0.25">
      <c r="A1814" s="2">
        <v>785</v>
      </c>
      <c r="B1814" s="2" t="str">
        <f>TEXT(Таблица97[[#This Row],[Дата]],"ГГ")&amp;RIGHT("000"&amp;Таблица97[[#This Row],[Номер]],4)</f>
        <v>210785</v>
      </c>
      <c r="C1814" s="129">
        <v>44410</v>
      </c>
      <c r="D1814" s="2" t="s">
        <v>469</v>
      </c>
      <c r="E1814" s="108">
        <v>13990</v>
      </c>
      <c r="F1814" s="129">
        <v>44411</v>
      </c>
      <c r="H1814" s="129">
        <v>44425</v>
      </c>
      <c r="I1814" s="108">
        <f>E1814</f>
        <v>13990</v>
      </c>
      <c r="J1814" s="108" t="str">
        <f>IF(Таблица97[[#This Row],[НК]]=1,Таблица97[[#This Row],[Продажа]],"")</f>
        <v/>
      </c>
      <c r="M1814" s="108">
        <v>10283</v>
      </c>
      <c r="N1814" s="108">
        <f>Таблица97[[#This Row],[Продажа]]-Таблица97[[#This Row],[Закупка]]</f>
        <v>3707</v>
      </c>
      <c r="O1814" s="108" t="str">
        <f>IF(Таблица97[[#This Row],[НК]]=1,Таблица97[[#This Row],[Маржа]],"")</f>
        <v/>
      </c>
    </row>
    <row r="1815" spans="1:15" ht="20.100000000000001" customHeight="1" x14ac:dyDescent="0.25">
      <c r="A1815" s="2">
        <v>788</v>
      </c>
      <c r="B1815" s="2" t="str">
        <f>TEXT(Таблица97[[#This Row],[Дата]],"ГГ")&amp;RIGHT("000"&amp;Таблица97[[#This Row],[Номер]],4)</f>
        <v>210788</v>
      </c>
      <c r="C1815" s="129">
        <v>44411</v>
      </c>
      <c r="D1815" s="2" t="s">
        <v>251</v>
      </c>
      <c r="E1815" s="108">
        <v>3250</v>
      </c>
      <c r="F1815" s="129">
        <v>44411</v>
      </c>
      <c r="H1815" s="129">
        <v>44413</v>
      </c>
      <c r="I1815" s="108">
        <f>E1815</f>
        <v>3250</v>
      </c>
      <c r="J1815" s="108" t="str">
        <f>IF(Таблица97[[#This Row],[НК]]=1,Таблица97[[#This Row],[Продажа]],"")</f>
        <v/>
      </c>
      <c r="M1815" s="108">
        <v>2861</v>
      </c>
      <c r="N1815" s="108">
        <f>Таблица97[[#This Row],[Продажа]]-Таблица97[[#This Row],[Закупка]]</f>
        <v>389</v>
      </c>
      <c r="O1815" s="108" t="str">
        <f>IF(Таблица97[[#This Row],[НК]]=1,Таблица97[[#This Row],[Маржа]],"")</f>
        <v/>
      </c>
    </row>
    <row r="1816" spans="1:15" ht="20.100000000000001" customHeight="1" x14ac:dyDescent="0.25">
      <c r="A1816" s="2">
        <v>783</v>
      </c>
      <c r="B1816" s="2" t="str">
        <f>TEXT(Таблица97[[#This Row],[Дата]],"ГГ")&amp;RIGHT("000"&amp;Таблица97[[#This Row],[Номер]],4)</f>
        <v>210783</v>
      </c>
      <c r="C1816" s="129">
        <v>44407</v>
      </c>
      <c r="D1816" s="2" t="s">
        <v>258</v>
      </c>
      <c r="E1816" s="108">
        <v>21357</v>
      </c>
      <c r="F1816" s="129">
        <v>44412</v>
      </c>
      <c r="H1816" s="129">
        <v>44426</v>
      </c>
      <c r="I1816" s="108">
        <f>E1816</f>
        <v>21357</v>
      </c>
      <c r="J1816" s="108" t="str">
        <f>IF(Таблица97[[#This Row],[НК]]=1,Таблица97[[#This Row],[Продажа]],"")</f>
        <v/>
      </c>
      <c r="M1816" s="108">
        <v>14410</v>
      </c>
      <c r="N1816" s="108">
        <f>Таблица97[[#This Row],[Продажа]]-Таблица97[[#This Row],[Закупка]]</f>
        <v>6947</v>
      </c>
      <c r="O1816" s="108" t="str">
        <f>IF(Таблица97[[#This Row],[НК]]=1,Таблица97[[#This Row],[Маржа]],"")</f>
        <v/>
      </c>
    </row>
    <row r="1817" spans="1:15" ht="20.100000000000001" customHeight="1" x14ac:dyDescent="0.25">
      <c r="A1817" s="2">
        <v>790</v>
      </c>
      <c r="B1817" s="2" t="str">
        <f>TEXT(Таблица97[[#This Row],[Дата]],"ГГ")&amp;RIGHT("000"&amp;Таблица97[[#This Row],[Номер]],4)</f>
        <v>210790</v>
      </c>
      <c r="C1817" s="129">
        <v>44411</v>
      </c>
      <c r="D1817" s="2" t="s">
        <v>372</v>
      </c>
      <c r="E1817" s="108">
        <v>3459</v>
      </c>
      <c r="F1817" s="129">
        <v>44412</v>
      </c>
      <c r="H1817" s="129">
        <v>44413</v>
      </c>
      <c r="I1817" s="108">
        <f>E1817</f>
        <v>3459</v>
      </c>
      <c r="J1817" s="108" t="str">
        <f>IF(Таблица97[[#This Row],[НК]]=1,Таблица97[[#This Row],[Продажа]],"")</f>
        <v/>
      </c>
      <c r="M1817" s="108">
        <v>2610.81</v>
      </c>
      <c r="N1817" s="108">
        <f>Таблица97[[#This Row],[Продажа]]-Таблица97[[#This Row],[Закупка]]</f>
        <v>848.19</v>
      </c>
      <c r="O1817" s="108" t="str">
        <f>IF(Таблица97[[#This Row],[НК]]=1,Таблица97[[#This Row],[Маржа]],"")</f>
        <v/>
      </c>
    </row>
    <row r="1818" spans="1:15" ht="20.100000000000001" customHeight="1" x14ac:dyDescent="0.25">
      <c r="A1818" s="2">
        <v>801</v>
      </c>
      <c r="B1818" s="2" t="str">
        <f>TEXT(Таблица97[[#This Row],[Дата]],"ГГ")&amp;RIGHT("000"&amp;Таблица97[[#This Row],[Номер]],4)</f>
        <v>210801</v>
      </c>
      <c r="C1818" s="129">
        <v>44412</v>
      </c>
      <c r="D1818" s="2" t="s">
        <v>149</v>
      </c>
      <c r="E1818" s="108">
        <v>3016</v>
      </c>
      <c r="F1818" s="129">
        <v>44413</v>
      </c>
      <c r="H1818" s="129">
        <v>44413</v>
      </c>
      <c r="I1818" s="108">
        <f>E1818</f>
        <v>3016</v>
      </c>
      <c r="J1818" s="108" t="str">
        <f>IF(Таблица97[[#This Row],[НК]]=1,Таблица97[[#This Row],[Продажа]],"")</f>
        <v/>
      </c>
      <c r="M1818" s="108">
        <v>2352</v>
      </c>
      <c r="N1818" s="108">
        <f>Таблица97[[#This Row],[Продажа]]-Таблица97[[#This Row],[Закупка]]</f>
        <v>664</v>
      </c>
      <c r="O1818" s="108" t="str">
        <f>IF(Таблица97[[#This Row],[НК]]=1,Таблица97[[#This Row],[Маржа]],"")</f>
        <v/>
      </c>
    </row>
    <row r="1819" spans="1:15" ht="20.100000000000001" customHeight="1" x14ac:dyDescent="0.25">
      <c r="A1819" s="2">
        <v>736</v>
      </c>
      <c r="B1819" s="2" t="str">
        <f>TEXT(Таблица97[[#This Row],[Дата]],"ГГ")&amp;RIGHT("000"&amp;Таблица97[[#This Row],[Номер]],4)</f>
        <v>210736</v>
      </c>
      <c r="C1819" s="129">
        <v>44398</v>
      </c>
      <c r="D1819" s="2" t="s">
        <v>60</v>
      </c>
      <c r="E1819" s="108">
        <v>65324</v>
      </c>
      <c r="F1819" s="129">
        <v>44414</v>
      </c>
      <c r="H1819" s="129">
        <v>44399</v>
      </c>
      <c r="I1819" s="108">
        <v>32662</v>
      </c>
      <c r="J1819" s="108" t="str">
        <f>IF(Таблица97[[#This Row],[НК]]=1,Таблица97[[#This Row],[Продажа]],"")</f>
        <v/>
      </c>
      <c r="M1819" s="108">
        <v>19184</v>
      </c>
      <c r="N1819" s="108">
        <f>Таблица97[[#This Row],[Продажа]]-Таблица97[[#This Row],[Закупка]]</f>
        <v>13478</v>
      </c>
      <c r="O1819" s="108" t="str">
        <f>IF(Таблица97[[#This Row],[НК]]=1,Таблица97[[#This Row],[Маржа]],"")</f>
        <v/>
      </c>
    </row>
    <row r="1820" spans="1:15" ht="20.100000000000001" customHeight="1" x14ac:dyDescent="0.25">
      <c r="A1820" s="2">
        <v>762</v>
      </c>
      <c r="B1820" s="2" t="str">
        <f>TEXT(Таблица97[[#This Row],[Дата]],"ГГ")&amp;RIGHT("000"&amp;Таблица97[[#This Row],[Номер]],4)</f>
        <v>210762</v>
      </c>
      <c r="C1820" s="129">
        <v>44403</v>
      </c>
      <c r="D1820" s="2" t="s">
        <v>13</v>
      </c>
      <c r="E1820" s="108">
        <v>6918</v>
      </c>
      <c r="F1820" s="129">
        <v>44418</v>
      </c>
      <c r="H1820" s="129">
        <v>44405</v>
      </c>
      <c r="I1820" s="108">
        <f t="shared" ref="I1820:I1826" si="87">E1820</f>
        <v>6918</v>
      </c>
      <c r="J1820" s="108" t="str">
        <f>IF(Таблица97[[#This Row],[НК]]=1,Таблица97[[#This Row],[Продажа]],"")</f>
        <v/>
      </c>
      <c r="M1820" s="108">
        <v>5226</v>
      </c>
      <c r="N1820" s="108">
        <f>Таблица97[[#This Row],[Продажа]]-Таблица97[[#This Row],[Закупка]]</f>
        <v>1692</v>
      </c>
      <c r="O1820" s="108" t="str">
        <f>IF(Таблица97[[#This Row],[НК]]=1,Таблица97[[#This Row],[Маржа]],"")</f>
        <v/>
      </c>
    </row>
    <row r="1821" spans="1:15" ht="20.100000000000001" customHeight="1" x14ac:dyDescent="0.25">
      <c r="A1821" s="2">
        <v>786</v>
      </c>
      <c r="B1821" s="2" t="str">
        <f>TEXT(Таблица97[[#This Row],[Дата]],"ГГ")&amp;RIGHT("000"&amp;Таблица97[[#This Row],[Номер]],4)</f>
        <v>210786</v>
      </c>
      <c r="C1821" s="129">
        <v>44410</v>
      </c>
      <c r="D1821" s="2" t="s">
        <v>228</v>
      </c>
      <c r="E1821" s="108">
        <v>11180</v>
      </c>
      <c r="F1821" s="129">
        <v>44418</v>
      </c>
      <c r="H1821" s="129">
        <v>44420</v>
      </c>
      <c r="I1821" s="108">
        <f t="shared" si="87"/>
        <v>11180</v>
      </c>
      <c r="J1821" s="108" t="str">
        <f>IF(Таблица97[[#This Row],[НК]]=1,Таблица97[[#This Row],[Продажа]],"")</f>
        <v/>
      </c>
      <c r="M1821" s="108">
        <v>8720</v>
      </c>
      <c r="N1821" s="108">
        <f>Таблица97[[#This Row],[Продажа]]-Таблица97[[#This Row],[Закупка]]</f>
        <v>2460</v>
      </c>
      <c r="O1821" s="108" t="str">
        <f>IF(Таблица97[[#This Row],[НК]]=1,Таблица97[[#This Row],[Маржа]],"")</f>
        <v/>
      </c>
    </row>
    <row r="1822" spans="1:15" ht="20.100000000000001" customHeight="1" x14ac:dyDescent="0.25">
      <c r="A1822" s="2">
        <v>722</v>
      </c>
      <c r="B1822" s="2" t="str">
        <f>TEXT(Таблица97[[#This Row],[Дата]],"ГГ")&amp;RIGHT("000"&amp;Таблица97[[#This Row],[Номер]],4)</f>
        <v>210722</v>
      </c>
      <c r="C1822" s="129">
        <v>44392</v>
      </c>
      <c r="D1822" s="2" t="s">
        <v>501</v>
      </c>
      <c r="E1822" s="108">
        <v>25490</v>
      </c>
      <c r="F1822" s="129">
        <v>44418</v>
      </c>
      <c r="G1822" s="128">
        <v>1</v>
      </c>
      <c r="H1822" s="129">
        <v>44420</v>
      </c>
      <c r="I1822" s="108">
        <f t="shared" si="87"/>
        <v>25490</v>
      </c>
      <c r="J1822" s="108">
        <f>IF(Таблица97[[#This Row],[НК]]=1,Таблица97[[#This Row],[Продажа]],"")</f>
        <v>25490</v>
      </c>
      <c r="M1822" s="108">
        <v>18735</v>
      </c>
      <c r="N1822" s="108">
        <f>Таблица97[[#This Row],[Продажа]]-Таблица97[[#This Row],[Закупка]]</f>
        <v>6755</v>
      </c>
      <c r="O1822" s="108">
        <f>IF(Таблица97[[#This Row],[НК]]=1,Таблица97[[#This Row],[Маржа]],"")</f>
        <v>6755</v>
      </c>
    </row>
    <row r="1823" spans="1:15" ht="20.100000000000001" customHeight="1" x14ac:dyDescent="0.25">
      <c r="A1823" s="2">
        <v>837</v>
      </c>
      <c r="B1823" s="2" t="str">
        <f>TEXT(Таблица97[[#This Row],[Дата]],"ГГ")&amp;RIGHT("000"&amp;Таблица97[[#This Row],[Номер]],4)</f>
        <v>210837</v>
      </c>
      <c r="C1823" s="129">
        <v>44419</v>
      </c>
      <c r="D1823" s="2" t="s">
        <v>179</v>
      </c>
      <c r="E1823" s="108">
        <v>11290</v>
      </c>
      <c r="F1823" s="129">
        <v>44419</v>
      </c>
      <c r="H1823" s="129">
        <v>44419</v>
      </c>
      <c r="I1823" s="108">
        <f t="shared" si="87"/>
        <v>11290</v>
      </c>
      <c r="J1823" s="108" t="str">
        <f>IF(Таблица97[[#This Row],[НК]]=1,Таблица97[[#This Row],[Продажа]],"")</f>
        <v/>
      </c>
      <c r="M1823" s="108">
        <v>8298</v>
      </c>
      <c r="N1823" s="108">
        <f>Таблица97[[#This Row],[Продажа]]-Таблица97[[#This Row],[Закупка]]</f>
        <v>2992</v>
      </c>
      <c r="O1823" s="108" t="str">
        <f>IF(Таблица97[[#This Row],[НК]]=1,Таблица97[[#This Row],[Маржа]],"")</f>
        <v/>
      </c>
    </row>
    <row r="1824" spans="1:15" ht="20.100000000000001" customHeight="1" x14ac:dyDescent="0.25">
      <c r="A1824" s="2">
        <v>773</v>
      </c>
      <c r="B1824" s="2" t="str">
        <f>TEXT(Таблица97[[#This Row],[Дата]],"ГГ")&amp;RIGHT("000"&amp;Таблица97[[#This Row],[Номер]],4)</f>
        <v>210773</v>
      </c>
      <c r="C1824" s="129">
        <v>44405</v>
      </c>
      <c r="D1824" s="2" t="s">
        <v>11</v>
      </c>
      <c r="E1824" s="108">
        <v>3900</v>
      </c>
      <c r="F1824" s="129">
        <v>44419</v>
      </c>
      <c r="H1824" s="129">
        <v>44440</v>
      </c>
      <c r="I1824" s="108">
        <f t="shared" si="87"/>
        <v>3900</v>
      </c>
      <c r="J1824" s="108" t="str">
        <f>IF(Таблица97[[#This Row],[НК]]=1,Таблица97[[#This Row],[Продажа]],"")</f>
        <v/>
      </c>
      <c r="M1824" s="108">
        <v>3042</v>
      </c>
      <c r="N1824" s="108">
        <f>Таблица97[[#This Row],[Продажа]]-Таблица97[[#This Row],[Закупка]]</f>
        <v>858</v>
      </c>
      <c r="O1824" s="108" t="str">
        <f>IF(Таблица97[[#This Row],[НК]]=1,Таблица97[[#This Row],[Маржа]],"")</f>
        <v/>
      </c>
    </row>
    <row r="1825" spans="1:15" ht="20.100000000000001" customHeight="1" x14ac:dyDescent="0.25">
      <c r="A1825" s="2">
        <v>822</v>
      </c>
      <c r="B1825" s="2" t="str">
        <f>TEXT(Таблица97[[#This Row],[Дата]],"ГГ")&amp;RIGHT("000"&amp;Таблица97[[#This Row],[Номер]],4)</f>
        <v>210822</v>
      </c>
      <c r="C1825" s="129">
        <v>44414</v>
      </c>
      <c r="D1825" s="2" t="s">
        <v>404</v>
      </c>
      <c r="E1825" s="108">
        <v>4496</v>
      </c>
      <c r="F1825" s="129">
        <v>44420</v>
      </c>
      <c r="H1825" s="129">
        <v>44420</v>
      </c>
      <c r="I1825" s="108">
        <f t="shared" si="87"/>
        <v>4496</v>
      </c>
      <c r="J1825" s="108" t="str">
        <f>IF(Таблица97[[#This Row],[НК]]=1,Таблица97[[#This Row],[Продажа]],"")</f>
        <v/>
      </c>
      <c r="M1825" s="108">
        <v>3234.36</v>
      </c>
      <c r="N1825" s="108">
        <f>Таблица97[[#This Row],[Продажа]]-Таблица97[[#This Row],[Закупка]]</f>
        <v>1261.6399999999999</v>
      </c>
      <c r="O1825" s="108" t="str">
        <f>IF(Таблица97[[#This Row],[НК]]=1,Таблица97[[#This Row],[Маржа]],"")</f>
        <v/>
      </c>
    </row>
    <row r="1826" spans="1:15" ht="20.100000000000001" customHeight="1" x14ac:dyDescent="0.25">
      <c r="A1826" s="2">
        <v>838</v>
      </c>
      <c r="B1826" s="2" t="str">
        <f>TEXT(Таблица97[[#This Row],[Дата]],"ГГ")&amp;RIGHT("000"&amp;Таблица97[[#This Row],[Номер]],4)</f>
        <v>210838</v>
      </c>
      <c r="C1826" s="129">
        <v>44419</v>
      </c>
      <c r="D1826" s="2" t="s">
        <v>71</v>
      </c>
      <c r="E1826" s="108">
        <v>2126</v>
      </c>
      <c r="F1826" s="129">
        <v>44421</v>
      </c>
      <c r="H1826" s="129">
        <v>44424</v>
      </c>
      <c r="I1826" s="108">
        <f t="shared" si="87"/>
        <v>2126</v>
      </c>
      <c r="J1826" s="108" t="str">
        <f>IF(Таблица97[[#This Row],[НК]]=1,Таблица97[[#This Row],[Продажа]],"")</f>
        <v/>
      </c>
      <c r="M1826" s="108">
        <v>1613</v>
      </c>
      <c r="N1826" s="108">
        <f>Таблица97[[#This Row],[Продажа]]-Таблица97[[#This Row],[Закупка]]</f>
        <v>513</v>
      </c>
      <c r="O1826" s="108" t="str">
        <f>IF(Таблица97[[#This Row],[НК]]=1,Таблица97[[#This Row],[Маржа]],"")</f>
        <v/>
      </c>
    </row>
    <row r="1827" spans="1:15" ht="20.100000000000001" customHeight="1" x14ac:dyDescent="0.25">
      <c r="A1827" s="2">
        <v>736</v>
      </c>
      <c r="B1827" s="2" t="str">
        <f>TEXT(Таблица97[[#This Row],[Дата]],"ГГ")&amp;RIGHT("000"&amp;Таблица97[[#This Row],[Номер]],4)</f>
        <v>210736</v>
      </c>
      <c r="C1827" s="129">
        <v>44398</v>
      </c>
      <c r="D1827" s="2" t="s">
        <v>60</v>
      </c>
      <c r="E1827" s="108">
        <v>65324</v>
      </c>
      <c r="F1827" s="129">
        <v>44424</v>
      </c>
      <c r="H1827" s="129">
        <v>44410</v>
      </c>
      <c r="I1827" s="108">
        <v>32662</v>
      </c>
      <c r="J1827" s="108" t="str">
        <f>IF(Таблица97[[#This Row],[НК]]=1,Таблица97[[#This Row],[Продажа]],"")</f>
        <v/>
      </c>
      <c r="M1827" s="108">
        <v>25476</v>
      </c>
      <c r="N1827" s="108">
        <f>Таблица97[[#This Row],[Продажа]]-Таблица97[[#This Row],[Закупка]]</f>
        <v>7186</v>
      </c>
      <c r="O1827" s="108" t="str">
        <f>IF(Таблица97[[#This Row],[НК]]=1,Таблица97[[#This Row],[Маржа]],"")</f>
        <v/>
      </c>
    </row>
    <row r="1828" spans="1:15" ht="20.100000000000001" customHeight="1" x14ac:dyDescent="0.25">
      <c r="A1828" s="2">
        <v>828</v>
      </c>
      <c r="B1828" s="2" t="str">
        <f>TEXT(Таблица97[[#This Row],[Дата]],"ГГ")&amp;RIGHT("000"&amp;Таблица97[[#This Row],[Номер]],4)</f>
        <v>210828</v>
      </c>
      <c r="C1828" s="129">
        <v>44424</v>
      </c>
      <c r="D1828" s="2" t="s">
        <v>481</v>
      </c>
      <c r="E1828" s="108">
        <v>5810</v>
      </c>
      <c r="F1828" s="129">
        <v>44426</v>
      </c>
      <c r="H1828" s="129">
        <v>44432</v>
      </c>
      <c r="I1828" s="108">
        <f t="shared" ref="I1828:I1835" si="88">E1828</f>
        <v>5810</v>
      </c>
      <c r="J1828" s="108" t="str">
        <f>IF(Таблица97[[#This Row],[НК]]=1,Таблица97[[#This Row],[Продажа]],"")</f>
        <v/>
      </c>
      <c r="M1828" s="108">
        <v>2847.18</v>
      </c>
      <c r="N1828" s="108">
        <f>Таблица97[[#This Row],[Продажа]]-Таблица97[[#This Row],[Закупка]]</f>
        <v>2962.82</v>
      </c>
      <c r="O1828" s="108" t="str">
        <f>IF(Таблица97[[#This Row],[НК]]=1,Таблица97[[#This Row],[Маржа]],"")</f>
        <v/>
      </c>
    </row>
    <row r="1829" spans="1:15" ht="20.100000000000001" customHeight="1" x14ac:dyDescent="0.25">
      <c r="A1829" s="2">
        <v>386</v>
      </c>
      <c r="B1829" s="2" t="str">
        <f>TEXT(Таблица97[[#This Row],[Дата]],"ГГ")&amp;RIGHT("000"&amp;Таблица97[[#This Row],[Номер]],4)</f>
        <v>210386</v>
      </c>
      <c r="C1829" s="129">
        <v>44376</v>
      </c>
      <c r="D1829" s="2" t="s">
        <v>99</v>
      </c>
      <c r="E1829" s="108">
        <v>384400</v>
      </c>
      <c r="F1829" s="129">
        <v>44428</v>
      </c>
      <c r="H1829" s="129">
        <v>44399</v>
      </c>
      <c r="I1829" s="108">
        <f t="shared" si="88"/>
        <v>384400</v>
      </c>
      <c r="J1829" s="108" t="str">
        <f>IF(Таблица97[[#This Row],[НК]]=1,Таблица97[[#This Row],[Продажа]],"")</f>
        <v/>
      </c>
      <c r="K1829" s="108">
        <v>66000</v>
      </c>
      <c r="L1829" s="108">
        <v>13200</v>
      </c>
      <c r="M1829" s="108">
        <v>117371</v>
      </c>
      <c r="N1829" s="108">
        <f>Таблица97[[#This Row],[Продажа]]-Таблица97[[#This Row],[Закупка]]</f>
        <v>267029</v>
      </c>
      <c r="O1829" s="108" t="str">
        <f>IF(Таблица97[[#This Row],[НК]]=1,Таблица97[[#This Row],[Маржа]],"")</f>
        <v/>
      </c>
    </row>
    <row r="1830" spans="1:15" ht="20.100000000000001" customHeight="1" x14ac:dyDescent="0.25">
      <c r="A1830" s="2">
        <v>880</v>
      </c>
      <c r="B1830" s="2" t="str">
        <f>TEXT(Таблица97[[#This Row],[Дата]],"ГГ")&amp;RIGHT("000"&amp;Таблица97[[#This Row],[Номер]],4)</f>
        <v>210880</v>
      </c>
      <c r="C1830" s="129">
        <v>44431</v>
      </c>
      <c r="D1830" s="2" t="s">
        <v>87</v>
      </c>
      <c r="E1830" s="108">
        <v>7990</v>
      </c>
      <c r="F1830" s="129">
        <v>44432</v>
      </c>
      <c r="H1830" s="129">
        <v>44440</v>
      </c>
      <c r="I1830" s="108">
        <f t="shared" si="88"/>
        <v>7990</v>
      </c>
      <c r="J1830" s="108" t="str">
        <f>IF(Таблица97[[#This Row],[НК]]=1,Таблица97[[#This Row],[Продажа]],"")</f>
        <v/>
      </c>
      <c r="L1830" s="108">
        <v>600</v>
      </c>
      <c r="M1830" s="108">
        <v>3438.21</v>
      </c>
      <c r="N1830" s="108">
        <f>Таблица97[[#This Row],[Продажа]]-Таблица97[[#This Row],[Закупка]]</f>
        <v>4551.79</v>
      </c>
      <c r="O1830" s="108" t="str">
        <f>IF(Таблица97[[#This Row],[НК]]=1,Таблица97[[#This Row],[Маржа]],"")</f>
        <v/>
      </c>
    </row>
    <row r="1831" spans="1:15" ht="20.100000000000001" customHeight="1" x14ac:dyDescent="0.25">
      <c r="A1831" s="2">
        <v>882</v>
      </c>
      <c r="B1831" s="2" t="str">
        <f>TEXT(Таблица97[[#This Row],[Дата]],"ГГ")&amp;RIGHT("000"&amp;Таблица97[[#This Row],[Номер]],4)</f>
        <v>210882</v>
      </c>
      <c r="C1831" s="129">
        <v>44431</v>
      </c>
      <c r="D1831" s="2" t="s">
        <v>502</v>
      </c>
      <c r="E1831" s="108">
        <v>3630.8</v>
      </c>
      <c r="F1831" s="129">
        <v>44433</v>
      </c>
      <c r="G1831" s="128">
        <v>1</v>
      </c>
      <c r="H1831" s="129">
        <v>44461</v>
      </c>
      <c r="I1831" s="108">
        <f t="shared" si="88"/>
        <v>3630.8</v>
      </c>
      <c r="J1831" s="108">
        <f>IF(Таблица97[[#This Row],[НК]]=1,Таблица97[[#This Row],[Продажа]],"")</f>
        <v>3630.8</v>
      </c>
      <c r="M1831" s="108">
        <v>2832</v>
      </c>
      <c r="N1831" s="108">
        <f>Таблица97[[#This Row],[Продажа]]-Таблица97[[#This Row],[Закупка]]</f>
        <v>798.80000000000018</v>
      </c>
      <c r="O1831" s="108">
        <f>IF(Таблица97[[#This Row],[НК]]=1,Таблица97[[#This Row],[Маржа]],"")</f>
        <v>798.80000000000018</v>
      </c>
    </row>
    <row r="1832" spans="1:15" ht="20.100000000000001" customHeight="1" x14ac:dyDescent="0.25">
      <c r="A1832" s="2">
        <v>902</v>
      </c>
      <c r="B1832" s="2" t="str">
        <f>TEXT(Таблица97[[#This Row],[Дата]],"ГГ")&amp;RIGHT("000"&amp;Таблица97[[#This Row],[Номер]],4)</f>
        <v>210902</v>
      </c>
      <c r="C1832" s="129">
        <v>44433</v>
      </c>
      <c r="D1832" s="2" t="s">
        <v>149</v>
      </c>
      <c r="E1832" s="108">
        <v>1762</v>
      </c>
      <c r="F1832" s="129">
        <v>44433</v>
      </c>
      <c r="H1832" s="129">
        <v>44469</v>
      </c>
      <c r="I1832" s="108">
        <f t="shared" si="88"/>
        <v>1762</v>
      </c>
      <c r="J1832" s="108" t="str">
        <f>IF(Таблица97[[#This Row],[НК]]=1,Таблица97[[#This Row],[Продажа]],"")</f>
        <v/>
      </c>
      <c r="M1832" s="108">
        <v>1164</v>
      </c>
      <c r="N1832" s="108">
        <f>Таблица97[[#This Row],[Продажа]]-Таблица97[[#This Row],[Закупка]]</f>
        <v>598</v>
      </c>
      <c r="O1832" s="108" t="str">
        <f>IF(Таблица97[[#This Row],[НК]]=1,Таблица97[[#This Row],[Маржа]],"")</f>
        <v/>
      </c>
    </row>
    <row r="1833" spans="1:15" ht="20.100000000000001" customHeight="1" x14ac:dyDescent="0.25">
      <c r="A1833" s="2">
        <v>905</v>
      </c>
      <c r="B1833" s="2" t="str">
        <f>TEXT(Таблица97[[#This Row],[Дата]],"ГГ")&amp;RIGHT("000"&amp;Таблица97[[#This Row],[Номер]],4)</f>
        <v>210905</v>
      </c>
      <c r="C1833" s="129">
        <v>44434</v>
      </c>
      <c r="D1833" s="2" t="s">
        <v>386</v>
      </c>
      <c r="E1833" s="108">
        <v>4134</v>
      </c>
      <c r="F1833" s="129">
        <v>44434</v>
      </c>
      <c r="H1833" s="129">
        <v>44434</v>
      </c>
      <c r="I1833" s="108">
        <f t="shared" si="88"/>
        <v>4134</v>
      </c>
      <c r="J1833" s="108" t="str">
        <f>IF(Таблица97[[#This Row],[НК]]=1,Таблица97[[#This Row],[Продажа]],"")</f>
        <v/>
      </c>
      <c r="M1833" s="108">
        <v>3122.27</v>
      </c>
      <c r="N1833" s="108">
        <f>Таблица97[[#This Row],[Продажа]]-Таблица97[[#This Row],[Закупка]]</f>
        <v>1011.73</v>
      </c>
      <c r="O1833" s="108" t="str">
        <f>IF(Таблица97[[#This Row],[НК]]=1,Таблица97[[#This Row],[Маржа]],"")</f>
        <v/>
      </c>
    </row>
    <row r="1834" spans="1:15" ht="20.100000000000001" customHeight="1" x14ac:dyDescent="0.25">
      <c r="A1834" s="2">
        <v>919</v>
      </c>
      <c r="B1834" s="2" t="str">
        <f>TEXT(Таблица97[[#This Row],[Дата]],"ГГ")&amp;RIGHT("000"&amp;Таблица97[[#This Row],[Номер]],4)</f>
        <v>210919</v>
      </c>
      <c r="C1834" s="129">
        <v>44435</v>
      </c>
      <c r="D1834" s="2" t="s">
        <v>503</v>
      </c>
      <c r="E1834" s="108">
        <v>25490</v>
      </c>
      <c r="F1834" s="129">
        <v>44435</v>
      </c>
      <c r="G1834" s="128">
        <v>1</v>
      </c>
      <c r="H1834" s="129">
        <v>44441</v>
      </c>
      <c r="I1834" s="108">
        <f t="shared" si="88"/>
        <v>25490</v>
      </c>
      <c r="J1834" s="108">
        <f>IF(Таблица97[[#This Row],[НК]]=1,Таблица97[[#This Row],[Продажа]],"")</f>
        <v>25490</v>
      </c>
      <c r="M1834" s="108">
        <v>18735</v>
      </c>
      <c r="N1834" s="108">
        <f>Таблица97[[#This Row],[Продажа]]-Таблица97[[#This Row],[Закупка]]</f>
        <v>6755</v>
      </c>
      <c r="O1834" s="108">
        <f>IF(Таблица97[[#This Row],[НК]]=1,Таблица97[[#This Row],[Маржа]],"")</f>
        <v>6755</v>
      </c>
    </row>
    <row r="1835" spans="1:15" ht="20.100000000000001" customHeight="1" x14ac:dyDescent="0.25">
      <c r="A1835" s="2">
        <v>884</v>
      </c>
      <c r="B1835" s="2" t="str">
        <f>TEXT(Таблица97[[#This Row],[Дата]],"ГГ")&amp;RIGHT("000"&amp;Таблица97[[#This Row],[Номер]],4)</f>
        <v>210884</v>
      </c>
      <c r="C1835" s="129">
        <v>44431</v>
      </c>
      <c r="D1835" s="2" t="s">
        <v>467</v>
      </c>
      <c r="E1835" s="108">
        <v>971</v>
      </c>
      <c r="F1835" s="129">
        <v>44435</v>
      </c>
      <c r="H1835" s="129">
        <v>44439</v>
      </c>
      <c r="I1835" s="108">
        <f t="shared" si="88"/>
        <v>971</v>
      </c>
      <c r="J1835" s="108" t="str">
        <f>IF(Таблица97[[#This Row],[НК]]=1,Таблица97[[#This Row],[Продажа]],"")</f>
        <v/>
      </c>
      <c r="M1835" s="108">
        <v>612</v>
      </c>
      <c r="N1835" s="108">
        <f>Таблица97[[#This Row],[Продажа]]-Таблица97[[#This Row],[Закупка]]</f>
        <v>359</v>
      </c>
      <c r="O1835" s="108" t="str">
        <f>IF(Таблица97[[#This Row],[НК]]=1,Таблица97[[#This Row],[Маржа]],"")</f>
        <v/>
      </c>
    </row>
    <row r="1836" spans="1:15" ht="20.100000000000001" customHeight="1" x14ac:dyDescent="0.25">
      <c r="A1836" s="2">
        <v>926</v>
      </c>
      <c r="B1836" s="2" t="str">
        <f>TEXT(Таблица97[[#This Row],[Дата]],"ГГ")&amp;RIGHT("000"&amp;Таблица97[[#This Row],[Номер]],4)</f>
        <v>210926</v>
      </c>
      <c r="C1836" s="129">
        <v>44439</v>
      </c>
      <c r="D1836" s="2" t="s">
        <v>51</v>
      </c>
      <c r="E1836" s="108">
        <v>7852</v>
      </c>
      <c r="F1836" s="129">
        <v>44440</v>
      </c>
      <c r="H1836" s="129">
        <v>44449</v>
      </c>
      <c r="I1836" s="108">
        <f t="shared" ref="I1836:I1863" si="89">E1836</f>
        <v>7852</v>
      </c>
      <c r="J1836" s="108" t="str">
        <f>IF(Таблица97[[#This Row],[НК]]=1,Таблица97[[#This Row],[Продажа]],"")</f>
        <v/>
      </c>
      <c r="M1836" s="108">
        <v>6124</v>
      </c>
      <c r="N1836" s="108">
        <f>Таблица97[[#This Row],[Продажа]]-Таблица97[[#This Row],[Закупка]]</f>
        <v>1728</v>
      </c>
      <c r="O1836" s="108" t="str">
        <f>IF(Таблица97[[#This Row],[НК]]=1,Таблица97[[#This Row],[Маржа]],"")</f>
        <v/>
      </c>
    </row>
    <row r="1837" spans="1:15" ht="20.100000000000001" customHeight="1" x14ac:dyDescent="0.25">
      <c r="A1837" s="2">
        <v>920</v>
      </c>
      <c r="B1837" s="2" t="str">
        <f>TEXT(Таблица97[[#This Row],[Дата]],"ГГ")&amp;RIGHT("000"&amp;Таблица97[[#This Row],[Номер]],4)</f>
        <v>210920</v>
      </c>
      <c r="C1837" s="129">
        <v>44438</v>
      </c>
      <c r="D1837" s="2" t="s">
        <v>179</v>
      </c>
      <c r="E1837" s="108">
        <v>6329</v>
      </c>
      <c r="F1837" s="129">
        <v>44440</v>
      </c>
      <c r="H1837" s="129">
        <v>44462</v>
      </c>
      <c r="I1837" s="108">
        <f t="shared" si="89"/>
        <v>6329</v>
      </c>
      <c r="J1837" s="108" t="str">
        <f>IF(Таблица97[[#This Row],[НК]]=1,Таблица97[[#This Row],[Продажа]],"")</f>
        <v/>
      </c>
      <c r="M1837" s="108">
        <v>4177</v>
      </c>
      <c r="N1837" s="108">
        <f>Таблица97[[#This Row],[Продажа]]-Таблица97[[#This Row],[Закупка]]</f>
        <v>2152</v>
      </c>
      <c r="O1837" s="108" t="str">
        <f>IF(Таблица97[[#This Row],[НК]]=1,Таблица97[[#This Row],[Маржа]],"")</f>
        <v/>
      </c>
    </row>
    <row r="1838" spans="1:15" ht="20.100000000000001" customHeight="1" x14ac:dyDescent="0.25">
      <c r="A1838" s="2">
        <v>927</v>
      </c>
      <c r="B1838" s="2" t="str">
        <f>TEXT(Таблица97[[#This Row],[Дата]],"ГГ")&amp;RIGHT("000"&amp;Таблица97[[#This Row],[Номер]],4)</f>
        <v>210927</v>
      </c>
      <c r="C1838" s="129">
        <v>44439</v>
      </c>
      <c r="D1838" s="2" t="s">
        <v>504</v>
      </c>
      <c r="E1838" s="108">
        <v>5000</v>
      </c>
      <c r="F1838" s="129">
        <v>44440</v>
      </c>
      <c r="G1838" s="128">
        <v>1</v>
      </c>
      <c r="H1838" s="129">
        <v>44440</v>
      </c>
      <c r="I1838" s="108">
        <f>E1838</f>
        <v>5000</v>
      </c>
      <c r="J1838" s="108">
        <f>IF(Таблица97[[#This Row],[НК]]=1,Таблица97[[#This Row],[Продажа]],"")</f>
        <v>5000</v>
      </c>
      <c r="L1838" s="108">
        <v>600</v>
      </c>
      <c r="M1838" s="108">
        <v>2108</v>
      </c>
      <c r="N1838" s="108">
        <f>Таблица97[[#This Row],[Продажа]]-Таблица97[[#This Row],[Закупка]]</f>
        <v>2892</v>
      </c>
      <c r="O1838" s="108">
        <f>IF(Таблица97[[#This Row],[НК]]=1,Таблица97[[#This Row],[Маржа]],"")</f>
        <v>2892</v>
      </c>
    </row>
    <row r="1839" spans="1:15" ht="20.100000000000001" customHeight="1" x14ac:dyDescent="0.25">
      <c r="A1839" s="2">
        <v>729</v>
      </c>
      <c r="B1839" s="2" t="str">
        <f>TEXT(Таблица97[[#This Row],[Дата]],"ГГ")&amp;RIGHT("000"&amp;Таблица97[[#This Row],[Номер]],4)</f>
        <v>210729</v>
      </c>
      <c r="C1839" s="129">
        <v>44441</v>
      </c>
      <c r="D1839" s="2" t="s">
        <v>502</v>
      </c>
      <c r="E1839" s="108">
        <v>24494</v>
      </c>
      <c r="F1839" s="129">
        <v>44441</v>
      </c>
      <c r="H1839" s="129">
        <v>44461</v>
      </c>
      <c r="I1839" s="108">
        <f t="shared" si="89"/>
        <v>24494</v>
      </c>
      <c r="J1839" s="108" t="str">
        <f>IF(Таблица97[[#This Row],[НК]]=1,Таблица97[[#This Row],[Продажа]],"")</f>
        <v/>
      </c>
      <c r="M1839" s="108">
        <v>19105</v>
      </c>
      <c r="N1839" s="108">
        <f>Таблица97[[#This Row],[Продажа]]-Таблица97[[#This Row],[Закупка]]</f>
        <v>5389</v>
      </c>
      <c r="O1839" s="108" t="str">
        <f>IF(Таблица97[[#This Row],[НК]]=1,Таблица97[[#This Row],[Маржа]],"")</f>
        <v/>
      </c>
    </row>
    <row r="1840" spans="1:15" ht="20.100000000000001" customHeight="1" x14ac:dyDescent="0.25">
      <c r="A1840" s="2">
        <v>993</v>
      </c>
      <c r="B1840" s="2" t="str">
        <f>TEXT(Таблица97[[#This Row],[Дата]],"ГГ")&amp;RIGHT("000"&amp;Таблица97[[#This Row],[Номер]],4)</f>
        <v>210993</v>
      </c>
      <c r="C1840" s="129">
        <v>44440</v>
      </c>
      <c r="D1840" s="2" t="s">
        <v>372</v>
      </c>
      <c r="E1840" s="108">
        <v>6918</v>
      </c>
      <c r="F1840" s="129">
        <v>44441</v>
      </c>
      <c r="H1840" s="129">
        <v>44442</v>
      </c>
      <c r="I1840" s="108">
        <f t="shared" si="89"/>
        <v>6918</v>
      </c>
      <c r="J1840" s="108" t="str">
        <f>IF(Таблица97[[#This Row],[НК]]=1,Таблица97[[#This Row],[Продажа]],"")</f>
        <v/>
      </c>
      <c r="M1840" s="108">
        <v>5218.42</v>
      </c>
      <c r="N1840" s="108">
        <f>Таблица97[[#This Row],[Продажа]]-Таблица97[[#This Row],[Закупка]]</f>
        <v>1699.58</v>
      </c>
      <c r="O1840" s="108" t="str">
        <f>IF(Таблица97[[#This Row],[НК]]=1,Таблица97[[#This Row],[Маржа]],"")</f>
        <v/>
      </c>
    </row>
    <row r="1841" spans="1:15" ht="20.100000000000001" customHeight="1" x14ac:dyDescent="0.25">
      <c r="A1841" s="2">
        <v>939</v>
      </c>
      <c r="B1841" s="2" t="str">
        <f>TEXT(Таблица97[[#This Row],[Дата]],"ГГ")&amp;RIGHT("000"&amp;Таблица97[[#This Row],[Номер]],4)</f>
        <v>210939</v>
      </c>
      <c r="C1841" s="129">
        <v>44440</v>
      </c>
      <c r="D1841" s="2" t="s">
        <v>16</v>
      </c>
      <c r="E1841" s="108">
        <v>1998</v>
      </c>
      <c r="F1841" s="129">
        <v>44441</v>
      </c>
      <c r="H1841" s="129">
        <v>44469</v>
      </c>
      <c r="I1841" s="108">
        <f t="shared" si="89"/>
        <v>1998</v>
      </c>
      <c r="J1841" s="108" t="str">
        <f>IF(Таблица97[[#This Row],[НК]]=1,Таблица97[[#This Row],[Продажа]],"")</f>
        <v/>
      </c>
      <c r="M1841" s="108">
        <v>1319</v>
      </c>
      <c r="N1841" s="108">
        <f>Таблица97[[#This Row],[Продажа]]-Таблица97[[#This Row],[Закупка]]</f>
        <v>679</v>
      </c>
      <c r="O1841" s="108" t="str">
        <f>IF(Таблица97[[#This Row],[НК]]=1,Таблица97[[#This Row],[Маржа]],"")</f>
        <v/>
      </c>
    </row>
    <row r="1842" spans="1:15" ht="20.100000000000001" customHeight="1" x14ac:dyDescent="0.25">
      <c r="A1842" s="2">
        <v>916</v>
      </c>
      <c r="B1842" s="2" t="str">
        <f>TEXT(Таблица97[[#This Row],[Дата]],"ГГ")&amp;RIGHT("000"&amp;Таблица97[[#This Row],[Номер]],4)</f>
        <v>210916</v>
      </c>
      <c r="C1842" s="129">
        <v>44435</v>
      </c>
      <c r="D1842" s="2" t="s">
        <v>101</v>
      </c>
      <c r="E1842" s="108">
        <v>8345</v>
      </c>
      <c r="F1842" s="129">
        <v>44442</v>
      </c>
      <c r="H1842" s="129">
        <v>44477</v>
      </c>
      <c r="I1842" s="108">
        <f>E1842</f>
        <v>8345</v>
      </c>
      <c r="J1842" s="108" t="str">
        <f>IF(Таблица97[[#This Row],[НК]]=1,Таблица97[[#This Row],[Продажа]],"")</f>
        <v/>
      </c>
      <c r="M1842" s="108">
        <v>6509</v>
      </c>
      <c r="N1842" s="108">
        <f>Таблица97[[#This Row],[Продажа]]-Таблица97[[#This Row],[Закупка]]</f>
        <v>1836</v>
      </c>
      <c r="O1842" s="108" t="str">
        <f>IF(Таблица97[[#This Row],[НК]]=1,Таблица97[[#This Row],[Маржа]],"")</f>
        <v/>
      </c>
    </row>
    <row r="1843" spans="1:15" ht="20.100000000000001" customHeight="1" x14ac:dyDescent="0.25">
      <c r="A1843" s="2">
        <v>936</v>
      </c>
      <c r="B1843" s="2" t="str">
        <f>TEXT(Таблица97[[#This Row],[Дата]],"ГГ")&amp;RIGHT("000"&amp;Таблица97[[#This Row],[Номер]],4)</f>
        <v>210936</v>
      </c>
      <c r="C1843" s="129">
        <v>44440</v>
      </c>
      <c r="D1843" s="2" t="s">
        <v>377</v>
      </c>
      <c r="E1843" s="108">
        <v>12395</v>
      </c>
      <c r="F1843" s="129">
        <v>44446</v>
      </c>
      <c r="H1843" s="129">
        <v>44447</v>
      </c>
      <c r="I1843" s="108">
        <f>E1843</f>
        <v>12395</v>
      </c>
      <c r="J1843" s="108" t="str">
        <f>IF(Таблица97[[#This Row],[НК]]=1,Таблица97[[#This Row],[Продажа]],"")</f>
        <v/>
      </c>
      <c r="M1843" s="108">
        <v>9382</v>
      </c>
      <c r="N1843" s="108">
        <f>Таблица97[[#This Row],[Продажа]]-Таблица97[[#This Row],[Закупка]]</f>
        <v>3013</v>
      </c>
      <c r="O1843" s="108" t="str">
        <f>IF(Таблица97[[#This Row],[НК]]=1,Таблица97[[#This Row],[Маржа]],"")</f>
        <v/>
      </c>
    </row>
    <row r="1844" spans="1:15" ht="20.100000000000001" customHeight="1" x14ac:dyDescent="0.25">
      <c r="A1844" s="2">
        <v>962</v>
      </c>
      <c r="B1844" s="2" t="str">
        <f>TEXT(Таблица97[[#This Row],[Дата]],"ГГ")&amp;RIGHT("000"&amp;Таблица97[[#This Row],[Номер]],4)</f>
        <v>210962</v>
      </c>
      <c r="C1844" s="129">
        <v>44447</v>
      </c>
      <c r="D1844" s="2" t="s">
        <v>470</v>
      </c>
      <c r="E1844" s="108">
        <v>4500</v>
      </c>
      <c r="F1844" s="129">
        <v>44448</v>
      </c>
      <c r="I1844" s="108">
        <f t="shared" si="89"/>
        <v>4500</v>
      </c>
      <c r="J1844" s="108" t="str">
        <f>IF(Таблица97[[#This Row],[НК]]=1,Таблица97[[#This Row],[Продажа]],"")</f>
        <v/>
      </c>
      <c r="M1844" s="108">
        <v>3015</v>
      </c>
      <c r="N1844" s="108">
        <f>Таблица97[[#This Row],[Продажа]]-Таблица97[[#This Row],[Закупка]]</f>
        <v>1485</v>
      </c>
      <c r="O1844" s="108" t="str">
        <f>IF(Таблица97[[#This Row],[НК]]=1,Таблица97[[#This Row],[Маржа]],"")</f>
        <v/>
      </c>
    </row>
    <row r="1845" spans="1:15" ht="20.100000000000001" customHeight="1" x14ac:dyDescent="0.25">
      <c r="A1845" s="2">
        <v>903</v>
      </c>
      <c r="B1845" s="2" t="str">
        <f>TEXT(Таблица97[[#This Row],[Дата]],"ГГ")&amp;RIGHT("000"&amp;Таблица97[[#This Row],[Номер]],4)</f>
        <v>210903</v>
      </c>
      <c r="C1845" s="129">
        <v>44434</v>
      </c>
      <c r="D1845" s="2" t="s">
        <v>11</v>
      </c>
      <c r="E1845" s="108">
        <v>40756</v>
      </c>
      <c r="F1845" s="129">
        <v>44448</v>
      </c>
      <c r="H1845" s="129">
        <v>44454</v>
      </c>
      <c r="I1845" s="108">
        <f t="shared" si="89"/>
        <v>40756</v>
      </c>
      <c r="J1845" s="108" t="str">
        <f>IF(Таблица97[[#This Row],[НК]]=1,Таблица97[[#This Row],[Продажа]],"")</f>
        <v/>
      </c>
      <c r="M1845" s="108">
        <v>30880</v>
      </c>
      <c r="N1845" s="108">
        <f>Таблица97[[#This Row],[Продажа]]-Таблица97[[#This Row],[Закупка]]</f>
        <v>9876</v>
      </c>
      <c r="O1845" s="108" t="str">
        <f>IF(Таблица97[[#This Row],[НК]]=1,Таблица97[[#This Row],[Маржа]],"")</f>
        <v/>
      </c>
    </row>
    <row r="1846" spans="1:15" ht="20.100000000000001" customHeight="1" x14ac:dyDescent="0.25">
      <c r="A1846" s="2">
        <v>978</v>
      </c>
      <c r="B1846" s="2" t="str">
        <f>TEXT(Таблица97[[#This Row],[Дата]],"ГГ")&amp;RIGHT("000"&amp;Таблица97[[#This Row],[Номер]],4)</f>
        <v>210978</v>
      </c>
      <c r="C1846" s="129">
        <v>44452</v>
      </c>
      <c r="D1846" s="2" t="s">
        <v>125</v>
      </c>
      <c r="E1846" s="108">
        <v>1652</v>
      </c>
      <c r="F1846" s="129">
        <v>44453</v>
      </c>
      <c r="H1846" s="129">
        <v>44452</v>
      </c>
      <c r="I1846" s="108">
        <f t="shared" si="89"/>
        <v>1652</v>
      </c>
      <c r="J1846" s="108" t="str">
        <f>IF(Таблица97[[#This Row],[НК]]=1,Таблица97[[#This Row],[Продажа]],"")</f>
        <v/>
      </c>
      <c r="M1846" s="108">
        <v>1104</v>
      </c>
      <c r="N1846" s="108">
        <f>Таблица97[[#This Row],[Продажа]]-Таблица97[[#This Row],[Закупка]]</f>
        <v>548</v>
      </c>
      <c r="O1846" s="108" t="str">
        <f>IF(Таблица97[[#This Row],[НК]]=1,Таблица97[[#This Row],[Маржа]],"")</f>
        <v/>
      </c>
    </row>
    <row r="1847" spans="1:15" ht="20.100000000000001" customHeight="1" x14ac:dyDescent="0.25">
      <c r="A1847" s="2">
        <v>981</v>
      </c>
      <c r="B1847" s="2" t="str">
        <f>TEXT(Таблица97[[#This Row],[Дата]],"ГГ")&amp;RIGHT("000"&amp;Таблица97[[#This Row],[Номер]],4)</f>
        <v>210981</v>
      </c>
      <c r="C1847" s="129">
        <v>44452</v>
      </c>
      <c r="D1847" s="2" t="s">
        <v>270</v>
      </c>
      <c r="E1847" s="108">
        <v>1279</v>
      </c>
      <c r="F1847" s="129">
        <v>44455</v>
      </c>
      <c r="H1847" s="129">
        <v>44453</v>
      </c>
      <c r="I1847" s="108">
        <f t="shared" si="89"/>
        <v>1279</v>
      </c>
      <c r="J1847" s="108" t="str">
        <f>IF(Таблица97[[#This Row],[НК]]=1,Таблица97[[#This Row],[Продажа]],"")</f>
        <v/>
      </c>
      <c r="M1847" s="108">
        <v>997</v>
      </c>
      <c r="N1847" s="108">
        <f>Таблица97[[#This Row],[Продажа]]-Таблица97[[#This Row],[Закупка]]</f>
        <v>282</v>
      </c>
      <c r="O1847" s="108" t="str">
        <f>IF(Таблица97[[#This Row],[НК]]=1,Таблица97[[#This Row],[Маржа]],"")</f>
        <v/>
      </c>
    </row>
    <row r="1848" spans="1:15" ht="20.100000000000001" customHeight="1" x14ac:dyDescent="0.25">
      <c r="A1848" s="2">
        <v>900</v>
      </c>
      <c r="B1848" s="2" t="str">
        <f>TEXT(Таблица97[[#This Row],[Дата]],"ГГ")&amp;RIGHT("000"&amp;Таблица97[[#This Row],[Номер]],4)</f>
        <v>210900</v>
      </c>
      <c r="C1848" s="129">
        <v>44441</v>
      </c>
      <c r="D1848" s="2" t="s">
        <v>301</v>
      </c>
      <c r="E1848" s="108">
        <v>7680</v>
      </c>
      <c r="F1848" s="129">
        <v>44456</v>
      </c>
      <c r="H1848" s="129">
        <v>44461</v>
      </c>
      <c r="I1848" s="108">
        <f t="shared" si="89"/>
        <v>7680</v>
      </c>
      <c r="J1848" s="108" t="str">
        <f>IF(Таблица97[[#This Row],[НК]]=1,Таблица97[[#This Row],[Продажа]],"")</f>
        <v/>
      </c>
      <c r="M1848" s="108">
        <v>5750</v>
      </c>
      <c r="N1848" s="108">
        <f>Таблица97[[#This Row],[Продажа]]-Таблица97[[#This Row],[Закупка]]</f>
        <v>1930</v>
      </c>
      <c r="O1848" s="108" t="str">
        <f>IF(Таблица97[[#This Row],[НК]]=1,Таблица97[[#This Row],[Маржа]],"")</f>
        <v/>
      </c>
    </row>
    <row r="1849" spans="1:15" ht="20.100000000000001" customHeight="1" x14ac:dyDescent="0.25">
      <c r="A1849" s="2">
        <v>888</v>
      </c>
      <c r="B1849" s="2" t="str">
        <f>TEXT(Таблица97[[#This Row],[Дата]],"ГГ")&amp;RIGHT("000"&amp;Таблица97[[#This Row],[Номер]],4)</f>
        <v>210888</v>
      </c>
      <c r="C1849" s="129">
        <v>44460</v>
      </c>
      <c r="D1849" s="2" t="s">
        <v>505</v>
      </c>
      <c r="E1849" s="108">
        <v>673676.4</v>
      </c>
      <c r="F1849" s="129">
        <v>44460</v>
      </c>
      <c r="G1849" s="128">
        <v>1</v>
      </c>
      <c r="H1849" s="129">
        <v>44468</v>
      </c>
      <c r="I1849" s="108">
        <f t="shared" si="89"/>
        <v>673676.4</v>
      </c>
      <c r="J1849" s="108">
        <f>IF(Таблица97[[#This Row],[НК]]=1,Таблица97[[#This Row],[Продажа]],"")</f>
        <v>673676.4</v>
      </c>
      <c r="M1849" s="108">
        <v>545244</v>
      </c>
      <c r="N1849" s="108">
        <f>Таблица97[[#This Row],[Продажа]]-Таблица97[[#This Row],[Закупка]]</f>
        <v>128432.40000000002</v>
      </c>
      <c r="O1849" s="108">
        <f>IF(Таблица97[[#This Row],[НК]]=1,Таблица97[[#This Row],[Маржа]],"")</f>
        <v>128432.40000000002</v>
      </c>
    </row>
    <row r="1850" spans="1:15" ht="20.100000000000001" customHeight="1" x14ac:dyDescent="0.25">
      <c r="A1850" s="2">
        <v>886</v>
      </c>
      <c r="B1850" s="2" t="str">
        <f>TEXT(Таблица97[[#This Row],[Дата]],"ГГ")&amp;RIGHT("000"&amp;Таблица97[[#This Row],[Номер]],4)</f>
        <v>210886</v>
      </c>
      <c r="C1850" s="129">
        <v>44446</v>
      </c>
      <c r="D1850" s="2" t="s">
        <v>13</v>
      </c>
      <c r="E1850" s="108">
        <v>108458</v>
      </c>
      <c r="F1850" s="129">
        <v>44460</v>
      </c>
      <c r="H1850" s="129">
        <v>44467</v>
      </c>
      <c r="I1850" s="108">
        <f t="shared" si="89"/>
        <v>108458</v>
      </c>
      <c r="J1850" s="108" t="str">
        <f>IF(Таблица97[[#This Row],[НК]]=1,Таблица97[[#This Row],[Продажа]],"")</f>
        <v/>
      </c>
      <c r="M1850" s="108">
        <v>73023.14</v>
      </c>
      <c r="N1850" s="108">
        <f>Таблица97[[#This Row],[Продажа]]-Таблица97[[#This Row],[Закупка]]</f>
        <v>35434.86</v>
      </c>
      <c r="O1850" s="108" t="str">
        <f>IF(Таблица97[[#This Row],[НК]]=1,Таблица97[[#This Row],[Маржа]],"")</f>
        <v/>
      </c>
    </row>
    <row r="1851" spans="1:15" ht="20.100000000000001" customHeight="1" x14ac:dyDescent="0.25">
      <c r="A1851" s="2">
        <v>1002</v>
      </c>
      <c r="B1851" s="2" t="str">
        <f>TEXT(Таблица97[[#This Row],[Дата]],"ГГ")&amp;RIGHT("000"&amp;Таблица97[[#This Row],[Номер]],4)</f>
        <v>211002</v>
      </c>
      <c r="C1851" s="129">
        <v>44460</v>
      </c>
      <c r="D1851" s="2" t="s">
        <v>216</v>
      </c>
      <c r="E1851" s="108">
        <v>3432</v>
      </c>
      <c r="F1851" s="129">
        <v>44460</v>
      </c>
      <c r="H1851" s="129">
        <v>44460</v>
      </c>
      <c r="I1851" s="108">
        <f t="shared" si="89"/>
        <v>3432</v>
      </c>
      <c r="J1851" s="108" t="str">
        <f>IF(Таблица97[[#This Row],[НК]]=1,Таблица97[[#This Row],[Продажа]],"")</f>
        <v/>
      </c>
      <c r="M1851" s="108">
        <v>1992</v>
      </c>
      <c r="N1851" s="108">
        <f>Таблица97[[#This Row],[Продажа]]-Таблица97[[#This Row],[Закупка]]</f>
        <v>1440</v>
      </c>
      <c r="O1851" s="108" t="str">
        <f>IF(Таблица97[[#This Row],[НК]]=1,Таблица97[[#This Row],[Маржа]],"")</f>
        <v/>
      </c>
    </row>
    <row r="1852" spans="1:15" ht="20.100000000000001" customHeight="1" x14ac:dyDescent="0.25">
      <c r="A1852" s="2">
        <v>1007</v>
      </c>
      <c r="B1852" s="2" t="str">
        <f>TEXT(Таблица97[[#This Row],[Дата]],"ГГ")&amp;RIGHT("000"&amp;Таблица97[[#This Row],[Номер]],4)</f>
        <v>211007</v>
      </c>
      <c r="C1852" s="129">
        <v>44460</v>
      </c>
      <c r="D1852" s="2" t="s">
        <v>166</v>
      </c>
      <c r="E1852" s="108">
        <v>8910</v>
      </c>
      <c r="F1852" s="129">
        <v>44461</v>
      </c>
      <c r="H1852" s="129">
        <v>44462</v>
      </c>
      <c r="I1852" s="108">
        <f t="shared" si="89"/>
        <v>8910</v>
      </c>
      <c r="J1852" s="108" t="str">
        <f>IF(Таблица97[[#This Row],[НК]]=1,Таблица97[[#This Row],[Продажа]],"")</f>
        <v/>
      </c>
      <c r="M1852" s="108">
        <v>6949</v>
      </c>
      <c r="N1852" s="108">
        <f>Таблица97[[#This Row],[Продажа]]-Таблица97[[#This Row],[Закупка]]</f>
        <v>1961</v>
      </c>
      <c r="O1852" s="108" t="str">
        <f>IF(Таблица97[[#This Row],[НК]]=1,Таблица97[[#This Row],[Маржа]],"")</f>
        <v/>
      </c>
    </row>
    <row r="1853" spans="1:15" ht="20.100000000000001" customHeight="1" x14ac:dyDescent="0.25">
      <c r="A1853" s="2">
        <v>1009</v>
      </c>
      <c r="B1853" s="2" t="str">
        <f>TEXT(Таблица97[[#This Row],[Дата]],"ГГ")&amp;RIGHT("000"&amp;Таблица97[[#This Row],[Номер]],4)</f>
        <v>211009</v>
      </c>
      <c r="C1853" s="129">
        <v>44460</v>
      </c>
      <c r="D1853" s="2" t="s">
        <v>166</v>
      </c>
      <c r="E1853" s="108">
        <v>5000</v>
      </c>
      <c r="F1853" s="129">
        <v>44461</v>
      </c>
      <c r="H1853" s="129">
        <v>44474</v>
      </c>
      <c r="I1853" s="108">
        <f t="shared" si="89"/>
        <v>5000</v>
      </c>
      <c r="J1853" s="108" t="str">
        <f>IF(Таблица97[[#This Row],[НК]]=1,Таблица97[[#This Row],[Продажа]],"")</f>
        <v/>
      </c>
      <c r="L1853" s="108">
        <v>600</v>
      </c>
      <c r="M1853" s="108">
        <v>2108</v>
      </c>
      <c r="N1853" s="108">
        <f>Таблица97[[#This Row],[Продажа]]-Таблица97[[#This Row],[Закупка]]</f>
        <v>2892</v>
      </c>
      <c r="O1853" s="108" t="str">
        <f>IF(Таблица97[[#This Row],[НК]]=1,Таблица97[[#This Row],[Маржа]],"")</f>
        <v/>
      </c>
    </row>
    <row r="1854" spans="1:15" ht="20.100000000000001" customHeight="1" x14ac:dyDescent="0.25">
      <c r="A1854" s="2">
        <v>1014</v>
      </c>
      <c r="B1854" s="2" t="str">
        <f>TEXT(Таблица97[[#This Row],[Дата]],"ГГ")&amp;RIGHT("000"&amp;Таблица97[[#This Row],[Номер]],4)</f>
        <v>211014</v>
      </c>
      <c r="C1854" s="129">
        <v>44461</v>
      </c>
      <c r="D1854" s="2" t="s">
        <v>435</v>
      </c>
      <c r="E1854" s="108">
        <v>2990</v>
      </c>
      <c r="F1854" s="129">
        <v>44461</v>
      </c>
      <c r="H1854" s="129">
        <v>44466</v>
      </c>
      <c r="I1854" s="108">
        <f t="shared" si="89"/>
        <v>2990</v>
      </c>
      <c r="J1854" s="108" t="str">
        <f>IF(Таблица97[[#This Row],[НК]]=1,Таблица97[[#This Row],[Продажа]],"")</f>
        <v/>
      </c>
      <c r="M1854" s="108">
        <v>1330.42</v>
      </c>
      <c r="N1854" s="108">
        <f>Таблица97[[#This Row],[Продажа]]-Таблица97[[#This Row],[Закупка]]</f>
        <v>1659.58</v>
      </c>
      <c r="O1854" s="108" t="str">
        <f>IF(Таблица97[[#This Row],[НК]]=1,Таблица97[[#This Row],[Маржа]],"")</f>
        <v/>
      </c>
    </row>
    <row r="1855" spans="1:15" ht="20.100000000000001" customHeight="1" x14ac:dyDescent="0.25">
      <c r="A1855" s="2">
        <v>824</v>
      </c>
      <c r="B1855" s="2" t="str">
        <f>TEXT(Таблица97[[#This Row],[Дата]],"ГГ")&amp;RIGHT("000"&amp;Таблица97[[#This Row],[Номер]],4)</f>
        <v>210824</v>
      </c>
      <c r="C1855" s="129">
        <v>44414</v>
      </c>
      <c r="D1855" s="2" t="s">
        <v>56</v>
      </c>
      <c r="E1855" s="108">
        <v>56873</v>
      </c>
      <c r="F1855" s="129">
        <v>44462</v>
      </c>
      <c r="H1855" s="129">
        <v>44452</v>
      </c>
      <c r="I1855" s="108">
        <f t="shared" si="89"/>
        <v>56873</v>
      </c>
      <c r="J1855" s="108" t="str">
        <f>IF(Таблица97[[#This Row],[НК]]=1,Таблица97[[#This Row],[Продажа]],"")</f>
        <v/>
      </c>
      <c r="M1855" s="108">
        <v>39844</v>
      </c>
      <c r="N1855" s="108">
        <f>Таблица97[[#This Row],[Продажа]]-Таблица97[[#This Row],[Закупка]]</f>
        <v>17029</v>
      </c>
      <c r="O1855" s="108" t="str">
        <f>IF(Таблица97[[#This Row],[НК]]=1,Таблица97[[#This Row],[Маржа]],"")</f>
        <v/>
      </c>
    </row>
    <row r="1856" spans="1:15" ht="20.100000000000001" customHeight="1" x14ac:dyDescent="0.25">
      <c r="A1856" s="2">
        <v>846</v>
      </c>
      <c r="B1856" s="2" t="str">
        <f>TEXT(Таблица97[[#This Row],[Дата]],"ГГ")&amp;RIGHT("000"&amp;Таблица97[[#This Row],[Номер]],4)</f>
        <v>210846</v>
      </c>
      <c r="C1856" s="129">
        <v>44420</v>
      </c>
      <c r="D1856" s="2" t="s">
        <v>56</v>
      </c>
      <c r="E1856" s="108">
        <v>22890</v>
      </c>
      <c r="F1856" s="129">
        <v>44462</v>
      </c>
      <c r="H1856" s="129">
        <v>44452</v>
      </c>
      <c r="I1856" s="108">
        <f t="shared" si="89"/>
        <v>22890</v>
      </c>
      <c r="J1856" s="108" t="str">
        <f>IF(Таблица97[[#This Row],[НК]]=1,Таблица97[[#This Row],[Продажа]],"")</f>
        <v/>
      </c>
      <c r="M1856" s="108">
        <v>15105</v>
      </c>
      <c r="N1856" s="108">
        <f>Таблица97[[#This Row],[Продажа]]-Таблица97[[#This Row],[Закупка]]</f>
        <v>7785</v>
      </c>
      <c r="O1856" s="108" t="str">
        <f>IF(Таблица97[[#This Row],[НК]]=1,Таблица97[[#This Row],[Маржа]],"")</f>
        <v/>
      </c>
    </row>
    <row r="1857" spans="1:15" ht="20.100000000000001" customHeight="1" x14ac:dyDescent="0.25">
      <c r="A1857" s="2">
        <v>1004</v>
      </c>
      <c r="B1857" s="2" t="str">
        <f>TEXT(Таблица97[[#This Row],[Дата]],"ГГ")&amp;RIGHT("000"&amp;Таблица97[[#This Row],[Номер]],4)</f>
        <v>211004</v>
      </c>
      <c r="C1857" s="129">
        <v>44460</v>
      </c>
      <c r="D1857" s="2" t="s">
        <v>372</v>
      </c>
      <c r="E1857" s="108">
        <v>9071</v>
      </c>
      <c r="F1857" s="129">
        <v>44462</v>
      </c>
      <c r="H1857" s="129">
        <v>44463</v>
      </c>
      <c r="I1857" s="108">
        <f t="shared" si="89"/>
        <v>9071</v>
      </c>
      <c r="J1857" s="108" t="str">
        <f>IF(Таблица97[[#This Row],[НК]]=1,Таблица97[[#This Row],[Продажа]],"")</f>
        <v/>
      </c>
      <c r="M1857" s="108">
        <v>5644</v>
      </c>
      <c r="N1857" s="108">
        <f>Таблица97[[#This Row],[Продажа]]-Таблица97[[#This Row],[Закупка]]</f>
        <v>3427</v>
      </c>
      <c r="O1857" s="108" t="str">
        <f>IF(Таблица97[[#This Row],[НК]]=1,Таблица97[[#This Row],[Маржа]],"")</f>
        <v/>
      </c>
    </row>
    <row r="1858" spans="1:15" ht="20.100000000000001" customHeight="1" x14ac:dyDescent="0.25">
      <c r="A1858" s="2">
        <v>725</v>
      </c>
      <c r="B1858" s="2" t="str">
        <f>TEXT(Таблица97[[#This Row],[Дата]],"ГГ")&amp;RIGHT("000"&amp;Таблица97[[#This Row],[Номер]],4)</f>
        <v>210725</v>
      </c>
      <c r="C1858" s="129">
        <v>44393</v>
      </c>
      <c r="D1858" s="2" t="s">
        <v>99</v>
      </c>
      <c r="E1858" s="108">
        <v>81000</v>
      </c>
      <c r="F1858" s="129">
        <v>44462</v>
      </c>
      <c r="H1858" s="129">
        <v>44433</v>
      </c>
      <c r="I1858" s="108">
        <f t="shared" si="89"/>
        <v>81000</v>
      </c>
      <c r="J1858" s="108" t="str">
        <f>IF(Таблица97[[#This Row],[НК]]=1,Таблица97[[#This Row],[Продажа]],"")</f>
        <v/>
      </c>
      <c r="K1858" s="108">
        <v>9000</v>
      </c>
      <c r="M1858" s="108">
        <v>46600</v>
      </c>
      <c r="N1858" s="108">
        <f>Таблица97[[#This Row],[Продажа]]-Таблица97[[#This Row],[Закупка]]</f>
        <v>34400</v>
      </c>
      <c r="O1858" s="108" t="str">
        <f>IF(Таблица97[[#This Row],[НК]]=1,Таблица97[[#This Row],[Маржа]],"")</f>
        <v/>
      </c>
    </row>
    <row r="1859" spans="1:15" ht="20.100000000000001" customHeight="1" x14ac:dyDescent="0.25">
      <c r="A1859" s="2">
        <v>867</v>
      </c>
      <c r="B1859" s="2" t="str">
        <f>TEXT(Таблица97[[#This Row],[Дата]],"ГГ")&amp;RIGHT("000"&amp;Таблица97[[#This Row],[Номер]],4)</f>
        <v>210867</v>
      </c>
      <c r="C1859" s="129">
        <v>44426</v>
      </c>
      <c r="D1859" s="2" t="s">
        <v>65</v>
      </c>
      <c r="E1859" s="108">
        <v>97728</v>
      </c>
      <c r="F1859" s="129">
        <v>44463</v>
      </c>
      <c r="H1859" s="129">
        <v>44427</v>
      </c>
      <c r="I1859" s="108">
        <v>24432</v>
      </c>
      <c r="J1859" s="108" t="str">
        <f>IF(Таблица97[[#This Row],[НК]]=1,Таблица97[[#This Row],[Продажа]],"")</f>
        <v/>
      </c>
      <c r="M1859" s="108">
        <f>12732+1800</f>
        <v>14532</v>
      </c>
      <c r="N1859" s="108">
        <f>Таблица97[[#This Row],[Продажа]]-Таблица97[[#This Row],[Закупка]]</f>
        <v>9900</v>
      </c>
      <c r="O1859" s="108" t="str">
        <f>IF(Таблица97[[#This Row],[НК]]=1,Таблица97[[#This Row],[Маржа]],"")</f>
        <v/>
      </c>
    </row>
    <row r="1860" spans="1:15" ht="20.100000000000001" customHeight="1" x14ac:dyDescent="0.25">
      <c r="A1860" s="2">
        <v>1020</v>
      </c>
      <c r="B1860" s="2" t="str">
        <f>TEXT(Таблица97[[#This Row],[Дата]],"ГГ")&amp;RIGHT("000"&amp;Таблица97[[#This Row],[Номер]],4)</f>
        <v>211020</v>
      </c>
      <c r="C1860" s="129">
        <v>44466</v>
      </c>
      <c r="D1860" s="2" t="s">
        <v>410</v>
      </c>
      <c r="E1860" s="108">
        <v>26127</v>
      </c>
      <c r="F1860" s="129">
        <v>44466</v>
      </c>
      <c r="H1860" s="129">
        <v>44491</v>
      </c>
      <c r="I1860" s="108">
        <f t="shared" si="89"/>
        <v>26127</v>
      </c>
      <c r="J1860" s="108" t="str">
        <f>IF(Таблица97[[#This Row],[НК]]=1,Таблица97[[#This Row],[Продажа]],"")</f>
        <v/>
      </c>
      <c r="M1860" s="108">
        <v>17244</v>
      </c>
      <c r="N1860" s="108">
        <f>Таблица97[[#This Row],[Продажа]]-Таблица97[[#This Row],[Закупка]]</f>
        <v>8883</v>
      </c>
      <c r="O1860" s="108" t="str">
        <f>IF(Таблица97[[#This Row],[НК]]=1,Таблица97[[#This Row],[Маржа]],"")</f>
        <v/>
      </c>
    </row>
    <row r="1861" spans="1:15" ht="20.100000000000001" customHeight="1" x14ac:dyDescent="0.25">
      <c r="A1861" s="2">
        <v>583</v>
      </c>
      <c r="B1861" s="2" t="str">
        <f>TEXT(Таблица97[[#This Row],[Дата]],"ГГ")&amp;RIGHT("000"&amp;Таблица97[[#This Row],[Номер]],4)</f>
        <v>210583</v>
      </c>
      <c r="C1861" s="129">
        <v>44419</v>
      </c>
      <c r="D1861" s="2" t="s">
        <v>275</v>
      </c>
      <c r="E1861" s="108">
        <v>117750</v>
      </c>
      <c r="F1861" s="129">
        <v>44467</v>
      </c>
      <c r="H1861" s="129">
        <v>44434</v>
      </c>
      <c r="I1861" s="108">
        <f t="shared" si="89"/>
        <v>117750</v>
      </c>
      <c r="J1861" s="108" t="str">
        <f>IF(Таблица97[[#This Row],[НК]]=1,Таблица97[[#This Row],[Продажа]],"")</f>
        <v/>
      </c>
      <c r="M1861" s="108">
        <v>86514.75</v>
      </c>
      <c r="N1861" s="108">
        <f>Таблица97[[#This Row],[Продажа]]-Таблица97[[#This Row],[Закупка]]</f>
        <v>31235.25</v>
      </c>
      <c r="O1861" s="108" t="str">
        <f>IF(Таблица97[[#This Row],[НК]]=1,Таблица97[[#This Row],[Маржа]],"")</f>
        <v/>
      </c>
    </row>
    <row r="1862" spans="1:15" ht="20.100000000000001" customHeight="1" x14ac:dyDescent="0.25">
      <c r="A1862" s="2">
        <v>867</v>
      </c>
      <c r="B1862" s="2" t="str">
        <f>TEXT(Таблица97[[#This Row],[Дата]],"ГГ")&amp;RIGHT("000"&amp;Таблица97[[#This Row],[Номер]],4)</f>
        <v>210867</v>
      </c>
      <c r="C1862" s="129">
        <v>44426</v>
      </c>
      <c r="D1862" s="2" t="s">
        <v>65</v>
      </c>
      <c r="E1862" s="108">
        <v>97728</v>
      </c>
      <c r="F1862" s="129">
        <v>44467</v>
      </c>
      <c r="H1862" s="129">
        <v>44433</v>
      </c>
      <c r="I1862" s="108">
        <v>73296</v>
      </c>
      <c r="J1862" s="108" t="str">
        <f>IF(Таблица97[[#This Row],[НК]]=1,Таблица97[[#This Row],[Продажа]],"")</f>
        <v/>
      </c>
      <c r="M1862" s="108">
        <f>30366+5400</f>
        <v>35766</v>
      </c>
      <c r="N1862" s="108">
        <f>Таблица97[[#This Row],[Продажа]]-Таблица97[[#This Row],[Закупка]]</f>
        <v>37530</v>
      </c>
      <c r="O1862" s="108" t="str">
        <f>IF(Таблица97[[#This Row],[НК]]=1,Таблица97[[#This Row],[Маржа]],"")</f>
        <v/>
      </c>
    </row>
    <row r="1863" spans="1:15" ht="20.100000000000001" customHeight="1" x14ac:dyDescent="0.25">
      <c r="A1863" s="2">
        <v>1026</v>
      </c>
      <c r="B1863" s="2" t="str">
        <f>TEXT(Таблица97[[#This Row],[Дата]],"ГГ")&amp;RIGHT("000"&amp;Таблица97[[#This Row],[Номер]],4)</f>
        <v>211026</v>
      </c>
      <c r="C1863" s="129">
        <v>44468</v>
      </c>
      <c r="D1863" s="2" t="s">
        <v>507</v>
      </c>
      <c r="E1863" s="108">
        <v>12990</v>
      </c>
      <c r="F1863" s="129">
        <v>44468</v>
      </c>
      <c r="H1863" s="129">
        <v>44468</v>
      </c>
      <c r="I1863" s="108">
        <f t="shared" si="89"/>
        <v>12990</v>
      </c>
      <c r="J1863" s="108" t="str">
        <f>IF(Таблица97[[#This Row],[НК]]=1,Таблица97[[#This Row],[Продажа]],"")</f>
        <v/>
      </c>
      <c r="M1863" s="108">
        <v>9612</v>
      </c>
      <c r="N1863" s="108">
        <f>Таблица97[[#This Row],[Продажа]]-Таблица97[[#This Row],[Закупка]]</f>
        <v>3378</v>
      </c>
      <c r="O1863" s="108" t="str">
        <f>IF(Таблица97[[#This Row],[НК]]=1,Таблица97[[#This Row],[Маржа]],"")</f>
        <v/>
      </c>
    </row>
    <row r="1864" spans="1:15" ht="20.100000000000001" customHeight="1" x14ac:dyDescent="0.25">
      <c r="A1864" s="2">
        <v>1029</v>
      </c>
      <c r="B1864" s="2" t="str">
        <f>TEXT(Таблица97[[#This Row],[Дата]],"ГГ")&amp;RIGHT("000"&amp;Таблица97[[#This Row],[Номер]],4)</f>
        <v>211029</v>
      </c>
      <c r="C1864" s="129">
        <v>44469</v>
      </c>
      <c r="D1864" s="2" t="s">
        <v>270</v>
      </c>
      <c r="E1864" s="108">
        <v>432</v>
      </c>
      <c r="F1864" s="129">
        <v>44470</v>
      </c>
      <c r="H1864" s="129">
        <v>44557</v>
      </c>
      <c r="I1864" s="108">
        <f t="shared" ref="I1864:I1883" si="90">E1864</f>
        <v>432</v>
      </c>
      <c r="J1864" s="108" t="str">
        <f>IF(Таблица97[[#This Row],[НК]]=1,Таблица97[[#This Row],[Продажа]],"")</f>
        <v/>
      </c>
      <c r="M1864" s="108">
        <v>285</v>
      </c>
      <c r="N1864" s="108">
        <f>Таблица97[[#This Row],[Продажа]]-Таблица97[[#This Row],[Закупка]]</f>
        <v>147</v>
      </c>
      <c r="O1864" s="108" t="str">
        <f>IF(Таблица97[[#This Row],[НК]]=1,Таблица97[[#This Row],[Маржа]],"")</f>
        <v/>
      </c>
    </row>
    <row r="1865" spans="1:15" ht="20.100000000000001" customHeight="1" x14ac:dyDescent="0.25">
      <c r="A1865" s="2">
        <v>1035</v>
      </c>
      <c r="B1865" s="2" t="str">
        <f>TEXT(Таблица97[[#This Row],[Дата]],"ГГ")&amp;RIGHT("000"&amp;Таблица97[[#This Row],[Номер]],4)</f>
        <v>211035</v>
      </c>
      <c r="C1865" s="129">
        <v>44473</v>
      </c>
      <c r="D1865" s="2" t="s">
        <v>461</v>
      </c>
      <c r="E1865" s="108">
        <v>32158</v>
      </c>
      <c r="F1865" s="129">
        <v>44473</v>
      </c>
      <c r="H1865" s="129">
        <v>44482</v>
      </c>
      <c r="I1865" s="108">
        <f t="shared" si="90"/>
        <v>32158</v>
      </c>
      <c r="J1865" s="108" t="str">
        <f>IF(Таблица97[[#This Row],[НК]]=1,Таблица97[[#This Row],[Продажа]],"")</f>
        <v/>
      </c>
      <c r="M1865" s="108">
        <v>23012.3</v>
      </c>
      <c r="N1865" s="108">
        <f>Таблица97[[#This Row],[Продажа]]-Таблица97[[#This Row],[Закупка]]</f>
        <v>9145.7000000000007</v>
      </c>
      <c r="O1865" s="108" t="str">
        <f>IF(Таблица97[[#This Row],[НК]]=1,Таблица97[[#This Row],[Маржа]],"")</f>
        <v/>
      </c>
    </row>
    <row r="1866" spans="1:15" ht="20.100000000000001" customHeight="1" x14ac:dyDescent="0.25">
      <c r="A1866" s="2">
        <v>1037</v>
      </c>
      <c r="B1866" s="2" t="str">
        <f>TEXT(Таблица97[[#This Row],[Дата]],"ГГ")&amp;RIGHT("000"&amp;Таблица97[[#This Row],[Номер]],4)</f>
        <v>211037</v>
      </c>
      <c r="C1866" s="129">
        <v>44473</v>
      </c>
      <c r="D1866" s="2" t="s">
        <v>16</v>
      </c>
      <c r="E1866" s="108">
        <v>1299887.1200000001</v>
      </c>
      <c r="F1866" s="129">
        <v>44475</v>
      </c>
      <c r="H1866" s="129">
        <v>44476</v>
      </c>
      <c r="I1866" s="108">
        <v>1001096.12</v>
      </c>
      <c r="J1866" s="108" t="str">
        <f>IF(Таблица97[[#This Row],[НК]]=1,Таблица97[[#This Row],[Продажа]],"")</f>
        <v/>
      </c>
      <c r="M1866" s="108">
        <v>892167</v>
      </c>
      <c r="N1866" s="108">
        <f>Таблица97[[#This Row],[Продажа]]-Таблица97[[#This Row],[Закупка]]</f>
        <v>108929.12</v>
      </c>
      <c r="O1866" s="108" t="str">
        <f>IF(Таблица97[[#This Row],[НК]]=1,Таблица97[[#This Row],[Маржа]],"")</f>
        <v/>
      </c>
    </row>
    <row r="1867" spans="1:15" ht="20.100000000000001" customHeight="1" x14ac:dyDescent="0.25">
      <c r="A1867" s="2">
        <v>1036</v>
      </c>
      <c r="B1867" s="2" t="str">
        <f>TEXT(Таблица97[[#This Row],[Дата]],"ГГ")&amp;RIGHT("000"&amp;Таблица97[[#This Row],[Номер]],4)</f>
        <v>211036</v>
      </c>
      <c r="C1867" s="129">
        <v>44473</v>
      </c>
      <c r="D1867" s="2" t="s">
        <v>169</v>
      </c>
      <c r="E1867" s="108">
        <v>24080</v>
      </c>
      <c r="F1867" s="129">
        <v>44475</v>
      </c>
      <c r="H1867" s="129">
        <v>44477</v>
      </c>
      <c r="I1867" s="108">
        <f t="shared" si="90"/>
        <v>24080</v>
      </c>
      <c r="J1867" s="108" t="str">
        <f>IF(Таблица97[[#This Row],[НК]]=1,Таблица97[[#This Row],[Продажа]],"")</f>
        <v/>
      </c>
      <c r="L1867" s="108">
        <v>1200</v>
      </c>
      <c r="M1867" s="108">
        <v>16638.86</v>
      </c>
      <c r="N1867" s="108">
        <f>Таблица97[[#This Row],[Продажа]]-Таблица97[[#This Row],[Закупка]]</f>
        <v>7441.1399999999994</v>
      </c>
      <c r="O1867" s="108" t="str">
        <f>IF(Таблица97[[#This Row],[НК]]=1,Таблица97[[#This Row],[Маржа]],"")</f>
        <v/>
      </c>
    </row>
    <row r="1868" spans="1:15" ht="20.100000000000001" customHeight="1" x14ac:dyDescent="0.25">
      <c r="A1868" s="2">
        <v>1043</v>
      </c>
      <c r="B1868" s="2" t="str">
        <f>TEXT(Таблица97[[#This Row],[Дата]],"ГГ")&amp;RIGHT("000"&amp;Таблица97[[#This Row],[Номер]],4)</f>
        <v>211043</v>
      </c>
      <c r="C1868" s="129">
        <v>44474</v>
      </c>
      <c r="D1868" s="2" t="s">
        <v>139</v>
      </c>
      <c r="E1868" s="108">
        <v>36864</v>
      </c>
      <c r="F1868" s="129">
        <v>44475</v>
      </c>
      <c r="H1868" s="129">
        <v>44496</v>
      </c>
      <c r="I1868" s="108">
        <f t="shared" si="90"/>
        <v>36864</v>
      </c>
      <c r="J1868" s="108" t="str">
        <f>IF(Таблица97[[#This Row],[НК]]=1,Таблица97[[#This Row],[Продажа]],"")</f>
        <v/>
      </c>
      <c r="M1868" s="108">
        <v>27600</v>
      </c>
      <c r="N1868" s="108">
        <f>Таблица97[[#This Row],[Продажа]]-Таблица97[[#This Row],[Закупка]]</f>
        <v>9264</v>
      </c>
      <c r="O1868" s="108" t="str">
        <f>IF(Таблица97[[#This Row],[НК]]=1,Таблица97[[#This Row],[Маржа]],"")</f>
        <v/>
      </c>
    </row>
    <row r="1869" spans="1:15" ht="20.100000000000001" customHeight="1" x14ac:dyDescent="0.25">
      <c r="A1869" s="2">
        <v>678</v>
      </c>
      <c r="B1869" s="2" t="str">
        <f>TEXT(Таблица97[[#This Row],[Дата]],"ГГ")&amp;RIGHT("000"&amp;Таблица97[[#This Row],[Номер]],4)</f>
        <v>210678</v>
      </c>
      <c r="C1869" s="129">
        <v>44384</v>
      </c>
      <c r="D1869" s="2" t="s">
        <v>66</v>
      </c>
      <c r="E1869" s="108">
        <v>13157.5</v>
      </c>
      <c r="F1869" s="129">
        <v>44476</v>
      </c>
      <c r="H1869" s="129">
        <v>44385</v>
      </c>
      <c r="I1869" s="108">
        <f t="shared" si="90"/>
        <v>13157.5</v>
      </c>
      <c r="J1869" s="108" t="str">
        <f>IF(Таблица97[[#This Row],[НК]]=1,Таблица97[[#This Row],[Продажа]],"")</f>
        <v/>
      </c>
      <c r="M1869" s="108">
        <v>9747</v>
      </c>
      <c r="N1869" s="108">
        <f>Таблица97[[#This Row],[Продажа]]-Таблица97[[#This Row],[Закупка]]</f>
        <v>3410.5</v>
      </c>
      <c r="O1869" s="108" t="str">
        <f>IF(Таблица97[[#This Row],[НК]]=1,Таблица97[[#This Row],[Маржа]],"")</f>
        <v/>
      </c>
    </row>
    <row r="1870" spans="1:15" ht="20.100000000000001" customHeight="1" x14ac:dyDescent="0.25">
      <c r="A1870" s="2">
        <v>1034</v>
      </c>
      <c r="B1870" s="2" t="str">
        <f>TEXT(Таблица97[[#This Row],[Дата]],"ГГ")&amp;RIGHT("000"&amp;Таблица97[[#This Row],[Номер]],4)</f>
        <v>211034</v>
      </c>
      <c r="C1870" s="129">
        <v>44470</v>
      </c>
      <c r="D1870" s="2" t="s">
        <v>77</v>
      </c>
      <c r="E1870" s="108">
        <v>4208</v>
      </c>
      <c r="F1870" s="129">
        <v>44476</v>
      </c>
      <c r="H1870" s="129">
        <v>44385</v>
      </c>
      <c r="I1870" s="108">
        <f t="shared" si="90"/>
        <v>4208</v>
      </c>
      <c r="J1870" s="108" t="str">
        <f>IF(Таблица97[[#This Row],[НК]]=1,Таблица97[[#This Row],[Продажа]],"")</f>
        <v/>
      </c>
      <c r="M1870" s="108">
        <v>3282</v>
      </c>
      <c r="N1870" s="108">
        <f>Таблица97[[#This Row],[Продажа]]-Таблица97[[#This Row],[Закупка]]</f>
        <v>926</v>
      </c>
      <c r="O1870" s="108" t="str">
        <f>IF(Таблица97[[#This Row],[НК]]=1,Таблица97[[#This Row],[Маржа]],"")</f>
        <v/>
      </c>
    </row>
    <row r="1871" spans="1:15" ht="20.100000000000001" customHeight="1" x14ac:dyDescent="0.25">
      <c r="A1871" s="2">
        <v>965</v>
      </c>
      <c r="B1871" s="2" t="str">
        <f>TEXT(Таблица97[[#This Row],[Дата]],"ГГ")&amp;RIGHT("000"&amp;Таблица97[[#This Row],[Номер]],4)</f>
        <v>210965</v>
      </c>
      <c r="C1871" s="129">
        <v>44447</v>
      </c>
      <c r="D1871" s="2" t="s">
        <v>66</v>
      </c>
      <c r="E1871" s="108">
        <v>24812</v>
      </c>
      <c r="F1871" s="129">
        <v>44477</v>
      </c>
      <c r="H1871" s="129">
        <v>44488</v>
      </c>
      <c r="I1871" s="108">
        <f t="shared" si="90"/>
        <v>24812</v>
      </c>
      <c r="J1871" s="108" t="str">
        <f>IF(Таблица97[[#This Row],[НК]]=1,Таблица97[[#This Row],[Продажа]],"")</f>
        <v/>
      </c>
      <c r="M1871" s="108">
        <v>19108</v>
      </c>
      <c r="N1871" s="108">
        <f>Таблица97[[#This Row],[Продажа]]-Таблица97[[#This Row],[Закупка]]</f>
        <v>5704</v>
      </c>
      <c r="O1871" s="108" t="str">
        <f>IF(Таблица97[[#This Row],[НК]]=1,Таблица97[[#This Row],[Маржа]],"")</f>
        <v/>
      </c>
    </row>
    <row r="1872" spans="1:15" ht="20.100000000000001" customHeight="1" x14ac:dyDescent="0.25">
      <c r="A1872" s="2">
        <v>1023</v>
      </c>
      <c r="B1872" s="2" t="str">
        <f>TEXT(Таблица97[[#This Row],[Дата]],"ГГ")&amp;RIGHT("000"&amp;Таблица97[[#This Row],[Номер]],4)</f>
        <v>211023</v>
      </c>
      <c r="C1872" s="129">
        <v>44467</v>
      </c>
      <c r="D1872" s="2" t="s">
        <v>392</v>
      </c>
      <c r="E1872" s="108">
        <v>16292</v>
      </c>
      <c r="F1872" s="129">
        <v>44477</v>
      </c>
      <c r="H1872" s="129">
        <v>44508</v>
      </c>
      <c r="I1872" s="108">
        <f t="shared" si="90"/>
        <v>16292</v>
      </c>
      <c r="J1872" s="108" t="str">
        <f>IF(Таблица97[[#This Row],[НК]]=1,Таблица97[[#This Row],[Продажа]],"")</f>
        <v/>
      </c>
      <c r="M1872" s="108">
        <v>10753</v>
      </c>
      <c r="N1872" s="108">
        <f>Таблица97[[#This Row],[Продажа]]-Таблица97[[#This Row],[Закупка]]</f>
        <v>5539</v>
      </c>
      <c r="O1872" s="108" t="str">
        <f>IF(Таблица97[[#This Row],[НК]]=1,Таблица97[[#This Row],[Маржа]],"")</f>
        <v/>
      </c>
    </row>
    <row r="1873" spans="1:15" ht="20.100000000000001" customHeight="1" x14ac:dyDescent="0.25">
      <c r="A1873" s="2">
        <v>1050</v>
      </c>
      <c r="B1873" s="2" t="str">
        <f>TEXT(Таблица97[[#This Row],[Дата]],"ГГ")&amp;RIGHT("000"&amp;Таблица97[[#This Row],[Номер]],4)</f>
        <v>211050</v>
      </c>
      <c r="C1873" s="129">
        <v>44477</v>
      </c>
      <c r="D1873" s="2" t="s">
        <v>16</v>
      </c>
      <c r="E1873" s="108">
        <v>6770</v>
      </c>
      <c r="F1873" s="129">
        <v>44480</v>
      </c>
      <c r="H1873" s="129">
        <v>44495</v>
      </c>
      <c r="I1873" s="108">
        <f t="shared" si="90"/>
        <v>6770</v>
      </c>
      <c r="J1873" s="108" t="str">
        <f>IF(Таблица97[[#This Row],[НК]]=1,Таблица97[[#This Row],[Продажа]],"")</f>
        <v/>
      </c>
      <c r="M1873" s="108">
        <v>5280</v>
      </c>
      <c r="N1873" s="108">
        <f>Таблица97[[#This Row],[Продажа]]-Таблица97[[#This Row],[Закупка]]</f>
        <v>1490</v>
      </c>
      <c r="O1873" s="108" t="str">
        <f>IF(Таблица97[[#This Row],[НК]]=1,Таблица97[[#This Row],[Маржа]],"")</f>
        <v/>
      </c>
    </row>
    <row r="1874" spans="1:15" ht="20.100000000000001" customHeight="1" x14ac:dyDescent="0.25">
      <c r="A1874" s="2">
        <v>1063</v>
      </c>
      <c r="B1874" s="2" t="str">
        <f>TEXT(Таблица97[[#This Row],[Дата]],"ГГ")&amp;RIGHT("000"&amp;Таблица97[[#This Row],[Номер]],4)</f>
        <v>211063</v>
      </c>
      <c r="C1874" s="129">
        <v>44482</v>
      </c>
      <c r="D1874" s="2" t="s">
        <v>124</v>
      </c>
      <c r="E1874" s="108">
        <v>8110</v>
      </c>
      <c r="F1874" s="129">
        <v>44482</v>
      </c>
      <c r="H1874" s="129">
        <v>44482</v>
      </c>
      <c r="I1874" s="108">
        <f t="shared" si="90"/>
        <v>8110</v>
      </c>
      <c r="J1874" s="108" t="str">
        <f>IF(Таблица97[[#This Row],[НК]]=1,Таблица97[[#This Row],[Продажа]],"")</f>
        <v/>
      </c>
      <c r="M1874" s="108">
        <v>5904</v>
      </c>
      <c r="N1874" s="108">
        <f>Таблица97[[#This Row],[Продажа]]-Таблица97[[#This Row],[Закупка]]</f>
        <v>2206</v>
      </c>
      <c r="O1874" s="108" t="str">
        <f>IF(Таблица97[[#This Row],[НК]]=1,Таблица97[[#This Row],[Маржа]],"")</f>
        <v/>
      </c>
    </row>
    <row r="1875" spans="1:15" ht="20.100000000000001" customHeight="1" x14ac:dyDescent="0.25">
      <c r="A1875" s="2">
        <v>1074</v>
      </c>
      <c r="B1875" s="2" t="str">
        <f>TEXT(Таблица97[[#This Row],[Дата]],"ГГ")&amp;RIGHT("000"&amp;Таблица97[[#This Row],[Номер]],4)</f>
        <v>211074</v>
      </c>
      <c r="C1875" s="129">
        <v>44484</v>
      </c>
      <c r="D1875" s="2" t="s">
        <v>492</v>
      </c>
      <c r="E1875" s="108">
        <v>10211</v>
      </c>
      <c r="F1875" s="129">
        <v>44484</v>
      </c>
      <c r="H1875" s="129">
        <v>44488</v>
      </c>
      <c r="I1875" s="108">
        <f t="shared" si="90"/>
        <v>10211</v>
      </c>
      <c r="J1875" s="108" t="str">
        <f>IF(Таблица97[[#This Row],[НК]]=1,Таблица97[[#This Row],[Продажа]],"")</f>
        <v/>
      </c>
      <c r="M1875" s="108">
        <v>7546</v>
      </c>
      <c r="N1875" s="108">
        <f>Таблица97[[#This Row],[Продажа]]-Таблица97[[#This Row],[Закупка]]</f>
        <v>2665</v>
      </c>
      <c r="O1875" s="108" t="str">
        <f>IF(Таблица97[[#This Row],[НК]]=1,Таблица97[[#This Row],[Маржа]],"")</f>
        <v/>
      </c>
    </row>
    <row r="1876" spans="1:15" ht="20.100000000000001" customHeight="1" x14ac:dyDescent="0.25">
      <c r="A1876" s="2">
        <v>1083</v>
      </c>
      <c r="B1876" s="2" t="str">
        <f>TEXT(Таблица97[[#This Row],[Дата]],"ГГ")&amp;RIGHT("000"&amp;Таблица97[[#This Row],[Номер]],4)</f>
        <v>211083</v>
      </c>
      <c r="C1876" s="129">
        <v>44487</v>
      </c>
      <c r="D1876" s="2" t="s">
        <v>410</v>
      </c>
      <c r="E1876" s="108">
        <v>36644</v>
      </c>
      <c r="F1876" s="129">
        <v>44488</v>
      </c>
      <c r="H1876" s="129">
        <v>44557</v>
      </c>
      <c r="I1876" s="108">
        <f t="shared" si="90"/>
        <v>36644</v>
      </c>
      <c r="J1876" s="108" t="str">
        <f>IF(Таблица97[[#This Row],[НК]]=1,Таблица97[[#This Row],[Продажа]],"")</f>
        <v/>
      </c>
      <c r="M1876" s="108">
        <v>25710</v>
      </c>
      <c r="N1876" s="108">
        <f>Таблица97[[#This Row],[Продажа]]-Таблица97[[#This Row],[Закупка]]</f>
        <v>10934</v>
      </c>
      <c r="O1876" s="108" t="str">
        <f>IF(Таблица97[[#This Row],[НК]]=1,Таблица97[[#This Row],[Маржа]],"")</f>
        <v/>
      </c>
    </row>
    <row r="1877" spans="1:15" ht="20.100000000000001" customHeight="1" x14ac:dyDescent="0.25">
      <c r="A1877" s="2">
        <v>860</v>
      </c>
      <c r="B1877" s="2" t="str">
        <f>TEXT(Таблица97[[#This Row],[Дата]],"ГГ")&amp;RIGHT("000"&amp;Таблица97[[#This Row],[Номер]],4)</f>
        <v>210860</v>
      </c>
      <c r="C1877" s="129">
        <v>44431</v>
      </c>
      <c r="D1877" s="2" t="s">
        <v>506</v>
      </c>
      <c r="E1877" s="108">
        <v>44190</v>
      </c>
      <c r="F1877" s="129">
        <v>44491</v>
      </c>
      <c r="H1877" s="129">
        <v>44460</v>
      </c>
      <c r="I1877" s="108">
        <f t="shared" si="90"/>
        <v>44190</v>
      </c>
      <c r="J1877" s="108" t="str">
        <f>IF(Таблица97[[#This Row],[НК]]=1,Таблица97[[#This Row],[Продажа]],"")</f>
        <v/>
      </c>
      <c r="M1877" s="108">
        <v>32924</v>
      </c>
      <c r="N1877" s="108">
        <f>Таблица97[[#This Row],[Продажа]]-Таблица97[[#This Row],[Закупка]]</f>
        <v>11266</v>
      </c>
      <c r="O1877" s="108" t="str">
        <f>IF(Таблица97[[#This Row],[НК]]=1,Таблица97[[#This Row],[Маржа]],"")</f>
        <v/>
      </c>
    </row>
    <row r="1878" spans="1:15" ht="20.100000000000001" customHeight="1" x14ac:dyDescent="0.25">
      <c r="A1878" s="2">
        <v>1096</v>
      </c>
      <c r="B1878" s="2" t="str">
        <f>TEXT(Таблица97[[#This Row],[Дата]],"ГГ")&amp;RIGHT("000"&amp;Таблица97[[#This Row],[Номер]],4)</f>
        <v>211096</v>
      </c>
      <c r="C1878" s="129">
        <v>44491</v>
      </c>
      <c r="D1878" s="2" t="s">
        <v>403</v>
      </c>
      <c r="E1878" s="108">
        <v>4062</v>
      </c>
      <c r="F1878" s="129">
        <v>44494</v>
      </c>
      <c r="H1878" s="129">
        <v>44496</v>
      </c>
      <c r="I1878" s="108">
        <f t="shared" si="90"/>
        <v>4062</v>
      </c>
      <c r="J1878" s="108" t="str">
        <f>IF(Таблица97[[#This Row],[НК]]=1,Таблица97[[#This Row],[Продажа]],"")</f>
        <v/>
      </c>
      <c r="M1878" s="108">
        <v>3127</v>
      </c>
      <c r="N1878" s="108">
        <f>Таблица97[[#This Row],[Продажа]]-Таблица97[[#This Row],[Закупка]]</f>
        <v>935</v>
      </c>
      <c r="O1878" s="108" t="str">
        <f>IF(Таблица97[[#This Row],[НК]]=1,Таблица97[[#This Row],[Маржа]],"")</f>
        <v/>
      </c>
    </row>
    <row r="1879" spans="1:15" ht="20.100000000000001" customHeight="1" x14ac:dyDescent="0.25">
      <c r="A1879" s="2">
        <v>1112</v>
      </c>
      <c r="B1879" s="2" t="str">
        <f>TEXT(Таблица97[[#This Row],[Дата]],"ГГ")&amp;RIGHT("000"&amp;Таблица97[[#This Row],[Номер]],4)</f>
        <v>211112</v>
      </c>
      <c r="C1879" s="129">
        <v>44495</v>
      </c>
      <c r="D1879" s="2" t="s">
        <v>149</v>
      </c>
      <c r="E1879" s="108">
        <v>9672</v>
      </c>
      <c r="F1879" s="129">
        <v>44496</v>
      </c>
      <c r="H1879" s="129">
        <v>44529</v>
      </c>
      <c r="I1879" s="108">
        <f t="shared" si="90"/>
        <v>9672</v>
      </c>
      <c r="J1879" s="108" t="str">
        <f>IF(Таблица97[[#This Row],[НК]]=1,Таблица97[[#This Row],[Продажа]],"")</f>
        <v/>
      </c>
      <c r="M1879" s="108">
        <v>7542</v>
      </c>
      <c r="N1879" s="108">
        <f>Таблица97[[#This Row],[Продажа]]-Таблица97[[#This Row],[Закупка]]</f>
        <v>2130</v>
      </c>
      <c r="O1879" s="108" t="str">
        <f>IF(Таблица97[[#This Row],[НК]]=1,Таблица97[[#This Row],[Маржа]],"")</f>
        <v/>
      </c>
    </row>
    <row r="1880" spans="1:15" ht="20.100000000000001" customHeight="1" x14ac:dyDescent="0.25">
      <c r="A1880" s="2">
        <v>1061</v>
      </c>
      <c r="B1880" s="2" t="str">
        <f>TEXT(Таблица97[[#This Row],[Дата]],"ГГ")&amp;RIGHT("000"&amp;Таблица97[[#This Row],[Номер]],4)</f>
        <v>211061</v>
      </c>
      <c r="C1880" s="129">
        <v>44481</v>
      </c>
      <c r="D1880" s="2" t="s">
        <v>56</v>
      </c>
      <c r="E1880" s="108">
        <v>60638</v>
      </c>
      <c r="F1880" s="129">
        <v>44497</v>
      </c>
      <c r="H1880" s="129">
        <v>44494</v>
      </c>
      <c r="I1880" s="108">
        <f t="shared" si="90"/>
        <v>60638</v>
      </c>
      <c r="J1880" s="108" t="str">
        <f>IF(Таблица97[[#This Row],[НК]]=1,Таблица97[[#This Row],[Продажа]],"")</f>
        <v/>
      </c>
      <c r="M1880" s="108">
        <v>42765</v>
      </c>
      <c r="N1880" s="108">
        <f>Таблица97[[#This Row],[Продажа]]-Таблица97[[#This Row],[Закупка]]</f>
        <v>17873</v>
      </c>
      <c r="O1880" s="108" t="str">
        <f>IF(Таблица97[[#This Row],[НК]]=1,Таблица97[[#This Row],[Маржа]],"")</f>
        <v/>
      </c>
    </row>
    <row r="1881" spans="1:15" ht="20.100000000000001" customHeight="1" x14ac:dyDescent="0.25">
      <c r="A1881" s="2">
        <v>998</v>
      </c>
      <c r="B1881" s="2" t="str">
        <f>TEXT(Таблица97[[#This Row],[Дата]],"ГГ")&amp;RIGHT("000"&amp;Таблица97[[#This Row],[Номер]],4)</f>
        <v>210998</v>
      </c>
      <c r="C1881" s="129">
        <v>44474</v>
      </c>
      <c r="D1881" s="2" t="s">
        <v>13</v>
      </c>
      <c r="E1881" s="108">
        <v>544275.9</v>
      </c>
      <c r="F1881" s="129">
        <v>44497</v>
      </c>
      <c r="H1881" s="129">
        <v>44552</v>
      </c>
      <c r="I1881" s="108">
        <f t="shared" si="90"/>
        <v>544275.9</v>
      </c>
      <c r="J1881" s="108" t="str">
        <f>IF(Таблица97[[#This Row],[НК]]=1,Таблица97[[#This Row],[Продажа]],"")</f>
        <v/>
      </c>
      <c r="M1881" s="108">
        <v>422095</v>
      </c>
      <c r="N1881" s="108">
        <f>Таблица97[[#This Row],[Продажа]]-Таблица97[[#This Row],[Закупка]]</f>
        <v>122180.90000000002</v>
      </c>
      <c r="O1881" s="108" t="str">
        <f>IF(Таблица97[[#This Row],[НК]]=1,Таблица97[[#This Row],[Маржа]],"")</f>
        <v/>
      </c>
    </row>
    <row r="1882" spans="1:15" ht="20.100000000000001" customHeight="1" x14ac:dyDescent="0.25">
      <c r="A1882" s="2">
        <v>932</v>
      </c>
      <c r="B1882" s="2" t="str">
        <f>TEXT(Таблица97[[#This Row],[Дата]],"ГГ")&amp;RIGHT("000"&amp;Таблица97[[#This Row],[Номер]],4)</f>
        <v>210932</v>
      </c>
      <c r="C1882" s="129">
        <v>44440</v>
      </c>
      <c r="D1882" s="2" t="s">
        <v>99</v>
      </c>
      <c r="E1882" s="108">
        <v>177100</v>
      </c>
      <c r="F1882" s="129">
        <v>44497</v>
      </c>
      <c r="H1882" s="129">
        <v>44473</v>
      </c>
      <c r="I1882" s="108">
        <f t="shared" si="90"/>
        <v>177100</v>
      </c>
      <c r="J1882" s="108" t="str">
        <f>IF(Таблица97[[#This Row],[НК]]=1,Таблица97[[#This Row],[Продажа]],"")</f>
        <v/>
      </c>
      <c r="K1882" s="108">
        <v>36000</v>
      </c>
      <c r="M1882" s="108">
        <f>29753+5650</f>
        <v>35403</v>
      </c>
      <c r="N1882" s="108">
        <f>Таблица97[[#This Row],[Продажа]]-Таблица97[[#This Row],[Закупка]]</f>
        <v>141697</v>
      </c>
      <c r="O1882" s="108" t="str">
        <f>IF(Таблица97[[#This Row],[НК]]=1,Таблица97[[#This Row],[Маржа]],"")</f>
        <v/>
      </c>
    </row>
    <row r="1883" spans="1:15" ht="20.100000000000001" customHeight="1" x14ac:dyDescent="0.25">
      <c r="A1883" s="2">
        <v>1095</v>
      </c>
      <c r="B1883" s="2" t="str">
        <f>TEXT(Таблица97[[#This Row],[Дата]],"ГГ")&amp;RIGHT("000"&amp;Таблица97[[#This Row],[Номер]],4)</f>
        <v>211095</v>
      </c>
      <c r="C1883" s="129">
        <v>44491</v>
      </c>
      <c r="D1883" s="2" t="s">
        <v>13</v>
      </c>
      <c r="E1883" s="108">
        <v>10377</v>
      </c>
      <c r="F1883" s="129">
        <v>44498</v>
      </c>
      <c r="H1883" s="129">
        <v>44508</v>
      </c>
      <c r="I1883" s="108">
        <f t="shared" si="90"/>
        <v>10377</v>
      </c>
      <c r="J1883" s="108" t="str">
        <f>IF(Таблица97[[#This Row],[НК]]=1,Таблица97[[#This Row],[Продажа]],"")</f>
        <v/>
      </c>
      <c r="M1883" s="108">
        <v>6150</v>
      </c>
      <c r="N1883" s="108">
        <f>Таблица97[[#This Row],[Продажа]]-Таблица97[[#This Row],[Закупка]]</f>
        <v>4227</v>
      </c>
      <c r="O1883" s="108" t="str">
        <f>IF(Таблица97[[#This Row],[НК]]=1,Таблица97[[#This Row],[Маржа]],"")</f>
        <v/>
      </c>
    </row>
    <row r="1884" spans="1:15" ht="20.100000000000001" customHeight="1" x14ac:dyDescent="0.25">
      <c r="A1884" s="2">
        <v>1131</v>
      </c>
      <c r="B1884" s="2" t="str">
        <f>TEXT(Таблица97[[#This Row],[Дата]],"ГГ")&amp;RIGHT("000"&amp;Таблица97[[#This Row],[Номер]],4)</f>
        <v>211131</v>
      </c>
      <c r="C1884" s="129">
        <v>44498</v>
      </c>
      <c r="D1884" s="2" t="s">
        <v>206</v>
      </c>
      <c r="E1884" s="108">
        <v>4524</v>
      </c>
      <c r="F1884" s="129">
        <v>44508</v>
      </c>
      <c r="H1884" s="129">
        <v>44498</v>
      </c>
      <c r="I1884" s="108">
        <f t="shared" ref="I1884:I1907" si="91">E1884</f>
        <v>4524</v>
      </c>
      <c r="J1884" s="108" t="str">
        <f>IF(Таблица97[[#This Row],[НК]]=1,Таблица97[[#This Row],[Продажа]],"")</f>
        <v/>
      </c>
      <c r="M1884" s="108">
        <v>3528</v>
      </c>
      <c r="N1884" s="108">
        <f>Таблица97[[#This Row],[Продажа]]-Таблица97[[#This Row],[Закупка]]</f>
        <v>996</v>
      </c>
      <c r="O1884" s="108" t="str">
        <f>IF(Таблица97[[#This Row],[НК]]=1,Таблица97[[#This Row],[Маржа]],"")</f>
        <v/>
      </c>
    </row>
    <row r="1885" spans="1:15" ht="20.100000000000001" customHeight="1" x14ac:dyDescent="0.25">
      <c r="A1885" s="2">
        <v>1042</v>
      </c>
      <c r="B1885" s="2" t="str">
        <f>TEXT(Таблица97[[#This Row],[Дата]],"ГГ")&amp;RIGHT("000"&amp;Таблица97[[#This Row],[Номер]],4)</f>
        <v>211042</v>
      </c>
      <c r="C1885" s="129">
        <v>44474</v>
      </c>
      <c r="D1885" s="2" t="s">
        <v>60</v>
      </c>
      <c r="E1885" s="108">
        <v>28647</v>
      </c>
      <c r="F1885" s="129">
        <v>44509</v>
      </c>
      <c r="H1885" s="129">
        <v>44495</v>
      </c>
      <c r="I1885" s="108">
        <f t="shared" si="91"/>
        <v>28647</v>
      </c>
      <c r="J1885" s="108" t="str">
        <f>IF(Таблица97[[#This Row],[НК]]=1,Таблица97[[#This Row],[Продажа]],"")</f>
        <v/>
      </c>
      <c r="M1885" s="108">
        <v>22343</v>
      </c>
      <c r="N1885" s="108">
        <f>Таблица97[[#This Row],[Продажа]]-Таблица97[[#This Row],[Закупка]]</f>
        <v>6304</v>
      </c>
      <c r="O1885" s="108" t="str">
        <f>IF(Таблица97[[#This Row],[НК]]=1,Таблица97[[#This Row],[Маржа]],"")</f>
        <v/>
      </c>
    </row>
    <row r="1886" spans="1:15" ht="20.100000000000001" customHeight="1" x14ac:dyDescent="0.25">
      <c r="A1886" s="2">
        <v>1149</v>
      </c>
      <c r="B1886" s="2" t="str">
        <f>TEXT(Таблица97[[#This Row],[Дата]],"ГГ")&amp;RIGHT("000"&amp;Таблица97[[#This Row],[Номер]],4)</f>
        <v>211149</v>
      </c>
      <c r="C1886" s="129">
        <v>44509</v>
      </c>
      <c r="D1886" s="2" t="s">
        <v>470</v>
      </c>
      <c r="E1886" s="108">
        <v>10000</v>
      </c>
      <c r="F1886" s="129">
        <v>44509</v>
      </c>
      <c r="H1886" s="129">
        <v>44512</v>
      </c>
      <c r="I1886" s="108">
        <f t="shared" si="91"/>
        <v>10000</v>
      </c>
      <c r="J1886" s="108" t="str">
        <f>IF(Таблица97[[#This Row],[НК]]=1,Таблица97[[#This Row],[Продажа]],"")</f>
        <v/>
      </c>
      <c r="M1886" s="108">
        <v>7800</v>
      </c>
      <c r="N1886" s="108">
        <f>Таблица97[[#This Row],[Продажа]]-Таблица97[[#This Row],[Закупка]]</f>
        <v>2200</v>
      </c>
      <c r="O1886" s="108" t="str">
        <f>IF(Таблица97[[#This Row],[НК]]=1,Таблица97[[#This Row],[Маржа]],"")</f>
        <v/>
      </c>
    </row>
    <row r="1887" spans="1:15" ht="20.100000000000001" customHeight="1" x14ac:dyDescent="0.25">
      <c r="A1887" s="2">
        <v>1147</v>
      </c>
      <c r="B1887" s="2" t="str">
        <f>TEXT(Таблица97[[#This Row],[Дата]],"ГГ")&amp;RIGHT("000"&amp;Таблица97[[#This Row],[Номер]],4)</f>
        <v>211147</v>
      </c>
      <c r="C1887" s="129">
        <v>44508</v>
      </c>
      <c r="D1887" s="2" t="s">
        <v>426</v>
      </c>
      <c r="E1887" s="108">
        <v>14490</v>
      </c>
      <c r="F1887" s="129">
        <v>44510</v>
      </c>
      <c r="H1887" s="129">
        <v>44517</v>
      </c>
      <c r="I1887" s="108">
        <f t="shared" si="91"/>
        <v>14490</v>
      </c>
      <c r="J1887" s="108" t="str">
        <f>IF(Таблица97[[#This Row],[НК]]=1,Таблица97[[#This Row],[Продажа]],"")</f>
        <v/>
      </c>
      <c r="M1887" s="108">
        <v>11018</v>
      </c>
      <c r="N1887" s="108">
        <f>Таблица97[[#This Row],[Продажа]]-Таблица97[[#This Row],[Закупка]]</f>
        <v>3472</v>
      </c>
      <c r="O1887" s="108" t="str">
        <f>IF(Таблица97[[#This Row],[НК]]=1,Таблица97[[#This Row],[Маржа]],"")</f>
        <v/>
      </c>
    </row>
    <row r="1888" spans="1:15" ht="20.100000000000001" customHeight="1" x14ac:dyDescent="0.25">
      <c r="A1888" s="2">
        <v>1115</v>
      </c>
      <c r="B1888" s="2" t="str">
        <f>TEXT(Таблица97[[#This Row],[Дата]],"ГГ")&amp;RIGHT("000"&amp;Таблица97[[#This Row],[Номер]],4)</f>
        <v>211115</v>
      </c>
      <c r="C1888" s="129">
        <v>44497</v>
      </c>
      <c r="D1888" s="2" t="s">
        <v>508</v>
      </c>
      <c r="E1888" s="108">
        <v>170000</v>
      </c>
      <c r="F1888" s="129">
        <v>44510</v>
      </c>
      <c r="G1888" s="128">
        <v>1</v>
      </c>
      <c r="H1888" s="129">
        <v>44512</v>
      </c>
      <c r="I1888" s="108">
        <f t="shared" si="91"/>
        <v>170000</v>
      </c>
      <c r="J1888" s="108">
        <f>IF(Таблица97[[#This Row],[НК]]=1,Таблица97[[#This Row],[Продажа]],"")</f>
        <v>170000</v>
      </c>
      <c r="M1888" s="108">
        <v>169545</v>
      </c>
      <c r="N1888" s="108">
        <f>Таблица97[[#This Row],[Продажа]]-Таблица97[[#This Row],[Закупка]]</f>
        <v>455</v>
      </c>
      <c r="O1888" s="108">
        <f>IF(Таблица97[[#This Row],[НК]]=1,Таблица97[[#This Row],[Маржа]],"")</f>
        <v>455</v>
      </c>
    </row>
    <row r="1889" spans="1:15" ht="20.100000000000001" customHeight="1" x14ac:dyDescent="0.25">
      <c r="A1889" s="2">
        <v>1170</v>
      </c>
      <c r="B1889" s="2" t="str">
        <f>TEXT(Таблица97[[#This Row],[Дата]],"ГГ")&amp;RIGHT("000"&amp;Таблица97[[#This Row],[Номер]],4)</f>
        <v>211170</v>
      </c>
      <c r="C1889" s="129">
        <v>44511</v>
      </c>
      <c r="D1889" s="2" t="s">
        <v>372</v>
      </c>
      <c r="E1889" s="108">
        <v>6918</v>
      </c>
      <c r="F1889" s="129">
        <v>44511</v>
      </c>
      <c r="H1889" s="129">
        <v>44512</v>
      </c>
      <c r="I1889" s="108">
        <f t="shared" si="91"/>
        <v>6918</v>
      </c>
      <c r="J1889" s="108" t="str">
        <f>IF(Таблица97[[#This Row],[НК]]=1,Таблица97[[#This Row],[Продажа]],"")</f>
        <v/>
      </c>
      <c r="M1889" s="108">
        <v>5200</v>
      </c>
      <c r="N1889" s="108">
        <f>Таблица97[[#This Row],[Продажа]]-Таблица97[[#This Row],[Закупка]]</f>
        <v>1718</v>
      </c>
      <c r="O1889" s="108" t="str">
        <f>IF(Таблица97[[#This Row],[НК]]=1,Таблица97[[#This Row],[Маржа]],"")</f>
        <v/>
      </c>
    </row>
    <row r="1890" spans="1:15" ht="20.100000000000001" customHeight="1" x14ac:dyDescent="0.25">
      <c r="A1890" s="2">
        <v>1169</v>
      </c>
      <c r="B1890" s="2" t="str">
        <f>TEXT(Таблица97[[#This Row],[Дата]],"ГГ")&amp;RIGHT("000"&amp;Таблица97[[#This Row],[Номер]],4)</f>
        <v>211169</v>
      </c>
      <c r="C1890" s="129">
        <v>44511</v>
      </c>
      <c r="D1890" s="2" t="s">
        <v>77</v>
      </c>
      <c r="E1890" s="108">
        <v>6341</v>
      </c>
      <c r="F1890" s="129">
        <v>44512</v>
      </c>
      <c r="H1890" s="129">
        <v>44512</v>
      </c>
      <c r="I1890" s="108">
        <f t="shared" si="91"/>
        <v>6341</v>
      </c>
      <c r="J1890" s="108" t="str">
        <f>IF(Таблица97[[#This Row],[НК]]=1,Таблица97[[#This Row],[Продажа]],"")</f>
        <v/>
      </c>
      <c r="M1890" s="108">
        <v>4945</v>
      </c>
      <c r="N1890" s="108">
        <f>Таблица97[[#This Row],[Продажа]]-Таблица97[[#This Row],[Закупка]]</f>
        <v>1396</v>
      </c>
      <c r="O1890" s="108" t="str">
        <f>IF(Таблица97[[#This Row],[НК]]=1,Таблица97[[#This Row],[Маржа]],"")</f>
        <v/>
      </c>
    </row>
    <row r="1891" spans="1:15" ht="19.5" customHeight="1" x14ac:dyDescent="0.25">
      <c r="A1891" s="2">
        <v>984</v>
      </c>
      <c r="B1891" s="2" t="str">
        <f>TEXT(Таблица97[[#This Row],[Дата]],"ГГ")&amp;RIGHT("000"&amp;Таблица97[[#This Row],[Номер]],4)</f>
        <v>210984</v>
      </c>
      <c r="C1891" s="129">
        <v>44453</v>
      </c>
      <c r="D1891" s="2" t="s">
        <v>65</v>
      </c>
      <c r="E1891" s="108">
        <v>97728</v>
      </c>
      <c r="F1891" s="129">
        <v>44512</v>
      </c>
      <c r="H1891" s="129">
        <v>44481</v>
      </c>
      <c r="I1891" s="108">
        <f t="shared" si="91"/>
        <v>97728</v>
      </c>
      <c r="J1891" s="108" t="str">
        <f>IF(Таблица97[[#This Row],[НК]]=1,Таблица97[[#This Row],[Продажа]],"")</f>
        <v/>
      </c>
      <c r="M1891" s="108">
        <f>34704+7400</f>
        <v>42104</v>
      </c>
      <c r="N1891" s="108">
        <f>Таблица97[[#This Row],[Продажа]]-Таблица97[[#This Row],[Закупка]]</f>
        <v>55624</v>
      </c>
      <c r="O1891" s="108" t="str">
        <f>IF(Таблица97[[#This Row],[НК]]=1,Таблица97[[#This Row],[Маржа]],"")</f>
        <v/>
      </c>
    </row>
    <row r="1892" spans="1:15" ht="19.5" customHeight="1" x14ac:dyDescent="0.25">
      <c r="A1892" s="2">
        <v>1175</v>
      </c>
      <c r="B1892" s="2" t="str">
        <f>TEXT(Таблица97[[#This Row],[Дата]],"ГГ")&amp;RIGHT("000"&amp;Таблица97[[#This Row],[Номер]],4)</f>
        <v>211175</v>
      </c>
      <c r="C1892" s="129">
        <v>44512</v>
      </c>
      <c r="D1892" s="2" t="s">
        <v>124</v>
      </c>
      <c r="E1892" s="108">
        <v>2000</v>
      </c>
      <c r="F1892" s="129">
        <v>44515</v>
      </c>
      <c r="H1892" s="129">
        <v>44522</v>
      </c>
      <c r="I1892" s="108">
        <f t="shared" si="91"/>
        <v>2000</v>
      </c>
      <c r="J1892" s="108" t="str">
        <f>IF(Таблица97[[#This Row],[НК]]=1,Таблица97[[#This Row],[Продажа]],"")</f>
        <v/>
      </c>
      <c r="M1892" s="108">
        <v>1430</v>
      </c>
      <c r="N1892" s="108">
        <f>Таблица97[[#This Row],[Продажа]]-Таблица97[[#This Row],[Закупка]]</f>
        <v>570</v>
      </c>
      <c r="O1892" s="108" t="str">
        <f>IF(Таблица97[[#This Row],[НК]]=1,Таблица97[[#This Row],[Маржа]],"")</f>
        <v/>
      </c>
    </row>
    <row r="1893" spans="1:15" ht="19.5" customHeight="1" x14ac:dyDescent="0.25">
      <c r="A1893" s="2">
        <v>1157</v>
      </c>
      <c r="B1893" s="2" t="str">
        <f>TEXT(Таблица97[[#This Row],[Дата]],"ГГ")&amp;RIGHT("000"&amp;Таблица97[[#This Row],[Номер]],4)</f>
        <v>211157</v>
      </c>
      <c r="C1893" s="129">
        <v>44510</v>
      </c>
      <c r="D1893" s="2" t="s">
        <v>509</v>
      </c>
      <c r="E1893" s="108">
        <v>15182</v>
      </c>
      <c r="F1893" s="129">
        <v>44515</v>
      </c>
      <c r="H1893" s="129">
        <v>44518</v>
      </c>
      <c r="I1893" s="108">
        <f t="shared" si="91"/>
        <v>15182</v>
      </c>
      <c r="J1893" s="108" t="str">
        <f>IF(Таблица97[[#This Row],[НК]]=1,Таблица97[[#This Row],[Продажа]],"")</f>
        <v/>
      </c>
      <c r="L1893" s="108">
        <v>2400</v>
      </c>
      <c r="M1893" s="108">
        <v>7688</v>
      </c>
      <c r="N1893" s="108">
        <f>Таблица97[[#This Row],[Продажа]]-Таблица97[[#This Row],[Закупка]]</f>
        <v>7494</v>
      </c>
      <c r="O1893" s="108" t="str">
        <f>IF(Таблица97[[#This Row],[НК]]=1,Таблица97[[#This Row],[Маржа]],"")</f>
        <v/>
      </c>
    </row>
    <row r="1894" spans="1:15" ht="19.5" customHeight="1" x14ac:dyDescent="0.25">
      <c r="A1894" s="2">
        <v>1188</v>
      </c>
      <c r="B1894" s="2" t="str">
        <f>TEXT(Таблица97[[#This Row],[Дата]],"ГГ")&amp;RIGHT("000"&amp;Таблица97[[#This Row],[Номер]],4)</f>
        <v>211188</v>
      </c>
      <c r="C1894" s="129">
        <v>44516</v>
      </c>
      <c r="D1894" s="2" t="s">
        <v>16</v>
      </c>
      <c r="E1894" s="108">
        <v>21525</v>
      </c>
      <c r="F1894" s="129">
        <v>44517</v>
      </c>
      <c r="H1894" s="129">
        <v>44519</v>
      </c>
      <c r="I1894" s="108">
        <f t="shared" si="91"/>
        <v>21525</v>
      </c>
      <c r="J1894" s="108" t="str">
        <f>IF(Таблица97[[#This Row],[НК]]=1,Таблица97[[#This Row],[Продажа]],"")</f>
        <v/>
      </c>
      <c r="M1894" s="108">
        <v>16426</v>
      </c>
      <c r="N1894" s="108">
        <f>Таблица97[[#This Row],[Продажа]]-Таблица97[[#This Row],[Закупка]]</f>
        <v>5099</v>
      </c>
      <c r="O1894" s="108" t="str">
        <f>IF(Таблица97[[#This Row],[НК]]=1,Таблица97[[#This Row],[Маржа]],"")</f>
        <v/>
      </c>
    </row>
    <row r="1895" spans="1:15" ht="20.100000000000001" customHeight="1" x14ac:dyDescent="0.25">
      <c r="A1895" s="2">
        <v>1049</v>
      </c>
      <c r="B1895" s="2" t="str">
        <f>TEXT(Таблица97[[#This Row],[Дата]],"ГГ")&amp;RIGHT("000"&amp;Таблица97[[#This Row],[Номер]],4)</f>
        <v>211049</v>
      </c>
      <c r="C1895" s="129">
        <v>44477</v>
      </c>
      <c r="D1895" s="2" t="s">
        <v>275</v>
      </c>
      <c r="E1895" s="108">
        <v>9000</v>
      </c>
      <c r="F1895" s="129">
        <v>44518</v>
      </c>
      <c r="H1895" s="129">
        <v>44489</v>
      </c>
      <c r="I1895" s="108">
        <f t="shared" si="91"/>
        <v>9000</v>
      </c>
      <c r="J1895" s="108" t="str">
        <f>IF(Таблица97[[#This Row],[НК]]=1,Таблица97[[#This Row],[Продажа]],"")</f>
        <v/>
      </c>
      <c r="L1895" s="108">
        <v>1200</v>
      </c>
      <c r="M1895" s="108">
        <v>2774</v>
      </c>
      <c r="N1895" s="108">
        <f>Таблица97[[#This Row],[Продажа]]-Таблица97[[#This Row],[Закупка]]</f>
        <v>6226</v>
      </c>
      <c r="O1895" s="108" t="str">
        <f>IF(Таблица97[[#This Row],[НК]]=1,Таблица97[[#This Row],[Маржа]],"")</f>
        <v/>
      </c>
    </row>
    <row r="1896" spans="1:15" ht="20.100000000000001" customHeight="1" x14ac:dyDescent="0.25">
      <c r="A1896" s="2">
        <v>1198</v>
      </c>
      <c r="B1896" s="2" t="str">
        <f>TEXT(Таблица97[[#This Row],[Дата]],"ГГ")&amp;RIGHT("000"&amp;Таблица97[[#This Row],[Номер]],4)</f>
        <v>211198</v>
      </c>
      <c r="C1896" s="129">
        <v>44518</v>
      </c>
      <c r="D1896" s="2" t="s">
        <v>16</v>
      </c>
      <c r="E1896" s="108">
        <v>8940</v>
      </c>
      <c r="F1896" s="129">
        <v>44518</v>
      </c>
      <c r="H1896" s="129">
        <v>44519</v>
      </c>
      <c r="I1896" s="108">
        <f t="shared" si="91"/>
        <v>8940</v>
      </c>
      <c r="J1896" s="108" t="str">
        <f>IF(Таблица97[[#This Row],[НК]]=1,Таблица97[[#This Row],[Продажа]],"")</f>
        <v/>
      </c>
      <c r="M1896" s="108">
        <v>5046</v>
      </c>
      <c r="N1896" s="108">
        <f>Таблица97[[#This Row],[Продажа]]-Таблица97[[#This Row],[Закупка]]</f>
        <v>3894</v>
      </c>
      <c r="O1896" s="108" t="str">
        <f>IF(Таблица97[[#This Row],[НК]]=1,Таблица97[[#This Row],[Маржа]],"")</f>
        <v/>
      </c>
    </row>
    <row r="1897" spans="1:15" ht="20.100000000000001" customHeight="1" x14ac:dyDescent="0.25">
      <c r="A1897" s="2">
        <v>1206</v>
      </c>
      <c r="B1897" s="2" t="str">
        <f>TEXT(Таблица97[[#This Row],[Дата]],"ГГ")&amp;RIGHT("000"&amp;Таблица97[[#This Row],[Номер]],4)</f>
        <v>211206</v>
      </c>
      <c r="C1897" s="129">
        <v>44518</v>
      </c>
      <c r="D1897" s="2" t="s">
        <v>510</v>
      </c>
      <c r="E1897" s="108">
        <v>1536</v>
      </c>
      <c r="F1897" s="129">
        <v>44519</v>
      </c>
      <c r="G1897" s="128">
        <v>1</v>
      </c>
      <c r="H1897" s="129">
        <v>44519</v>
      </c>
      <c r="I1897" s="108">
        <f t="shared" si="91"/>
        <v>1536</v>
      </c>
      <c r="J1897" s="108">
        <f>IF(Таблица97[[#This Row],[НК]]=1,Таблица97[[#This Row],[Продажа]],"")</f>
        <v>1536</v>
      </c>
      <c r="M1897" s="108">
        <f>591*2</f>
        <v>1182</v>
      </c>
      <c r="N1897" s="108">
        <f>Таблица97[[#This Row],[Продажа]]-Таблица97[[#This Row],[Закупка]]</f>
        <v>354</v>
      </c>
      <c r="O1897" s="108">
        <f>IF(Таблица97[[#This Row],[НК]]=1,Таблица97[[#This Row],[Маржа]],"")</f>
        <v>354</v>
      </c>
    </row>
    <row r="1898" spans="1:15" ht="19.5" customHeight="1" x14ac:dyDescent="0.25">
      <c r="A1898" s="2">
        <v>1177</v>
      </c>
      <c r="B1898" s="2" t="str">
        <f>TEXT(Таблица97[[#This Row],[Дата]],"ГГ")&amp;RIGHT("000"&amp;Таблица97[[#This Row],[Номер]],4)</f>
        <v>211177</v>
      </c>
      <c r="C1898" s="129">
        <v>44515</v>
      </c>
      <c r="D1898" s="2" t="s">
        <v>281</v>
      </c>
      <c r="E1898" s="108">
        <v>3537</v>
      </c>
      <c r="F1898" s="129">
        <v>44522</v>
      </c>
      <c r="H1898" s="129">
        <v>44515</v>
      </c>
      <c r="I1898" s="108">
        <f t="shared" si="91"/>
        <v>3537</v>
      </c>
      <c r="J1898" s="108" t="str">
        <f>IF(Таблица97[[#This Row],[НК]]=1,Таблица97[[#This Row],[Продажа]],"")</f>
        <v/>
      </c>
      <c r="M1898" s="108">
        <v>2714</v>
      </c>
      <c r="N1898" s="108">
        <f>Таблица97[[#This Row],[Продажа]]-Таблица97[[#This Row],[Закупка]]</f>
        <v>823</v>
      </c>
      <c r="O1898" s="108" t="str">
        <f>IF(Таблица97[[#This Row],[НК]]=1,Таблица97[[#This Row],[Маржа]],"")</f>
        <v/>
      </c>
    </row>
    <row r="1899" spans="1:15" ht="19.5" customHeight="1" x14ac:dyDescent="0.25">
      <c r="A1899" s="2">
        <v>1208</v>
      </c>
      <c r="B1899" s="2" t="str">
        <f>TEXT(Таблица97[[#This Row],[Дата]],"ГГ")&amp;RIGHT("000"&amp;Таблица97[[#This Row],[Номер]],4)</f>
        <v>211208</v>
      </c>
      <c r="C1899" s="129">
        <v>44519</v>
      </c>
      <c r="D1899" s="2" t="s">
        <v>403</v>
      </c>
      <c r="E1899" s="108">
        <v>4715</v>
      </c>
      <c r="F1899" s="129">
        <v>44522</v>
      </c>
      <c r="H1899" s="129">
        <v>44526</v>
      </c>
      <c r="I1899" s="108">
        <f t="shared" si="91"/>
        <v>4715</v>
      </c>
      <c r="J1899" s="108" t="str">
        <f>IF(Таблица97[[#This Row],[НК]]=1,Таблица97[[#This Row],[Продажа]],"")</f>
        <v/>
      </c>
      <c r="M1899" s="108">
        <v>3484</v>
      </c>
      <c r="N1899" s="108">
        <f>Таблица97[[#This Row],[Продажа]]-Таблица97[[#This Row],[Закупка]]</f>
        <v>1231</v>
      </c>
      <c r="O1899" s="108" t="str">
        <f>IF(Таблица97[[#This Row],[НК]]=1,Таблица97[[#This Row],[Маржа]],"")</f>
        <v/>
      </c>
    </row>
    <row r="1900" spans="1:15" ht="20.100000000000001" customHeight="1" x14ac:dyDescent="0.25">
      <c r="A1900" s="2">
        <v>1145</v>
      </c>
      <c r="B1900" s="2" t="str">
        <f>TEXT(Таблица97[[#This Row],[Дата]],"ГГ")&amp;RIGHT("000"&amp;Таблица97[[#This Row],[Номер]],4)</f>
        <v>211145</v>
      </c>
      <c r="C1900" s="129">
        <v>44508</v>
      </c>
      <c r="D1900" s="2" t="s">
        <v>60</v>
      </c>
      <c r="E1900" s="108">
        <v>4398</v>
      </c>
      <c r="F1900" s="129">
        <v>44523</v>
      </c>
      <c r="H1900" s="129">
        <v>44509</v>
      </c>
      <c r="I1900" s="108">
        <f t="shared" si="91"/>
        <v>4398</v>
      </c>
      <c r="J1900" s="108" t="str">
        <f>IF(Таблица97[[#This Row],[НК]]=1,Таблица97[[#This Row],[Продажа]],"")</f>
        <v/>
      </c>
      <c r="M1900" s="108">
        <v>2446</v>
      </c>
      <c r="N1900" s="108">
        <f>Таблица97[[#This Row],[Продажа]]-Таблица97[[#This Row],[Закупка]]</f>
        <v>1952</v>
      </c>
      <c r="O1900" s="108" t="str">
        <f>IF(Таблица97[[#This Row],[НК]]=1,Таблица97[[#This Row],[Маржа]],"")</f>
        <v/>
      </c>
    </row>
    <row r="1901" spans="1:15" ht="20.100000000000001" customHeight="1" x14ac:dyDescent="0.25">
      <c r="A1901" s="2">
        <v>1213</v>
      </c>
      <c r="B1901" s="2" t="str">
        <f>TEXT(Таблица97[[#This Row],[Дата]],"ГГ")&amp;RIGHT("000"&amp;Таблица97[[#This Row],[Номер]],4)</f>
        <v>211213</v>
      </c>
      <c r="C1901" s="129">
        <v>44523</v>
      </c>
      <c r="D1901" s="2" t="s">
        <v>496</v>
      </c>
      <c r="E1901" s="108">
        <v>2840.5</v>
      </c>
      <c r="F1901" s="129">
        <v>44523</v>
      </c>
      <c r="H1901" s="129">
        <v>44524</v>
      </c>
      <c r="I1901" s="108">
        <f t="shared" si="91"/>
        <v>2840.5</v>
      </c>
      <c r="J1901" s="108" t="str">
        <f>IF(Таблица97[[#This Row],[НК]]=1,Таблица97[[#This Row],[Продажа]],"")</f>
        <v/>
      </c>
      <c r="M1901" s="108">
        <v>2332</v>
      </c>
      <c r="N1901" s="108">
        <f>Таблица97[[#This Row],[Продажа]]-Таблица97[[#This Row],[Закупка]]</f>
        <v>508.5</v>
      </c>
      <c r="O1901" s="108" t="str">
        <f>IF(Таблица97[[#This Row],[НК]]=1,Таблица97[[#This Row],[Маржа]],"")</f>
        <v/>
      </c>
    </row>
    <row r="1902" spans="1:15" ht="20.100000000000001" customHeight="1" x14ac:dyDescent="0.25">
      <c r="A1902" s="2">
        <v>1212</v>
      </c>
      <c r="B1902" s="2" t="str">
        <f>TEXT(Таблица97[[#This Row],[Дата]],"ГГ")&amp;RIGHT("000"&amp;Таблица97[[#This Row],[Номер]],4)</f>
        <v>211212</v>
      </c>
      <c r="C1902" s="129">
        <v>44523</v>
      </c>
      <c r="D1902" s="2" t="s">
        <v>468</v>
      </c>
      <c r="E1902" s="108">
        <v>9918</v>
      </c>
      <c r="F1902" s="129">
        <v>44524</v>
      </c>
      <c r="H1902" s="129">
        <v>44557</v>
      </c>
      <c r="I1902" s="108">
        <f t="shared" si="91"/>
        <v>9918</v>
      </c>
      <c r="J1902" s="108" t="str">
        <f>IF(Таблица97[[#This Row],[НК]]=1,Таблица97[[#This Row],[Продажа]],"")</f>
        <v/>
      </c>
      <c r="M1902" s="108">
        <v>6546</v>
      </c>
      <c r="N1902" s="108">
        <f>Таблица97[[#This Row],[Продажа]]-Таблица97[[#This Row],[Закупка]]</f>
        <v>3372</v>
      </c>
      <c r="O1902" s="108" t="str">
        <f>IF(Таблица97[[#This Row],[НК]]=1,Таблица97[[#This Row],[Маржа]],"")</f>
        <v/>
      </c>
    </row>
    <row r="1903" spans="1:15" ht="20.100000000000001" customHeight="1" x14ac:dyDescent="0.25">
      <c r="A1903" s="2">
        <v>1214</v>
      </c>
      <c r="B1903" s="2" t="str">
        <f>TEXT(Таблица97[[#This Row],[Дата]],"ГГ")&amp;RIGHT("000"&amp;Таблица97[[#This Row],[Номер]],4)</f>
        <v>211214</v>
      </c>
      <c r="C1903" s="129">
        <v>44523</v>
      </c>
      <c r="D1903" s="2" t="s">
        <v>481</v>
      </c>
      <c r="E1903" s="108">
        <v>921</v>
      </c>
      <c r="F1903" s="129">
        <v>44524</v>
      </c>
      <c r="H1903" s="129">
        <v>44571</v>
      </c>
      <c r="I1903" s="108">
        <f t="shared" si="91"/>
        <v>921</v>
      </c>
      <c r="J1903" s="108" t="str">
        <f>IF(Таблица97[[#This Row],[НК]]=1,Таблица97[[#This Row],[Продажа]],"")</f>
        <v/>
      </c>
      <c r="M1903" s="108">
        <v>718</v>
      </c>
      <c r="N1903" s="108">
        <f>Таблица97[[#This Row],[Продажа]]-Таблица97[[#This Row],[Закупка]]</f>
        <v>203</v>
      </c>
      <c r="O1903" s="108" t="str">
        <f>IF(Таблица97[[#This Row],[НК]]=1,Таблица97[[#This Row],[Маржа]],"")</f>
        <v/>
      </c>
    </row>
    <row r="1904" spans="1:15" ht="20.100000000000001" customHeight="1" x14ac:dyDescent="0.25">
      <c r="A1904" s="2">
        <v>1088</v>
      </c>
      <c r="B1904" s="2" t="str">
        <f>TEXT(Таблица97[[#This Row],[Дата]],"ГГ")&amp;RIGHT("000"&amp;Таблица97[[#This Row],[Номер]],4)</f>
        <v>211088</v>
      </c>
      <c r="C1904" s="129">
        <v>44488</v>
      </c>
      <c r="D1904" s="2" t="s">
        <v>99</v>
      </c>
      <c r="E1904" s="108">
        <v>259900</v>
      </c>
      <c r="F1904" s="129">
        <v>44525</v>
      </c>
      <c r="H1904" s="129">
        <v>44496</v>
      </c>
      <c r="I1904" s="108">
        <f t="shared" si="91"/>
        <v>259900</v>
      </c>
      <c r="J1904" s="108" t="str">
        <f>IF(Таблица97[[#This Row],[НК]]=1,Таблица97[[#This Row],[Продажа]],"")</f>
        <v/>
      </c>
      <c r="K1904" s="108">
        <v>54000</v>
      </c>
      <c r="M1904" s="108">
        <f>37471.51+9000</f>
        <v>46471.51</v>
      </c>
      <c r="N1904" s="108">
        <f>Таблица97[[#This Row],[Продажа]]-Таблица97[[#This Row],[Закупка]]</f>
        <v>213428.49</v>
      </c>
      <c r="O1904" s="108" t="str">
        <f>IF(Таблица97[[#This Row],[НК]]=1,Таблица97[[#This Row],[Маржа]],"")</f>
        <v/>
      </c>
    </row>
    <row r="1905" spans="1:15" ht="20.100000000000001" customHeight="1" x14ac:dyDescent="0.25">
      <c r="A1905" s="2">
        <v>1183</v>
      </c>
      <c r="B1905" s="2" t="str">
        <f>TEXT(Таблица97[[#This Row],[Дата]],"ГГ")&amp;RIGHT("000"&amp;Таблица97[[#This Row],[Номер]],4)</f>
        <v>211183</v>
      </c>
      <c r="C1905" s="129">
        <v>44515</v>
      </c>
      <c r="D1905" s="2" t="s">
        <v>450</v>
      </c>
      <c r="E1905" s="108">
        <v>525</v>
      </c>
      <c r="F1905" s="129">
        <v>44525</v>
      </c>
      <c r="H1905" s="129">
        <v>44579</v>
      </c>
      <c r="I1905" s="108">
        <f t="shared" si="91"/>
        <v>525</v>
      </c>
      <c r="J1905" s="108" t="str">
        <f>IF(Таблица97[[#This Row],[НК]]=1,Таблица97[[#This Row],[Продажа]],"")</f>
        <v/>
      </c>
      <c r="M1905" s="108">
        <v>299</v>
      </c>
      <c r="N1905" s="108">
        <f>Таблица97[[#This Row],[Продажа]]-Таблица97[[#This Row],[Закупка]]</f>
        <v>226</v>
      </c>
      <c r="O1905" s="108" t="str">
        <f>IF(Таблица97[[#This Row],[НК]]=1,Таблица97[[#This Row],[Маржа]],"")</f>
        <v/>
      </c>
    </row>
    <row r="1906" spans="1:15" ht="20.100000000000001" customHeight="1" x14ac:dyDescent="0.25">
      <c r="A1906" s="2">
        <v>1223</v>
      </c>
      <c r="B1906" s="2" t="str">
        <f>TEXT(Таблица97[[#This Row],[Дата]],"ГГ")&amp;RIGHT("000"&amp;Таблица97[[#This Row],[Номер]],4)</f>
        <v>211223</v>
      </c>
      <c r="C1906" s="129">
        <v>44525</v>
      </c>
      <c r="D1906" s="2" t="s">
        <v>444</v>
      </c>
      <c r="E1906" s="108">
        <v>1950</v>
      </c>
      <c r="F1906" s="129">
        <v>44526</v>
      </c>
      <c r="H1906" s="129">
        <v>44526</v>
      </c>
      <c r="I1906" s="108">
        <f t="shared" si="91"/>
        <v>1950</v>
      </c>
      <c r="J1906" s="108" t="str">
        <f>IF(Таблица97[[#This Row],[НК]]=1,Таблица97[[#This Row],[Продажа]],"")</f>
        <v/>
      </c>
      <c r="M1906" s="108">
        <v>1521</v>
      </c>
      <c r="N1906" s="108">
        <f>Таблица97[[#This Row],[Продажа]]-Таблица97[[#This Row],[Закупка]]</f>
        <v>429</v>
      </c>
      <c r="O1906" s="108" t="str">
        <f>IF(Таблица97[[#This Row],[НК]]=1,Таблица97[[#This Row],[Маржа]],"")</f>
        <v/>
      </c>
    </row>
    <row r="1907" spans="1:15" ht="20.100000000000001" customHeight="1" x14ac:dyDescent="0.25">
      <c r="A1907" s="2">
        <v>1222</v>
      </c>
      <c r="B1907" s="2" t="str">
        <f>TEXT(Таблица97[[#This Row],[Дата]],"ГГ")&amp;RIGHT("000"&amp;Таблица97[[#This Row],[Номер]],4)</f>
        <v>211222</v>
      </c>
      <c r="C1907" s="129">
        <v>44525</v>
      </c>
      <c r="D1907" s="2" t="s">
        <v>278</v>
      </c>
      <c r="E1907" s="108">
        <v>23301</v>
      </c>
      <c r="F1907" s="129">
        <v>44530</v>
      </c>
      <c r="H1907" s="129">
        <v>44531</v>
      </c>
      <c r="I1907" s="108">
        <f t="shared" si="91"/>
        <v>23301</v>
      </c>
      <c r="J1907" s="108" t="str">
        <f>IF(Таблица97[[#This Row],[НК]]=1,Таблица97[[#This Row],[Продажа]],"")</f>
        <v/>
      </c>
      <c r="M1907" s="108">
        <v>14768</v>
      </c>
      <c r="N1907" s="108">
        <f>Таблица97[[#This Row],[Продажа]]-Таблица97[[#This Row],[Закупка]]</f>
        <v>8533</v>
      </c>
      <c r="O1907" s="108" t="str">
        <f>IF(Таблица97[[#This Row],[НК]]=1,Таблица97[[#This Row],[Маржа]],"")</f>
        <v/>
      </c>
    </row>
    <row r="1908" spans="1:15" ht="19.5" customHeight="1" x14ac:dyDescent="0.25">
      <c r="A1908" s="2">
        <v>1239</v>
      </c>
      <c r="B1908" s="2" t="str">
        <f>TEXT(Таблица97[[#This Row],[Дата]],"ГГ")&amp;RIGHT("000"&amp;Таблица97[[#This Row],[Номер]],4)</f>
        <v>211239</v>
      </c>
      <c r="C1908" s="129">
        <v>44530</v>
      </c>
      <c r="D1908" s="2" t="s">
        <v>149</v>
      </c>
      <c r="E1908" s="108">
        <v>8328</v>
      </c>
      <c r="F1908" s="129">
        <v>44531</v>
      </c>
      <c r="H1908" s="129">
        <v>44532</v>
      </c>
      <c r="I1908" s="108">
        <f t="shared" ref="I1908:I1930" si="92">E1908</f>
        <v>8328</v>
      </c>
      <c r="J1908" s="108" t="str">
        <f>IF(Таблица97[[#This Row],[НК]]=1,Таблица97[[#This Row],[Продажа]],"")</f>
        <v/>
      </c>
      <c r="M1908" s="108">
        <v>4875</v>
      </c>
      <c r="N1908" s="108">
        <f>Таблица97[[#This Row],[Продажа]]-Таблица97[[#This Row],[Закупка]]</f>
        <v>3453</v>
      </c>
      <c r="O1908" s="108" t="str">
        <f>IF(Таблица97[[#This Row],[НК]]=1,Таблица97[[#This Row],[Маржа]],"")</f>
        <v/>
      </c>
    </row>
    <row r="1909" spans="1:15" ht="19.5" customHeight="1" x14ac:dyDescent="0.25">
      <c r="A1909" s="2">
        <v>1240</v>
      </c>
      <c r="B1909" s="2" t="str">
        <f>TEXT(Таблица97[[#This Row],[Дата]],"ГГ")&amp;RIGHT("000"&amp;Таблица97[[#This Row],[Номер]],4)</f>
        <v>211240</v>
      </c>
      <c r="C1909" s="129">
        <v>44531</v>
      </c>
      <c r="D1909" s="2" t="s">
        <v>404</v>
      </c>
      <c r="E1909" s="108">
        <v>34866</v>
      </c>
      <c r="F1909" s="129">
        <v>44531</v>
      </c>
      <c r="H1909" s="129">
        <v>44536</v>
      </c>
      <c r="I1909" s="108">
        <f t="shared" si="92"/>
        <v>34866</v>
      </c>
      <c r="J1909" s="108" t="str">
        <f>IF(Таблица97[[#This Row],[НК]]=1,Таблица97[[#This Row],[Продажа]],"")</f>
        <v/>
      </c>
      <c r="M1909" s="108">
        <v>25858</v>
      </c>
      <c r="N1909" s="108">
        <f>Таблица97[[#This Row],[Продажа]]-Таблица97[[#This Row],[Закупка]]</f>
        <v>9008</v>
      </c>
      <c r="O1909" s="108" t="str">
        <f>IF(Таблица97[[#This Row],[НК]]=1,Таблица97[[#This Row],[Маржа]],"")</f>
        <v/>
      </c>
    </row>
    <row r="1910" spans="1:15" ht="20.100000000000001" customHeight="1" x14ac:dyDescent="0.25">
      <c r="A1910" s="2">
        <v>1196</v>
      </c>
      <c r="B1910" s="2" t="str">
        <f>TEXT(Таблица97[[#This Row],[Дата]],"ГГ")&amp;RIGHT("000"&amp;Таблица97[[#This Row],[Номер]],4)</f>
        <v>211196</v>
      </c>
      <c r="C1910" s="129">
        <v>44517</v>
      </c>
      <c r="D1910" s="2" t="s">
        <v>60</v>
      </c>
      <c r="E1910" s="108">
        <v>3660</v>
      </c>
      <c r="F1910" s="129">
        <v>44532</v>
      </c>
      <c r="H1910" s="129">
        <v>44518</v>
      </c>
      <c r="I1910" s="108">
        <f t="shared" si="92"/>
        <v>3660</v>
      </c>
      <c r="J1910" s="108" t="str">
        <f>IF(Таблица97[[#This Row],[НК]]=1,Таблица97[[#This Row],[Продажа]],"")</f>
        <v/>
      </c>
      <c r="M1910" s="108">
        <v>2594</v>
      </c>
      <c r="N1910" s="108">
        <f>Таблица97[[#This Row],[Продажа]]-Таблица97[[#This Row],[Закупка]]</f>
        <v>1066</v>
      </c>
      <c r="O1910" s="108" t="str">
        <f>IF(Таблица97[[#This Row],[НК]]=1,Таблица97[[#This Row],[Маржа]],"")</f>
        <v/>
      </c>
    </row>
    <row r="1911" spans="1:15" ht="19.5" customHeight="1" x14ac:dyDescent="0.25">
      <c r="A1911" s="2">
        <v>1259</v>
      </c>
      <c r="B1911" s="2" t="str">
        <f>TEXT(Таблица97[[#This Row],[Дата]],"ГГ")&amp;RIGHT("000"&amp;Таблица97[[#This Row],[Номер]],4)</f>
        <v>211259</v>
      </c>
      <c r="C1911" s="129">
        <v>44532</v>
      </c>
      <c r="D1911" s="2" t="s">
        <v>83</v>
      </c>
      <c r="E1911" s="108">
        <v>18719</v>
      </c>
      <c r="F1911" s="129">
        <v>44533</v>
      </c>
      <c r="H1911" s="129">
        <v>44558</v>
      </c>
      <c r="I1911" s="108">
        <f t="shared" si="92"/>
        <v>18719</v>
      </c>
      <c r="J1911" s="108" t="str">
        <f>IF(Таблица97[[#This Row],[НК]]=1,Таблица97[[#This Row],[Продажа]],"")</f>
        <v/>
      </c>
      <c r="M1911" s="108">
        <v>9112</v>
      </c>
      <c r="N1911" s="108">
        <f>Таблица97[[#This Row],[Продажа]]-Таблица97[[#This Row],[Закупка]]</f>
        <v>9607</v>
      </c>
      <c r="O1911" s="108" t="str">
        <f>IF(Таблица97[[#This Row],[НК]]=1,Таблица97[[#This Row],[Маржа]],"")</f>
        <v/>
      </c>
    </row>
    <row r="1912" spans="1:15" ht="19.5" customHeight="1" x14ac:dyDescent="0.25">
      <c r="A1912" s="2">
        <v>1184</v>
      </c>
      <c r="B1912" s="2" t="str">
        <f>TEXT(Таблица97[[#This Row],[Дата]],"ГГ")&amp;RIGHT("000"&amp;Таблица97[[#This Row],[Номер]],4)</f>
        <v>211184</v>
      </c>
      <c r="C1912" s="129">
        <v>44531</v>
      </c>
      <c r="D1912" s="2">
        <v>2019</v>
      </c>
      <c r="E1912" s="108">
        <v>3000</v>
      </c>
      <c r="F1912" s="129">
        <v>44536</v>
      </c>
      <c r="H1912" s="129">
        <v>44536</v>
      </c>
      <c r="I1912" s="108">
        <f t="shared" si="92"/>
        <v>3000</v>
      </c>
      <c r="J1912" s="108" t="str">
        <f>IF(Таблица97[[#This Row],[НК]]=1,Таблица97[[#This Row],[Продажа]],"")</f>
        <v/>
      </c>
      <c r="M1912" s="108">
        <v>1350</v>
      </c>
      <c r="N1912" s="108">
        <f>Таблица97[[#This Row],[Продажа]]-Таблица97[[#This Row],[Закупка]]</f>
        <v>1650</v>
      </c>
      <c r="O1912" s="108" t="str">
        <f>IF(Таблица97[[#This Row],[НК]]=1,Таблица97[[#This Row],[Маржа]],"")</f>
        <v/>
      </c>
    </row>
    <row r="1913" spans="1:15" ht="19.5" customHeight="1" x14ac:dyDescent="0.25">
      <c r="A1913" s="2">
        <v>1271</v>
      </c>
      <c r="B1913" s="2" t="str">
        <f>TEXT(Таблица97[[#This Row],[Дата]],"ГГ")&amp;RIGHT("000"&amp;Таблица97[[#This Row],[Номер]],4)</f>
        <v>211271</v>
      </c>
      <c r="C1913" s="129">
        <v>44536</v>
      </c>
      <c r="D1913" s="2" t="s">
        <v>124</v>
      </c>
      <c r="E1913" s="108">
        <v>2000</v>
      </c>
      <c r="F1913" s="129">
        <v>44536</v>
      </c>
      <c r="H1913" s="129">
        <v>44537</v>
      </c>
      <c r="I1913" s="108">
        <f t="shared" si="92"/>
        <v>2000</v>
      </c>
      <c r="J1913" s="108" t="str">
        <f>IF(Таблица97[[#This Row],[НК]]=1,Таблица97[[#This Row],[Продажа]],"")</f>
        <v/>
      </c>
      <c r="M1913" s="108">
        <v>1430</v>
      </c>
      <c r="N1913" s="108">
        <f>Таблица97[[#This Row],[Продажа]]-Таблица97[[#This Row],[Закупка]]</f>
        <v>570</v>
      </c>
      <c r="O1913" s="108" t="str">
        <f>IF(Таблица97[[#This Row],[НК]]=1,Таблица97[[#This Row],[Маржа]],"")</f>
        <v/>
      </c>
    </row>
    <row r="1914" spans="1:15" ht="19.5" customHeight="1" x14ac:dyDescent="0.25">
      <c r="A1914" s="2">
        <v>1161</v>
      </c>
      <c r="B1914" s="2" t="str">
        <f>TEXT(Таблица97[[#This Row],[Дата]],"ГГ")&amp;RIGHT("000"&amp;Таблица97[[#This Row],[Номер]],4)</f>
        <v>211161</v>
      </c>
      <c r="C1914" s="129">
        <v>44510</v>
      </c>
      <c r="D1914" s="2" t="s">
        <v>488</v>
      </c>
      <c r="E1914" s="108">
        <v>3250</v>
      </c>
      <c r="F1914" s="129">
        <v>44538</v>
      </c>
      <c r="H1914" s="129">
        <v>44510</v>
      </c>
      <c r="I1914" s="108">
        <f t="shared" si="92"/>
        <v>3250</v>
      </c>
      <c r="J1914" s="108" t="str">
        <f>IF(Таблица97[[#This Row],[НК]]=1,Таблица97[[#This Row],[Продажа]],"")</f>
        <v/>
      </c>
      <c r="M1914" s="108">
        <v>2861</v>
      </c>
      <c r="N1914" s="108">
        <f>Таблица97[[#This Row],[Продажа]]-Таблица97[[#This Row],[Закупка]]</f>
        <v>389</v>
      </c>
      <c r="O1914" s="108" t="str">
        <f>IF(Таблица97[[#This Row],[НК]]=1,Таблица97[[#This Row],[Маржа]],"")</f>
        <v/>
      </c>
    </row>
    <row r="1915" spans="1:15" ht="19.5" customHeight="1" x14ac:dyDescent="0.25">
      <c r="A1915" s="2">
        <v>1160</v>
      </c>
      <c r="B1915" s="2" t="str">
        <f>TEXT(Таблица97[[#This Row],[Дата]],"ГГ")&amp;RIGHT("000"&amp;Таблица97[[#This Row],[Номер]],4)</f>
        <v>211160</v>
      </c>
      <c r="C1915" s="129">
        <v>44510</v>
      </c>
      <c r="D1915" s="2" t="s">
        <v>488</v>
      </c>
      <c r="E1915" s="108">
        <v>50490</v>
      </c>
      <c r="F1915" s="129">
        <v>44539</v>
      </c>
      <c r="H1915" s="129">
        <v>44510</v>
      </c>
      <c r="I1915" s="108">
        <f t="shared" si="92"/>
        <v>50490</v>
      </c>
      <c r="J1915" s="108" t="str">
        <f>IF(Таблица97[[#This Row],[НК]]=1,Таблица97[[#This Row],[Продажа]],"")</f>
        <v/>
      </c>
      <c r="M1915" s="108">
        <v>37110</v>
      </c>
      <c r="N1915" s="108">
        <f>Таблица97[[#This Row],[Продажа]]-Таблица97[[#This Row],[Закупка]]</f>
        <v>13380</v>
      </c>
      <c r="O1915" s="108" t="str">
        <f>IF(Таблица97[[#This Row],[НК]]=1,Таблица97[[#This Row],[Маржа]],"")</f>
        <v/>
      </c>
    </row>
    <row r="1916" spans="1:15" ht="19.5" customHeight="1" x14ac:dyDescent="0.25">
      <c r="A1916" s="2">
        <v>1269</v>
      </c>
      <c r="B1916" s="2" t="str">
        <f>TEXT(Таблица97[[#This Row],[Дата]],"ГГ")&amp;RIGHT("000"&amp;Таблица97[[#This Row],[Номер]],4)</f>
        <v>211269</v>
      </c>
      <c r="C1916" s="129">
        <v>44533</v>
      </c>
      <c r="D1916" s="2" t="s">
        <v>368</v>
      </c>
      <c r="E1916" s="108">
        <v>13990</v>
      </c>
      <c r="F1916" s="129">
        <v>44539</v>
      </c>
      <c r="H1916" s="129">
        <v>44546</v>
      </c>
      <c r="I1916" s="108">
        <f t="shared" si="92"/>
        <v>13990</v>
      </c>
      <c r="J1916" s="108" t="str">
        <f>IF(Таблица97[[#This Row],[НК]]=1,Таблица97[[#This Row],[Продажа]],"")</f>
        <v/>
      </c>
      <c r="M1916" s="108">
        <f>9210+600</f>
        <v>9810</v>
      </c>
      <c r="N1916" s="108">
        <f>Таблица97[[#This Row],[Продажа]]-Таблица97[[#This Row],[Закупка]]</f>
        <v>4180</v>
      </c>
      <c r="O1916" s="108" t="str">
        <f>IF(Таблица97[[#This Row],[НК]]=1,Таблица97[[#This Row],[Маржа]],"")</f>
        <v/>
      </c>
    </row>
    <row r="1917" spans="1:15" ht="19.5" customHeight="1" x14ac:dyDescent="0.25">
      <c r="A1917" s="2">
        <v>1283</v>
      </c>
      <c r="B1917" s="2" t="str">
        <f>TEXT(Таблица97[[#This Row],[Дата]],"ГГ")&amp;RIGHT("000"&amp;Таблица97[[#This Row],[Номер]],4)</f>
        <v>211283</v>
      </c>
      <c r="C1917" s="129">
        <v>44539</v>
      </c>
      <c r="D1917" s="2" t="s">
        <v>139</v>
      </c>
      <c r="E1917" s="108">
        <v>69990</v>
      </c>
      <c r="F1917" s="129">
        <v>44543</v>
      </c>
      <c r="H1917" s="129">
        <v>44550</v>
      </c>
      <c r="I1917" s="108">
        <f t="shared" si="92"/>
        <v>69990</v>
      </c>
      <c r="J1917" s="108" t="str">
        <f>IF(Таблица97[[#This Row],[НК]]=1,Таблица97[[#This Row],[Продажа]],"")</f>
        <v/>
      </c>
      <c r="M1917" s="108">
        <v>51792</v>
      </c>
      <c r="N1917" s="108">
        <f>Таблица97[[#This Row],[Продажа]]-Таблица97[[#This Row],[Закупка]]</f>
        <v>18198</v>
      </c>
      <c r="O1917" s="108" t="str">
        <f>IF(Таблица97[[#This Row],[НК]]=1,Таблица97[[#This Row],[Маржа]],"")</f>
        <v/>
      </c>
    </row>
    <row r="1918" spans="1:15" ht="19.5" customHeight="1" x14ac:dyDescent="0.25">
      <c r="A1918" s="2">
        <v>1300</v>
      </c>
      <c r="B1918" s="2" t="str">
        <f>TEXT(Таблица97[[#This Row],[Дата]],"ГГ")&amp;RIGHT("000"&amp;Таблица97[[#This Row],[Номер]],4)</f>
        <v>211300</v>
      </c>
      <c r="C1918" s="129">
        <v>44544</v>
      </c>
      <c r="D1918" s="2" t="s">
        <v>511</v>
      </c>
      <c r="E1918" s="108">
        <v>4570</v>
      </c>
      <c r="F1918" s="129">
        <v>44545</v>
      </c>
      <c r="H1918" s="129">
        <v>44559</v>
      </c>
      <c r="I1918" s="108">
        <f t="shared" si="92"/>
        <v>4570</v>
      </c>
      <c r="J1918" s="108" t="str">
        <f>IF(Таблица97[[#This Row],[НК]]=1,Таблица97[[#This Row],[Продажа]],"")</f>
        <v/>
      </c>
      <c r="M1918" s="108">
        <v>3509</v>
      </c>
      <c r="N1918" s="108">
        <f>Таблица97[[#This Row],[Продажа]]-Таблица97[[#This Row],[Закупка]]</f>
        <v>1061</v>
      </c>
      <c r="O1918" s="108" t="str">
        <f>IF(Таблица97[[#This Row],[НК]]=1,Таблица97[[#This Row],[Маржа]],"")</f>
        <v/>
      </c>
    </row>
    <row r="1919" spans="1:15" ht="19.5" customHeight="1" x14ac:dyDescent="0.25">
      <c r="A1919" s="2">
        <v>1178</v>
      </c>
      <c r="B1919" s="2" t="str">
        <f>TEXT(Таблица97[[#This Row],[Дата]],"ГГ")&amp;RIGHT("000"&amp;Таблица97[[#This Row],[Номер]],4)</f>
        <v>211178</v>
      </c>
      <c r="C1919" s="129">
        <v>44515</v>
      </c>
      <c r="D1919" s="2" t="s">
        <v>281</v>
      </c>
      <c r="E1919" s="108">
        <v>977</v>
      </c>
      <c r="F1919" s="129">
        <v>44546</v>
      </c>
      <c r="H1919" s="129">
        <v>44546</v>
      </c>
      <c r="I1919" s="108">
        <f t="shared" si="92"/>
        <v>977</v>
      </c>
      <c r="J1919" s="108" t="str">
        <f>IF(Таблица97[[#This Row],[НК]]=1,Таблица97[[#This Row],[Продажа]],"")</f>
        <v/>
      </c>
      <c r="M1919" s="108">
        <v>644</v>
      </c>
      <c r="N1919" s="108">
        <f>Таблица97[[#This Row],[Продажа]]-Таблица97[[#This Row],[Закупка]]</f>
        <v>333</v>
      </c>
      <c r="O1919" s="108" t="str">
        <f>IF(Таблица97[[#This Row],[НК]]=1,Таблица97[[#This Row],[Маржа]],"")</f>
        <v/>
      </c>
    </row>
    <row r="1920" spans="1:15" ht="20.100000000000001" customHeight="1" x14ac:dyDescent="0.25">
      <c r="A1920" s="2">
        <v>1091</v>
      </c>
      <c r="B1920" s="2" t="str">
        <f>TEXT(Таблица97[[#This Row],[Дата]],"ГГ")&amp;RIGHT("000"&amp;Таблица97[[#This Row],[Номер]],4)</f>
        <v>211091</v>
      </c>
      <c r="C1920" s="129">
        <v>44490</v>
      </c>
      <c r="D1920" s="2" t="s">
        <v>56</v>
      </c>
      <c r="E1920" s="108">
        <v>97583</v>
      </c>
      <c r="F1920" s="129">
        <v>44547</v>
      </c>
      <c r="H1920" s="129">
        <v>44537</v>
      </c>
      <c r="I1920" s="108">
        <f t="shared" si="92"/>
        <v>97583</v>
      </c>
      <c r="J1920" s="108" t="str">
        <f>IF(Таблица97[[#This Row],[НК]]=1,Таблица97[[#This Row],[Продажа]],"")</f>
        <v/>
      </c>
      <c r="M1920" s="108">
        <v>67577.399999999994</v>
      </c>
      <c r="N1920" s="108">
        <f>Таблица97[[#This Row],[Продажа]]-Таблица97[[#This Row],[Закупка]]</f>
        <v>30005.600000000006</v>
      </c>
      <c r="O1920" s="108" t="str">
        <f>IF(Таблица97[[#This Row],[НК]]=1,Таблица97[[#This Row],[Маржа]],"")</f>
        <v/>
      </c>
    </row>
    <row r="1921" spans="1:15" ht="20.100000000000001" customHeight="1" x14ac:dyDescent="0.25">
      <c r="A1921" s="2">
        <v>1182</v>
      </c>
      <c r="B1921" s="2" t="str">
        <f>TEXT(Таблица97[[#This Row],[Дата]],"ГГ")&amp;RIGHT("000"&amp;Таблица97[[#This Row],[Номер]],4)</f>
        <v>211182</v>
      </c>
      <c r="C1921" s="129">
        <v>44515</v>
      </c>
      <c r="D1921" s="2" t="s">
        <v>56</v>
      </c>
      <c r="E1921" s="108">
        <v>165000</v>
      </c>
      <c r="F1921" s="129">
        <v>44547</v>
      </c>
      <c r="H1921" s="129">
        <v>44543</v>
      </c>
      <c r="I1921" s="108">
        <f t="shared" si="92"/>
        <v>165000</v>
      </c>
      <c r="J1921" s="108" t="str">
        <f>IF(Таблица97[[#This Row],[НК]]=1,Таблица97[[#This Row],[Продажа]],"")</f>
        <v/>
      </c>
      <c r="M1921" s="108">
        <v>152000</v>
      </c>
      <c r="N1921" s="108">
        <f>Таблица97[[#This Row],[Продажа]]-Таблица97[[#This Row],[Закупка]]</f>
        <v>13000</v>
      </c>
      <c r="O1921" s="108" t="str">
        <f>IF(Таблица97[[#This Row],[НК]]=1,Таблица97[[#This Row],[Маржа]],"")</f>
        <v/>
      </c>
    </row>
    <row r="1922" spans="1:15" ht="20.100000000000001" customHeight="1" x14ac:dyDescent="0.25">
      <c r="A1922" s="2">
        <v>943</v>
      </c>
      <c r="B1922" s="2" t="str">
        <f>TEXT(Таблица97[[#This Row],[Дата]],"ГГ")&amp;RIGHT("000"&amp;Таблица97[[#This Row],[Номер]],4)</f>
        <v>210943</v>
      </c>
      <c r="C1922" s="129">
        <v>44442</v>
      </c>
      <c r="D1922" s="2" t="s">
        <v>66</v>
      </c>
      <c r="E1922" s="108">
        <v>20000</v>
      </c>
      <c r="F1922" s="129">
        <v>44550</v>
      </c>
      <c r="H1922" s="129">
        <v>44446</v>
      </c>
      <c r="I1922" s="108">
        <f t="shared" si="92"/>
        <v>20000</v>
      </c>
      <c r="J1922" s="108" t="str">
        <f>IF(Таблица97[[#This Row],[НК]]=1,Таблица97[[#This Row],[Продажа]],"")</f>
        <v/>
      </c>
      <c r="L1922" s="108">
        <v>2400</v>
      </c>
      <c r="M1922" s="108">
        <v>6600</v>
      </c>
      <c r="N1922" s="108">
        <f>Таблица97[[#This Row],[Продажа]]-Таблица97[[#This Row],[Закупка]]</f>
        <v>13400</v>
      </c>
      <c r="O1922" s="108" t="str">
        <f>IF(Таблица97[[#This Row],[НК]]=1,Таблица97[[#This Row],[Маржа]],"")</f>
        <v/>
      </c>
    </row>
    <row r="1923" spans="1:15" ht="20.100000000000001" customHeight="1" x14ac:dyDescent="0.25">
      <c r="A1923" s="2">
        <v>1056</v>
      </c>
      <c r="B1923" s="2" t="str">
        <f>TEXT(Таблица97[[#This Row],[Дата]],"ГГ")&amp;RIGHT("000"&amp;Таблица97[[#This Row],[Номер]],4)</f>
        <v>211056</v>
      </c>
      <c r="C1923" s="129">
        <v>44481</v>
      </c>
      <c r="D1923" s="2" t="s">
        <v>66</v>
      </c>
      <c r="E1923" s="108">
        <v>17774.5</v>
      </c>
      <c r="F1923" s="129">
        <v>44550</v>
      </c>
      <c r="H1923" s="129">
        <v>44488</v>
      </c>
      <c r="I1923" s="108">
        <f t="shared" si="92"/>
        <v>17774.5</v>
      </c>
      <c r="J1923" s="108" t="str">
        <f>IF(Таблица97[[#This Row],[НК]]=1,Таблица97[[#This Row],[Продажа]],"")</f>
        <v/>
      </c>
      <c r="M1923" s="108">
        <v>13197</v>
      </c>
      <c r="N1923" s="108">
        <f>Таблица97[[#This Row],[Продажа]]-Таблица97[[#This Row],[Закупка]]</f>
        <v>4577.5</v>
      </c>
      <c r="O1923" s="108" t="str">
        <f>IF(Таблица97[[#This Row],[НК]]=1,Таблица97[[#This Row],[Маржа]],"")</f>
        <v/>
      </c>
    </row>
    <row r="1924" spans="1:15" ht="20.100000000000001" customHeight="1" x14ac:dyDescent="0.25">
      <c r="A1924" s="2">
        <v>1289</v>
      </c>
      <c r="B1924" s="2" t="str">
        <f>TEXT(Таблица97[[#This Row],[Дата]],"ГГ")&amp;RIGHT("000"&amp;Таблица97[[#This Row],[Номер]],4)</f>
        <v>211289</v>
      </c>
      <c r="C1924" s="129">
        <v>44539</v>
      </c>
      <c r="D1924" s="2" t="s">
        <v>403</v>
      </c>
      <c r="E1924" s="108">
        <v>4062</v>
      </c>
      <c r="F1924" s="129">
        <v>44550</v>
      </c>
      <c r="H1924" s="129">
        <v>44557</v>
      </c>
      <c r="I1924" s="108">
        <f t="shared" si="92"/>
        <v>4062</v>
      </c>
      <c r="J1924" s="108" t="str">
        <f>IF(Таблица97[[#This Row],[НК]]=1,Таблица97[[#This Row],[Продажа]],"")</f>
        <v/>
      </c>
      <c r="M1924" s="108">
        <v>3127</v>
      </c>
      <c r="N1924" s="108">
        <f>Таблица97[[#This Row],[Продажа]]-Таблица97[[#This Row],[Закупка]]</f>
        <v>935</v>
      </c>
      <c r="O1924" s="108" t="str">
        <f>IF(Таблица97[[#This Row],[НК]]=1,Таблица97[[#This Row],[Маржа]],"")</f>
        <v/>
      </c>
    </row>
    <row r="1925" spans="1:15" ht="19.5" customHeight="1" x14ac:dyDescent="0.25">
      <c r="A1925" s="2">
        <v>1303</v>
      </c>
      <c r="B1925" s="2" t="str">
        <f>TEXT(Таблица97[[#This Row],[Дата]],"ГГ")&amp;RIGHT("000"&amp;Таблица97[[#This Row],[Номер]],4)</f>
        <v>211303</v>
      </c>
      <c r="C1925" s="129">
        <v>44544</v>
      </c>
      <c r="D1925" s="2" t="s">
        <v>488</v>
      </c>
      <c r="E1925" s="108">
        <v>50490</v>
      </c>
      <c r="F1925" s="129">
        <v>44550</v>
      </c>
      <c r="H1925" s="129">
        <v>44554</v>
      </c>
      <c r="I1925" s="108">
        <f t="shared" si="92"/>
        <v>50490</v>
      </c>
      <c r="J1925" s="108" t="str">
        <f>IF(Таблица97[[#This Row],[НК]]=1,Таблица97[[#This Row],[Продажа]],"")</f>
        <v/>
      </c>
      <c r="M1925" s="108">
        <v>37110</v>
      </c>
      <c r="N1925" s="108">
        <f>Таблица97[[#This Row],[Продажа]]-Таблица97[[#This Row],[Закупка]]</f>
        <v>13380</v>
      </c>
      <c r="O1925" s="108" t="str">
        <f>IF(Таблица97[[#This Row],[НК]]=1,Таблица97[[#This Row],[Маржа]],"")</f>
        <v/>
      </c>
    </row>
    <row r="1926" spans="1:15" ht="20.100000000000001" customHeight="1" x14ac:dyDescent="0.25">
      <c r="A1926" s="2">
        <v>1119</v>
      </c>
      <c r="B1926" s="2" t="str">
        <f>TEXT(Таблица97[[#This Row],[Дата]],"ГГ")&amp;RIGHT("000"&amp;Таблица97[[#This Row],[Номер]],4)</f>
        <v>211119</v>
      </c>
      <c r="C1926" s="129">
        <v>44497</v>
      </c>
      <c r="D1926" s="2" t="s">
        <v>13</v>
      </c>
      <c r="E1926" s="108">
        <v>24582</v>
      </c>
      <c r="F1926" s="129">
        <v>44551</v>
      </c>
      <c r="H1926" s="129">
        <v>44530</v>
      </c>
      <c r="I1926" s="108">
        <f t="shared" si="92"/>
        <v>24582</v>
      </c>
      <c r="J1926" s="108" t="str">
        <f>IF(Таблица97[[#This Row],[НК]]=1,Таблица97[[#This Row],[Продажа]],"")</f>
        <v/>
      </c>
      <c r="M1926" s="108">
        <v>16943</v>
      </c>
      <c r="N1926" s="108">
        <f>Таблица97[[#This Row],[Продажа]]-Таблица97[[#This Row],[Закупка]]</f>
        <v>7639</v>
      </c>
      <c r="O1926" s="108" t="str">
        <f>IF(Таблица97[[#This Row],[НК]]=1,Таблица97[[#This Row],[Маржа]],"")</f>
        <v/>
      </c>
    </row>
    <row r="1927" spans="1:15" ht="20.100000000000001" customHeight="1" x14ac:dyDescent="0.25">
      <c r="A1927" s="2">
        <v>1231</v>
      </c>
      <c r="B1927" s="2" t="str">
        <f>TEXT(Таблица97[[#This Row],[Дата]],"ГГ")&amp;RIGHT("000"&amp;Таблица97[[#This Row],[Номер]],4)</f>
        <v>211231</v>
      </c>
      <c r="C1927" s="129">
        <v>44529</v>
      </c>
      <c r="D1927" s="2" t="s">
        <v>209</v>
      </c>
      <c r="E1927" s="108">
        <v>10464</v>
      </c>
      <c r="F1927" s="129">
        <v>44554</v>
      </c>
      <c r="H1927" s="129">
        <v>44554</v>
      </c>
      <c r="I1927" s="108">
        <f t="shared" si="92"/>
        <v>10464</v>
      </c>
      <c r="J1927" s="108" t="str">
        <f>IF(Таблица97[[#This Row],[НК]]=1,Таблица97[[#This Row],[Продажа]],"")</f>
        <v/>
      </c>
      <c r="M1927" s="108">
        <v>8057</v>
      </c>
      <c r="N1927" s="108">
        <f>Таблица97[[#This Row],[Продажа]]-Таблица97[[#This Row],[Закупка]]</f>
        <v>2407</v>
      </c>
      <c r="O1927" s="108" t="str">
        <f>IF(Таблица97[[#This Row],[НК]]=1,Таблица97[[#This Row],[Маржа]],"")</f>
        <v/>
      </c>
    </row>
    <row r="1928" spans="1:15" ht="19.5" customHeight="1" x14ac:dyDescent="0.25">
      <c r="A1928" s="2">
        <v>1225</v>
      </c>
      <c r="B1928" s="2" t="str">
        <f>TEXT(Таблица97[[#This Row],[Дата]],"ГГ")&amp;RIGHT("000"&amp;Таблица97[[#This Row],[Номер]],4)</f>
        <v>211225</v>
      </c>
      <c r="C1928" s="129">
        <v>44222</v>
      </c>
      <c r="D1928" s="2" t="s">
        <v>13</v>
      </c>
      <c r="E1928" s="108">
        <v>18348</v>
      </c>
      <c r="F1928" s="129">
        <v>44554</v>
      </c>
      <c r="H1928" s="129">
        <v>44546</v>
      </c>
      <c r="I1928" s="108">
        <f t="shared" si="92"/>
        <v>18348</v>
      </c>
      <c r="J1928" s="108" t="str">
        <f>IF(Таблица97[[#This Row],[НК]]=1,Таблица97[[#This Row],[Продажа]],"")</f>
        <v/>
      </c>
      <c r="M1928" s="108">
        <v>14310</v>
      </c>
      <c r="N1928" s="108">
        <f>Таблица97[[#This Row],[Продажа]]-Таблица97[[#This Row],[Закупка]]</f>
        <v>4038</v>
      </c>
      <c r="O1928" s="108" t="str">
        <f>IF(Таблица97[[#This Row],[НК]]=1,Таблица97[[#This Row],[Маржа]],"")</f>
        <v/>
      </c>
    </row>
    <row r="1929" spans="1:15" ht="19.5" customHeight="1" x14ac:dyDescent="0.25">
      <c r="A1929" s="2">
        <v>1310</v>
      </c>
      <c r="B1929" s="2" t="str">
        <f>TEXT(Таблица97[[#This Row],[Дата]],"ГГ")&amp;RIGHT("000"&amp;Таблица97[[#This Row],[Номер]],4)</f>
        <v>211310</v>
      </c>
      <c r="C1929" s="129">
        <v>44547</v>
      </c>
      <c r="D1929" s="2" t="s">
        <v>467</v>
      </c>
      <c r="E1929" s="108">
        <v>8910</v>
      </c>
      <c r="F1929" s="129">
        <v>44559</v>
      </c>
      <c r="H1929" s="129">
        <v>44624</v>
      </c>
      <c r="I1929" s="108">
        <f t="shared" si="92"/>
        <v>8910</v>
      </c>
      <c r="J1929" s="108" t="str">
        <f>IF(Таблица97[[#This Row],[НК]]=1,Таблица97[[#This Row],[Продажа]],"")</f>
        <v/>
      </c>
      <c r="M1929" s="108">
        <v>6950</v>
      </c>
      <c r="N1929" s="108">
        <f>Таблица97[[#This Row],[Продажа]]-Таблица97[[#This Row],[Закупка]]</f>
        <v>1960</v>
      </c>
      <c r="O1929" s="108" t="str">
        <f>IF(Таблица97[[#This Row],[НК]]=1,Таблица97[[#This Row],[Маржа]],"")</f>
        <v/>
      </c>
    </row>
    <row r="1930" spans="1:15" ht="19.5" customHeight="1" x14ac:dyDescent="0.25">
      <c r="A1930" s="2">
        <v>1204</v>
      </c>
      <c r="B1930" s="2" t="str">
        <f>TEXT(Таблица97[[#This Row],[Дата]],"ГГ")&amp;RIGHT("000"&amp;Таблица97[[#This Row],[Номер]],4)</f>
        <v>221204</v>
      </c>
      <c r="C1930" s="129">
        <v>44883</v>
      </c>
      <c r="D1930" s="2" t="s">
        <v>275</v>
      </c>
      <c r="E1930" s="108">
        <v>135840.5</v>
      </c>
      <c r="F1930" s="129">
        <v>44560</v>
      </c>
      <c r="H1930" s="129">
        <v>44607</v>
      </c>
      <c r="I1930" s="108">
        <f t="shared" si="92"/>
        <v>135840.5</v>
      </c>
      <c r="J1930" s="108" t="str">
        <f>IF(Таблица97[[#This Row],[НК]]=1,Таблица97[[#This Row],[Продажа]],"")</f>
        <v/>
      </c>
      <c r="M1930" s="108">
        <v>105812</v>
      </c>
      <c r="N1930" s="108">
        <f>Таблица97[[#This Row],[Продажа]]-Таблица97[[#This Row],[Закупка]]</f>
        <v>30028.5</v>
      </c>
      <c r="O1930" s="108" t="str">
        <f>IF(Таблица97[[#This Row],[НК]]=1,Таблица97[[#This Row],[Маржа]],"")</f>
        <v/>
      </c>
    </row>
    <row r="1931" spans="1:15" ht="20.100000000000001" customHeight="1" x14ac:dyDescent="0.25">
      <c r="A1931" s="2">
        <v>1174</v>
      </c>
      <c r="B1931" s="2" t="str">
        <f>TEXT(Таблица97[[#This Row],[Дата]],"ГГ")&amp;RIGHT("000"&amp;Таблица97[[#This Row],[Номер]],4)</f>
        <v>211174</v>
      </c>
      <c r="C1931" s="129">
        <v>44512</v>
      </c>
      <c r="D1931" s="2" t="s">
        <v>60</v>
      </c>
      <c r="E1931" s="108">
        <v>4400</v>
      </c>
      <c r="F1931" s="129">
        <v>44571</v>
      </c>
      <c r="H1931" s="129">
        <v>44546</v>
      </c>
      <c r="I1931" s="108">
        <f t="shared" ref="I1931:I1942" si="93">E1931</f>
        <v>4400</v>
      </c>
      <c r="J1931" s="108" t="str">
        <f>IF(Таблица97[[#This Row],[НК]]=1,Таблица97[[#This Row],[Продажа]],"")</f>
        <v/>
      </c>
      <c r="M1931" s="108">
        <v>3430</v>
      </c>
      <c r="N1931" s="108">
        <f>Таблица97[[#This Row],[Продажа]]-Таблица97[[#This Row],[Закупка]]</f>
        <v>970</v>
      </c>
      <c r="O1931" s="108" t="str">
        <f>IF(Таблица97[[#This Row],[НК]]=1,Таблица97[[#This Row],[Маржа]],"")</f>
        <v/>
      </c>
    </row>
    <row r="1932" spans="1:15" ht="20.100000000000001" customHeight="1" x14ac:dyDescent="0.25">
      <c r="A1932" s="2">
        <v>13</v>
      </c>
      <c r="B1932" s="2" t="str">
        <f>TEXT(Таблица97[[#This Row],[Дата]],"ГГ")&amp;RIGHT("000"&amp;Таблица97[[#This Row],[Номер]],4)</f>
        <v>220013</v>
      </c>
      <c r="C1932" s="129">
        <v>44574</v>
      </c>
      <c r="D1932" s="2" t="s">
        <v>124</v>
      </c>
      <c r="E1932" s="108">
        <v>4403</v>
      </c>
      <c r="F1932" s="129">
        <v>44574</v>
      </c>
      <c r="H1932" s="129">
        <v>44575</v>
      </c>
      <c r="I1932" s="108">
        <f t="shared" si="93"/>
        <v>4403</v>
      </c>
      <c r="J1932" s="108" t="str">
        <f>IF(Таблица97[[#This Row],[НК]]=1,Таблица97[[#This Row],[Продажа]],"")</f>
        <v/>
      </c>
      <c r="M1932" s="108">
        <v>3304</v>
      </c>
      <c r="N1932" s="108">
        <f>Таблица97[[#This Row],[Продажа]]-Таблица97[[#This Row],[Закупка]]</f>
        <v>1099</v>
      </c>
      <c r="O1932" s="108" t="str">
        <f>IF(Таблица97[[#This Row],[НК]]=1,Таблица97[[#This Row],[Маржа]],"")</f>
        <v/>
      </c>
    </row>
    <row r="1933" spans="1:15" ht="20.100000000000001" customHeight="1" x14ac:dyDescent="0.25">
      <c r="A1933" s="2">
        <v>12</v>
      </c>
      <c r="B1933" s="2" t="str">
        <f>TEXT(Таблица97[[#This Row],[Дата]],"ГГ")&amp;RIGHT("000"&amp;Таблица97[[#This Row],[Номер]],4)</f>
        <v>220012</v>
      </c>
      <c r="C1933" s="129">
        <v>44574</v>
      </c>
      <c r="D1933" s="2" t="s">
        <v>77</v>
      </c>
      <c r="E1933" s="108">
        <v>4208</v>
      </c>
      <c r="F1933" s="129">
        <v>44579</v>
      </c>
      <c r="H1933" s="129">
        <v>44581</v>
      </c>
      <c r="I1933" s="108">
        <f t="shared" si="93"/>
        <v>4208</v>
      </c>
      <c r="J1933" s="108" t="str">
        <f>IF(Таблица97[[#This Row],[НК]]=1,Таблица97[[#This Row],[Продажа]],"")</f>
        <v/>
      </c>
      <c r="M1933" s="108">
        <v>3282</v>
      </c>
      <c r="N1933" s="108">
        <f>Таблица97[[#This Row],[Продажа]]-Таблица97[[#This Row],[Закупка]]</f>
        <v>926</v>
      </c>
      <c r="O1933" s="108" t="str">
        <f>IF(Таблица97[[#This Row],[НК]]=1,Таблица97[[#This Row],[Маржа]],"")</f>
        <v/>
      </c>
    </row>
    <row r="1934" spans="1:15" ht="20.100000000000001" customHeight="1" x14ac:dyDescent="0.25">
      <c r="A1934" s="2">
        <v>1280</v>
      </c>
      <c r="B1934" s="2" t="str">
        <f>TEXT(Таблица97[[#This Row],[Дата]],"ГГ")&amp;RIGHT("000"&amp;Таблица97[[#This Row],[Номер]],4)</f>
        <v>211280</v>
      </c>
      <c r="C1934" s="129">
        <v>44538</v>
      </c>
      <c r="D1934" s="2" t="s">
        <v>56</v>
      </c>
      <c r="E1934" s="108">
        <v>38446</v>
      </c>
      <c r="F1934" s="129">
        <v>44580</v>
      </c>
      <c r="H1934" s="129">
        <v>44578</v>
      </c>
      <c r="I1934" s="108">
        <f t="shared" si="93"/>
        <v>38446</v>
      </c>
      <c r="J1934" s="108" t="str">
        <f>IF(Таблица97[[#This Row],[НК]]=1,Таблица97[[#This Row],[Продажа]],"")</f>
        <v/>
      </c>
      <c r="M1934" s="108">
        <v>29711</v>
      </c>
      <c r="N1934" s="108">
        <f>Таблица97[[#This Row],[Продажа]]-Таблица97[[#This Row],[Закупка]]</f>
        <v>8735</v>
      </c>
      <c r="O1934" s="108" t="str">
        <f>IF(Таблица97[[#This Row],[НК]]=1,Таблица97[[#This Row],[Маржа]],"")</f>
        <v/>
      </c>
    </row>
    <row r="1935" spans="1:15" ht="20.100000000000001" customHeight="1" x14ac:dyDescent="0.25">
      <c r="A1935" s="2">
        <v>31</v>
      </c>
      <c r="B1935" s="2" t="str">
        <f>TEXT(Таблица97[[#This Row],[Дата]],"ГГ")&amp;RIGHT("000"&amp;Таблица97[[#This Row],[Номер]],4)</f>
        <v>220031</v>
      </c>
      <c r="C1935" s="129">
        <v>44580</v>
      </c>
      <c r="D1935" s="2" t="s">
        <v>179</v>
      </c>
      <c r="E1935" s="108">
        <v>12616</v>
      </c>
      <c r="F1935" s="129">
        <v>44581</v>
      </c>
      <c r="H1935" s="129">
        <v>44622</v>
      </c>
      <c r="I1935" s="108">
        <f t="shared" si="93"/>
        <v>12616</v>
      </c>
      <c r="J1935" s="108" t="str">
        <f>IF(Таблица97[[#This Row],[НК]]=1,Таблица97[[#This Row],[Продажа]],"")</f>
        <v/>
      </c>
      <c r="M1935" s="108">
        <f>4762+5078</f>
        <v>9840</v>
      </c>
      <c r="N1935" s="108">
        <f>Таблица97[[#This Row],[Продажа]]-Таблица97[[#This Row],[Закупка]]</f>
        <v>2776</v>
      </c>
      <c r="O1935" s="108" t="str">
        <f>IF(Таблица97[[#This Row],[НК]]=1,Таблица97[[#This Row],[Маржа]],"")</f>
        <v/>
      </c>
    </row>
    <row r="1936" spans="1:15" ht="20.100000000000001" customHeight="1" x14ac:dyDescent="0.25">
      <c r="A1936" s="2">
        <v>33</v>
      </c>
      <c r="B1936" s="2" t="str">
        <f>TEXT(Таблица97[[#This Row],[Дата]],"ГГ")&amp;RIGHT("000"&amp;Таблица97[[#This Row],[Номер]],4)</f>
        <v>220033</v>
      </c>
      <c r="C1936" s="129">
        <v>44582</v>
      </c>
      <c r="D1936" s="2" t="s">
        <v>508</v>
      </c>
      <c r="E1936" s="108">
        <v>1684</v>
      </c>
      <c r="F1936" s="129">
        <v>44582</v>
      </c>
      <c r="H1936" s="129">
        <v>44588</v>
      </c>
      <c r="I1936" s="108">
        <f t="shared" si="93"/>
        <v>1684</v>
      </c>
      <c r="J1936" s="108" t="str">
        <f>IF(Таблица97[[#This Row],[НК]]=1,Таблица97[[#This Row],[Продажа]],"")</f>
        <v/>
      </c>
      <c r="M1936" s="108">
        <v>1111</v>
      </c>
      <c r="N1936" s="108">
        <f>Таблица97[[#This Row],[Продажа]]-Таблица97[[#This Row],[Закупка]]</f>
        <v>573</v>
      </c>
      <c r="O1936" s="108" t="str">
        <f>IF(Таблица97[[#This Row],[НК]]=1,Таблица97[[#This Row],[Маржа]],"")</f>
        <v/>
      </c>
    </row>
    <row r="1937" spans="1:15" ht="20.100000000000001" customHeight="1" x14ac:dyDescent="0.25">
      <c r="A1937" s="2">
        <v>22</v>
      </c>
      <c r="B1937" s="2" t="str">
        <f>TEXT(Таблица97[[#This Row],[Дата]],"ГГ")&amp;RIGHT("000"&amp;Таблица97[[#This Row],[Номер]],4)</f>
        <v>220022</v>
      </c>
      <c r="C1937" s="129">
        <v>44575</v>
      </c>
      <c r="D1937" s="2" t="s">
        <v>403</v>
      </c>
      <c r="E1937" s="108">
        <v>4062</v>
      </c>
      <c r="F1937" s="129">
        <v>44585</v>
      </c>
      <c r="H1937" s="129">
        <v>44595</v>
      </c>
      <c r="I1937" s="108">
        <f t="shared" si="93"/>
        <v>4062</v>
      </c>
      <c r="J1937" s="108" t="str">
        <f>IF(Таблица97[[#This Row],[НК]]=1,Таблица97[[#This Row],[Продажа]],"")</f>
        <v/>
      </c>
      <c r="M1937" s="108">
        <v>3127</v>
      </c>
      <c r="N1937" s="108">
        <f>Таблица97[[#This Row],[Продажа]]-Таблица97[[#This Row],[Закупка]]</f>
        <v>935</v>
      </c>
      <c r="O1937" s="108" t="str">
        <f>IF(Таблица97[[#This Row],[НК]]=1,Таблица97[[#This Row],[Маржа]],"")</f>
        <v/>
      </c>
    </row>
    <row r="1938" spans="1:15" ht="20.100000000000001" customHeight="1" x14ac:dyDescent="0.25">
      <c r="A1938" s="2">
        <v>1314</v>
      </c>
      <c r="B1938" s="2" t="str">
        <f>TEXT(Таблица97[[#This Row],[Дата]],"ГГ")&amp;RIGHT("000"&amp;Таблица97[[#This Row],[Номер]],4)</f>
        <v>211314</v>
      </c>
      <c r="C1938" s="129">
        <v>44558</v>
      </c>
      <c r="D1938" s="2" t="s">
        <v>13</v>
      </c>
      <c r="E1938" s="108">
        <v>310040</v>
      </c>
      <c r="F1938" s="129">
        <v>44586</v>
      </c>
      <c r="H1938" s="129">
        <v>44650</v>
      </c>
      <c r="I1938" s="108">
        <f t="shared" si="93"/>
        <v>310040</v>
      </c>
      <c r="J1938" s="108" t="str">
        <f>IF(Таблица97[[#This Row],[НК]]=1,Таблица97[[#This Row],[Продажа]],"")</f>
        <v/>
      </c>
      <c r="M1938" s="108">
        <v>229265.62</v>
      </c>
      <c r="N1938" s="108">
        <f>Таблица97[[#This Row],[Продажа]]-Таблица97[[#This Row],[Закупка]]</f>
        <v>80774.38</v>
      </c>
      <c r="O1938" s="108" t="str">
        <f>IF(Таблица97[[#This Row],[НК]]=1,Таблица97[[#This Row],[Маржа]],"")</f>
        <v/>
      </c>
    </row>
    <row r="1939" spans="1:15" ht="19.5" customHeight="1" x14ac:dyDescent="0.25">
      <c r="A1939" s="2">
        <v>1233</v>
      </c>
      <c r="B1939" s="2" t="str">
        <f>TEXT(Таблица97[[#This Row],[Дата]],"ГГ")&amp;RIGHT("000"&amp;Таблица97[[#This Row],[Номер]],4)</f>
        <v>211233</v>
      </c>
      <c r="C1939" s="129">
        <v>44529</v>
      </c>
      <c r="D1939" s="2" t="s">
        <v>65</v>
      </c>
      <c r="E1939" s="108">
        <v>97728</v>
      </c>
      <c r="F1939" s="129">
        <v>44586</v>
      </c>
      <c r="H1939" s="129">
        <v>44544</v>
      </c>
      <c r="I1939" s="108">
        <f t="shared" si="93"/>
        <v>97728</v>
      </c>
      <c r="J1939" s="108" t="str">
        <f>IF(Таблица97[[#This Row],[НК]]=1,Таблица97[[#This Row],[Продажа]],"")</f>
        <v/>
      </c>
      <c r="M1939" s="108">
        <f>34624+8000</f>
        <v>42624</v>
      </c>
      <c r="N1939" s="108">
        <f>Таблица97[[#This Row],[Продажа]]-Таблица97[[#This Row],[Закупка]]</f>
        <v>55104</v>
      </c>
      <c r="O1939" s="108" t="str">
        <f>IF(Таблица97[[#This Row],[НК]]=1,Таблица97[[#This Row],[Маржа]],"")</f>
        <v/>
      </c>
    </row>
    <row r="1940" spans="1:15" ht="19.5" customHeight="1" x14ac:dyDescent="0.25">
      <c r="A1940" s="2">
        <v>16</v>
      </c>
      <c r="B1940" s="2" t="str">
        <f>TEXT(Таблица97[[#This Row],[Дата]],"ГГ")&amp;RIGHT("000"&amp;Таблица97[[#This Row],[Номер]],4)</f>
        <v>220016</v>
      </c>
      <c r="C1940" s="129">
        <v>44574</v>
      </c>
      <c r="D1940" s="2" t="s">
        <v>11</v>
      </c>
      <c r="E1940" s="108">
        <v>2776</v>
      </c>
      <c r="F1940" s="129">
        <v>44587</v>
      </c>
      <c r="H1940" s="129">
        <v>44588</v>
      </c>
      <c r="I1940" s="108">
        <f t="shared" si="93"/>
        <v>2776</v>
      </c>
      <c r="J1940" s="108" t="str">
        <f>IF(Таблица97[[#This Row],[НК]]=1,Таблица97[[#This Row],[Продажа]],"")</f>
        <v/>
      </c>
      <c r="M1940" s="108">
        <v>1857</v>
      </c>
      <c r="N1940" s="108">
        <f>Таблица97[[#This Row],[Продажа]]-Таблица97[[#This Row],[Закупка]]</f>
        <v>919</v>
      </c>
      <c r="O1940" s="108" t="str">
        <f>IF(Таблица97[[#This Row],[НК]]=1,Таблица97[[#This Row],[Маржа]],"")</f>
        <v/>
      </c>
    </row>
    <row r="1941" spans="1:15" ht="19.5" customHeight="1" x14ac:dyDescent="0.25">
      <c r="A1941" s="2">
        <v>4</v>
      </c>
      <c r="B1941" s="2" t="str">
        <f>TEXT(Таблица97[[#This Row],[Дата]],"ГГ")&amp;RIGHT("000"&amp;Таблица97[[#This Row],[Номер]],4)</f>
        <v>220004</v>
      </c>
      <c r="C1941" s="129">
        <v>44571</v>
      </c>
      <c r="D1941" s="2" t="s">
        <v>99</v>
      </c>
      <c r="E1941" s="108">
        <v>209250</v>
      </c>
      <c r="F1941" s="129">
        <v>44588</v>
      </c>
      <c r="H1941" s="129">
        <v>44571</v>
      </c>
      <c r="I1941" s="108">
        <f t="shared" si="93"/>
        <v>209250</v>
      </c>
      <c r="J1941" s="108" t="str">
        <f>IF(Таблица97[[#This Row],[НК]]=1,Таблица97[[#This Row],[Продажа]],"")</f>
        <v/>
      </c>
      <c r="K1941" s="108">
        <f>3000*15</f>
        <v>45000</v>
      </c>
      <c r="M1941" s="108">
        <v>31928.75</v>
      </c>
      <c r="N1941" s="108">
        <f>Таблица97[[#This Row],[Продажа]]-Таблица97[[#This Row],[Закупка]]</f>
        <v>177321.25</v>
      </c>
      <c r="O1941" s="108" t="str">
        <f>IF(Таблица97[[#This Row],[НК]]=1,Таблица97[[#This Row],[Маржа]],"")</f>
        <v/>
      </c>
    </row>
    <row r="1942" spans="1:15" ht="19.5" customHeight="1" x14ac:dyDescent="0.25">
      <c r="A1942" s="2">
        <v>14</v>
      </c>
      <c r="B1942" s="2" t="str">
        <f>TEXT(Таблица97[[#This Row],[Дата]],"ГГ")&amp;RIGHT("000"&amp;Таблица97[[#This Row],[Номер]],4)</f>
        <v>220014</v>
      </c>
      <c r="C1942" s="129">
        <v>44574</v>
      </c>
      <c r="D1942" s="2" t="s">
        <v>11</v>
      </c>
      <c r="E1942" s="108">
        <v>12000</v>
      </c>
      <c r="F1942" s="129">
        <v>44592</v>
      </c>
      <c r="H1942" s="129">
        <v>44609</v>
      </c>
      <c r="I1942" s="108">
        <f t="shared" si="93"/>
        <v>12000</v>
      </c>
      <c r="J1942" s="108" t="str">
        <f>IF(Таблица97[[#This Row],[НК]]=1,Таблица97[[#This Row],[Продажа]],"")</f>
        <v/>
      </c>
      <c r="M1942" s="108">
        <f>1106.41*8</f>
        <v>8851.2800000000007</v>
      </c>
      <c r="N1942" s="108">
        <f>Таблица97[[#This Row],[Продажа]]-Таблица97[[#This Row],[Закупка]]</f>
        <v>3148.7199999999993</v>
      </c>
      <c r="O1942" s="108" t="str">
        <f>IF(Таблица97[[#This Row],[НК]]=1,Таблица97[[#This Row],[Маржа]],"")</f>
        <v/>
      </c>
    </row>
    <row r="1943" spans="1:15" ht="19.5" customHeight="1" x14ac:dyDescent="0.25">
      <c r="A1943" s="2">
        <v>56</v>
      </c>
      <c r="B1943" s="2" t="str">
        <f>TEXT(Таблица97[[#This Row],[Дата]],"ГГ")&amp;RIGHT("000"&amp;Таблица97[[#This Row],[Номер]],4)</f>
        <v>220056</v>
      </c>
      <c r="C1943" s="129">
        <v>44593</v>
      </c>
      <c r="D1943" s="2" t="s">
        <v>512</v>
      </c>
      <c r="E1943" s="108">
        <v>18290</v>
      </c>
      <c r="F1943" s="129">
        <v>44594</v>
      </c>
      <c r="H1943" s="129">
        <v>44596</v>
      </c>
      <c r="I1943" s="108">
        <f t="shared" ref="I1943:I1956" si="94">E1943</f>
        <v>18290</v>
      </c>
      <c r="J1943" s="108" t="str">
        <f>IF(Таблица97[[#This Row],[НК]]=1,Таблица97[[#This Row],[Продажа]],"")</f>
        <v/>
      </c>
      <c r="M1943" s="108">
        <v>12855</v>
      </c>
      <c r="N1943" s="108">
        <f>Таблица97[[#This Row],[Продажа]]-Таблица97[[#This Row],[Закупка]]</f>
        <v>5435</v>
      </c>
      <c r="O1943" s="108" t="str">
        <f>IF(Таблица97[[#This Row],[НК]]=1,Таблица97[[#This Row],[Маржа]],"")</f>
        <v/>
      </c>
    </row>
    <row r="1944" spans="1:15" ht="19.5" customHeight="1" x14ac:dyDescent="0.25">
      <c r="A1944" s="2">
        <v>65</v>
      </c>
      <c r="B1944" s="2" t="str">
        <f>TEXT(Таблица97[[#This Row],[Дата]],"ГГ")&amp;RIGHT("000"&amp;Таблица97[[#This Row],[Номер]],4)</f>
        <v>220065</v>
      </c>
      <c r="C1944" s="129">
        <v>44595</v>
      </c>
      <c r="D1944" s="2" t="s">
        <v>339</v>
      </c>
      <c r="E1944" s="108">
        <v>1260</v>
      </c>
      <c r="F1944" s="129">
        <v>44596</v>
      </c>
      <c r="H1944" s="129">
        <v>44620</v>
      </c>
      <c r="I1944" s="108">
        <f t="shared" si="94"/>
        <v>1260</v>
      </c>
      <c r="J1944" s="108" t="str">
        <f>IF(Таблица97[[#This Row],[НК]]=1,Таблица97[[#This Row],[Продажа]],"")</f>
        <v/>
      </c>
      <c r="M1944" s="108">
        <v>932.13</v>
      </c>
      <c r="N1944" s="108">
        <f>Таблица97[[#This Row],[Продажа]]-Таблица97[[#This Row],[Закупка]]</f>
        <v>327.87</v>
      </c>
      <c r="O1944" s="108" t="str">
        <f>IF(Таблица97[[#This Row],[НК]]=1,Таблица97[[#This Row],[Маржа]],"")</f>
        <v/>
      </c>
    </row>
    <row r="1945" spans="1:15" ht="20.100000000000001" customHeight="1" x14ac:dyDescent="0.25">
      <c r="A1945" s="2">
        <v>40</v>
      </c>
      <c r="B1945" s="2" t="str">
        <f>TEXT(Таблица97[[#This Row],[Дата]],"ГГ")&amp;RIGHT("000"&amp;Таблица97[[#This Row],[Номер]],4)</f>
        <v>220040</v>
      </c>
      <c r="C1945" s="129">
        <v>44585</v>
      </c>
      <c r="D1945" s="2" t="s">
        <v>60</v>
      </c>
      <c r="E1945" s="108">
        <v>63064</v>
      </c>
      <c r="F1945" s="129">
        <v>44599</v>
      </c>
      <c r="H1945" s="129">
        <v>44585</v>
      </c>
      <c r="I1945" s="108">
        <v>36557</v>
      </c>
      <c r="J1945" s="108" t="str">
        <f>IF(Таблица97[[#This Row],[НК]]=1,Таблица97[[#This Row],[Продажа]],"")</f>
        <v/>
      </c>
      <c r="M1945" s="108">
        <v>28509</v>
      </c>
      <c r="N1945" s="108">
        <f>Таблица97[[#This Row],[Продажа]]-Таблица97[[#This Row],[Закупка]]</f>
        <v>8048</v>
      </c>
      <c r="O1945" s="108" t="str">
        <f>IF(Таблица97[[#This Row],[НК]]=1,Таблица97[[#This Row],[Маржа]],"")</f>
        <v/>
      </c>
    </row>
    <row r="1946" spans="1:15" ht="20.100000000000001" customHeight="1" x14ac:dyDescent="0.25">
      <c r="A1946" s="2">
        <v>1180</v>
      </c>
      <c r="B1946" s="2" t="str">
        <f>TEXT(Таблица97[[#This Row],[Дата]],"ГГ")&amp;RIGHT("000"&amp;Таблица97[[#This Row],[Номер]],4)</f>
        <v>211180</v>
      </c>
      <c r="C1946" s="129">
        <v>44515</v>
      </c>
      <c r="D1946" s="2" t="s">
        <v>275</v>
      </c>
      <c r="E1946" s="108">
        <v>7338</v>
      </c>
      <c r="F1946" s="129">
        <v>44600</v>
      </c>
      <c r="H1946" s="129">
        <v>44546</v>
      </c>
      <c r="I1946" s="108">
        <f t="shared" si="94"/>
        <v>7338</v>
      </c>
      <c r="J1946" s="108" t="str">
        <f>IF(Таблица97[[#This Row],[НК]]=1,Таблица97[[#This Row],[Продажа]],"")</f>
        <v/>
      </c>
      <c r="M1946" s="108">
        <v>4747</v>
      </c>
      <c r="N1946" s="108">
        <f>Таблица97[[#This Row],[Продажа]]-Таблица97[[#This Row],[Закупка]]</f>
        <v>2591</v>
      </c>
      <c r="O1946" s="108" t="str">
        <f>IF(Таблица97[[#This Row],[НК]]=1,Таблица97[[#This Row],[Маржа]],"")</f>
        <v/>
      </c>
    </row>
    <row r="1947" spans="1:15" ht="20.100000000000001" customHeight="1" x14ac:dyDescent="0.25">
      <c r="A1947" s="2">
        <v>85</v>
      </c>
      <c r="B1947" s="2" t="str">
        <f>TEXT(Таблица97[[#This Row],[Дата]],"ГГ")&amp;RIGHT("000"&amp;Таблица97[[#This Row],[Номер]],4)</f>
        <v>220085</v>
      </c>
      <c r="C1947" s="129">
        <v>44603</v>
      </c>
      <c r="D1947" s="2" t="s">
        <v>149</v>
      </c>
      <c r="E1947" s="108">
        <v>4550</v>
      </c>
      <c r="F1947" s="129">
        <v>44603</v>
      </c>
      <c r="H1947" s="129">
        <v>44606</v>
      </c>
      <c r="I1947" s="108">
        <f t="shared" si="94"/>
        <v>4550</v>
      </c>
      <c r="J1947" s="108" t="str">
        <f>IF(Таблица97[[#This Row],[НК]]=1,Таблица97[[#This Row],[Продажа]],"")</f>
        <v/>
      </c>
      <c r="M1947" s="108">
        <v>3229.5</v>
      </c>
      <c r="N1947" s="108">
        <f>Таблица97[[#This Row],[Продажа]]-Таблица97[[#This Row],[Закупка]]</f>
        <v>1320.5</v>
      </c>
      <c r="O1947" s="108" t="str">
        <f>IF(Таблица97[[#This Row],[НК]]=1,Таблица97[[#This Row],[Маржа]],"")</f>
        <v/>
      </c>
    </row>
    <row r="1948" spans="1:15" ht="20.100000000000001" customHeight="1" x14ac:dyDescent="0.25">
      <c r="A1948" s="2">
        <v>94</v>
      </c>
      <c r="B1948" s="2" t="str">
        <f>TEXT(Таблица97[[#This Row],[Дата]],"ГГ")&amp;RIGHT("000"&amp;Таблица97[[#This Row],[Номер]],4)</f>
        <v>220094</v>
      </c>
      <c r="C1948" s="129">
        <v>44609</v>
      </c>
      <c r="D1948" s="2" t="s">
        <v>513</v>
      </c>
      <c r="E1948" s="108">
        <v>191000</v>
      </c>
      <c r="F1948" s="129">
        <v>44609</v>
      </c>
      <c r="G1948" s="128">
        <v>1</v>
      </c>
      <c r="H1948" s="129">
        <v>44609</v>
      </c>
      <c r="I1948" s="108">
        <f t="shared" si="94"/>
        <v>191000</v>
      </c>
      <c r="J1948" s="108">
        <f>IF(Таблица97[[#This Row],[НК]]=1,Таблица97[[#This Row],[Продажа]],"")</f>
        <v>191000</v>
      </c>
      <c r="M1948" s="108">
        <v>151322</v>
      </c>
      <c r="N1948" s="108">
        <f>Таблица97[[#This Row],[Продажа]]-Таблица97[[#This Row],[Закупка]]</f>
        <v>39678</v>
      </c>
      <c r="O1948" s="108">
        <f>IF(Таблица97[[#This Row],[НК]]=1,Таблица97[[#This Row],[Маржа]],"")</f>
        <v>39678</v>
      </c>
    </row>
    <row r="1949" spans="1:15" ht="20.100000000000001" customHeight="1" x14ac:dyDescent="0.25">
      <c r="A1949" s="2">
        <v>101</v>
      </c>
      <c r="B1949" s="2" t="str">
        <f>TEXT(Таблица97[[#This Row],[Дата]],"ГГ")&amp;RIGHT("000"&amp;Таблица97[[#This Row],[Номер]],4)</f>
        <v>220101</v>
      </c>
      <c r="C1949" s="129">
        <v>44613</v>
      </c>
      <c r="D1949" s="2" t="s">
        <v>16</v>
      </c>
      <c r="E1949" s="108">
        <v>3630</v>
      </c>
      <c r="F1949" s="129">
        <v>44613</v>
      </c>
      <c r="H1949" s="129">
        <v>44651</v>
      </c>
      <c r="I1949" s="108">
        <f t="shared" si="94"/>
        <v>3630</v>
      </c>
      <c r="J1949" s="108" t="str">
        <f>IF(Таблица97[[#This Row],[НК]]=1,Таблица97[[#This Row],[Продажа]],"")</f>
        <v/>
      </c>
      <c r="M1949" s="108">
        <v>2396</v>
      </c>
      <c r="N1949" s="108">
        <f>Таблица97[[#This Row],[Продажа]]-Таблица97[[#This Row],[Закупка]]</f>
        <v>1234</v>
      </c>
      <c r="O1949" s="108" t="str">
        <f>IF(Таблица97[[#This Row],[НК]]=1,Таблица97[[#This Row],[Маржа]],"")</f>
        <v/>
      </c>
    </row>
    <row r="1950" spans="1:15" ht="19.5" customHeight="1" x14ac:dyDescent="0.25">
      <c r="A1950" s="2">
        <v>24</v>
      </c>
      <c r="B1950" s="2" t="str">
        <f>TEXT(Таблица97[[#This Row],[Дата]],"ГГ")&amp;RIGHT("000"&amp;Таблица97[[#This Row],[Номер]],4)</f>
        <v>220024</v>
      </c>
      <c r="C1950" s="129">
        <v>44578</v>
      </c>
      <c r="D1950" s="2" t="s">
        <v>99</v>
      </c>
      <c r="E1950" s="108">
        <v>207000</v>
      </c>
      <c r="F1950" s="129">
        <v>44614</v>
      </c>
      <c r="H1950" s="129">
        <v>44589</v>
      </c>
      <c r="I1950" s="108">
        <f t="shared" si="94"/>
        <v>207000</v>
      </c>
      <c r="J1950" s="108" t="str">
        <f>IF(Таблица97[[#This Row],[НК]]=1,Таблица97[[#This Row],[Продажа]],"")</f>
        <v/>
      </c>
      <c r="K1950" s="108">
        <f>3000*15</f>
        <v>45000</v>
      </c>
      <c r="M1950" s="108">
        <v>30660</v>
      </c>
      <c r="N1950" s="108">
        <f>Таблица97[[#This Row],[Продажа]]-Таблица97[[#This Row],[Закупка]]</f>
        <v>176340</v>
      </c>
      <c r="O1950" s="108" t="str">
        <f>IF(Таблица97[[#This Row],[НК]]=1,Таблица97[[#This Row],[Маржа]],"")</f>
        <v/>
      </c>
    </row>
    <row r="1951" spans="1:15" ht="19.5" customHeight="1" x14ac:dyDescent="0.25">
      <c r="A1951" s="2">
        <v>86</v>
      </c>
      <c r="B1951" s="2" t="str">
        <f>TEXT(Таблица97[[#This Row],[Дата]],"ГГ")&amp;RIGHT("000"&amp;Таблица97[[#This Row],[Номер]],4)</f>
        <v>220086</v>
      </c>
      <c r="C1951" s="129">
        <v>44606</v>
      </c>
      <c r="D1951" s="2" t="s">
        <v>403</v>
      </c>
      <c r="E1951" s="108">
        <v>8498</v>
      </c>
      <c r="F1951" s="129">
        <v>44614</v>
      </c>
      <c r="H1951" s="129">
        <v>44618</v>
      </c>
      <c r="I1951" s="108">
        <f t="shared" si="94"/>
        <v>8498</v>
      </c>
      <c r="J1951" s="108" t="str">
        <f>IF(Таблица97[[#This Row],[НК]]=1,Таблица97[[#This Row],[Продажа]],"")</f>
        <v/>
      </c>
      <c r="M1951" s="108">
        <f>3127*2</f>
        <v>6254</v>
      </c>
      <c r="N1951" s="108">
        <f>Таблица97[[#This Row],[Продажа]]-Таблица97[[#This Row],[Закупка]]</f>
        <v>2244</v>
      </c>
      <c r="O1951" s="108" t="str">
        <f>IF(Таблица97[[#This Row],[НК]]=1,Таблица97[[#This Row],[Маржа]],"")</f>
        <v/>
      </c>
    </row>
    <row r="1952" spans="1:15" ht="19.5" customHeight="1" x14ac:dyDescent="0.25">
      <c r="A1952" s="2">
        <v>106</v>
      </c>
      <c r="B1952" s="2" t="str">
        <f>TEXT(Таблица97[[#This Row],[Дата]],"ГГ")&amp;RIGHT("000"&amp;Таблица97[[#This Row],[Номер]],4)</f>
        <v>220106</v>
      </c>
      <c r="C1952" s="129">
        <v>44613</v>
      </c>
      <c r="D1952" s="2" t="s">
        <v>49</v>
      </c>
      <c r="E1952" s="108">
        <v>3630</v>
      </c>
      <c r="F1952" s="129">
        <v>44705</v>
      </c>
      <c r="H1952" s="129">
        <v>44617</v>
      </c>
      <c r="I1952" s="108">
        <f t="shared" si="94"/>
        <v>3630</v>
      </c>
      <c r="J1952" s="108" t="str">
        <f>IF(Таблица97[[#This Row],[НК]]=1,Таблица97[[#This Row],[Продажа]],"")</f>
        <v/>
      </c>
      <c r="M1952" s="108">
        <v>2232</v>
      </c>
      <c r="N1952" s="108">
        <f>Таблица97[[#This Row],[Продажа]]-Таблица97[[#This Row],[Закупка]]</f>
        <v>1398</v>
      </c>
      <c r="O1952" s="108" t="str">
        <f>IF(Таблица97[[#This Row],[НК]]=1,Таблица97[[#This Row],[Маржа]],"")</f>
        <v/>
      </c>
    </row>
    <row r="1953" spans="1:15" ht="19.5" customHeight="1" x14ac:dyDescent="0.25">
      <c r="A1953" s="2">
        <v>108</v>
      </c>
      <c r="B1953" s="2" t="str">
        <f>TEXT(Таблица97[[#This Row],[Дата]],"ГГ")&amp;RIGHT("000"&amp;Таблица97[[#This Row],[Номер]],4)</f>
        <v>220108</v>
      </c>
      <c r="C1953" s="129">
        <v>44614</v>
      </c>
      <c r="D1953" s="2" t="s">
        <v>216</v>
      </c>
      <c r="E1953" s="108">
        <v>4720</v>
      </c>
      <c r="F1953" s="129">
        <v>44706</v>
      </c>
      <c r="H1953" s="129">
        <v>44614</v>
      </c>
      <c r="I1953" s="108">
        <f t="shared" si="94"/>
        <v>4720</v>
      </c>
      <c r="J1953" s="108" t="str">
        <f>IF(Таблица97[[#This Row],[НК]]=1,Таблица97[[#This Row],[Продажа]],"")</f>
        <v/>
      </c>
      <c r="M1953" s="108">
        <v>3008</v>
      </c>
      <c r="N1953" s="108">
        <f>Таблица97[[#This Row],[Продажа]]-Таблица97[[#This Row],[Закупка]]</f>
        <v>1712</v>
      </c>
      <c r="O1953" s="108" t="str">
        <f>IF(Таблица97[[#This Row],[НК]]=1,Таблица97[[#This Row],[Маржа]],"")</f>
        <v/>
      </c>
    </row>
    <row r="1954" spans="1:15" ht="19.5" customHeight="1" x14ac:dyDescent="0.25">
      <c r="A1954" s="2">
        <v>99</v>
      </c>
      <c r="B1954" s="2" t="str">
        <f>TEXT(Таблица97[[#This Row],[Дата]],"ГГ")&amp;RIGHT("000"&amp;Таблица97[[#This Row],[Номер]],4)</f>
        <v>220099</v>
      </c>
      <c r="C1954" s="129">
        <v>44610</v>
      </c>
      <c r="D1954" s="2" t="s">
        <v>91</v>
      </c>
      <c r="E1954" s="108">
        <v>10377</v>
      </c>
      <c r="F1954" s="129">
        <v>44706</v>
      </c>
      <c r="H1954" s="129">
        <v>44641</v>
      </c>
      <c r="I1954" s="108">
        <f t="shared" si="94"/>
        <v>10377</v>
      </c>
      <c r="J1954" s="108" t="str">
        <f>IF(Таблица97[[#This Row],[НК]]=1,Таблица97[[#This Row],[Продажа]],"")</f>
        <v/>
      </c>
      <c r="M1954" s="108">
        <v>8061</v>
      </c>
      <c r="N1954" s="108">
        <f>Таблица97[[#This Row],[Продажа]]-Таблица97[[#This Row],[Закупка]]</f>
        <v>2316</v>
      </c>
      <c r="O1954" s="108" t="str">
        <f>IF(Таблица97[[#This Row],[НК]]=1,Таблица97[[#This Row],[Маржа]],"")</f>
        <v/>
      </c>
    </row>
    <row r="1955" spans="1:15" ht="19.5" customHeight="1" x14ac:dyDescent="0.25">
      <c r="A1955" s="2">
        <v>117</v>
      </c>
      <c r="B1955" s="2" t="str">
        <f>TEXT(Таблица97[[#This Row],[Дата]],"ГГ")&amp;RIGHT("000"&amp;Таблица97[[#This Row],[Номер]],4)</f>
        <v>220117</v>
      </c>
      <c r="C1955" s="129">
        <v>44617</v>
      </c>
      <c r="D1955" s="2" t="s">
        <v>149</v>
      </c>
      <c r="E1955" s="108">
        <v>18160</v>
      </c>
      <c r="F1955" s="129">
        <v>44620</v>
      </c>
      <c r="H1955" s="129">
        <v>44692</v>
      </c>
      <c r="I1955" s="108">
        <f t="shared" si="94"/>
        <v>18160</v>
      </c>
      <c r="J1955" s="108" t="str">
        <f>IF(Таблица97[[#This Row],[НК]]=1,Таблица97[[#This Row],[Продажа]],"")</f>
        <v/>
      </c>
      <c r="M1955" s="108">
        <v>11986</v>
      </c>
      <c r="N1955" s="108">
        <f>Таблица97[[#This Row],[Продажа]]-Таблица97[[#This Row],[Закупка]]</f>
        <v>6174</v>
      </c>
      <c r="O1955" s="108" t="str">
        <f>IF(Таблица97[[#This Row],[НК]]=1,Таблица97[[#This Row],[Маржа]],"")</f>
        <v/>
      </c>
    </row>
    <row r="1956" spans="1:15" ht="20.100000000000001" customHeight="1" x14ac:dyDescent="0.25">
      <c r="A1956" s="2">
        <v>1093</v>
      </c>
      <c r="B1956" s="2" t="str">
        <f>TEXT(Таблица97[[#This Row],[Дата]],"ГГ")&amp;RIGHT("000"&amp;Таблица97[[#This Row],[Номер]],4)</f>
        <v>211093</v>
      </c>
      <c r="C1956" s="129">
        <v>44490</v>
      </c>
      <c r="D1956" s="2" t="s">
        <v>209</v>
      </c>
      <c r="E1956" s="108">
        <v>6211.3</v>
      </c>
      <c r="F1956" s="129">
        <v>44620</v>
      </c>
      <c r="H1956" s="129">
        <v>44581</v>
      </c>
      <c r="I1956" s="108">
        <f t="shared" si="94"/>
        <v>6211.3</v>
      </c>
      <c r="J1956" s="108" t="str">
        <f>IF(Таблица97[[#This Row],[НК]]=1,Таблица97[[#This Row],[Продажа]],"")</f>
        <v/>
      </c>
      <c r="M1956" s="108">
        <f>3098+1939</f>
        <v>5037</v>
      </c>
      <c r="N1956" s="108">
        <f>Таблица97[[#This Row],[Продажа]]-Таблица97[[#This Row],[Закупка]]</f>
        <v>1174.3000000000002</v>
      </c>
      <c r="O1956" s="108" t="str">
        <f>IF(Таблица97[[#This Row],[НК]]=1,Таблица97[[#This Row],[Маржа]],"")</f>
        <v/>
      </c>
    </row>
    <row r="1957" spans="1:15" ht="20.100000000000001" customHeight="1" x14ac:dyDescent="0.25">
      <c r="A1957" s="2">
        <v>40</v>
      </c>
      <c r="B1957" s="2" t="str">
        <f>TEXT(Таблица97[[#This Row],[Дата]],"ГГ")&amp;RIGHT("000"&amp;Таблица97[[#This Row],[Номер]],4)</f>
        <v>220040</v>
      </c>
      <c r="C1957" s="129">
        <v>44585</v>
      </c>
      <c r="D1957" s="2" t="s">
        <v>60</v>
      </c>
      <c r="E1957" s="108">
        <v>63064</v>
      </c>
      <c r="F1957" s="129">
        <v>44621</v>
      </c>
      <c r="H1957" s="129">
        <v>44606</v>
      </c>
      <c r="I1957" s="108">
        <v>26507</v>
      </c>
      <c r="J1957" s="108" t="str">
        <f>IF(Таблица97[[#This Row],[НК]]=1,Таблица97[[#This Row],[Продажа]],"")</f>
        <v/>
      </c>
      <c r="M1957" s="108">
        <v>21753</v>
      </c>
      <c r="N1957" s="108">
        <f>Таблица97[[#This Row],[Продажа]]-Таблица97[[#This Row],[Закупка]]</f>
        <v>4754</v>
      </c>
      <c r="O1957" s="108" t="str">
        <f>IF(Таблица97[[#This Row],[НК]]=1,Таблица97[[#This Row],[Маржа]],"")</f>
        <v/>
      </c>
    </row>
    <row r="1958" spans="1:15" ht="20.100000000000001" customHeight="1" x14ac:dyDescent="0.25">
      <c r="A1958" s="2">
        <v>122</v>
      </c>
      <c r="B1958" s="2" t="str">
        <f>TEXT(Таблица97[[#This Row],[Дата]],"ГГ")&amp;RIGHT("000"&amp;Таблица97[[#This Row],[Номер]],4)</f>
        <v>220122</v>
      </c>
      <c r="C1958" s="129">
        <v>44620</v>
      </c>
      <c r="D1958" s="2" t="s">
        <v>149</v>
      </c>
      <c r="E1958" s="108">
        <v>2340</v>
      </c>
      <c r="F1958" s="129">
        <v>44622</v>
      </c>
      <c r="H1958" s="129">
        <v>44623</v>
      </c>
      <c r="I1958" s="108">
        <f t="shared" ref="I1958:I1973" si="95">E1958</f>
        <v>2340</v>
      </c>
      <c r="J1958" s="108" t="str">
        <f>IF(Таблица97[[#This Row],[НК]]=1,Таблица97[[#This Row],[Продажа]],"")</f>
        <v/>
      </c>
      <c r="M1958" s="108">
        <v>1738</v>
      </c>
      <c r="N1958" s="108">
        <f>Таблица97[[#This Row],[Продажа]]-Таблица97[[#This Row],[Закупка]]</f>
        <v>602</v>
      </c>
      <c r="O1958" s="108" t="str">
        <f>IF(Таблица97[[#This Row],[НК]]=1,Таблица97[[#This Row],[Маржа]],"")</f>
        <v/>
      </c>
    </row>
    <row r="1959" spans="1:15" ht="20.100000000000001" customHeight="1" x14ac:dyDescent="0.25">
      <c r="A1959" s="2">
        <v>123</v>
      </c>
      <c r="B1959" s="2" t="str">
        <f>TEXT(Таблица97[[#This Row],[Дата]],"ГГ")&amp;RIGHT("000"&amp;Таблица97[[#This Row],[Номер]],4)</f>
        <v>220123</v>
      </c>
      <c r="C1959" s="129">
        <v>44621</v>
      </c>
      <c r="D1959" s="2" t="s">
        <v>118</v>
      </c>
      <c r="E1959" s="108">
        <v>22290</v>
      </c>
      <c r="F1959" s="129">
        <v>44622</v>
      </c>
      <c r="H1959" s="129">
        <v>44623</v>
      </c>
      <c r="I1959" s="108">
        <f t="shared" si="95"/>
        <v>22290</v>
      </c>
      <c r="J1959" s="108" t="str">
        <f>IF(Таблица97[[#This Row],[НК]]=1,Таблица97[[#This Row],[Продажа]],"")</f>
        <v/>
      </c>
      <c r="M1959" s="108">
        <v>15612</v>
      </c>
      <c r="N1959" s="108">
        <f>Таблица97[[#This Row],[Продажа]]-Таблица97[[#This Row],[Закупка]]</f>
        <v>6678</v>
      </c>
      <c r="O1959" s="108" t="str">
        <f>IF(Таблица97[[#This Row],[НК]]=1,Таблица97[[#This Row],[Маржа]],"")</f>
        <v/>
      </c>
    </row>
    <row r="1960" spans="1:15" ht="20.100000000000001" customHeight="1" x14ac:dyDescent="0.25">
      <c r="A1960" s="2">
        <v>128</v>
      </c>
      <c r="B1960" s="2" t="str">
        <f>TEXT(Таблица97[[#This Row],[Дата]],"ГГ")&amp;RIGHT("000"&amp;Таблица97[[#This Row],[Номер]],4)</f>
        <v>220128</v>
      </c>
      <c r="C1960" s="129">
        <v>44622</v>
      </c>
      <c r="D1960" s="2" t="s">
        <v>372</v>
      </c>
      <c r="E1960" s="108">
        <v>6918</v>
      </c>
      <c r="F1960" s="129">
        <v>44625</v>
      </c>
      <c r="H1960" s="129">
        <v>44629</v>
      </c>
      <c r="I1960" s="108">
        <f t="shared" si="95"/>
        <v>6918</v>
      </c>
      <c r="J1960" s="108" t="str">
        <f>IF(Таблица97[[#This Row],[НК]]=1,Таблица97[[#This Row],[Продажа]],"")</f>
        <v/>
      </c>
      <c r="M1960" s="108">
        <f>2687*2</f>
        <v>5374</v>
      </c>
      <c r="N1960" s="108">
        <f>Таблица97[[#This Row],[Продажа]]-Таблица97[[#This Row],[Закупка]]</f>
        <v>1544</v>
      </c>
      <c r="O1960" s="108" t="str">
        <f>IF(Таблица97[[#This Row],[НК]]=1,Таблица97[[#This Row],[Маржа]],"")</f>
        <v/>
      </c>
    </row>
    <row r="1961" spans="1:15" ht="20.100000000000001" customHeight="1" x14ac:dyDescent="0.25">
      <c r="A1961" s="2">
        <v>136</v>
      </c>
      <c r="B1961" s="2" t="str">
        <f>TEXT(Таблица97[[#This Row],[Дата]],"ГГ")&amp;RIGHT("000"&amp;Таблица97[[#This Row],[Номер]],4)</f>
        <v>220136</v>
      </c>
      <c r="C1961" s="129">
        <v>44623</v>
      </c>
      <c r="D1961" s="2" t="s">
        <v>410</v>
      </c>
      <c r="E1961" s="108">
        <v>45420</v>
      </c>
      <c r="F1961" s="129">
        <v>44625</v>
      </c>
      <c r="H1961" s="129">
        <v>44700</v>
      </c>
      <c r="I1961" s="108">
        <f t="shared" si="95"/>
        <v>45420</v>
      </c>
      <c r="J1961" s="108" t="str">
        <f>IF(Таблица97[[#This Row],[НК]]=1,Таблица97[[#This Row],[Продажа]],"")</f>
        <v/>
      </c>
      <c r="M1961" s="108">
        <f>9992*3</f>
        <v>29976</v>
      </c>
      <c r="N1961" s="108">
        <f>Таблица97[[#This Row],[Продажа]]-Таблица97[[#This Row],[Закупка]]</f>
        <v>15444</v>
      </c>
      <c r="O1961" s="108" t="str">
        <f>IF(Таблица97[[#This Row],[НК]]=1,Таблица97[[#This Row],[Маржа]],"")</f>
        <v/>
      </c>
    </row>
    <row r="1962" spans="1:15" ht="20.100000000000001" customHeight="1" x14ac:dyDescent="0.25">
      <c r="A1962" s="2">
        <v>144</v>
      </c>
      <c r="B1962" s="2" t="str">
        <f>TEXT(Таблица97[[#This Row],[Дата]],"ГГ")&amp;RIGHT("000"&amp;Таблица97[[#This Row],[Номер]],4)</f>
        <v>220144</v>
      </c>
      <c r="C1962" s="129">
        <v>44625</v>
      </c>
      <c r="D1962" s="2" t="s">
        <v>514</v>
      </c>
      <c r="E1962" s="108">
        <v>40490</v>
      </c>
      <c r="F1962" s="129">
        <v>44625</v>
      </c>
      <c r="H1962" s="129">
        <v>44629</v>
      </c>
      <c r="I1962" s="108">
        <f t="shared" si="95"/>
        <v>40490</v>
      </c>
      <c r="J1962" s="108" t="str">
        <f>IF(Таблица97[[#This Row],[НК]]=1,Таблица97[[#This Row],[Продажа]],"")</f>
        <v/>
      </c>
      <c r="M1962" s="108">
        <v>22251</v>
      </c>
      <c r="N1962" s="108">
        <f>Таблица97[[#This Row],[Продажа]]-Таблица97[[#This Row],[Закупка]]</f>
        <v>18239</v>
      </c>
      <c r="O1962" s="108" t="str">
        <f>IF(Таблица97[[#This Row],[НК]]=1,Таблица97[[#This Row],[Маржа]],"")</f>
        <v/>
      </c>
    </row>
    <row r="1963" spans="1:15" ht="20.100000000000001" customHeight="1" x14ac:dyDescent="0.25">
      <c r="A1963" s="2">
        <v>142</v>
      </c>
      <c r="B1963" s="2" t="str">
        <f>TEXT(Таблица97[[#This Row],[Дата]],"ГГ")&amp;RIGHT("000"&amp;Таблица97[[#This Row],[Номер]],4)</f>
        <v>220142</v>
      </c>
      <c r="C1963" s="129">
        <v>44625</v>
      </c>
      <c r="D1963" s="2" t="s">
        <v>209</v>
      </c>
      <c r="E1963" s="108">
        <v>1930</v>
      </c>
      <c r="F1963" s="129">
        <v>44629</v>
      </c>
      <c r="H1963" s="129">
        <v>44625</v>
      </c>
      <c r="I1963" s="108">
        <f t="shared" si="95"/>
        <v>1930</v>
      </c>
      <c r="J1963" s="108" t="str">
        <f>IF(Таблица97[[#This Row],[НК]]=1,Таблица97[[#This Row],[Продажа]],"")</f>
        <v/>
      </c>
      <c r="M1963" s="108">
        <v>1180</v>
      </c>
      <c r="N1963" s="108">
        <f>Таблица97[[#This Row],[Продажа]]-Таблица97[[#This Row],[Закупка]]</f>
        <v>750</v>
      </c>
      <c r="O1963" s="108" t="str">
        <f>IF(Таблица97[[#This Row],[НК]]=1,Таблица97[[#This Row],[Маржа]],"")</f>
        <v/>
      </c>
    </row>
    <row r="1964" spans="1:15" ht="20.100000000000001" customHeight="1" x14ac:dyDescent="0.25">
      <c r="A1964" s="2">
        <v>132</v>
      </c>
      <c r="B1964" s="2" t="str">
        <f>TEXT(Таблица97[[#This Row],[Дата]],"ГГ")&amp;RIGHT("000"&amp;Таблица97[[#This Row],[Номер]],4)</f>
        <v>220132</v>
      </c>
      <c r="C1964" s="129">
        <v>44623</v>
      </c>
      <c r="D1964" s="2" t="s">
        <v>209</v>
      </c>
      <c r="E1964" s="108">
        <v>10979</v>
      </c>
      <c r="F1964" s="129">
        <v>44629</v>
      </c>
      <c r="H1964" s="129">
        <v>44625</v>
      </c>
      <c r="I1964" s="108">
        <f t="shared" si="95"/>
        <v>10979</v>
      </c>
      <c r="J1964" s="108" t="str">
        <f>IF(Таблица97[[#This Row],[НК]]=1,Таблица97[[#This Row],[Продажа]],"")</f>
        <v/>
      </c>
      <c r="M1964" s="108">
        <v>8057</v>
      </c>
      <c r="N1964" s="108">
        <f>Таблица97[[#This Row],[Продажа]]-Таблица97[[#This Row],[Закупка]]</f>
        <v>2922</v>
      </c>
      <c r="O1964" s="108" t="str">
        <f>IF(Таблица97[[#This Row],[НК]]=1,Таблица97[[#This Row],[Маржа]],"")</f>
        <v/>
      </c>
    </row>
    <row r="1965" spans="1:15" ht="20.100000000000001" customHeight="1" x14ac:dyDescent="0.25">
      <c r="A1965" s="2">
        <v>1155</v>
      </c>
      <c r="B1965" s="2" t="str">
        <f>TEXT(Таблица97[[#This Row],[Дата]],"ГГ")&amp;RIGHT("000"&amp;Таблица97[[#This Row],[Номер]],4)</f>
        <v>221155</v>
      </c>
      <c r="C1965" s="129">
        <v>44629</v>
      </c>
      <c r="D1965" s="2" t="s">
        <v>475</v>
      </c>
      <c r="E1965" s="108">
        <v>11500</v>
      </c>
      <c r="F1965" s="129">
        <v>44630</v>
      </c>
      <c r="H1965" s="129">
        <v>44632</v>
      </c>
      <c r="I1965" s="108">
        <f t="shared" si="95"/>
        <v>11500</v>
      </c>
      <c r="J1965" s="108" t="str">
        <f>IF(Таблица97[[#This Row],[НК]]=1,Таблица97[[#This Row],[Продажа]],"")</f>
        <v/>
      </c>
      <c r="M1965" s="108">
        <v>5724.25</v>
      </c>
      <c r="N1965" s="108">
        <f>Таблица97[[#This Row],[Продажа]]-Таблица97[[#This Row],[Закупка]]</f>
        <v>5775.75</v>
      </c>
      <c r="O1965" s="108" t="str">
        <f>IF(Таблица97[[#This Row],[НК]]=1,Таблица97[[#This Row],[Маржа]],"")</f>
        <v/>
      </c>
    </row>
    <row r="1966" spans="1:15" ht="20.100000000000001" customHeight="1" x14ac:dyDescent="0.25">
      <c r="A1966" s="2">
        <v>161</v>
      </c>
      <c r="B1966" s="2" t="str">
        <f>TEXT(Таблица97[[#This Row],[Дата]],"ГГ")&amp;RIGHT("000"&amp;Таблица97[[#This Row],[Номер]],4)</f>
        <v>220161</v>
      </c>
      <c r="C1966" s="129">
        <v>44631</v>
      </c>
      <c r="D1966" s="2" t="s">
        <v>443</v>
      </c>
      <c r="E1966" s="108">
        <v>13510</v>
      </c>
      <c r="F1966" s="129">
        <v>44631</v>
      </c>
      <c r="H1966" s="129">
        <v>44648</v>
      </c>
      <c r="I1966" s="108">
        <v>8728</v>
      </c>
      <c r="J1966" s="108" t="str">
        <f>IF(Таблица97[[#This Row],[НК]]=1,Таблица97[[#This Row],[Продажа]],"")</f>
        <v/>
      </c>
      <c r="M1966" s="108">
        <v>4450</v>
      </c>
      <c r="N1966" s="108">
        <f>Таблица97[[#This Row],[Продажа]]-Таблица97[[#This Row],[Закупка]]</f>
        <v>4278</v>
      </c>
      <c r="O1966" s="108" t="str">
        <f>IF(Таблица97[[#This Row],[НК]]=1,Таблица97[[#This Row],[Маржа]],"")</f>
        <v/>
      </c>
    </row>
    <row r="1967" spans="1:15" ht="20.100000000000001" customHeight="1" x14ac:dyDescent="0.25">
      <c r="A1967" s="2">
        <v>137</v>
      </c>
      <c r="B1967" s="2" t="str">
        <f>TEXT(Таблица97[[#This Row],[Дата]],"ГГ")&amp;RIGHT("000"&amp;Таблица97[[#This Row],[Номер]],4)</f>
        <v>220137</v>
      </c>
      <c r="C1967" s="129">
        <v>44630</v>
      </c>
      <c r="D1967" s="2" t="s">
        <v>515</v>
      </c>
      <c r="E1967" s="108">
        <v>2163000</v>
      </c>
      <c r="F1967" s="129">
        <v>44631</v>
      </c>
      <c r="G1967" s="128">
        <v>1</v>
      </c>
      <c r="H1967" s="129">
        <v>44652</v>
      </c>
      <c r="I1967" s="108">
        <f t="shared" si="95"/>
        <v>2163000</v>
      </c>
      <c r="J1967" s="108">
        <f>IF(Таблица97[[#This Row],[НК]]=1,Таблица97[[#This Row],[Продажа]],"")</f>
        <v>2163000</v>
      </c>
      <c r="M1967" s="108">
        <v>2007510</v>
      </c>
      <c r="N1967" s="108">
        <f>Таблица97[[#This Row],[Продажа]]-Таблица97[[#This Row],[Закупка]]</f>
        <v>155490</v>
      </c>
      <c r="O1967" s="108">
        <f>IF(Таблица97[[#This Row],[НК]]=1,Таблица97[[#This Row],[Маржа]],"")</f>
        <v>155490</v>
      </c>
    </row>
    <row r="1968" spans="1:15" ht="20.100000000000001" customHeight="1" x14ac:dyDescent="0.25">
      <c r="A1968" s="2">
        <v>156</v>
      </c>
      <c r="B1968" s="2" t="str">
        <f>TEXT(Таблица97[[#This Row],[Дата]],"ГГ")&amp;RIGHT("000"&amp;Таблица97[[#This Row],[Номер]],4)</f>
        <v>220156</v>
      </c>
      <c r="C1968" s="129">
        <v>44630</v>
      </c>
      <c r="D1968" s="2" t="s">
        <v>515</v>
      </c>
      <c r="E1968" s="108">
        <v>2163000</v>
      </c>
      <c r="F1968" s="129">
        <v>44634</v>
      </c>
      <c r="G1968" s="128">
        <v>1</v>
      </c>
      <c r="H1968" s="129">
        <v>44652</v>
      </c>
      <c r="I1968" s="108">
        <f t="shared" si="95"/>
        <v>2163000</v>
      </c>
      <c r="J1968" s="108">
        <f>IF(Таблица97[[#This Row],[НК]]=1,Таблица97[[#This Row],[Продажа]],"")</f>
        <v>2163000</v>
      </c>
      <c r="M1968" s="108">
        <v>2007520</v>
      </c>
      <c r="N1968" s="108">
        <f>Таблица97[[#This Row],[Продажа]]-Таблица97[[#This Row],[Закупка]]</f>
        <v>155480</v>
      </c>
      <c r="O1968" s="108">
        <f>IF(Таблица97[[#This Row],[НК]]=1,Таблица97[[#This Row],[Маржа]],"")</f>
        <v>155480</v>
      </c>
    </row>
    <row r="1969" spans="1:15" ht="20.100000000000001" customHeight="1" x14ac:dyDescent="0.25">
      <c r="A1969" s="2">
        <v>149</v>
      </c>
      <c r="B1969" s="2" t="str">
        <f>TEXT(Таблица97[[#This Row],[Дата]],"ГГ")&amp;RIGHT("000"&amp;Таблица97[[#This Row],[Номер]],4)</f>
        <v>220149</v>
      </c>
      <c r="C1969" s="129">
        <v>44629</v>
      </c>
      <c r="D1969" s="2" t="s">
        <v>403</v>
      </c>
      <c r="E1969" s="108">
        <v>9118</v>
      </c>
      <c r="F1969" s="129">
        <v>44634</v>
      </c>
      <c r="H1969" s="129">
        <v>44645</v>
      </c>
      <c r="I1969" s="108">
        <f t="shared" si="95"/>
        <v>9118</v>
      </c>
      <c r="J1969" s="108" t="str">
        <f>IF(Таблица97[[#This Row],[НК]]=1,Таблица97[[#This Row],[Продажа]],"")</f>
        <v/>
      </c>
      <c r="M1969" s="108">
        <v>5524</v>
      </c>
      <c r="N1969" s="108">
        <f>Таблица97[[#This Row],[Продажа]]-Таблица97[[#This Row],[Закупка]]</f>
        <v>3594</v>
      </c>
      <c r="O1969" s="108" t="str">
        <f>IF(Таблица97[[#This Row],[НК]]=1,Таблица97[[#This Row],[Маржа]],"")</f>
        <v/>
      </c>
    </row>
    <row r="1970" spans="1:15" ht="20.100000000000001" customHeight="1" x14ac:dyDescent="0.25">
      <c r="A1970" s="2">
        <v>168</v>
      </c>
      <c r="B1970" s="2" t="str">
        <f>TEXT(Таблица97[[#This Row],[Дата]],"ГГ")&amp;RIGHT("000"&amp;Таблица97[[#This Row],[Номер]],4)</f>
        <v>220168</v>
      </c>
      <c r="C1970" s="129">
        <v>44634</v>
      </c>
      <c r="D1970" s="2" t="s">
        <v>475</v>
      </c>
      <c r="E1970" s="108">
        <v>19930</v>
      </c>
      <c r="F1970" s="129">
        <v>44635</v>
      </c>
      <c r="H1970" s="129">
        <v>44635</v>
      </c>
      <c r="I1970" s="108">
        <f t="shared" si="95"/>
        <v>19930</v>
      </c>
      <c r="J1970" s="108" t="str">
        <f>IF(Таблица97[[#This Row],[НК]]=1,Таблица97[[#This Row],[Продажа]],"")</f>
        <v/>
      </c>
      <c r="M1970" s="108">
        <v>9767</v>
      </c>
      <c r="N1970" s="108">
        <f>Таблица97[[#This Row],[Продажа]]-Таблица97[[#This Row],[Закупка]]</f>
        <v>10163</v>
      </c>
      <c r="O1970" s="108" t="str">
        <f>IF(Таблица97[[#This Row],[НК]]=1,Таблица97[[#This Row],[Маржа]],"")</f>
        <v/>
      </c>
    </row>
    <row r="1971" spans="1:15" ht="20.100000000000001" customHeight="1" x14ac:dyDescent="0.25">
      <c r="A1971" s="2">
        <v>175</v>
      </c>
      <c r="B1971" s="2" t="str">
        <f>TEXT(Таблица97[[#This Row],[Дата]],"ГГ")&amp;RIGHT("000"&amp;Таблица97[[#This Row],[Номер]],4)</f>
        <v>220175</v>
      </c>
      <c r="C1971" s="129">
        <v>44636</v>
      </c>
      <c r="D1971" s="2" t="s">
        <v>281</v>
      </c>
      <c r="E1971" s="108">
        <v>5470</v>
      </c>
      <c r="F1971" s="129">
        <v>44636</v>
      </c>
      <c r="H1971" s="129">
        <v>44637</v>
      </c>
      <c r="I1971" s="108">
        <f t="shared" si="95"/>
        <v>5470</v>
      </c>
      <c r="J1971" s="108" t="str">
        <f>IF(Таблица97[[#This Row],[НК]]=1,Таблица97[[#This Row],[Продажа]],"")</f>
        <v/>
      </c>
      <c r="M1971" s="108">
        <v>2714</v>
      </c>
      <c r="N1971" s="108">
        <f>Таблица97[[#This Row],[Продажа]]-Таблица97[[#This Row],[Закупка]]</f>
        <v>2756</v>
      </c>
      <c r="O1971" s="108" t="str">
        <f>IF(Таблица97[[#This Row],[НК]]=1,Таблица97[[#This Row],[Маржа]],"")</f>
        <v/>
      </c>
    </row>
    <row r="1972" spans="1:15" ht="20.100000000000001" customHeight="1" x14ac:dyDescent="0.25">
      <c r="A1972" s="2">
        <v>3</v>
      </c>
      <c r="B1972" s="2" t="str">
        <f>TEXT(Таблица97[[#This Row],[Дата]],"ГГ")&amp;RIGHT("000"&amp;Таблица97[[#This Row],[Номер]],4)</f>
        <v>220003</v>
      </c>
      <c r="C1972" s="129">
        <v>44571</v>
      </c>
      <c r="D1972" s="2" t="s">
        <v>275</v>
      </c>
      <c r="E1972" s="108">
        <v>4900</v>
      </c>
      <c r="F1972" s="129">
        <v>44637</v>
      </c>
      <c r="H1972" s="129">
        <v>44600</v>
      </c>
      <c r="I1972" s="108">
        <f t="shared" si="95"/>
        <v>4900</v>
      </c>
      <c r="J1972" s="108" t="str">
        <f>IF(Таблица97[[#This Row],[НК]]=1,Таблица97[[#This Row],[Продажа]],"")</f>
        <v/>
      </c>
      <c r="M1972" s="108">
        <v>3042</v>
      </c>
      <c r="N1972" s="108">
        <f>Таблица97[[#This Row],[Продажа]]-Таблица97[[#This Row],[Закупка]]</f>
        <v>1858</v>
      </c>
      <c r="O1972" s="108" t="str">
        <f>IF(Таблица97[[#This Row],[НК]]=1,Таблица97[[#This Row],[Маржа]],"")</f>
        <v/>
      </c>
    </row>
    <row r="1973" spans="1:15" ht="20.100000000000001" customHeight="1" x14ac:dyDescent="0.25">
      <c r="A1973" s="2">
        <v>44</v>
      </c>
      <c r="B1973" s="2" t="str">
        <f>TEXT(Таблица97[[#This Row],[Дата]],"ГГ")&amp;RIGHT("000"&amp;Таблица97[[#This Row],[Номер]],4)</f>
        <v>220044</v>
      </c>
      <c r="C1973" s="129">
        <v>44585</v>
      </c>
      <c r="D1973" s="2" t="s">
        <v>467</v>
      </c>
      <c r="E1973" s="108">
        <v>150596</v>
      </c>
      <c r="F1973" s="129">
        <v>44637</v>
      </c>
      <c r="H1973" s="129">
        <v>44644</v>
      </c>
      <c r="I1973" s="108">
        <f t="shared" si="95"/>
        <v>150596</v>
      </c>
      <c r="J1973" s="108" t="str">
        <f>IF(Таблица97[[#This Row],[НК]]=1,Таблица97[[#This Row],[Продажа]],"")</f>
        <v/>
      </c>
      <c r="M1973" s="108">
        <v>115686</v>
      </c>
      <c r="N1973" s="108">
        <f>Таблица97[[#This Row],[Продажа]]-Таблица97[[#This Row],[Закупка]]</f>
        <v>34910</v>
      </c>
      <c r="O1973" s="108" t="str">
        <f>IF(Таблица97[[#This Row],[НК]]=1,Таблица97[[#This Row],[Маржа]],"")</f>
        <v/>
      </c>
    </row>
    <row r="1974" spans="1:15" ht="20.100000000000001" customHeight="1" x14ac:dyDescent="0.25">
      <c r="A1974" s="2">
        <v>161</v>
      </c>
      <c r="B1974" s="2" t="str">
        <f>TEXT(Таблица97[[#This Row],[Дата]],"ГГ")&amp;RIGHT("000"&amp;Таблица97[[#This Row],[Номер]],4)</f>
        <v>220161</v>
      </c>
      <c r="C1974" s="129">
        <v>44631</v>
      </c>
      <c r="D1974" s="2" t="s">
        <v>443</v>
      </c>
      <c r="E1974" s="108">
        <v>13510</v>
      </c>
      <c r="F1974" s="129">
        <v>44638</v>
      </c>
      <c r="H1974" s="129">
        <v>44648</v>
      </c>
      <c r="I1974" s="108">
        <v>4782</v>
      </c>
      <c r="J1974" s="108" t="str">
        <f>IF(Таблица97[[#This Row],[НК]]=1,Таблица97[[#This Row],[Продажа]],"")</f>
        <v/>
      </c>
      <c r="M1974" s="108">
        <v>2447</v>
      </c>
      <c r="N1974" s="108">
        <f>Таблица97[[#This Row],[Продажа]]-Таблица97[[#This Row],[Закупка]]</f>
        <v>2335</v>
      </c>
      <c r="O1974" s="108" t="str">
        <f>IF(Таблица97[[#This Row],[НК]]=1,Таблица97[[#This Row],[Маржа]],"")</f>
        <v/>
      </c>
    </row>
    <row r="1975" spans="1:15" ht="20.100000000000001" customHeight="1" x14ac:dyDescent="0.25">
      <c r="A1975" s="2">
        <v>247</v>
      </c>
      <c r="B1975" s="2" t="str">
        <f>TEXT(Таблица97[[#This Row],[Дата]],"ГГ")&amp;RIGHT("000"&amp;Таблица97[[#This Row],[Номер]],4)</f>
        <v>220247</v>
      </c>
      <c r="C1975" s="129">
        <v>44657</v>
      </c>
      <c r="D1975" s="2" t="s">
        <v>516</v>
      </c>
      <c r="E1975" s="108">
        <v>35601</v>
      </c>
      <c r="F1975" s="129">
        <v>44641</v>
      </c>
      <c r="G1975" s="128">
        <v>1</v>
      </c>
      <c r="H1975" s="129">
        <v>44699</v>
      </c>
      <c r="I1975" s="108">
        <v>35000</v>
      </c>
      <c r="J1975" s="108">
        <f>IF(Таблица97[[#This Row],[НК]]=1,Таблица97[[#This Row],[Продажа]],"")</f>
        <v>35000</v>
      </c>
      <c r="M1975" s="108">
        <v>21750</v>
      </c>
      <c r="N1975" s="108">
        <f>Таблица97[[#This Row],[Продажа]]-Таблица97[[#This Row],[Закупка]]</f>
        <v>13250</v>
      </c>
      <c r="O1975" s="108">
        <f>IF(Таблица97[[#This Row],[НК]]=1,Таблица97[[#This Row],[Маржа]],"")</f>
        <v>13250</v>
      </c>
    </row>
    <row r="1976" spans="1:15" ht="20.100000000000001" customHeight="1" x14ac:dyDescent="0.25">
      <c r="A1976" s="2">
        <v>194</v>
      </c>
      <c r="B1976" s="2" t="str">
        <f>TEXT(Таблица97[[#This Row],[Дата]],"ГГ")&amp;RIGHT("000"&amp;Таблица97[[#This Row],[Номер]],4)</f>
        <v>220194</v>
      </c>
      <c r="C1976" s="129">
        <v>44642</v>
      </c>
      <c r="D1976" s="2" t="s">
        <v>372</v>
      </c>
      <c r="E1976" s="108">
        <v>17680</v>
      </c>
      <c r="F1976" s="129">
        <v>44643</v>
      </c>
      <c r="H1976" s="129">
        <v>44693</v>
      </c>
      <c r="I1976" s="108">
        <f t="shared" ref="I1976:I1983" si="96">E1976</f>
        <v>17680</v>
      </c>
      <c r="J1976" s="108" t="str">
        <f>IF(Таблица97[[#This Row],[НК]]=1,Таблица97[[#This Row],[Продажа]],"")</f>
        <v/>
      </c>
      <c r="M1976" s="108">
        <v>13790</v>
      </c>
      <c r="N1976" s="108">
        <f>Таблица97[[#This Row],[Продажа]]-Таблица97[[#This Row],[Закупка]]</f>
        <v>3890</v>
      </c>
      <c r="O1976" s="108" t="str">
        <f>IF(Таблица97[[#This Row],[НК]]=1,Таблица97[[#This Row],[Маржа]],"")</f>
        <v/>
      </c>
    </row>
    <row r="1977" spans="1:15" ht="20.100000000000001" customHeight="1" x14ac:dyDescent="0.25">
      <c r="A1977" s="2">
        <v>189</v>
      </c>
      <c r="B1977" s="2" t="str">
        <f>TEXT(Таблица97[[#This Row],[Дата]],"ГГ")&amp;RIGHT("000"&amp;Таблица97[[#This Row],[Номер]],4)</f>
        <v>220189</v>
      </c>
      <c r="C1977" s="129">
        <v>44642</v>
      </c>
      <c r="D1977" s="2" t="s">
        <v>462</v>
      </c>
      <c r="E1977" s="108">
        <v>600</v>
      </c>
      <c r="F1977" s="129">
        <v>44644</v>
      </c>
      <c r="H1977" s="129">
        <v>44693</v>
      </c>
      <c r="I1977" s="108">
        <f t="shared" si="96"/>
        <v>600</v>
      </c>
      <c r="J1977" s="108" t="str">
        <f>IF(Таблица97[[#This Row],[НК]]=1,Таблица97[[#This Row],[Продажа]],"")</f>
        <v/>
      </c>
      <c r="M1977" s="108">
        <v>243.5</v>
      </c>
      <c r="N1977" s="108">
        <f>Таблица97[[#This Row],[Продажа]]-Таблица97[[#This Row],[Закупка]]</f>
        <v>356.5</v>
      </c>
      <c r="O1977" s="108" t="str">
        <f>IF(Таблица97[[#This Row],[НК]]=1,Таблица97[[#This Row],[Маржа]],"")</f>
        <v/>
      </c>
    </row>
    <row r="1978" spans="1:15" ht="20.100000000000001" customHeight="1" x14ac:dyDescent="0.25">
      <c r="A1978" s="2">
        <v>150</v>
      </c>
      <c r="B1978" s="2" t="str">
        <f>TEXT(Таблица97[[#This Row],[Дата]],"ГГ")&amp;RIGHT("000"&amp;Таблица97[[#This Row],[Номер]],4)</f>
        <v>220150</v>
      </c>
      <c r="C1978" s="129">
        <v>44629</v>
      </c>
      <c r="D1978" s="2" t="s">
        <v>13</v>
      </c>
      <c r="E1978" s="108">
        <v>26000</v>
      </c>
      <c r="F1978" s="129">
        <v>44645</v>
      </c>
      <c r="H1978" s="129">
        <v>44634</v>
      </c>
      <c r="I1978" s="108">
        <f t="shared" si="96"/>
        <v>26000</v>
      </c>
      <c r="J1978" s="108" t="str">
        <f>IF(Таблица97[[#This Row],[НК]]=1,Таблица97[[#This Row],[Продажа]],"")</f>
        <v/>
      </c>
      <c r="M1978" s="108">
        <v>13430</v>
      </c>
      <c r="N1978" s="108">
        <f>Таблица97[[#This Row],[Продажа]]-Таблица97[[#This Row],[Закупка]]</f>
        <v>12570</v>
      </c>
      <c r="O1978" s="108" t="str">
        <f>IF(Таблица97[[#This Row],[НК]]=1,Таблица97[[#This Row],[Маржа]],"")</f>
        <v/>
      </c>
    </row>
    <row r="1979" spans="1:15" ht="20.100000000000001" customHeight="1" x14ac:dyDescent="0.25">
      <c r="A1979" s="2">
        <v>171</v>
      </c>
      <c r="B1979" s="2" t="str">
        <f>TEXT(Таблица97[[#This Row],[Дата]],"ГГ")&amp;RIGHT("000"&amp;Таблица97[[#This Row],[Номер]],4)</f>
        <v>220171</v>
      </c>
      <c r="C1979" s="129">
        <v>44635</v>
      </c>
      <c r="D1979" s="2" t="s">
        <v>11</v>
      </c>
      <c r="E1979" s="108">
        <v>4300</v>
      </c>
      <c r="F1979" s="129">
        <v>44648</v>
      </c>
      <c r="H1979" s="129">
        <v>44651</v>
      </c>
      <c r="I1979" s="108">
        <f t="shared" si="96"/>
        <v>4300</v>
      </c>
      <c r="J1979" s="108" t="str">
        <f>IF(Таблица97[[#This Row],[НК]]=1,Таблица97[[#This Row],[Продажа]],"")</f>
        <v/>
      </c>
      <c r="M1979" s="108">
        <v>1857</v>
      </c>
      <c r="N1979" s="108">
        <f>Таблица97[[#This Row],[Продажа]]-Таблица97[[#This Row],[Закупка]]</f>
        <v>2443</v>
      </c>
      <c r="O1979" s="108" t="str">
        <f>IF(Таблица97[[#This Row],[НК]]=1,Таблица97[[#This Row],[Маржа]],"")</f>
        <v/>
      </c>
    </row>
    <row r="1980" spans="1:15" ht="20.100000000000001" customHeight="1" x14ac:dyDescent="0.25">
      <c r="A1980" s="2">
        <v>226</v>
      </c>
      <c r="B1980" s="2" t="str">
        <f>TEXT(Таблица97[[#This Row],[Дата]],"ГГ")&amp;RIGHT("000"&amp;Таблица97[[#This Row],[Номер]],4)</f>
        <v>220226</v>
      </c>
      <c r="C1980" s="129">
        <v>44650</v>
      </c>
      <c r="D1980" s="2" t="s">
        <v>429</v>
      </c>
      <c r="E1980" s="108">
        <v>113740</v>
      </c>
      <c r="F1980" s="129">
        <v>44650</v>
      </c>
      <c r="H1980" s="129">
        <v>44651</v>
      </c>
      <c r="I1980" s="108">
        <f t="shared" si="96"/>
        <v>113740</v>
      </c>
      <c r="J1980" s="108" t="str">
        <f>IF(Таблица97[[#This Row],[НК]]=1,Таблица97[[#This Row],[Продажа]],"")</f>
        <v/>
      </c>
      <c r="M1980" s="108">
        <v>60766</v>
      </c>
      <c r="N1980" s="108">
        <f>Таблица97[[#This Row],[Продажа]]-Таблица97[[#This Row],[Закупка]]</f>
        <v>52974</v>
      </c>
      <c r="O1980" s="108" t="str">
        <f>IF(Таблица97[[#This Row],[НК]]=1,Таблица97[[#This Row],[Маржа]],"")</f>
        <v/>
      </c>
    </row>
    <row r="1981" spans="1:15" ht="20.100000000000001" customHeight="1" x14ac:dyDescent="0.25">
      <c r="A1981" s="2">
        <v>224</v>
      </c>
      <c r="B1981" s="2" t="str">
        <f>TEXT(Таблица97[[#This Row],[Дата]],"ГГ")&amp;RIGHT("000"&amp;Таблица97[[#This Row],[Номер]],4)</f>
        <v>220224</v>
      </c>
      <c r="C1981" s="129">
        <v>44650</v>
      </c>
      <c r="D1981" s="2" t="s">
        <v>118</v>
      </c>
      <c r="E1981" s="108">
        <v>7668</v>
      </c>
      <c r="F1981" s="129">
        <v>44651</v>
      </c>
      <c r="H1981" s="129">
        <v>44651</v>
      </c>
      <c r="I1981" s="108">
        <f t="shared" si="96"/>
        <v>7668</v>
      </c>
      <c r="J1981" s="108" t="str">
        <f>IF(Таблица97[[#This Row],[НК]]=1,Таблица97[[#This Row],[Продажа]],"")</f>
        <v/>
      </c>
      <c r="M1981" s="108">
        <v>5623</v>
      </c>
      <c r="N1981" s="108">
        <f>Таблица97[[#This Row],[Продажа]]-Таблица97[[#This Row],[Закупка]]</f>
        <v>2045</v>
      </c>
      <c r="O1981" s="108" t="str">
        <f>IF(Таблица97[[#This Row],[НК]]=1,Таблица97[[#This Row],[Маржа]],"")</f>
        <v/>
      </c>
    </row>
    <row r="1982" spans="1:15" ht="20.100000000000001" customHeight="1" x14ac:dyDescent="0.25">
      <c r="A1982" s="2">
        <v>211</v>
      </c>
      <c r="B1982" s="2" t="str">
        <f>TEXT(Таблица97[[#This Row],[Дата]],"ГГ")&amp;RIGHT("000"&amp;Таблица97[[#This Row],[Номер]],4)</f>
        <v>220211</v>
      </c>
      <c r="C1982" s="129">
        <v>44645</v>
      </c>
      <c r="D1982" s="2" t="s">
        <v>392</v>
      </c>
      <c r="E1982" s="108">
        <v>1480</v>
      </c>
      <c r="F1982" s="129">
        <v>44651</v>
      </c>
      <c r="H1982" s="129">
        <v>44692</v>
      </c>
      <c r="I1982" s="108">
        <f t="shared" si="96"/>
        <v>1480</v>
      </c>
      <c r="J1982" s="108" t="str">
        <f>IF(Таблица97[[#This Row],[НК]]=1,Таблица97[[#This Row],[Продажа]],"")</f>
        <v/>
      </c>
      <c r="M1982" s="108">
        <v>977</v>
      </c>
      <c r="N1982" s="108">
        <f>Таблица97[[#This Row],[Продажа]]-Таблица97[[#This Row],[Закупка]]</f>
        <v>503</v>
      </c>
      <c r="O1982" s="108" t="str">
        <f>IF(Таблица97[[#This Row],[НК]]=1,Таблица97[[#This Row],[Маржа]],"")</f>
        <v/>
      </c>
    </row>
    <row r="1983" spans="1:15" ht="20.100000000000001" customHeight="1" x14ac:dyDescent="0.25">
      <c r="A1983" s="2">
        <v>214</v>
      </c>
      <c r="B1983" s="2" t="str">
        <f>TEXT(Таблица97[[#This Row],[Дата]],"ГГ")&amp;RIGHT("000"&amp;Таблица97[[#This Row],[Номер]],4)</f>
        <v>220214</v>
      </c>
      <c r="C1983" s="129">
        <v>44648</v>
      </c>
      <c r="D1983" s="2" t="s">
        <v>443</v>
      </c>
      <c r="E1983" s="108">
        <v>15920</v>
      </c>
      <c r="F1983" s="129">
        <v>44651</v>
      </c>
      <c r="H1983" s="129">
        <v>44657</v>
      </c>
      <c r="I1983" s="108">
        <f t="shared" si="96"/>
        <v>15920</v>
      </c>
      <c r="J1983" s="108" t="str">
        <f>IF(Таблица97[[#This Row],[НК]]=1,Таблица97[[#This Row],[Продажа]],"")</f>
        <v/>
      </c>
      <c r="M1983" s="108">
        <v>9470</v>
      </c>
      <c r="N1983" s="108">
        <f>Таблица97[[#This Row],[Продажа]]-Таблица97[[#This Row],[Закупка]]</f>
        <v>6450</v>
      </c>
      <c r="O1983" s="108" t="str">
        <f>IF(Таблица97[[#This Row],[НК]]=1,Таблица97[[#This Row],[Маржа]],"")</f>
        <v/>
      </c>
    </row>
    <row r="1984" spans="1:15" ht="20.100000000000001" customHeight="1" x14ac:dyDescent="0.25">
      <c r="A1984" s="2">
        <v>247</v>
      </c>
      <c r="B1984" s="2" t="str">
        <f>TEXT(Таблица97[[#This Row],[Дата]],"ГГ")&amp;RIGHT("000"&amp;Таблица97[[#This Row],[Номер]],4)</f>
        <v>220247</v>
      </c>
      <c r="C1984" s="129">
        <v>44657</v>
      </c>
      <c r="D1984" s="2" t="s">
        <v>516</v>
      </c>
      <c r="E1984" s="108">
        <v>35601</v>
      </c>
      <c r="F1984" s="129">
        <v>44657</v>
      </c>
      <c r="G1984" s="128">
        <v>1</v>
      </c>
      <c r="H1984" s="129">
        <v>44699</v>
      </c>
      <c r="I1984" s="108">
        <v>601</v>
      </c>
      <c r="J1984" s="108">
        <f>IF(Таблица97[[#This Row],[НК]]=1,Таблица97[[#This Row],[Продажа]],"")</f>
        <v>601</v>
      </c>
      <c r="M1984" s="108">
        <v>601</v>
      </c>
      <c r="N1984" s="108">
        <f>Таблица97[[#This Row],[Продажа]]-Таблица97[[#This Row],[Закупка]]</f>
        <v>0</v>
      </c>
      <c r="O1984" s="108">
        <f>IF(Таблица97[[#This Row],[НК]]=1,Таблица97[[#This Row],[Маржа]],"")</f>
        <v>0</v>
      </c>
    </row>
    <row r="1985" spans="1:15" ht="19.5" customHeight="1" x14ac:dyDescent="0.25">
      <c r="A1985" s="2">
        <v>76</v>
      </c>
      <c r="B1985" s="2" t="str">
        <f>TEXT(Таблица97[[#This Row],[Дата]],"ГГ")&amp;RIGHT("000"&amp;Таблица97[[#This Row],[Номер]],4)</f>
        <v>220076</v>
      </c>
      <c r="C1985" s="129">
        <v>44600</v>
      </c>
      <c r="D1985" s="2" t="s">
        <v>99</v>
      </c>
      <c r="E1985" s="108">
        <v>222400</v>
      </c>
      <c r="F1985" s="129">
        <v>44658</v>
      </c>
      <c r="H1985" s="129">
        <v>44606</v>
      </c>
      <c r="I1985" s="108">
        <f t="shared" ref="I1985:I1992" si="97">E1985</f>
        <v>222400</v>
      </c>
      <c r="J1985" s="108" t="str">
        <f>IF(Таблица97[[#This Row],[НК]]=1,Таблица97[[#This Row],[Продажа]],"")</f>
        <v/>
      </c>
      <c r="K1985" s="108">
        <f>3000*15</f>
        <v>45000</v>
      </c>
      <c r="M1985" s="108">
        <f>38830+7500</f>
        <v>46330</v>
      </c>
      <c r="N1985" s="108">
        <f>Таблица97[[#This Row],[Продажа]]-Таблица97[[#This Row],[Закупка]]</f>
        <v>176070</v>
      </c>
      <c r="O1985" s="108" t="str">
        <f>IF(Таблица97[[#This Row],[НК]]=1,Таблица97[[#This Row],[Маржа]],"")</f>
        <v/>
      </c>
    </row>
    <row r="1986" spans="1:15" ht="19.5" customHeight="1" x14ac:dyDescent="0.25">
      <c r="A1986" s="2">
        <v>239</v>
      </c>
      <c r="B1986" s="2" t="str">
        <f>TEXT(Таблица97[[#This Row],[Дата]],"ГГ")&amp;RIGHT("000"&amp;Таблица97[[#This Row],[Номер]],4)</f>
        <v>220239</v>
      </c>
      <c r="C1986" s="129">
        <v>44655</v>
      </c>
      <c r="D1986" s="2" t="s">
        <v>49</v>
      </c>
      <c r="E1986" s="108">
        <v>492</v>
      </c>
      <c r="F1986" s="129">
        <v>44658</v>
      </c>
      <c r="H1986" s="129">
        <v>44693</v>
      </c>
      <c r="I1986" s="108">
        <f t="shared" si="97"/>
        <v>492</v>
      </c>
      <c r="J1986" s="108" t="str">
        <f>IF(Таблица97[[#This Row],[НК]]=1,Таблица97[[#This Row],[Продажа]],"")</f>
        <v/>
      </c>
      <c r="M1986" s="108">
        <v>158</v>
      </c>
      <c r="N1986" s="108">
        <f>Таблица97[[#This Row],[Продажа]]-Таблица97[[#This Row],[Закупка]]</f>
        <v>334</v>
      </c>
      <c r="O1986" s="108" t="str">
        <f>IF(Таблица97[[#This Row],[НК]]=1,Таблица97[[#This Row],[Маржа]],"")</f>
        <v/>
      </c>
    </row>
    <row r="1987" spans="1:15" ht="19.5" customHeight="1" x14ac:dyDescent="0.25">
      <c r="A1987" s="2">
        <v>253</v>
      </c>
      <c r="B1987" s="2" t="str">
        <f>TEXT(Таблица97[[#This Row],[Дата]],"ГГ")&amp;RIGHT("000"&amp;Таблица97[[#This Row],[Номер]],4)</f>
        <v>220253</v>
      </c>
      <c r="C1987" s="129">
        <v>44657</v>
      </c>
      <c r="D1987" s="2" t="s">
        <v>86</v>
      </c>
      <c r="E1987" s="108">
        <v>17150</v>
      </c>
      <c r="F1987" s="129">
        <v>44658</v>
      </c>
      <c r="H1987" s="129">
        <v>44698</v>
      </c>
      <c r="I1987" s="108">
        <f t="shared" si="97"/>
        <v>17150</v>
      </c>
      <c r="J1987" s="108" t="str">
        <f>IF(Таблица97[[#This Row],[НК]]=1,Таблица97[[#This Row],[Продажа]],"")</f>
        <v/>
      </c>
      <c r="M1987" s="108">
        <v>8990</v>
      </c>
      <c r="N1987" s="108">
        <f>Таблица97[[#This Row],[Продажа]]-Таблица97[[#This Row],[Закупка]]</f>
        <v>8160</v>
      </c>
      <c r="O1987" s="108" t="str">
        <f>IF(Таблица97[[#This Row],[НК]]=1,Таблица97[[#This Row],[Маржа]],"")</f>
        <v/>
      </c>
    </row>
    <row r="1988" spans="1:15" ht="20.100000000000001" customHeight="1" x14ac:dyDescent="0.25">
      <c r="A1988" s="2">
        <v>34</v>
      </c>
      <c r="B1988" s="2" t="str">
        <f>TEXT(Таблица97[[#This Row],[Дата]],"ГГ")&amp;RIGHT("000"&amp;Таблица97[[#This Row],[Номер]],4)</f>
        <v>220034</v>
      </c>
      <c r="C1988" s="129">
        <v>44634</v>
      </c>
      <c r="D1988" s="2" t="s">
        <v>13</v>
      </c>
      <c r="E1988" s="108">
        <v>32490</v>
      </c>
      <c r="F1988" s="129">
        <v>44659</v>
      </c>
      <c r="H1988" s="129">
        <v>44634</v>
      </c>
      <c r="I1988" s="108">
        <f t="shared" si="97"/>
        <v>32490</v>
      </c>
      <c r="J1988" s="108" t="str">
        <f>IF(Таблица97[[#This Row],[НК]]=1,Таблица97[[#This Row],[Продажа]],"")</f>
        <v/>
      </c>
      <c r="M1988" s="108">
        <v>23750</v>
      </c>
      <c r="N1988" s="108">
        <f>Таблица97[[#This Row],[Продажа]]-Таблица97[[#This Row],[Закупка]]</f>
        <v>8740</v>
      </c>
      <c r="O1988" s="108" t="str">
        <f>IF(Таблица97[[#This Row],[НК]]=1,Таблица97[[#This Row],[Маржа]],"")</f>
        <v/>
      </c>
    </row>
    <row r="1989" spans="1:15" ht="20.100000000000001" customHeight="1" x14ac:dyDescent="0.25">
      <c r="A1989" s="2">
        <v>163</v>
      </c>
      <c r="B1989" s="2" t="str">
        <f>TEXT(Таблица97[[#This Row],[Дата]],"ГГ")&amp;RIGHT("000"&amp;Таблица97[[#This Row],[Номер]],4)</f>
        <v>220163</v>
      </c>
      <c r="C1989" s="129">
        <v>44634</v>
      </c>
      <c r="D1989" s="2" t="s">
        <v>56</v>
      </c>
      <c r="E1989" s="108">
        <v>24100</v>
      </c>
      <c r="F1989" s="129">
        <v>44662</v>
      </c>
      <c r="H1989" s="129">
        <v>44644</v>
      </c>
      <c r="I1989" s="108">
        <f t="shared" si="97"/>
        <v>24100</v>
      </c>
      <c r="J1989" s="108" t="str">
        <f>IF(Таблица97[[#This Row],[НК]]=1,Таблица97[[#This Row],[Продажа]],"")</f>
        <v/>
      </c>
      <c r="M1989" s="108">
        <v>12504</v>
      </c>
      <c r="N1989" s="108">
        <f>Таблица97[[#This Row],[Продажа]]-Таблица97[[#This Row],[Закупка]]</f>
        <v>11596</v>
      </c>
      <c r="O1989" s="108" t="str">
        <f>IF(Таблица97[[#This Row],[НК]]=1,Таблица97[[#This Row],[Маржа]],"")</f>
        <v/>
      </c>
    </row>
    <row r="1990" spans="1:15" ht="20.100000000000001" customHeight="1" x14ac:dyDescent="0.25">
      <c r="A1990" s="2">
        <v>254</v>
      </c>
      <c r="B1990" s="2" t="str">
        <f>TEXT(Таблица97[[#This Row],[Дата]],"ГГ")&amp;RIGHT("000"&amp;Таблица97[[#This Row],[Номер]],4)</f>
        <v>220254</v>
      </c>
      <c r="C1990" s="129">
        <v>44658</v>
      </c>
      <c r="D1990" s="2" t="s">
        <v>13</v>
      </c>
      <c r="E1990" s="108">
        <v>21400</v>
      </c>
      <c r="F1990" s="129">
        <v>44665</v>
      </c>
      <c r="H1990" s="129">
        <v>44658</v>
      </c>
      <c r="I1990" s="108">
        <f t="shared" si="97"/>
        <v>21400</v>
      </c>
      <c r="J1990" s="108" t="str">
        <f>IF(Таблица97[[#This Row],[НК]]=1,Таблица97[[#This Row],[Продажа]],"")</f>
        <v/>
      </c>
      <c r="M1990" s="108">
        <v>10697.4</v>
      </c>
      <c r="N1990" s="108">
        <f>Таблица97[[#This Row],[Продажа]]-Таблица97[[#This Row],[Закупка]]</f>
        <v>10702.6</v>
      </c>
      <c r="O1990" s="108" t="str">
        <f>IF(Таблица97[[#This Row],[НК]]=1,Таблица97[[#This Row],[Маржа]],"")</f>
        <v/>
      </c>
    </row>
    <row r="1991" spans="1:15" ht="20.100000000000001" customHeight="1" x14ac:dyDescent="0.25">
      <c r="A1991" s="2">
        <v>291</v>
      </c>
      <c r="B1991" s="2" t="str">
        <f>TEXT(Таблица97[[#This Row],[Дата]],"ГГ")&amp;RIGHT("000"&amp;Таблица97[[#This Row],[Номер]],4)</f>
        <v>220291</v>
      </c>
      <c r="C1991" s="129">
        <v>44666</v>
      </c>
      <c r="D1991" s="2" t="s">
        <v>186</v>
      </c>
      <c r="E1991" s="108">
        <v>30380</v>
      </c>
      <c r="F1991" s="129">
        <v>44670</v>
      </c>
      <c r="H1991" s="129">
        <v>44728</v>
      </c>
      <c r="I1991" s="108">
        <f t="shared" si="97"/>
        <v>30380</v>
      </c>
      <c r="J1991" s="108" t="str">
        <f>IF(Таблица97[[#This Row],[НК]]=1,Таблица97[[#This Row],[Продажа]],"")</f>
        <v/>
      </c>
      <c r="M1991" s="108">
        <v>23692</v>
      </c>
      <c r="N1991" s="108">
        <f>Таблица97[[#This Row],[Продажа]]-Таблица97[[#This Row],[Закупка]]</f>
        <v>6688</v>
      </c>
      <c r="O1991" s="108" t="str">
        <f>IF(Таблица97[[#This Row],[НК]]=1,Таблица97[[#This Row],[Маржа]],"")</f>
        <v/>
      </c>
    </row>
    <row r="1992" spans="1:15" ht="20.100000000000001" customHeight="1" x14ac:dyDescent="0.25">
      <c r="A1992" s="2">
        <v>255</v>
      </c>
      <c r="B1992" s="2" t="str">
        <f>TEXT(Таблица97[[#This Row],[Дата]],"ГГ")&amp;RIGHT("000"&amp;Таблица97[[#This Row],[Номер]],4)</f>
        <v>220255</v>
      </c>
      <c r="C1992" s="129">
        <v>44658</v>
      </c>
      <c r="D1992" s="2" t="s">
        <v>11</v>
      </c>
      <c r="E1992" s="108">
        <v>3300</v>
      </c>
      <c r="F1992" s="129">
        <v>44673</v>
      </c>
      <c r="H1992" s="129">
        <v>44713</v>
      </c>
      <c r="I1992" s="108">
        <f t="shared" si="97"/>
        <v>3300</v>
      </c>
      <c r="J1992" s="108" t="str">
        <f>IF(Таблица97[[#This Row],[НК]]=1,Таблица97[[#This Row],[Продажа]],"")</f>
        <v/>
      </c>
      <c r="M1992" s="108">
        <v>1258.5</v>
      </c>
      <c r="N1992" s="108">
        <f>Таблица97[[#This Row],[Продажа]]-Таблица97[[#This Row],[Закупка]]</f>
        <v>2041.5</v>
      </c>
      <c r="O1992" s="108" t="str">
        <f>IF(Таблица97[[#This Row],[НК]]=1,Таблица97[[#This Row],[Маржа]],"")</f>
        <v/>
      </c>
    </row>
    <row r="1993" spans="1:15" ht="20.100000000000001" customHeight="1" x14ac:dyDescent="0.25">
      <c r="A1993" s="2">
        <v>212</v>
      </c>
      <c r="B1993" s="2" t="str">
        <f>TEXT(Таблица97[[#This Row],[Дата]],"ГГ")&amp;RIGHT("000"&amp;Таблица97[[#This Row],[Номер]],4)</f>
        <v>220212</v>
      </c>
      <c r="C1993" s="129">
        <v>44645</v>
      </c>
      <c r="D1993" s="2" t="s">
        <v>60</v>
      </c>
      <c r="E1993" s="108">
        <v>21400</v>
      </c>
      <c r="F1993" s="129">
        <v>44685</v>
      </c>
      <c r="H1993" s="129">
        <v>44648</v>
      </c>
      <c r="I1993" s="108">
        <f t="shared" ref="I1993:I2000" si="98">E1993</f>
        <v>21400</v>
      </c>
      <c r="J1993" s="108" t="str">
        <f>IF(Таблица97[[#This Row],[НК]]=1,Таблица97[[#This Row],[Продажа]],"")</f>
        <v/>
      </c>
      <c r="M1993" s="108">
        <v>10737</v>
      </c>
      <c r="N1993" s="108">
        <f>Таблица97[[#This Row],[Продажа]]-Таблица97[[#This Row],[Закупка]]</f>
        <v>10663</v>
      </c>
      <c r="O1993" s="108" t="str">
        <f>IF(Таблица97[[#This Row],[НК]]=1,Таблица97[[#This Row],[Маржа]],"")</f>
        <v/>
      </c>
    </row>
    <row r="1994" spans="1:15" ht="20.100000000000001" customHeight="1" x14ac:dyDescent="0.25">
      <c r="A1994" s="2">
        <v>339</v>
      </c>
      <c r="B1994" s="2" t="str">
        <f>TEXT(Таблица97[[#This Row],[Дата]],"ГГ")&amp;RIGHT("000"&amp;Таблица97[[#This Row],[Номер]],4)</f>
        <v>220339</v>
      </c>
      <c r="C1994" s="129">
        <v>44679</v>
      </c>
      <c r="D1994" s="2" t="s">
        <v>186</v>
      </c>
      <c r="E1994" s="108">
        <v>8050</v>
      </c>
      <c r="F1994" s="129">
        <v>44685</v>
      </c>
      <c r="H1994" s="129">
        <v>44728</v>
      </c>
      <c r="I1994" s="108">
        <f t="shared" si="98"/>
        <v>8050</v>
      </c>
      <c r="J1994" s="108" t="str">
        <f>IF(Таблица97[[#This Row],[НК]]=1,Таблица97[[#This Row],[Продажа]],"")</f>
        <v/>
      </c>
      <c r="M1994" s="108">
        <v>4638</v>
      </c>
      <c r="N1994" s="108">
        <f>Таблица97[[#This Row],[Продажа]]-Таблица97[[#This Row],[Закупка]]</f>
        <v>3412</v>
      </c>
      <c r="O1994" s="108" t="str">
        <f>IF(Таблица97[[#This Row],[НК]]=1,Таблица97[[#This Row],[Маржа]],"")</f>
        <v/>
      </c>
    </row>
    <row r="1995" spans="1:15" ht="20.100000000000001" customHeight="1" x14ac:dyDescent="0.25">
      <c r="A1995" s="2">
        <v>352</v>
      </c>
      <c r="B1995" s="2" t="str">
        <f>TEXT(Таблица97[[#This Row],[Дата]],"ГГ")&amp;RIGHT("000"&amp;Таблица97[[#This Row],[Номер]],4)</f>
        <v>220352</v>
      </c>
      <c r="C1995" s="129">
        <v>44685</v>
      </c>
      <c r="D1995" s="2" t="s">
        <v>169</v>
      </c>
      <c r="E1995" s="108">
        <v>15070</v>
      </c>
      <c r="F1995" s="129">
        <v>44686</v>
      </c>
      <c r="H1995" s="129">
        <v>44685</v>
      </c>
      <c r="I1995" s="108">
        <f t="shared" si="98"/>
        <v>15070</v>
      </c>
      <c r="J1995" s="108" t="str">
        <f>IF(Таблица97[[#This Row],[НК]]=1,Таблица97[[#This Row],[Продажа]],"")</f>
        <v/>
      </c>
      <c r="M1995" s="108">
        <v>7979</v>
      </c>
      <c r="N1995" s="108">
        <f>Таблица97[[#This Row],[Продажа]]-Таблица97[[#This Row],[Закупка]]</f>
        <v>7091</v>
      </c>
      <c r="O1995" s="108" t="str">
        <f>IF(Таблица97[[#This Row],[НК]]=1,Таблица97[[#This Row],[Маржа]],"")</f>
        <v/>
      </c>
    </row>
    <row r="1996" spans="1:15" ht="20.100000000000001" customHeight="1" x14ac:dyDescent="0.25">
      <c r="A1996" s="2">
        <v>361</v>
      </c>
      <c r="B1996" s="2" t="str">
        <f>TEXT(Таблица97[[#This Row],[Дата]],"ГГ")&amp;RIGHT("000"&amp;Таблица97[[#This Row],[Номер]],4)</f>
        <v>220361</v>
      </c>
      <c r="C1996" s="129">
        <v>44686</v>
      </c>
      <c r="D1996" s="2" t="s">
        <v>251</v>
      </c>
      <c r="E1996" s="108">
        <v>24620</v>
      </c>
      <c r="F1996" s="129">
        <v>44687</v>
      </c>
      <c r="H1996" s="129">
        <v>44733</v>
      </c>
      <c r="I1996" s="108">
        <f t="shared" si="98"/>
        <v>24620</v>
      </c>
      <c r="J1996" s="108" t="str">
        <f>IF(Таблица97[[#This Row],[НК]]=1,Таблица97[[#This Row],[Продажа]],"")</f>
        <v/>
      </c>
      <c r="M1996" s="108">
        <f>9602*2</f>
        <v>19204</v>
      </c>
      <c r="N1996" s="108">
        <f>Таблица97[[#This Row],[Продажа]]-Таблица97[[#This Row],[Закупка]]</f>
        <v>5416</v>
      </c>
      <c r="O1996" s="108" t="str">
        <f>IF(Таблица97[[#This Row],[НК]]=1,Таблица97[[#This Row],[Маржа]],"")</f>
        <v/>
      </c>
    </row>
    <row r="1997" spans="1:15" ht="20.100000000000001" customHeight="1" x14ac:dyDescent="0.25">
      <c r="A1997" s="2">
        <v>386</v>
      </c>
      <c r="B1997" s="2" t="str">
        <f>TEXT(Таблица97[[#This Row],[Дата]],"ГГ")&amp;RIGHT("000"&amp;Таблица97[[#This Row],[Номер]],4)</f>
        <v>220386</v>
      </c>
      <c r="C1997" s="129">
        <v>44694</v>
      </c>
      <c r="D1997" s="2" t="s">
        <v>518</v>
      </c>
      <c r="E1997" s="108">
        <v>11350</v>
      </c>
      <c r="F1997" s="129">
        <v>44694</v>
      </c>
      <c r="H1997" s="129">
        <v>44699</v>
      </c>
      <c r="I1997" s="108">
        <f t="shared" si="98"/>
        <v>11350</v>
      </c>
      <c r="J1997" s="108" t="str">
        <f>IF(Таблица97[[#This Row],[НК]]=1,Таблица97[[#This Row],[Продажа]],"")</f>
        <v/>
      </c>
      <c r="M1997" s="108">
        <v>4950</v>
      </c>
      <c r="N1997" s="108">
        <f>Таблица97[[#This Row],[Продажа]]-Таблица97[[#This Row],[Закупка]]</f>
        <v>6400</v>
      </c>
      <c r="O1997" s="108" t="str">
        <f>IF(Таблица97[[#This Row],[НК]]=1,Таблица97[[#This Row],[Маржа]],"")</f>
        <v/>
      </c>
    </row>
    <row r="1998" spans="1:15" ht="20.100000000000001" customHeight="1" x14ac:dyDescent="0.25">
      <c r="A1998" s="2">
        <v>383</v>
      </c>
      <c r="B1998" s="2" t="str">
        <f>TEXT(Таблица97[[#This Row],[Дата]],"ГГ")&amp;RIGHT("000"&amp;Таблица97[[#This Row],[Номер]],4)</f>
        <v>220383</v>
      </c>
      <c r="C1998" s="129">
        <v>44694</v>
      </c>
      <c r="D1998" s="2" t="s">
        <v>444</v>
      </c>
      <c r="E1998" s="108">
        <v>19600</v>
      </c>
      <c r="F1998" s="129">
        <v>44697</v>
      </c>
      <c r="H1998" s="129">
        <v>44699</v>
      </c>
      <c r="I1998" s="108">
        <f t="shared" si="98"/>
        <v>19600</v>
      </c>
      <c r="J1998" s="108" t="str">
        <f>IF(Таблица97[[#This Row],[НК]]=1,Таблица97[[#This Row],[Продажа]],"")</f>
        <v/>
      </c>
      <c r="M1998" s="108">
        <f>3486*2</f>
        <v>6972</v>
      </c>
      <c r="N1998" s="108">
        <f>Таблица97[[#This Row],[Продажа]]-Таблица97[[#This Row],[Закупка]]</f>
        <v>12628</v>
      </c>
      <c r="O1998" s="108" t="str">
        <f>IF(Таблица97[[#This Row],[НК]]=1,Таблица97[[#This Row],[Маржа]],"")</f>
        <v/>
      </c>
    </row>
    <row r="1999" spans="1:15" ht="20.100000000000001" customHeight="1" x14ac:dyDescent="0.25">
      <c r="A1999" s="2">
        <v>377</v>
      </c>
      <c r="B1999" s="2" t="str">
        <f>TEXT(Таблица97[[#This Row],[Дата]],"ГГ")&amp;RIGHT("000"&amp;Таблица97[[#This Row],[Номер]],4)</f>
        <v>220377</v>
      </c>
      <c r="C1999" s="129">
        <v>44693</v>
      </c>
      <c r="D1999" s="2" t="s">
        <v>403</v>
      </c>
      <c r="E1999" s="108">
        <v>11100</v>
      </c>
      <c r="F1999" s="129">
        <v>44697</v>
      </c>
      <c r="H1999" s="129">
        <v>44705</v>
      </c>
      <c r="I1999" s="108">
        <f t="shared" si="98"/>
        <v>11100</v>
      </c>
      <c r="J1999" s="108" t="str">
        <f>IF(Таблица97[[#This Row],[НК]]=1,Таблица97[[#This Row],[Продажа]],"")</f>
        <v/>
      </c>
      <c r="M1999" s="108">
        <v>5524</v>
      </c>
      <c r="N1999" s="108">
        <f>Таблица97[[#This Row],[Продажа]]-Таблица97[[#This Row],[Закупка]]</f>
        <v>5576</v>
      </c>
      <c r="O1999" s="108" t="str">
        <f>IF(Таблица97[[#This Row],[НК]]=1,Таблица97[[#This Row],[Маржа]],"")</f>
        <v/>
      </c>
    </row>
    <row r="2000" spans="1:15" ht="20.100000000000001" customHeight="1" x14ac:dyDescent="0.25">
      <c r="A2000" s="2">
        <v>384</v>
      </c>
      <c r="B2000" s="2" t="str">
        <f>TEXT(Таблица97[[#This Row],[Дата]],"ГГ")&amp;RIGHT("000"&amp;Таблица97[[#This Row],[Номер]],4)</f>
        <v>220384</v>
      </c>
      <c r="C2000" s="129">
        <v>44694</v>
      </c>
      <c r="D2000" s="2" t="s">
        <v>147</v>
      </c>
      <c r="E2000" s="108">
        <v>9600</v>
      </c>
      <c r="F2000" s="129">
        <v>44697</v>
      </c>
      <c r="H2000" s="129">
        <v>44715</v>
      </c>
      <c r="I2000" s="108">
        <f t="shared" si="98"/>
        <v>9600</v>
      </c>
      <c r="J2000" s="108" t="str">
        <f>IF(Таблица97[[#This Row],[НК]]=1,Таблица97[[#This Row],[Продажа]],"")</f>
        <v/>
      </c>
      <c r="M2000" s="108">
        <f>4365/5*4</f>
        <v>3492</v>
      </c>
      <c r="N2000" s="108">
        <f>Таблица97[[#This Row],[Продажа]]-Таблица97[[#This Row],[Закупка]]</f>
        <v>6108</v>
      </c>
      <c r="O2000" s="108" t="str">
        <f>IF(Таблица97[[#This Row],[НК]]=1,Таблица97[[#This Row],[Маржа]],"")</f>
        <v/>
      </c>
    </row>
    <row r="2001" spans="1:15" ht="20.100000000000001" customHeight="1" x14ac:dyDescent="0.25">
      <c r="A2001" s="2">
        <v>398</v>
      </c>
      <c r="B2001" s="2" t="str">
        <f>TEXT(Таблица97[[#This Row],[Дата]],"ГГ")&amp;RIGHT("000"&amp;Таблица97[[#This Row],[Номер]],4)</f>
        <v>220398</v>
      </c>
      <c r="C2001" s="129">
        <v>44699</v>
      </c>
      <c r="D2001" s="2" t="s">
        <v>49</v>
      </c>
      <c r="E2001" s="108">
        <v>296</v>
      </c>
      <c r="F2001" s="129">
        <v>44700</v>
      </c>
      <c r="H2001" s="129">
        <v>44704</v>
      </c>
      <c r="I2001" s="108">
        <f>E2001</f>
        <v>296</v>
      </c>
      <c r="J2001" s="108" t="str">
        <f>IF(Таблица97[[#This Row],[НК]]=1,Таблица97[[#This Row],[Продажа]],"")</f>
        <v/>
      </c>
      <c r="M2001" s="108">
        <v>54</v>
      </c>
      <c r="N2001" s="108">
        <f>Таблица97[[#This Row],[Продажа]]-Таблица97[[#This Row],[Закупка]]</f>
        <v>242</v>
      </c>
      <c r="O2001" s="108" t="str">
        <f>IF(Таблица97[[#This Row],[НК]]=1,Таблица97[[#This Row],[Маржа]],"")</f>
        <v/>
      </c>
    </row>
    <row r="2002" spans="1:15" ht="20.100000000000001" customHeight="1" x14ac:dyDescent="0.25">
      <c r="A2002" s="2">
        <v>247</v>
      </c>
      <c r="B2002" s="2" t="str">
        <f>TEXT(Таблица97[[#This Row],[Дата]],"ГГ")&amp;RIGHT("000"&amp;Таблица97[[#This Row],[Номер]],4)</f>
        <v>220247</v>
      </c>
      <c r="C2002" s="129">
        <v>44657</v>
      </c>
      <c r="D2002" s="2" t="s">
        <v>516</v>
      </c>
      <c r="E2002" s="108">
        <v>45601</v>
      </c>
      <c r="F2002" s="129">
        <v>44704</v>
      </c>
      <c r="H2002" s="129">
        <v>44699</v>
      </c>
      <c r="I2002" s="108">
        <v>10000</v>
      </c>
      <c r="J2002" s="108" t="str">
        <f>IF(Таблица97[[#This Row],[НК]]=1,Таблица97[[#This Row],[Продажа]],"")</f>
        <v/>
      </c>
      <c r="M2002" s="108">
        <v>10000</v>
      </c>
      <c r="N2002" s="108">
        <f>Таблица97[[#This Row],[Продажа]]-Таблица97[[#This Row],[Закупка]]</f>
        <v>0</v>
      </c>
      <c r="O2002" s="108" t="str">
        <f>IF(Таблица97[[#This Row],[НК]]=1,Таблица97[[#This Row],[Маржа]],"")</f>
        <v/>
      </c>
    </row>
    <row r="2003" spans="1:15" ht="20.100000000000001" customHeight="1" x14ac:dyDescent="0.25">
      <c r="A2003" s="2">
        <v>370</v>
      </c>
      <c r="B2003" s="2" t="str">
        <f>TEXT(Таблица97[[#This Row],[Дата]],"ГГ")&amp;RIGHT("000"&amp;Таблица97[[#This Row],[Номер]],4)</f>
        <v>220370</v>
      </c>
      <c r="C2003" s="129">
        <v>44693</v>
      </c>
      <c r="D2003" s="2" t="s">
        <v>520</v>
      </c>
      <c r="E2003" s="108">
        <v>223780</v>
      </c>
      <c r="F2003" s="129">
        <v>44705</v>
      </c>
      <c r="G2003" s="128">
        <v>1</v>
      </c>
      <c r="H2003" s="129">
        <v>44707</v>
      </c>
      <c r="I2003" s="108">
        <v>111890</v>
      </c>
      <c r="J2003" s="108">
        <f>IF(Таблица97[[#This Row],[НК]]=1,Таблица97[[#This Row],[Продажа]],"")</f>
        <v>111890</v>
      </c>
      <c r="M2003" s="108">
        <f>125192/2</f>
        <v>62596</v>
      </c>
      <c r="N2003" s="108">
        <f>Таблица97[[#This Row],[Продажа]]-Таблица97[[#This Row],[Закупка]]</f>
        <v>49294</v>
      </c>
      <c r="O2003" s="108">
        <f>IF(Таблица97[[#This Row],[НК]]=1,Таблица97[[#This Row],[Маржа]],"")</f>
        <v>49294</v>
      </c>
    </row>
    <row r="2004" spans="1:15" ht="20.100000000000001" customHeight="1" x14ac:dyDescent="0.25">
      <c r="A2004" s="2">
        <v>381</v>
      </c>
      <c r="B2004" s="2" t="str">
        <f>TEXT(Таблица97[[#This Row],[Дата]],"ГГ")&amp;RIGHT("000"&amp;Таблица97[[#This Row],[Номер]],4)</f>
        <v>220381</v>
      </c>
      <c r="C2004" s="129">
        <v>44693</v>
      </c>
      <c r="D2004" s="2" t="s">
        <v>520</v>
      </c>
      <c r="E2004" s="108">
        <v>1106370</v>
      </c>
      <c r="F2004" s="129">
        <v>44705</v>
      </c>
      <c r="G2004" s="128">
        <v>1</v>
      </c>
      <c r="H2004" s="129">
        <v>44707</v>
      </c>
      <c r="I2004" s="108">
        <v>553185</v>
      </c>
      <c r="J2004" s="108">
        <f>IF(Таблица97[[#This Row],[НК]]=1,Таблица97[[#This Row],[Продажа]],"")</f>
        <v>553185</v>
      </c>
      <c r="M2004" s="108">
        <f>625572/2</f>
        <v>312786</v>
      </c>
      <c r="N2004" s="108">
        <f>Таблица97[[#This Row],[Продажа]]-Таблица97[[#This Row],[Закупка]]</f>
        <v>240399</v>
      </c>
      <c r="O2004" s="108">
        <f>IF(Таблица97[[#This Row],[НК]]=1,Таблица97[[#This Row],[Маржа]],"")</f>
        <v>240399</v>
      </c>
    </row>
    <row r="2005" spans="1:15" ht="20.100000000000001" customHeight="1" x14ac:dyDescent="0.25">
      <c r="A2005" s="2">
        <v>197</v>
      </c>
      <c r="B2005" s="2" t="str">
        <f>TEXT(Таблица97[[#This Row],[Дата]],"ГГ")&amp;RIGHT("000"&amp;Таблица97[[#This Row],[Номер]],4)</f>
        <v>220197</v>
      </c>
      <c r="C2005" s="129">
        <v>44643</v>
      </c>
      <c r="D2005" s="2" t="s">
        <v>56</v>
      </c>
      <c r="E2005" s="108">
        <v>41430</v>
      </c>
      <c r="F2005" s="129">
        <v>44706</v>
      </c>
      <c r="H2005" s="129">
        <v>44679</v>
      </c>
      <c r="I2005" s="108">
        <f t="shared" ref="I2005:I2012" si="99">E2005</f>
        <v>41430</v>
      </c>
      <c r="J2005" s="108" t="str">
        <f>IF(Таблица97[[#This Row],[НК]]=1,Таблица97[[#This Row],[Продажа]],"")</f>
        <v/>
      </c>
      <c r="L2005" s="108">
        <v>1200</v>
      </c>
      <c r="M2005" s="108">
        <v>18645</v>
      </c>
      <c r="N2005" s="108">
        <f>Таблица97[[#This Row],[Продажа]]-Таблица97[[#This Row],[Закупка]]</f>
        <v>22785</v>
      </c>
      <c r="O2005" s="108" t="str">
        <f>IF(Таблица97[[#This Row],[НК]]=1,Таблица97[[#This Row],[Маржа]],"")</f>
        <v/>
      </c>
    </row>
    <row r="2006" spans="1:15" ht="20.100000000000001" customHeight="1" x14ac:dyDescent="0.25">
      <c r="A2006" s="2">
        <v>231</v>
      </c>
      <c r="B2006" s="2" t="str">
        <f>TEXT(Таблица97[[#This Row],[Дата]],"ГГ")&amp;RIGHT("000"&amp;Таблица97[[#This Row],[Номер]],4)</f>
        <v>220231</v>
      </c>
      <c r="C2006" s="129">
        <v>44650</v>
      </c>
      <c r="D2006" s="2" t="s">
        <v>56</v>
      </c>
      <c r="E2006" s="108">
        <v>68040</v>
      </c>
      <c r="F2006" s="129">
        <v>44706</v>
      </c>
      <c r="H2006" s="129">
        <v>44679</v>
      </c>
      <c r="I2006" s="108">
        <f t="shared" si="99"/>
        <v>68040</v>
      </c>
      <c r="J2006" s="108" t="str">
        <f>IF(Таблица97[[#This Row],[НК]]=1,Таблица97[[#This Row],[Продажа]],"")</f>
        <v/>
      </c>
      <c r="M2006" s="108">
        <v>37627</v>
      </c>
      <c r="N2006" s="108">
        <f>Таблица97[[#This Row],[Продажа]]-Таблица97[[#This Row],[Закупка]]</f>
        <v>30413</v>
      </c>
      <c r="O2006" s="108" t="str">
        <f>IF(Таблица97[[#This Row],[НК]]=1,Таблица97[[#This Row],[Маржа]],"")</f>
        <v/>
      </c>
    </row>
    <row r="2007" spans="1:15" ht="20.100000000000001" customHeight="1" x14ac:dyDescent="0.25">
      <c r="A2007" s="2">
        <v>243</v>
      </c>
      <c r="B2007" s="2" t="str">
        <f>TEXT(Таблица97[[#This Row],[Дата]],"ГГ")&amp;RIGHT("000"&amp;Таблица97[[#This Row],[Номер]],4)</f>
        <v>220243</v>
      </c>
      <c r="C2007" s="129">
        <v>44662</v>
      </c>
      <c r="D2007" s="2" t="s">
        <v>65</v>
      </c>
      <c r="E2007" s="108">
        <v>378331.2</v>
      </c>
      <c r="F2007" s="129">
        <v>44707</v>
      </c>
      <c r="H2007" s="129">
        <v>44680</v>
      </c>
      <c r="I2007" s="108">
        <v>128793.60000000001</v>
      </c>
      <c r="J2007" s="108" t="str">
        <f>IF(Таблица97[[#This Row],[НК]]=1,Таблица97[[#This Row],[Продажа]],"")</f>
        <v/>
      </c>
      <c r="L2007" s="108">
        <f>1200*16</f>
        <v>19200</v>
      </c>
      <c r="M2007" s="108">
        <v>39344</v>
      </c>
      <c r="N2007" s="108">
        <f>Таблица97[[#This Row],[Продажа]]-Таблица97[[#This Row],[Закупка]]</f>
        <v>89449.600000000006</v>
      </c>
      <c r="O2007" s="108" t="str">
        <f>IF(Таблица97[[#This Row],[НК]]=1,Таблица97[[#This Row],[Маржа]],"")</f>
        <v/>
      </c>
    </row>
    <row r="2008" spans="1:15" ht="19.5" customHeight="1" x14ac:dyDescent="0.25">
      <c r="A2008" s="2">
        <v>405</v>
      </c>
      <c r="B2008" s="2" t="str">
        <f>TEXT(Таблица97[[#This Row],[Дата]],"ГГ")&amp;RIGHT("000"&amp;Таблица97[[#This Row],[Номер]],4)</f>
        <v>220405</v>
      </c>
      <c r="C2008" s="129">
        <v>44701</v>
      </c>
      <c r="D2008" s="2" t="s">
        <v>519</v>
      </c>
      <c r="E2008" s="108">
        <v>19855</v>
      </c>
      <c r="F2008" s="129">
        <v>44708</v>
      </c>
      <c r="H2008" s="129">
        <v>44701</v>
      </c>
      <c r="I2008" s="108">
        <f t="shared" si="99"/>
        <v>19855</v>
      </c>
      <c r="J2008" s="108" t="str">
        <f>IF(Таблица97[[#This Row],[НК]]=1,Таблица97[[#This Row],[Продажа]],"")</f>
        <v/>
      </c>
      <c r="M2008" s="108">
        <v>10308</v>
      </c>
      <c r="N2008" s="108">
        <f>Таблица97[[#This Row],[Продажа]]-Таблица97[[#This Row],[Закупка]]</f>
        <v>9547</v>
      </c>
      <c r="O2008" s="108" t="str">
        <f>IF(Таблица97[[#This Row],[НК]]=1,Таблица97[[#This Row],[Маржа]],"")</f>
        <v/>
      </c>
    </row>
    <row r="2009" spans="1:15" ht="19.5" customHeight="1" x14ac:dyDescent="0.25">
      <c r="A2009" s="2">
        <v>196</v>
      </c>
      <c r="B2009" s="2" t="str">
        <f>TEXT(Таблица97[[#This Row],[Дата]],"ГГ")&amp;RIGHT("000"&amp;Таблица97[[#This Row],[Номер]],4)</f>
        <v>220196</v>
      </c>
      <c r="C2009" s="129">
        <v>44643</v>
      </c>
      <c r="D2009" s="2" t="s">
        <v>99</v>
      </c>
      <c r="E2009" s="108">
        <v>303400</v>
      </c>
      <c r="F2009" s="129">
        <v>44708</v>
      </c>
      <c r="H2009" s="129">
        <v>44679</v>
      </c>
      <c r="I2009" s="108">
        <f t="shared" si="99"/>
        <v>303400</v>
      </c>
      <c r="J2009" s="108" t="str">
        <f>IF(Таблица97[[#This Row],[НК]]=1,Таблица97[[#This Row],[Продажа]],"")</f>
        <v/>
      </c>
      <c r="K2009" s="108">
        <f>20*3000</f>
        <v>60000</v>
      </c>
      <c r="L2009" s="108">
        <f>20*600</f>
        <v>12000</v>
      </c>
      <c r="M2009" s="108">
        <v>79014.2</v>
      </c>
      <c r="N2009" s="108">
        <f>Таблица97[[#This Row],[Продажа]]-Таблица97[[#This Row],[Закупка]]</f>
        <v>224385.8</v>
      </c>
      <c r="O2009" s="108" t="str">
        <f>IF(Таблица97[[#This Row],[НК]]=1,Таблица97[[#This Row],[Маржа]],"")</f>
        <v/>
      </c>
    </row>
    <row r="2010" spans="1:15" ht="20.100000000000001" customHeight="1" x14ac:dyDescent="0.25">
      <c r="A2010" s="2">
        <v>397</v>
      </c>
      <c r="B2010" s="2" t="str">
        <f>TEXT(Таблица97[[#This Row],[Дата]],"ГГ")&amp;RIGHT("000"&amp;Таблица97[[#This Row],[Номер]],4)</f>
        <v>220397</v>
      </c>
      <c r="C2010" s="129">
        <v>44699</v>
      </c>
      <c r="D2010" s="2" t="s">
        <v>13</v>
      </c>
      <c r="E2010" s="108">
        <v>32100</v>
      </c>
      <c r="F2010" s="129">
        <v>44712</v>
      </c>
      <c r="H2010" s="129">
        <v>44706</v>
      </c>
      <c r="I2010" s="108">
        <v>18105</v>
      </c>
      <c r="J2010" s="108" t="str">
        <f>IF(Таблица97[[#This Row],[НК]]=1,Таблица97[[#This Row],[Продажа]],"")</f>
        <v/>
      </c>
      <c r="M2010" s="108">
        <v>11101</v>
      </c>
      <c r="N2010" s="108">
        <f>Таблица97[[#This Row],[Продажа]]-Таблица97[[#This Row],[Закупка]]</f>
        <v>7004</v>
      </c>
      <c r="O2010" s="108" t="str">
        <f>IF(Таблица97[[#This Row],[НК]]=1,Таблица97[[#This Row],[Маржа]],"")</f>
        <v/>
      </c>
    </row>
    <row r="2011" spans="1:15" ht="19.5" customHeight="1" x14ac:dyDescent="0.25">
      <c r="A2011" s="2">
        <v>446</v>
      </c>
      <c r="B2011" s="2" t="str">
        <f>TEXT(Таблица97[[#This Row],[Дата]],"ГГ")&amp;RIGHT("000"&amp;Таблица97[[#This Row],[Номер]],4)</f>
        <v>220446</v>
      </c>
      <c r="C2011" s="129">
        <v>44711</v>
      </c>
      <c r="D2011" s="2" t="s">
        <v>12</v>
      </c>
      <c r="E2011" s="108">
        <v>250</v>
      </c>
      <c r="F2011" s="129">
        <v>44712</v>
      </c>
      <c r="H2011" s="129">
        <v>44714</v>
      </c>
      <c r="I2011" s="108">
        <f t="shared" si="99"/>
        <v>250</v>
      </c>
      <c r="J2011" s="108" t="str">
        <f>IF(Таблица97[[#This Row],[НК]]=1,Таблица97[[#This Row],[Продажа]],"")</f>
        <v/>
      </c>
      <c r="M2011" s="108">
        <v>52</v>
      </c>
      <c r="N2011" s="108">
        <f>Таблица97[[#This Row],[Продажа]]-Таблица97[[#This Row],[Закупка]]</f>
        <v>198</v>
      </c>
      <c r="O2011" s="108" t="str">
        <f>IF(Таблица97[[#This Row],[НК]]=1,Таблица97[[#This Row],[Маржа]],"")</f>
        <v/>
      </c>
    </row>
    <row r="2012" spans="1:15" ht="19.5" customHeight="1" x14ac:dyDescent="0.25">
      <c r="A2012" s="2">
        <v>427</v>
      </c>
      <c r="B2012" s="2" t="str">
        <f>TEXT(Таблица97[[#This Row],[Дата]],"ГГ")&amp;RIGHT("000"&amp;Таблица97[[#This Row],[Номер]],4)</f>
        <v>220427</v>
      </c>
      <c r="C2012" s="129">
        <v>44706</v>
      </c>
      <c r="D2012" s="2" t="s">
        <v>455</v>
      </c>
      <c r="E2012" s="108">
        <v>24100</v>
      </c>
      <c r="F2012" s="129">
        <v>44712</v>
      </c>
      <c r="H2012" s="129">
        <v>44719</v>
      </c>
      <c r="I2012" s="108">
        <f t="shared" si="99"/>
        <v>24100</v>
      </c>
      <c r="J2012" s="108" t="str">
        <f>IF(Таблица97[[#This Row],[НК]]=1,Таблица97[[#This Row],[Продажа]],"")</f>
        <v/>
      </c>
      <c r="M2012" s="108">
        <v>14427</v>
      </c>
      <c r="N2012" s="108">
        <f>Таблица97[[#This Row],[Продажа]]-Таблица97[[#This Row],[Закупка]]</f>
        <v>9673</v>
      </c>
      <c r="O2012" s="108" t="str">
        <f>IF(Таблица97[[#This Row],[НК]]=1,Таблица97[[#This Row],[Маржа]],"")</f>
        <v/>
      </c>
    </row>
    <row r="2013" spans="1:15" ht="20.100000000000001" customHeight="1" x14ac:dyDescent="0.25">
      <c r="A2013" s="2">
        <v>370</v>
      </c>
      <c r="B2013" s="2" t="str">
        <f>TEXT(Таблица97[[#This Row],[Дата]],"ГГ")&amp;RIGHT("000"&amp;Таблица97[[#This Row],[Номер]],4)</f>
        <v>220370</v>
      </c>
      <c r="C2013" s="129">
        <v>44693</v>
      </c>
      <c r="D2013" s="2" t="s">
        <v>520</v>
      </c>
      <c r="E2013" s="108">
        <v>223780</v>
      </c>
      <c r="F2013" s="129">
        <v>44712</v>
      </c>
      <c r="G2013" s="128">
        <v>1</v>
      </c>
      <c r="H2013" s="129">
        <v>44707</v>
      </c>
      <c r="I2013" s="108">
        <v>111890</v>
      </c>
      <c r="J2013" s="108">
        <f>IF(Таблица97[[#This Row],[НК]]=1,Таблица97[[#This Row],[Продажа]],"")</f>
        <v>111890</v>
      </c>
      <c r="M2013" s="108">
        <f>125192/2</f>
        <v>62596</v>
      </c>
      <c r="N2013" s="108">
        <f>Таблица97[[#This Row],[Продажа]]-Таблица97[[#This Row],[Закупка]]</f>
        <v>49294</v>
      </c>
      <c r="O2013" s="108">
        <f>IF(Таблица97[[#This Row],[НК]]=1,Таблица97[[#This Row],[Маржа]],"")</f>
        <v>49294</v>
      </c>
    </row>
    <row r="2014" spans="1:15" ht="20.100000000000001" customHeight="1" x14ac:dyDescent="0.25">
      <c r="A2014" s="2">
        <v>381</v>
      </c>
      <c r="B2014" s="2" t="str">
        <f>TEXT(Таблица97[[#This Row],[Дата]],"ГГ")&amp;RIGHT("000"&amp;Таблица97[[#This Row],[Номер]],4)</f>
        <v>220381</v>
      </c>
      <c r="C2014" s="129">
        <v>44693</v>
      </c>
      <c r="D2014" s="2" t="s">
        <v>520</v>
      </c>
      <c r="E2014" s="108">
        <v>1106370</v>
      </c>
      <c r="F2014" s="129">
        <v>44712</v>
      </c>
      <c r="G2014" s="128">
        <v>1</v>
      </c>
      <c r="H2014" s="129">
        <v>44707</v>
      </c>
      <c r="I2014" s="108">
        <v>553185</v>
      </c>
      <c r="J2014" s="108">
        <f>IF(Таблица97[[#This Row],[НК]]=1,Таблица97[[#This Row],[Продажа]],"")</f>
        <v>553185</v>
      </c>
      <c r="M2014" s="108">
        <f>625572/2</f>
        <v>312786</v>
      </c>
      <c r="N2014" s="108">
        <f>Таблица97[[#This Row],[Продажа]]-Таблица97[[#This Row],[Закупка]]</f>
        <v>240399</v>
      </c>
      <c r="O2014" s="108">
        <f>IF(Таблица97[[#This Row],[НК]]=1,Таблица97[[#This Row],[Маржа]],"")</f>
        <v>240399</v>
      </c>
    </row>
    <row r="2015" spans="1:15" ht="19.5" customHeight="1" x14ac:dyDescent="0.25">
      <c r="A2015" s="2">
        <v>437</v>
      </c>
      <c r="B2015" s="2" t="str">
        <f>TEXT(Таблица97[[#This Row],[Дата]],"ГГ")&amp;RIGHT("000"&amp;Таблица97[[#This Row],[Номер]],4)</f>
        <v>220437</v>
      </c>
      <c r="C2015" s="129">
        <v>44708</v>
      </c>
      <c r="D2015" s="2" t="s">
        <v>311</v>
      </c>
      <c r="E2015" s="108">
        <v>10050</v>
      </c>
      <c r="F2015" s="129">
        <v>44713</v>
      </c>
      <c r="H2015" s="129">
        <v>44708</v>
      </c>
      <c r="I2015" s="108">
        <f t="shared" ref="I2015:I2017" si="100">E2015</f>
        <v>10050</v>
      </c>
      <c r="J2015" s="108" t="str">
        <f>IF(Таблица97[[#This Row],[НК]]=1,Таблица97[[#This Row],[Продажа]],"")</f>
        <v/>
      </c>
      <c r="M2015" s="108">
        <v>6567</v>
      </c>
      <c r="N2015" s="108">
        <f>Таблица97[[#This Row],[Продажа]]-Таблица97[[#This Row],[Закупка]]</f>
        <v>3483</v>
      </c>
      <c r="O2015" s="108" t="str">
        <f>IF(Таблица97[[#This Row],[НК]]=1,Таблица97[[#This Row],[Маржа]],"")</f>
        <v/>
      </c>
    </row>
    <row r="2016" spans="1:15" ht="19.5" customHeight="1" x14ac:dyDescent="0.25">
      <c r="A2016" s="2">
        <v>453</v>
      </c>
      <c r="B2016" s="2" t="str">
        <f>TEXT(Таблица97[[#This Row],[Дата]],"ГГ")&amp;RIGHT("000"&amp;Таблица97[[#This Row],[Номер]],4)</f>
        <v>220453</v>
      </c>
      <c r="C2016" s="129">
        <v>44712</v>
      </c>
      <c r="D2016" s="2" t="s">
        <v>470</v>
      </c>
      <c r="E2016" s="108">
        <v>61099</v>
      </c>
      <c r="F2016" s="129">
        <v>44714</v>
      </c>
      <c r="H2016" s="129">
        <v>44718</v>
      </c>
      <c r="I2016" s="108">
        <f t="shared" si="100"/>
        <v>61099</v>
      </c>
      <c r="J2016" s="108" t="str">
        <f>IF(Таблица97[[#This Row],[НК]]=1,Таблица97[[#This Row],[Продажа]],"")</f>
        <v/>
      </c>
      <c r="M2016" s="108">
        <v>41784</v>
      </c>
      <c r="N2016" s="108">
        <f>Таблица97[[#This Row],[Продажа]]-Таблица97[[#This Row],[Закупка]]</f>
        <v>19315</v>
      </c>
      <c r="O2016" s="108" t="str">
        <f>IF(Таблица97[[#This Row],[НК]]=1,Таблица97[[#This Row],[Маржа]],"")</f>
        <v/>
      </c>
    </row>
    <row r="2017" spans="1:15" ht="19.5" customHeight="1" x14ac:dyDescent="0.25">
      <c r="A2017" s="2">
        <v>426</v>
      </c>
      <c r="B2017" s="2" t="str">
        <f>TEXT(Таблица97[[#This Row],[Дата]],"ГГ")&amp;RIGHT("000"&amp;Таблица97[[#This Row],[Номер]],4)</f>
        <v>220426</v>
      </c>
      <c r="C2017" s="129">
        <v>44705</v>
      </c>
      <c r="D2017" s="2" t="s">
        <v>508</v>
      </c>
      <c r="E2017" s="108">
        <v>18700</v>
      </c>
      <c r="F2017" s="129">
        <v>44718</v>
      </c>
      <c r="H2017" s="129">
        <v>44728</v>
      </c>
      <c r="I2017" s="108">
        <f t="shared" si="100"/>
        <v>18700</v>
      </c>
      <c r="J2017" s="108" t="str">
        <f>IF(Таблица97[[#This Row],[НК]]=1,Таблица97[[#This Row],[Продажа]],"")</f>
        <v/>
      </c>
      <c r="M2017" s="108">
        <v>5870</v>
      </c>
      <c r="N2017" s="108">
        <f>Таблица97[[#This Row],[Продажа]]-Таблица97[[#This Row],[Закупка]]</f>
        <v>12830</v>
      </c>
      <c r="O2017" s="108" t="str">
        <f>IF(Таблица97[[#This Row],[НК]]=1,Таблица97[[#This Row],[Маржа]],"")</f>
        <v/>
      </c>
    </row>
    <row r="2018" spans="1:15" ht="20.100000000000001" customHeight="1" x14ac:dyDescent="0.25">
      <c r="A2018" s="2">
        <v>116</v>
      </c>
      <c r="B2018" s="2" t="str">
        <f>TEXT(Таблица97[[#This Row],[Дата]],"ГГ")&amp;RIGHT("000"&amp;Таблица97[[#This Row],[Номер]],4)</f>
        <v>220116</v>
      </c>
      <c r="C2018" s="129">
        <v>44670</v>
      </c>
      <c r="D2018" s="2" t="s">
        <v>517</v>
      </c>
      <c r="E2018" s="108">
        <v>96440</v>
      </c>
      <c r="F2018" s="129">
        <v>44719</v>
      </c>
      <c r="H2018" s="129">
        <v>44714</v>
      </c>
      <c r="I2018" s="108">
        <v>85470</v>
      </c>
      <c r="J2018" s="108" t="str">
        <f>IF(Таблица97[[#This Row],[НК]]=1,Таблица97[[#This Row],[Продажа]],"")</f>
        <v/>
      </c>
      <c r="M2018" s="108">
        <v>48886</v>
      </c>
      <c r="N2018" s="108">
        <f>Таблица97[[#This Row],[Продажа]]-Таблица97[[#This Row],[Закупка]]</f>
        <v>36584</v>
      </c>
      <c r="O2018" s="108" t="str">
        <f>IF(Таблица97[[#This Row],[НК]]=1,Таблица97[[#This Row],[Маржа]],"")</f>
        <v/>
      </c>
    </row>
    <row r="2019" spans="1:15" ht="20.100000000000001" customHeight="1" x14ac:dyDescent="0.25">
      <c r="A2019" s="2">
        <v>494</v>
      </c>
      <c r="B2019" s="2" t="str">
        <f>TEXT(Таблица97[[#This Row],[Дата]],"ГГ")&amp;RIGHT("000"&amp;Таблица97[[#This Row],[Номер]],4)</f>
        <v>220494</v>
      </c>
      <c r="C2019" s="129">
        <v>44719</v>
      </c>
      <c r="D2019" s="2" t="s">
        <v>149</v>
      </c>
      <c r="E2019" s="108">
        <v>5280</v>
      </c>
      <c r="F2019" s="129">
        <v>44720</v>
      </c>
      <c r="H2019" s="129">
        <v>44742</v>
      </c>
      <c r="I2019" s="108">
        <f>E2019</f>
        <v>5280</v>
      </c>
      <c r="J2019" s="108" t="str">
        <f>IF(Таблица97[[#This Row],[НК]]=1,Таблица97[[#This Row],[Продажа]],"")</f>
        <v/>
      </c>
      <c r="M2019" s="108">
        <v>4118</v>
      </c>
      <c r="N2019" s="108">
        <f>Таблица97[[#This Row],[Продажа]]-Таблица97[[#This Row],[Закупка]]</f>
        <v>1162</v>
      </c>
      <c r="O2019" s="108" t="str">
        <f>IF(Таблица97[[#This Row],[НК]]=1,Таблица97[[#This Row],[Маржа]],"")</f>
        <v/>
      </c>
    </row>
    <row r="2020" spans="1:15" ht="20.100000000000001" customHeight="1" x14ac:dyDescent="0.25">
      <c r="A2020" s="2">
        <v>186</v>
      </c>
      <c r="B2020" s="2" t="str">
        <f>TEXT(Таблица97[[#This Row],[Дата]],"ГГ")&amp;RIGHT("000"&amp;Таблица97[[#This Row],[Номер]],4)</f>
        <v>220186</v>
      </c>
      <c r="C2020" s="129">
        <v>44718</v>
      </c>
      <c r="D2020" s="2" t="s">
        <v>516</v>
      </c>
      <c r="E2020" s="108">
        <v>90063</v>
      </c>
      <c r="F2020" s="129">
        <v>44721</v>
      </c>
      <c r="H2020" s="129">
        <v>44721</v>
      </c>
      <c r="I2020" s="108">
        <v>75952</v>
      </c>
      <c r="J2020" s="108" t="str">
        <f>IF(Таблица97[[#This Row],[НК]]=1,Таблица97[[#This Row],[Продажа]],"")</f>
        <v/>
      </c>
      <c r="M2020" s="108">
        <v>61549</v>
      </c>
      <c r="N2020" s="108">
        <f>Таблица97[[#This Row],[Продажа]]-Таблица97[[#This Row],[Закупка]]</f>
        <v>14403</v>
      </c>
      <c r="O2020" s="108" t="str">
        <f>IF(Таблица97[[#This Row],[НК]]=1,Таблица97[[#This Row],[Маржа]],"")</f>
        <v/>
      </c>
    </row>
    <row r="2021" spans="1:15" ht="20.100000000000001" customHeight="1" x14ac:dyDescent="0.25">
      <c r="A2021" s="2">
        <v>243</v>
      </c>
      <c r="B2021" s="2" t="str">
        <f>TEXT(Таблица97[[#This Row],[Дата]],"ГГ")&amp;RIGHT("000"&amp;Таблица97[[#This Row],[Номер]],4)</f>
        <v>220243</v>
      </c>
      <c r="C2021" s="129">
        <v>44662</v>
      </c>
      <c r="D2021" s="2" t="s">
        <v>65</v>
      </c>
      <c r="E2021" s="108">
        <v>378331.2</v>
      </c>
      <c r="F2021" s="129">
        <v>44721</v>
      </c>
      <c r="H2021" s="129">
        <v>44680</v>
      </c>
      <c r="I2021" s="108">
        <v>48297.599999999999</v>
      </c>
      <c r="J2021" s="108" t="str">
        <f>IF(Таблица97[[#This Row],[НК]]=1,Таблица97[[#This Row],[Продажа]],"")</f>
        <v/>
      </c>
      <c r="L2021" s="108">
        <f>6*1200</f>
        <v>7200</v>
      </c>
      <c r="M2021" s="108">
        <v>14757</v>
      </c>
      <c r="N2021" s="108">
        <f>Таблица97[[#This Row],[Продажа]]-Таблица97[[#This Row],[Закупка]]</f>
        <v>33540.6</v>
      </c>
      <c r="O2021" s="108" t="str">
        <f>IF(Таблица97[[#This Row],[НК]]=1,Таблица97[[#This Row],[Маржа]],"")</f>
        <v/>
      </c>
    </row>
    <row r="2022" spans="1:15" ht="20.100000000000001" customHeight="1" x14ac:dyDescent="0.25">
      <c r="A2022" s="2">
        <v>423</v>
      </c>
      <c r="B2022" s="2" t="str">
        <f>TEXT(Таблица97[[#This Row],[Дата]],"ГГ")&amp;RIGHT("000"&amp;Таблица97[[#This Row],[Номер]],4)</f>
        <v>220423</v>
      </c>
      <c r="C2022" s="129">
        <v>44705</v>
      </c>
      <c r="D2022" s="2" t="s">
        <v>302</v>
      </c>
      <c r="E2022" s="108">
        <v>13580</v>
      </c>
      <c r="F2022" s="129">
        <v>44722</v>
      </c>
      <c r="H2022" s="129">
        <v>44719</v>
      </c>
      <c r="I2022" s="108">
        <f>E2022</f>
        <v>13580</v>
      </c>
      <c r="J2022" s="108" t="str">
        <f>IF(Таблица97[[#This Row],[НК]]=1,Таблица97[[#This Row],[Продажа]],"")</f>
        <v/>
      </c>
      <c r="M2022" s="108">
        <v>11598</v>
      </c>
      <c r="N2022" s="108">
        <f>Таблица97[[#This Row],[Продажа]]-Таблица97[[#This Row],[Закупка]]</f>
        <v>1982</v>
      </c>
      <c r="O2022" s="108" t="str">
        <f>IF(Таблица97[[#This Row],[НК]]=1,Таблица97[[#This Row],[Маржа]],"")</f>
        <v/>
      </c>
    </row>
    <row r="2023" spans="1:15" ht="20.100000000000001" customHeight="1" x14ac:dyDescent="0.25">
      <c r="A2023" s="2">
        <v>491</v>
      </c>
      <c r="B2023" s="2" t="str">
        <f>TEXT(Таблица97[[#This Row],[Дата]],"ГГ")&amp;RIGHT("000"&amp;Таблица97[[#This Row],[Номер]],4)</f>
        <v>220491</v>
      </c>
      <c r="C2023" s="129">
        <v>44719</v>
      </c>
      <c r="D2023" s="2" t="s">
        <v>13</v>
      </c>
      <c r="E2023" s="108">
        <v>26750</v>
      </c>
      <c r="F2023" s="129">
        <v>44727</v>
      </c>
      <c r="H2023" s="129">
        <v>44719</v>
      </c>
      <c r="I2023" s="108">
        <f t="shared" ref="I2023:I2025" si="101">E2023</f>
        <v>26750</v>
      </c>
      <c r="J2023" s="108" t="str">
        <f>IF(Таблица97[[#This Row],[НК]]=1,Таблица97[[#This Row],[Продажа]],"")</f>
        <v/>
      </c>
      <c r="M2023" s="108">
        <v>17915</v>
      </c>
      <c r="N2023" s="108">
        <f>Таблица97[[#This Row],[Продажа]]-Таблица97[[#This Row],[Закупка]]</f>
        <v>8835</v>
      </c>
      <c r="O2023" s="108" t="str">
        <f>IF(Таблица97[[#This Row],[НК]]=1,Таблица97[[#This Row],[Маржа]],"")</f>
        <v/>
      </c>
    </row>
    <row r="2024" spans="1:15" ht="20.100000000000001" customHeight="1" x14ac:dyDescent="0.25">
      <c r="A2024" s="2">
        <v>283</v>
      </c>
      <c r="B2024" s="2" t="str">
        <f>TEXT(Таблица97[[#This Row],[Дата]],"ГГ")&amp;RIGHT("000"&amp;Таблица97[[#This Row],[Номер]],4)</f>
        <v>220283</v>
      </c>
      <c r="C2024" s="129">
        <v>44665</v>
      </c>
      <c r="D2024" s="2" t="s">
        <v>56</v>
      </c>
      <c r="E2024" s="108">
        <v>144470</v>
      </c>
      <c r="F2024" s="129">
        <v>44727</v>
      </c>
      <c r="H2024" s="129">
        <v>44711</v>
      </c>
      <c r="I2024" s="108">
        <f t="shared" si="101"/>
        <v>144470</v>
      </c>
      <c r="J2024" s="108" t="str">
        <f>IF(Таблица97[[#This Row],[НК]]=1,Таблица97[[#This Row],[Продажа]],"")</f>
        <v/>
      </c>
      <c r="M2024" s="108">
        <v>73277</v>
      </c>
      <c r="N2024" s="108">
        <f>Таблица97[[#This Row],[Продажа]]-Таблица97[[#This Row],[Закупка]]</f>
        <v>71193</v>
      </c>
      <c r="O2024" s="108" t="str">
        <f>IF(Таблица97[[#This Row],[НК]]=1,Таблица97[[#This Row],[Маржа]],"")</f>
        <v/>
      </c>
    </row>
    <row r="2025" spans="1:15" ht="20.100000000000001" customHeight="1" x14ac:dyDescent="0.25">
      <c r="A2025" s="2">
        <v>477</v>
      </c>
      <c r="B2025" s="2" t="str">
        <f>TEXT(Таблица97[[#This Row],[Дата]],"ГГ")&amp;RIGHT("000"&amp;Таблица97[[#This Row],[Номер]],4)</f>
        <v>220477</v>
      </c>
      <c r="C2025" s="129">
        <v>44715</v>
      </c>
      <c r="D2025" s="2" t="s">
        <v>91</v>
      </c>
      <c r="E2025" s="108">
        <v>12150</v>
      </c>
      <c r="F2025" s="129">
        <v>44729</v>
      </c>
      <c r="H2025" s="129">
        <v>44735</v>
      </c>
      <c r="I2025" s="108">
        <f t="shared" si="101"/>
        <v>12150</v>
      </c>
      <c r="J2025" s="108" t="str">
        <f>IF(Таблица97[[#This Row],[НК]]=1,Таблица97[[#This Row],[Продажа]],"")</f>
        <v/>
      </c>
      <c r="M2025" s="108">
        <f>3583*3</f>
        <v>10749</v>
      </c>
      <c r="N2025" s="108">
        <f>Таблица97[[#This Row],[Продажа]]-Таблица97[[#This Row],[Закупка]]</f>
        <v>1401</v>
      </c>
      <c r="O2025" s="108" t="str">
        <f>IF(Таблица97[[#This Row],[НК]]=1,Таблица97[[#This Row],[Маржа]],"")</f>
        <v/>
      </c>
    </row>
    <row r="2026" spans="1:15" ht="20.100000000000001" customHeight="1" x14ac:dyDescent="0.25">
      <c r="A2026" s="2">
        <v>243</v>
      </c>
      <c r="B2026" s="2" t="str">
        <f>TEXT(Таблица97[[#This Row],[Дата]],"ГГ")&amp;RIGHT("000"&amp;Таблица97[[#This Row],[Номер]],4)</f>
        <v>220243</v>
      </c>
      <c r="C2026" s="129">
        <v>44662</v>
      </c>
      <c r="D2026" s="2" t="s">
        <v>65</v>
      </c>
      <c r="E2026" s="108">
        <v>378331.2</v>
      </c>
      <c r="F2026" s="129">
        <v>44733</v>
      </c>
      <c r="H2026" s="129">
        <v>44711</v>
      </c>
      <c r="I2026" s="108">
        <v>201240</v>
      </c>
      <c r="J2026" s="108" t="str">
        <f>IF(Таблица97[[#This Row],[НК]]=1,Таблица97[[#This Row],[Продажа]],"")</f>
        <v/>
      </c>
      <c r="M2026" s="108">
        <f>70313+25*500</f>
        <v>82813</v>
      </c>
      <c r="N2026" s="108">
        <f>Таблица97[[#This Row],[Продажа]]-Таблица97[[#This Row],[Закупка]]</f>
        <v>118427</v>
      </c>
      <c r="O2026" s="108" t="str">
        <f>IF(Таблица97[[#This Row],[НК]]=1,Таблица97[[#This Row],[Маржа]],"")</f>
        <v/>
      </c>
    </row>
    <row r="2027" spans="1:15" ht="20.100000000000001" customHeight="1" x14ac:dyDescent="0.25">
      <c r="A2027" s="2">
        <v>513</v>
      </c>
      <c r="B2027" s="2" t="str">
        <f>TEXT(Таблица97[[#This Row],[Дата]],"ГГ")&amp;RIGHT("000"&amp;Таблица97[[#This Row],[Номер]],4)</f>
        <v>220513</v>
      </c>
      <c r="C2027" s="129">
        <v>44726</v>
      </c>
      <c r="D2027" s="2" t="s">
        <v>520</v>
      </c>
      <c r="E2027" s="108">
        <v>559450</v>
      </c>
      <c r="F2027" s="129">
        <v>44733</v>
      </c>
      <c r="H2027" s="129">
        <v>44733</v>
      </c>
      <c r="I2027" s="108">
        <v>279725</v>
      </c>
      <c r="J2027" s="108" t="str">
        <f>IF(Таблица97[[#This Row],[НК]]=1,Таблица97[[#This Row],[Продажа]],"")</f>
        <v/>
      </c>
      <c r="M2027" s="108">
        <f>312980/2</f>
        <v>156490</v>
      </c>
      <c r="N2027" s="108">
        <f>Таблица97[[#This Row],[Продажа]]-Таблица97[[#This Row],[Закупка]]</f>
        <v>123235</v>
      </c>
      <c r="O2027" s="108" t="str">
        <f>IF(Таблица97[[#This Row],[НК]]=1,Таблица97[[#This Row],[Маржа]],"")</f>
        <v/>
      </c>
    </row>
    <row r="2028" spans="1:15" ht="20.100000000000001" customHeight="1" x14ac:dyDescent="0.25">
      <c r="A2028" s="2">
        <v>565</v>
      </c>
      <c r="B2028" s="2" t="str">
        <f>TEXT(Таблица97[[#This Row],[Дата]],"ГГ")&amp;RIGHT("000"&amp;Таблица97[[#This Row],[Номер]],4)</f>
        <v>220565</v>
      </c>
      <c r="C2028" s="129">
        <v>44735</v>
      </c>
      <c r="D2028" s="2" t="s">
        <v>467</v>
      </c>
      <c r="E2028" s="108">
        <v>93290</v>
      </c>
      <c r="F2028" s="129">
        <v>44741</v>
      </c>
      <c r="H2028" s="129">
        <v>44747</v>
      </c>
      <c r="I2028" s="108">
        <f t="shared" ref="I2028:I2030" si="102">E2028</f>
        <v>93290</v>
      </c>
      <c r="J2028" s="108" t="str">
        <f>IF(Таблица97[[#This Row],[НК]]=1,Таблица97[[#This Row],[Продажа]],"")</f>
        <v/>
      </c>
      <c r="M2028" s="108">
        <v>58304</v>
      </c>
      <c r="N2028" s="108">
        <f>Таблица97[[#This Row],[Продажа]]-Таблица97[[#This Row],[Закупка]]</f>
        <v>34986</v>
      </c>
      <c r="O2028" s="108" t="str">
        <f>IF(Таблица97[[#This Row],[НК]]=1,Таблица97[[#This Row],[Маржа]],"")</f>
        <v/>
      </c>
    </row>
    <row r="2029" spans="1:15" ht="20.100000000000001" customHeight="1" x14ac:dyDescent="0.25">
      <c r="A2029" s="2">
        <v>535</v>
      </c>
      <c r="B2029" s="2" t="str">
        <f>TEXT(Таблица97[[#This Row],[Дата]],"ГГ")&amp;RIGHT("000"&amp;Таблица97[[#This Row],[Номер]],4)</f>
        <v>220535</v>
      </c>
      <c r="C2029" s="129">
        <v>44729</v>
      </c>
      <c r="D2029" s="2" t="s">
        <v>77</v>
      </c>
      <c r="E2029" s="108">
        <v>4800</v>
      </c>
      <c r="F2029" s="129">
        <v>44742</v>
      </c>
      <c r="H2029" s="129">
        <v>44729</v>
      </c>
      <c r="I2029" s="108">
        <f t="shared" si="102"/>
        <v>4800</v>
      </c>
      <c r="J2029" s="108" t="str">
        <f>IF(Таблица97[[#This Row],[НК]]=1,Таблица97[[#This Row],[Продажа]],"")</f>
        <v/>
      </c>
      <c r="M2029" s="108">
        <v>3282</v>
      </c>
      <c r="N2029" s="108">
        <f>Таблица97[[#This Row],[Продажа]]-Таблица97[[#This Row],[Закупка]]</f>
        <v>1518</v>
      </c>
      <c r="O2029" s="108" t="str">
        <f>IF(Таблица97[[#This Row],[НК]]=1,Таблица97[[#This Row],[Маржа]],"")</f>
        <v/>
      </c>
    </row>
    <row r="2030" spans="1:15" ht="20.100000000000001" customHeight="1" x14ac:dyDescent="0.25">
      <c r="A2030" s="2">
        <v>587</v>
      </c>
      <c r="B2030" s="2" t="str">
        <f>TEXT(Таблица97[[#This Row],[Дата]],"ГГ")&amp;RIGHT("000"&amp;Таблица97[[#This Row],[Номер]],4)</f>
        <v>220587</v>
      </c>
      <c r="C2030" s="129">
        <v>44742</v>
      </c>
      <c r="D2030" s="2" t="s">
        <v>404</v>
      </c>
      <c r="E2030" s="108">
        <v>5260</v>
      </c>
      <c r="F2030" s="129">
        <v>44742</v>
      </c>
      <c r="H2030" s="129">
        <v>44743</v>
      </c>
      <c r="I2030" s="108">
        <f t="shared" si="102"/>
        <v>5260</v>
      </c>
      <c r="J2030" s="108" t="str">
        <f>IF(Таблица97[[#This Row],[НК]]=1,Таблица97[[#This Row],[Продажа]],"")</f>
        <v/>
      </c>
      <c r="M2030" s="108">
        <v>3364</v>
      </c>
      <c r="N2030" s="108">
        <f>Таблица97[[#This Row],[Продажа]]-Таблица97[[#This Row],[Закупка]]</f>
        <v>1896</v>
      </c>
      <c r="O2030" s="108" t="str">
        <f>IF(Таблица97[[#This Row],[НК]]=1,Таблица97[[#This Row],[Маржа]],"")</f>
        <v/>
      </c>
    </row>
    <row r="2031" spans="1:15" ht="20.100000000000001" customHeight="1" x14ac:dyDescent="0.25">
      <c r="A2031" s="2">
        <v>513</v>
      </c>
      <c r="B2031" s="2" t="str">
        <f>TEXT(Таблица97[[#This Row],[Дата]],"ГГ")&amp;RIGHT("000"&amp;Таблица97[[#This Row],[Номер]],4)</f>
        <v>220513</v>
      </c>
      <c r="C2031" s="129">
        <v>44726</v>
      </c>
      <c r="D2031" s="2" t="s">
        <v>520</v>
      </c>
      <c r="E2031" s="108">
        <v>559450</v>
      </c>
      <c r="F2031" s="129">
        <v>44742</v>
      </c>
      <c r="H2031" s="129">
        <v>44733</v>
      </c>
      <c r="I2031" s="108">
        <v>279725</v>
      </c>
      <c r="J2031" s="108" t="str">
        <f>IF(Таблица97[[#This Row],[НК]]=1,Таблица97[[#This Row],[Продажа]],"")</f>
        <v/>
      </c>
      <c r="M2031" s="108">
        <f>312980/2</f>
        <v>156490</v>
      </c>
      <c r="N2031" s="108">
        <f>Таблица97[[#This Row],[Продажа]]-Таблица97[[#This Row],[Закупка]]</f>
        <v>123235</v>
      </c>
      <c r="O2031" s="108" t="str">
        <f>IF(Таблица97[[#This Row],[НК]]=1,Таблица97[[#This Row],[Маржа]],"")</f>
        <v/>
      </c>
    </row>
    <row r="2032" spans="1:15" ht="19.5" customHeight="1" x14ac:dyDescent="0.25">
      <c r="A2032" s="2">
        <v>594</v>
      </c>
      <c r="B2032" s="2" t="str">
        <f>TEXT(Таблица97[[#This Row],[Дата]],"ГГ")&amp;RIGHT("000"&amp;Таблица97[[#This Row],[Номер]],4)</f>
        <v>220594</v>
      </c>
      <c r="C2032" s="129">
        <v>44743</v>
      </c>
      <c r="D2032" s="2" t="s">
        <v>521</v>
      </c>
      <c r="E2032" s="108">
        <v>8000</v>
      </c>
      <c r="F2032" s="129">
        <v>44743</v>
      </c>
      <c r="H2032" s="129">
        <v>44743</v>
      </c>
      <c r="I2032" s="108">
        <f t="shared" ref="I2032:I2045" si="103">E2032</f>
        <v>8000</v>
      </c>
      <c r="J2032" s="108" t="str">
        <f>IF(Таблица97[[#This Row],[НК]]=1,Таблица97[[#This Row],[Продажа]],"")</f>
        <v/>
      </c>
      <c r="L2032" s="108">
        <v>600</v>
      </c>
      <c r="M2032" s="108">
        <v>2616</v>
      </c>
      <c r="N2032" s="108">
        <f>Таблица97[[#This Row],[Продажа]]-Таблица97[[#This Row],[Закупка]]</f>
        <v>5384</v>
      </c>
      <c r="O2032" s="108" t="str">
        <f>IF(Таблица97[[#This Row],[НК]]=1,Таблица97[[#This Row],[Маржа]],"")</f>
        <v/>
      </c>
    </row>
    <row r="2033" spans="1:15" ht="19.5" customHeight="1" x14ac:dyDescent="0.25">
      <c r="A2033" s="2">
        <v>580</v>
      </c>
      <c r="B2033" s="2" t="str">
        <f>TEXT(Таблица97[[#This Row],[Дата]],"ГГ")&amp;RIGHT("000"&amp;Таблица97[[#This Row],[Номер]],4)</f>
        <v>220580</v>
      </c>
      <c r="C2033" s="129">
        <v>44740</v>
      </c>
      <c r="D2033" s="2" t="s">
        <v>270</v>
      </c>
      <c r="E2033" s="108">
        <v>5310</v>
      </c>
      <c r="F2033" s="129">
        <v>44743</v>
      </c>
      <c r="H2033" s="129">
        <v>44743</v>
      </c>
      <c r="I2033" s="108">
        <f t="shared" si="103"/>
        <v>5310</v>
      </c>
      <c r="J2033" s="108" t="str">
        <f>IF(Таблица97[[#This Row],[НК]]=1,Таблица97[[#This Row],[Продажа]],"")</f>
        <v/>
      </c>
      <c r="M2033" s="108">
        <f t="shared" ref="M2033" si="104">I2033</f>
        <v>5310</v>
      </c>
      <c r="N2033" s="108">
        <f>Таблица97[[#This Row],[Продажа]]-Таблица97[[#This Row],[Закупка]]</f>
        <v>0</v>
      </c>
      <c r="O2033" s="108" t="str">
        <f>IF(Таблица97[[#This Row],[НК]]=1,Таблица97[[#This Row],[Маржа]],"")</f>
        <v/>
      </c>
    </row>
    <row r="2034" spans="1:15" ht="20.100000000000001" customHeight="1" x14ac:dyDescent="0.25">
      <c r="A2034" s="2">
        <v>509</v>
      </c>
      <c r="B2034" s="2" t="str">
        <f>TEXT(Таблица97[[#This Row],[Дата]],"ГГ")&amp;RIGHT("000"&amp;Таблица97[[#This Row],[Номер]],4)</f>
        <v>220509</v>
      </c>
      <c r="C2034" s="129">
        <v>44722</v>
      </c>
      <c r="D2034" s="2" t="s">
        <v>275</v>
      </c>
      <c r="E2034" s="108">
        <v>171290</v>
      </c>
      <c r="F2034" s="129">
        <v>44746</v>
      </c>
      <c r="H2034" s="129">
        <v>44732</v>
      </c>
      <c r="I2034" s="108">
        <f t="shared" si="103"/>
        <v>171290</v>
      </c>
      <c r="J2034" s="108" t="str">
        <f>IF(Таблица97[[#This Row],[НК]]=1,Таблица97[[#This Row],[Продажа]],"")</f>
        <v/>
      </c>
      <c r="M2034" s="108">
        <v>160000</v>
      </c>
      <c r="N2034" s="108">
        <f>Таблица97[[#This Row],[Продажа]]-Таблица97[[#This Row],[Закупка]]</f>
        <v>11290</v>
      </c>
      <c r="O2034" s="108" t="str">
        <f>IF(Таблица97[[#This Row],[НК]]=1,Таблица97[[#This Row],[Маржа]],"")</f>
        <v/>
      </c>
    </row>
    <row r="2035" spans="1:15" ht="19.5" customHeight="1" x14ac:dyDescent="0.25">
      <c r="A2035" s="2">
        <v>320</v>
      </c>
      <c r="B2035" s="2" t="str">
        <f>TEXT(Таблица97[[#This Row],[Дата]],"ГГ")&amp;RIGHT("000"&amp;Таблица97[[#This Row],[Номер]],4)</f>
        <v>220320</v>
      </c>
      <c r="C2035" s="129">
        <v>44676</v>
      </c>
      <c r="D2035" s="2" t="s">
        <v>99</v>
      </c>
      <c r="E2035" s="108">
        <v>187500</v>
      </c>
      <c r="F2035" s="129">
        <v>44748</v>
      </c>
      <c r="H2035" s="129">
        <v>44711</v>
      </c>
      <c r="I2035" s="108">
        <f t="shared" si="103"/>
        <v>187500</v>
      </c>
      <c r="J2035" s="108" t="str">
        <f>IF(Таблица97[[#This Row],[НК]]=1,Таблица97[[#This Row],[Продажа]],"")</f>
        <v/>
      </c>
      <c r="K2035" s="108">
        <f>3000*15</f>
        <v>45000</v>
      </c>
      <c r="M2035" s="108">
        <f>30600+15*500</f>
        <v>38100</v>
      </c>
      <c r="N2035" s="108">
        <f>Таблица97[[#This Row],[Продажа]]-Таблица97[[#This Row],[Закупка]]</f>
        <v>149400</v>
      </c>
      <c r="O2035" s="108" t="str">
        <f>IF(Таблица97[[#This Row],[НК]]=1,Таблица97[[#This Row],[Маржа]],"")</f>
        <v/>
      </c>
    </row>
    <row r="2036" spans="1:15" ht="19.5" customHeight="1" x14ac:dyDescent="0.25">
      <c r="A2036" s="2">
        <v>378</v>
      </c>
      <c r="B2036" s="2" t="str">
        <f>TEXT(Таблица97[[#This Row],[Дата]],"ГГ")&amp;RIGHT("000"&amp;Таблица97[[#This Row],[Номер]],4)</f>
        <v>220378</v>
      </c>
      <c r="C2036" s="129">
        <v>44693</v>
      </c>
      <c r="D2036" s="2" t="s">
        <v>99</v>
      </c>
      <c r="E2036" s="108">
        <v>185000</v>
      </c>
      <c r="F2036" s="129">
        <v>44748</v>
      </c>
      <c r="H2036" s="129">
        <v>44711</v>
      </c>
      <c r="I2036" s="108">
        <f t="shared" si="103"/>
        <v>185000</v>
      </c>
      <c r="J2036" s="108" t="str">
        <f>IF(Таблица97[[#This Row],[НК]]=1,Таблица97[[#This Row],[Продажа]],"")</f>
        <v/>
      </c>
      <c r="K2036" s="108">
        <f>3000*12</f>
        <v>36000</v>
      </c>
      <c r="M2036" s="108">
        <f>27790+12*500</f>
        <v>33790</v>
      </c>
      <c r="N2036" s="108">
        <f>Таблица97[[#This Row],[Продажа]]-Таблица97[[#This Row],[Закупка]]</f>
        <v>151210</v>
      </c>
      <c r="O2036" s="108" t="str">
        <f>IF(Таблица97[[#This Row],[НК]]=1,Таблица97[[#This Row],[Маржа]],"")</f>
        <v/>
      </c>
    </row>
    <row r="2037" spans="1:15" ht="19.5" customHeight="1" x14ac:dyDescent="0.25">
      <c r="A2037" s="2">
        <v>392</v>
      </c>
      <c r="B2037" s="2" t="str">
        <f>TEXT(Таблица97[[#This Row],[Дата]],"ГГ")&amp;RIGHT("000"&amp;Таблица97[[#This Row],[Номер]],4)</f>
        <v>220392</v>
      </c>
      <c r="C2037" s="129">
        <v>44698</v>
      </c>
      <c r="D2037" s="2" t="s">
        <v>99</v>
      </c>
      <c r="E2037" s="108">
        <v>217500</v>
      </c>
      <c r="F2037" s="129">
        <v>44748</v>
      </c>
      <c r="H2037" s="129">
        <v>44711</v>
      </c>
      <c r="I2037" s="108">
        <f t="shared" si="103"/>
        <v>217500</v>
      </c>
      <c r="J2037" s="108" t="str">
        <f>IF(Таблица97[[#This Row],[НК]]=1,Таблица97[[#This Row],[Продажа]],"")</f>
        <v/>
      </c>
      <c r="K2037" s="108">
        <f>3000*15</f>
        <v>45000</v>
      </c>
      <c r="M2037" s="108">
        <v>27405</v>
      </c>
      <c r="N2037" s="108">
        <f>Таблица97[[#This Row],[Продажа]]-Таблица97[[#This Row],[Закупка]]</f>
        <v>190095</v>
      </c>
      <c r="O2037" s="108" t="str">
        <f>IF(Таблица97[[#This Row],[НК]]=1,Таблица97[[#This Row],[Маржа]],"")</f>
        <v/>
      </c>
    </row>
    <row r="2038" spans="1:15" ht="19.5" customHeight="1" x14ac:dyDescent="0.25">
      <c r="A2038" s="2">
        <v>589</v>
      </c>
      <c r="B2038" s="2" t="str">
        <f>TEXT(Таблица97[[#This Row],[Дата]],"ГГ")&amp;RIGHT("000"&amp;Таблица97[[#This Row],[Номер]],4)</f>
        <v>220589</v>
      </c>
      <c r="C2038" s="129">
        <v>44742</v>
      </c>
      <c r="D2038" s="2" t="s">
        <v>453</v>
      </c>
      <c r="E2038" s="108">
        <v>20450</v>
      </c>
      <c r="F2038" s="129">
        <v>44749</v>
      </c>
      <c r="H2038" s="129">
        <v>44750</v>
      </c>
      <c r="I2038" s="108">
        <f t="shared" si="103"/>
        <v>20450</v>
      </c>
      <c r="J2038" s="108" t="str">
        <f>IF(Таблица97[[#This Row],[НК]]=1,Таблица97[[#This Row],[Продажа]],"")</f>
        <v/>
      </c>
      <c r="L2038" s="108">
        <v>600</v>
      </c>
      <c r="M2038" s="108">
        <v>3922</v>
      </c>
      <c r="N2038" s="108">
        <f>Таблица97[[#This Row],[Продажа]]-Таблица97[[#This Row],[Закупка]]</f>
        <v>16528</v>
      </c>
      <c r="O2038" s="108" t="str">
        <f>IF(Таблица97[[#This Row],[НК]]=1,Таблица97[[#This Row],[Маржа]],"")</f>
        <v/>
      </c>
    </row>
    <row r="2039" spans="1:15" ht="20.100000000000001" customHeight="1" x14ac:dyDescent="0.25">
      <c r="A2039" s="2">
        <v>637</v>
      </c>
      <c r="B2039" s="2" t="str">
        <f>TEXT(Таблица97[[#This Row],[Дата]],"ГГ")&amp;RIGHT("000"&amp;Таблица97[[#This Row],[Номер]],4)</f>
        <v>220637</v>
      </c>
      <c r="C2039" s="129">
        <v>44757</v>
      </c>
      <c r="D2039" s="2" t="s">
        <v>147</v>
      </c>
      <c r="E2039" s="108">
        <v>9600</v>
      </c>
      <c r="F2039" s="129">
        <v>44757</v>
      </c>
      <c r="H2039" s="129">
        <v>44760</v>
      </c>
      <c r="I2039" s="108">
        <f t="shared" si="103"/>
        <v>9600</v>
      </c>
      <c r="J2039" s="108" t="str">
        <f>IF(Таблица97[[#This Row],[НК]]=1,Таблица97[[#This Row],[Продажа]],"")</f>
        <v/>
      </c>
      <c r="M2039" s="108">
        <f>936*4</f>
        <v>3744</v>
      </c>
      <c r="N2039" s="108">
        <f>Таблица97[[#This Row],[Продажа]]-Таблица97[[#This Row],[Закупка]]</f>
        <v>5856</v>
      </c>
      <c r="O2039" s="108" t="str">
        <f>IF(Таблица97[[#This Row],[НК]]=1,Таблица97[[#This Row],[Маржа]],"")</f>
        <v/>
      </c>
    </row>
    <row r="2040" spans="1:15" ht="20.100000000000001" customHeight="1" x14ac:dyDescent="0.25">
      <c r="A2040" s="2">
        <v>502</v>
      </c>
      <c r="B2040" s="2" t="str">
        <f>TEXT(Таблица97[[#This Row],[Дата]],"ГГ")&amp;RIGHT("000"&amp;Таблица97[[#This Row],[Номер]],4)</f>
        <v>220502</v>
      </c>
      <c r="C2040" s="129">
        <v>44720</v>
      </c>
      <c r="D2040" s="2" t="s">
        <v>162</v>
      </c>
      <c r="E2040" s="108">
        <v>104360</v>
      </c>
      <c r="F2040" s="129">
        <v>44761</v>
      </c>
      <c r="H2040" s="129">
        <v>44735</v>
      </c>
      <c r="I2040" s="108">
        <f t="shared" si="103"/>
        <v>104360</v>
      </c>
      <c r="J2040" s="108" t="str">
        <f>IF(Таблица97[[#This Row],[НК]]=1,Таблица97[[#This Row],[Продажа]],"")</f>
        <v/>
      </c>
      <c r="L2040" s="108">
        <v>600</v>
      </c>
      <c r="M2040" s="108">
        <v>71891</v>
      </c>
      <c r="N2040" s="108">
        <f>Таблица97[[#This Row],[Продажа]]-Таблица97[[#This Row],[Закупка]]</f>
        <v>32469</v>
      </c>
      <c r="O2040" s="108" t="str">
        <f>IF(Таблица97[[#This Row],[НК]]=1,Таблица97[[#This Row],[Маржа]],"")</f>
        <v/>
      </c>
    </row>
    <row r="2041" spans="1:15" ht="20.100000000000001" customHeight="1" x14ac:dyDescent="0.25">
      <c r="A2041" s="2">
        <v>404</v>
      </c>
      <c r="B2041" s="2" t="str">
        <f>TEXT(Таблица97[[#This Row],[Дата]],"ГГ")&amp;RIGHT("000"&amp;Таблица97[[#This Row],[Номер]],4)</f>
        <v>220404</v>
      </c>
      <c r="C2041" s="129">
        <v>44701</v>
      </c>
      <c r="D2041" s="2" t="s">
        <v>166</v>
      </c>
      <c r="E2041" s="108">
        <v>37490</v>
      </c>
      <c r="F2041" s="129">
        <v>44762</v>
      </c>
      <c r="H2041" s="129">
        <v>44769</v>
      </c>
      <c r="I2041" s="108">
        <f t="shared" si="103"/>
        <v>37490</v>
      </c>
      <c r="J2041" s="108" t="str">
        <f>IF(Таблица97[[#This Row],[НК]]=1,Таблица97[[#This Row],[Продажа]],"")</f>
        <v/>
      </c>
      <c r="M2041" s="108">
        <f>9920+17456</f>
        <v>27376</v>
      </c>
      <c r="N2041" s="108">
        <f>Таблица97[[#This Row],[Продажа]]-Таблица97[[#This Row],[Закупка]]</f>
        <v>10114</v>
      </c>
      <c r="O2041" s="108" t="str">
        <f>IF(Таблица97[[#This Row],[НК]]=1,Таблица97[[#This Row],[Маржа]],"")</f>
        <v/>
      </c>
    </row>
    <row r="2042" spans="1:15" ht="20.100000000000001" customHeight="1" x14ac:dyDescent="0.25">
      <c r="A2042" s="2">
        <v>661</v>
      </c>
      <c r="B2042" s="2" t="str">
        <f>TEXT(Таблица97[[#This Row],[Дата]],"ГГ")&amp;RIGHT("000"&amp;Таблица97[[#This Row],[Номер]],4)</f>
        <v>220661</v>
      </c>
      <c r="C2042" s="129">
        <v>44763</v>
      </c>
      <c r="D2042" s="2" t="s">
        <v>149</v>
      </c>
      <c r="E2042" s="108">
        <v>10030</v>
      </c>
      <c r="F2042" s="129">
        <v>44764</v>
      </c>
      <c r="H2042" s="129">
        <v>44764</v>
      </c>
      <c r="I2042" s="108">
        <f t="shared" si="103"/>
        <v>10030</v>
      </c>
      <c r="J2042" s="108" t="str">
        <f>IF(Таблица97[[#This Row],[НК]]=1,Таблица97[[#This Row],[Продажа]],"")</f>
        <v/>
      </c>
      <c r="M2042" s="108">
        <f>390*4+1338*3</f>
        <v>5574</v>
      </c>
      <c r="N2042" s="108">
        <f>Таблица97[[#This Row],[Продажа]]-Таблица97[[#This Row],[Закупка]]</f>
        <v>4456</v>
      </c>
      <c r="O2042" s="108" t="str">
        <f>IF(Таблица97[[#This Row],[НК]]=1,Таблица97[[#This Row],[Маржа]],"")</f>
        <v/>
      </c>
    </row>
    <row r="2043" spans="1:15" ht="20.100000000000001" customHeight="1" x14ac:dyDescent="0.25">
      <c r="A2043" s="2">
        <v>669</v>
      </c>
      <c r="B2043" s="2" t="str">
        <f>TEXT(Таблица97[[#This Row],[Дата]],"ГГ")&amp;RIGHT("000"&amp;Таблица97[[#This Row],[Номер]],4)</f>
        <v>220669</v>
      </c>
      <c r="C2043" s="129">
        <v>44764</v>
      </c>
      <c r="D2043" s="2" t="s">
        <v>522</v>
      </c>
      <c r="E2043" s="108">
        <v>3800</v>
      </c>
      <c r="F2043" s="129">
        <v>44764</v>
      </c>
      <c r="G2043" s="128">
        <v>1</v>
      </c>
      <c r="H2043" s="129">
        <v>44767</v>
      </c>
      <c r="I2043" s="108">
        <f t="shared" si="103"/>
        <v>3800</v>
      </c>
      <c r="J2043" s="108">
        <f>IF(Таблица97[[#This Row],[НК]]=1,Таблица97[[#This Row],[Продажа]],"")</f>
        <v>3800</v>
      </c>
      <c r="M2043" s="108">
        <v>2964</v>
      </c>
      <c r="N2043" s="108">
        <f>Таблица97[[#This Row],[Продажа]]-Таблица97[[#This Row],[Закупка]]</f>
        <v>836</v>
      </c>
      <c r="O2043" s="108">
        <f>IF(Таблица97[[#This Row],[НК]]=1,Таблица97[[#This Row],[Маржа]],"")</f>
        <v>836</v>
      </c>
    </row>
    <row r="2044" spans="1:15" ht="20.100000000000001" customHeight="1" x14ac:dyDescent="0.25">
      <c r="A2044" s="2">
        <v>662</v>
      </c>
      <c r="B2044" s="2" t="str">
        <f>TEXT(Таблица97[[#This Row],[Дата]],"ГГ")&amp;RIGHT("000"&amp;Таблица97[[#This Row],[Номер]],4)</f>
        <v>220662</v>
      </c>
      <c r="C2044" s="129">
        <v>44763</v>
      </c>
      <c r="D2044" s="2" t="s">
        <v>16</v>
      </c>
      <c r="E2044" s="108">
        <v>43600</v>
      </c>
      <c r="F2044" s="129">
        <v>44764</v>
      </c>
      <c r="H2044" s="129">
        <v>44764</v>
      </c>
      <c r="I2044" s="108">
        <f t="shared" si="103"/>
        <v>43600</v>
      </c>
      <c r="J2044" s="108" t="str">
        <f>IF(Таблица97[[#This Row],[НК]]=1,Таблица97[[#This Row],[Продажа]],"")</f>
        <v/>
      </c>
      <c r="M2044" s="108">
        <v>27620</v>
      </c>
      <c r="N2044" s="108">
        <f>Таблица97[[#This Row],[Продажа]]-Таблица97[[#This Row],[Закупка]]</f>
        <v>15980</v>
      </c>
      <c r="O2044" s="108" t="str">
        <f>IF(Таблица97[[#This Row],[НК]]=1,Таблица97[[#This Row],[Маржа]],"")</f>
        <v/>
      </c>
    </row>
    <row r="2045" spans="1:15" ht="20.100000000000001" customHeight="1" x14ac:dyDescent="0.25">
      <c r="A2045" s="2">
        <v>671</v>
      </c>
      <c r="B2045" s="2" t="str">
        <f>TEXT(Таблица97[[#This Row],[Дата]],"ГГ")&amp;RIGHT("000"&amp;Таблица97[[#This Row],[Номер]],4)</f>
        <v>220671</v>
      </c>
      <c r="C2045" s="129">
        <v>44764</v>
      </c>
      <c r="D2045" s="2" t="s">
        <v>16</v>
      </c>
      <c r="E2045" s="108">
        <v>23940</v>
      </c>
      <c r="F2045" s="129">
        <v>44770</v>
      </c>
      <c r="H2045" s="129">
        <v>44785</v>
      </c>
      <c r="I2045" s="108">
        <f t="shared" si="103"/>
        <v>23940</v>
      </c>
      <c r="J2045" s="108" t="str">
        <f>IF(Таблица97[[#This Row],[НК]]=1,Таблица97[[#This Row],[Продажа]],"")</f>
        <v/>
      </c>
      <c r="M2045" s="108">
        <f>9337*2</f>
        <v>18674</v>
      </c>
      <c r="N2045" s="108">
        <f>Таблица97[[#This Row],[Продажа]]-Таблица97[[#This Row],[Закупка]]</f>
        <v>5266</v>
      </c>
      <c r="O2045" s="108" t="str">
        <f>IF(Таблица97[[#This Row],[НК]]=1,Таблица97[[#This Row],[Маржа]],"")</f>
        <v/>
      </c>
    </row>
    <row r="2046" spans="1:15" ht="20.100000000000001" customHeight="1" x14ac:dyDescent="0.25">
      <c r="A2046" s="2">
        <v>551</v>
      </c>
      <c r="B2046" s="2" t="str">
        <f>TEXT(Таблица97[[#This Row],[Дата]],"ГГ")&amp;RIGHT("000"&amp;Таблица97[[#This Row],[Номер]],4)</f>
        <v>220551</v>
      </c>
      <c r="C2046" s="129">
        <v>44733</v>
      </c>
      <c r="D2046" s="2" t="s">
        <v>275</v>
      </c>
      <c r="E2046" s="108">
        <v>2500</v>
      </c>
      <c r="F2046" s="129">
        <v>44774</v>
      </c>
      <c r="H2046" s="129">
        <v>44741</v>
      </c>
      <c r="I2046" s="108">
        <f t="shared" ref="I2046:I2053" si="105">E2046</f>
        <v>2500</v>
      </c>
      <c r="J2046" s="108" t="str">
        <f>IF(Таблица97[[#This Row],[НК]]=1,Таблица97[[#This Row],[Продажа]],"")</f>
        <v/>
      </c>
      <c r="M2046" s="108">
        <v>1391</v>
      </c>
      <c r="N2046" s="108">
        <f>Таблица97[[#This Row],[Продажа]]-Таблица97[[#This Row],[Закупка]]</f>
        <v>1109</v>
      </c>
      <c r="O2046" s="108" t="str">
        <f>IF(Таблица97[[#This Row],[НК]]=1,Таблица97[[#This Row],[Маржа]],"")</f>
        <v/>
      </c>
    </row>
    <row r="2047" spans="1:15" ht="20.100000000000001" customHeight="1" x14ac:dyDescent="0.25">
      <c r="A2047" s="2">
        <v>712</v>
      </c>
      <c r="B2047" s="2" t="str">
        <f>TEXT(Таблица97[[#This Row],[Дата]],"ГГ")&amp;RIGHT("000"&amp;Таблица97[[#This Row],[Номер]],4)</f>
        <v>220712</v>
      </c>
      <c r="C2047" s="129">
        <v>44775</v>
      </c>
      <c r="D2047" s="2" t="s">
        <v>14</v>
      </c>
      <c r="E2047" s="108">
        <v>9860</v>
      </c>
      <c r="F2047" s="129">
        <v>44775</v>
      </c>
      <c r="H2047" s="129">
        <v>44776</v>
      </c>
      <c r="I2047" s="108">
        <f t="shared" si="105"/>
        <v>9860</v>
      </c>
      <c r="J2047" s="108" t="str">
        <f>IF(Таблица97[[#This Row],[НК]]=1,Таблица97[[#This Row],[Продажа]],"")</f>
        <v/>
      </c>
      <c r="M2047" s="108">
        <f>4053.13*2</f>
        <v>8106.26</v>
      </c>
      <c r="N2047" s="108">
        <f>Таблица97[[#This Row],[Продажа]]-Таблица97[[#This Row],[Закупка]]</f>
        <v>1753.7399999999998</v>
      </c>
      <c r="O2047" s="108" t="str">
        <f>IF(Таблица97[[#This Row],[НК]]=1,Таблица97[[#This Row],[Маржа]],"")</f>
        <v/>
      </c>
    </row>
    <row r="2048" spans="1:15" ht="20.100000000000001" customHeight="1" x14ac:dyDescent="0.25">
      <c r="A2048" s="2">
        <v>713</v>
      </c>
      <c r="B2048" s="2" t="str">
        <f>TEXT(Таблица97[[#This Row],[Дата]],"ГГ")&amp;RIGHT("000"&amp;Таблица97[[#This Row],[Номер]],4)</f>
        <v>220713</v>
      </c>
      <c r="C2048" s="129">
        <v>44775</v>
      </c>
      <c r="D2048" s="2" t="s">
        <v>14</v>
      </c>
      <c r="E2048" s="108">
        <v>2180</v>
      </c>
      <c r="F2048" s="129">
        <v>44775</v>
      </c>
      <c r="H2048" s="129">
        <v>44776</v>
      </c>
      <c r="I2048" s="108">
        <f t="shared" si="105"/>
        <v>2180</v>
      </c>
      <c r="J2048" s="108" t="str">
        <f>IF(Таблица97[[#This Row],[НК]]=1,Таблица97[[#This Row],[Продажа]],"")</f>
        <v/>
      </c>
      <c r="M2048" s="108">
        <f>951*2</f>
        <v>1902</v>
      </c>
      <c r="N2048" s="108">
        <f>Таблица97[[#This Row],[Продажа]]-Таблица97[[#This Row],[Закупка]]</f>
        <v>278</v>
      </c>
      <c r="O2048" s="108" t="str">
        <f>IF(Таблица97[[#This Row],[НК]]=1,Таблица97[[#This Row],[Маржа]],"")</f>
        <v/>
      </c>
    </row>
    <row r="2049" spans="1:15" ht="20.100000000000001" customHeight="1" x14ac:dyDescent="0.25">
      <c r="A2049" s="2">
        <v>715</v>
      </c>
      <c r="B2049" s="2" t="str">
        <f>TEXT(Таблица97[[#This Row],[Дата]],"ГГ")&amp;RIGHT("000"&amp;Таблица97[[#This Row],[Номер]],4)</f>
        <v>220715</v>
      </c>
      <c r="C2049" s="129">
        <v>44775</v>
      </c>
      <c r="D2049" s="2" t="s">
        <v>77</v>
      </c>
      <c r="E2049" s="108">
        <v>7200</v>
      </c>
      <c r="F2049" s="129">
        <v>44777</v>
      </c>
      <c r="H2049" s="129">
        <v>44778</v>
      </c>
      <c r="I2049" s="108">
        <f t="shared" si="105"/>
        <v>7200</v>
      </c>
      <c r="J2049" s="108" t="str">
        <f>IF(Таблица97[[#This Row],[НК]]=1,Таблица97[[#This Row],[Продажа]],"")</f>
        <v/>
      </c>
      <c r="M2049" s="108">
        <f>1641*3</f>
        <v>4923</v>
      </c>
      <c r="N2049" s="108">
        <f>Таблица97[[#This Row],[Продажа]]-Таблица97[[#This Row],[Закупка]]</f>
        <v>2277</v>
      </c>
      <c r="O2049" s="108" t="str">
        <f>IF(Таблица97[[#This Row],[НК]]=1,Таблица97[[#This Row],[Маржа]],"")</f>
        <v/>
      </c>
    </row>
    <row r="2050" spans="1:15" ht="20.100000000000001" customHeight="1" x14ac:dyDescent="0.25">
      <c r="A2050" s="2">
        <v>723</v>
      </c>
      <c r="B2050" s="2" t="str">
        <f>TEXT(Таблица97[[#This Row],[Дата]],"ГГ")&amp;RIGHT("000"&amp;Таблица97[[#This Row],[Номер]],4)</f>
        <v>220723</v>
      </c>
      <c r="C2050" s="129">
        <v>44776</v>
      </c>
      <c r="D2050" s="2" t="s">
        <v>523</v>
      </c>
      <c r="E2050" s="108">
        <v>4930</v>
      </c>
      <c r="F2050" s="129">
        <v>44781</v>
      </c>
      <c r="H2050" s="129">
        <v>44782</v>
      </c>
      <c r="I2050" s="108">
        <f t="shared" si="105"/>
        <v>4930</v>
      </c>
      <c r="J2050" s="108" t="str">
        <f>IF(Таблица97[[#This Row],[НК]]=1,Таблица97[[#This Row],[Продажа]],"")</f>
        <v/>
      </c>
      <c r="M2050" s="108">
        <v>4286</v>
      </c>
      <c r="N2050" s="108">
        <f>Таблица97[[#This Row],[Продажа]]-Таблица97[[#This Row],[Закупка]]</f>
        <v>644</v>
      </c>
      <c r="O2050" s="108" t="str">
        <f>IF(Таблица97[[#This Row],[НК]]=1,Таблица97[[#This Row],[Маржа]],"")</f>
        <v/>
      </c>
    </row>
    <row r="2051" spans="1:15" ht="20.100000000000001" customHeight="1" x14ac:dyDescent="0.25">
      <c r="A2051" s="2">
        <v>668</v>
      </c>
      <c r="B2051" s="2" t="str">
        <f>TEXT(Таблица97[[#This Row],[Дата]],"ГГ")&amp;RIGHT("000"&amp;Таблица97[[#This Row],[Номер]],4)</f>
        <v>220668</v>
      </c>
      <c r="C2051" s="129">
        <v>44734</v>
      </c>
      <c r="D2051" s="2" t="s">
        <v>13</v>
      </c>
      <c r="E2051" s="108">
        <v>26750</v>
      </c>
      <c r="F2051" s="129">
        <v>44781</v>
      </c>
      <c r="H2051" s="129">
        <v>44764</v>
      </c>
      <c r="I2051" s="108">
        <f t="shared" si="105"/>
        <v>26750</v>
      </c>
      <c r="J2051" s="108" t="str">
        <f>IF(Таблица97[[#This Row],[НК]]=1,Таблица97[[#This Row],[Продажа]],"")</f>
        <v/>
      </c>
      <c r="M2051" s="108">
        <v>17915</v>
      </c>
      <c r="N2051" s="108">
        <f>Таблица97[[#This Row],[Продажа]]-Таблица97[[#This Row],[Закупка]]</f>
        <v>8835</v>
      </c>
      <c r="O2051" s="108" t="str">
        <f>IF(Таблица97[[#This Row],[НК]]=1,Таблица97[[#This Row],[Маржа]],"")</f>
        <v/>
      </c>
    </row>
    <row r="2052" spans="1:15" ht="20.100000000000001" customHeight="1" x14ac:dyDescent="0.25">
      <c r="A2052" s="2">
        <v>1314</v>
      </c>
      <c r="B2052" s="2" t="str">
        <f>TEXT(Таблица97[[#This Row],[Дата]],"ГГ")&amp;RIGHT("000"&amp;Таблица97[[#This Row],[Номер]],4)</f>
        <v>221314</v>
      </c>
      <c r="C2052" s="129">
        <v>44923</v>
      </c>
      <c r="D2052" s="2" t="s">
        <v>13</v>
      </c>
      <c r="E2052" s="108">
        <v>310040</v>
      </c>
      <c r="F2052" s="129">
        <v>44781</v>
      </c>
      <c r="H2052" s="129">
        <v>44764</v>
      </c>
      <c r="I2052" s="108">
        <v>13995</v>
      </c>
      <c r="J2052" s="108" t="str">
        <f>IF(Таблица97[[#This Row],[НК]]=1,Таблица97[[#This Row],[Продажа]],"")</f>
        <v/>
      </c>
      <c r="M2052" s="108">
        <v>11715</v>
      </c>
      <c r="N2052" s="108">
        <f>Таблица97[[#This Row],[Продажа]]-Таблица97[[#This Row],[Закупка]]</f>
        <v>2280</v>
      </c>
      <c r="O2052" s="108" t="str">
        <f>IF(Таблица97[[#This Row],[НК]]=1,Таблица97[[#This Row],[Маржа]],"")</f>
        <v/>
      </c>
    </row>
    <row r="2053" spans="1:15" ht="20.100000000000001" customHeight="1" x14ac:dyDescent="0.25">
      <c r="A2053" s="2">
        <v>738</v>
      </c>
      <c r="B2053" s="2" t="str">
        <f>TEXT(Таблица97[[#This Row],[Дата]],"ГГ")&amp;RIGHT("000"&amp;Таблица97[[#This Row],[Номер]],4)</f>
        <v>220738</v>
      </c>
      <c r="C2053" s="129">
        <v>44781</v>
      </c>
      <c r="D2053" s="2" t="s">
        <v>404</v>
      </c>
      <c r="E2053" s="108">
        <v>10520</v>
      </c>
      <c r="F2053" s="129">
        <v>44781</v>
      </c>
      <c r="H2053" s="129">
        <v>44782</v>
      </c>
      <c r="I2053" s="108">
        <f t="shared" si="105"/>
        <v>10520</v>
      </c>
      <c r="J2053" s="108" t="str">
        <f>IF(Таблица97[[#This Row],[НК]]=1,Таблица97[[#This Row],[Продажа]],"")</f>
        <v/>
      </c>
      <c r="M2053" s="108">
        <f>1753*4</f>
        <v>7012</v>
      </c>
      <c r="N2053" s="108">
        <f>Таблица97[[#This Row],[Продажа]]-Таблица97[[#This Row],[Закупка]]</f>
        <v>3508</v>
      </c>
      <c r="O2053" s="108" t="str">
        <f>IF(Таблица97[[#This Row],[НК]]=1,Таблица97[[#This Row],[Маржа]],"")</f>
        <v/>
      </c>
    </row>
    <row r="2054" spans="1:15" ht="20.100000000000001" customHeight="1" x14ac:dyDescent="0.25">
      <c r="A2054" s="2">
        <v>729</v>
      </c>
      <c r="B2054" s="2" t="str">
        <f>TEXT(Таблица97[[#This Row],[Дата]],"ГГ")&amp;RIGHT("000"&amp;Таблица97[[#This Row],[Номер]],4)</f>
        <v>220729</v>
      </c>
      <c r="C2054" s="129">
        <v>44777</v>
      </c>
      <c r="D2054" s="2" t="s">
        <v>520</v>
      </c>
      <c r="E2054" s="108">
        <v>700701</v>
      </c>
      <c r="F2054" s="129">
        <v>44784</v>
      </c>
      <c r="H2054" s="129">
        <v>44788</v>
      </c>
      <c r="I2054" s="108">
        <f>E2054/2</f>
        <v>350350.5</v>
      </c>
      <c r="J2054" s="108" t="str">
        <f>IF(Таблица97[[#This Row],[НК]]=1,Таблица97[[#This Row],[Продажа]],"")</f>
        <v/>
      </c>
      <c r="M2054" s="108">
        <v>208525</v>
      </c>
      <c r="N2054" s="108">
        <f>Таблица97[[#This Row],[Продажа]]-Таблица97[[#This Row],[Закупка]]</f>
        <v>141825.5</v>
      </c>
      <c r="O2054" s="108" t="str">
        <f>IF(Таблица97[[#This Row],[НК]]=1,Таблица97[[#This Row],[Маржа]],"")</f>
        <v/>
      </c>
    </row>
    <row r="2055" spans="1:15" ht="20.100000000000001" customHeight="1" x14ac:dyDescent="0.25">
      <c r="A2055" s="2">
        <v>757</v>
      </c>
      <c r="B2055" s="2" t="str">
        <f>TEXT(Таблица97[[#This Row],[Дата]],"ГГ")&amp;RIGHT("000"&amp;Таблица97[[#This Row],[Номер]],4)</f>
        <v>220757</v>
      </c>
      <c r="C2055" s="129">
        <v>44785</v>
      </c>
      <c r="D2055" s="2" t="s">
        <v>524</v>
      </c>
      <c r="E2055" s="108">
        <v>77890</v>
      </c>
      <c r="F2055" s="129">
        <v>44788</v>
      </c>
      <c r="G2055" s="128">
        <v>1</v>
      </c>
      <c r="H2055" s="129">
        <v>44790</v>
      </c>
      <c r="I2055" s="108">
        <f>E2055</f>
        <v>77890</v>
      </c>
      <c r="J2055" s="108">
        <f>IF(Таблица97[[#This Row],[НК]]=1,Таблица97[[#This Row],[Продажа]],"")</f>
        <v>77890</v>
      </c>
      <c r="M2055" s="108">
        <v>57638</v>
      </c>
      <c r="N2055" s="108">
        <f>Таблица97[[#This Row],[Продажа]]-Таблица97[[#This Row],[Закупка]]</f>
        <v>20252</v>
      </c>
      <c r="O2055" s="108">
        <f>IF(Таблица97[[#This Row],[НК]]=1,Таблица97[[#This Row],[Маржа]],"")</f>
        <v>20252</v>
      </c>
    </row>
    <row r="2056" spans="1:15" ht="20.100000000000001" customHeight="1" x14ac:dyDescent="0.25">
      <c r="A2056" s="2">
        <v>778</v>
      </c>
      <c r="B2056" s="2" t="str">
        <f>TEXT(Таблица97[[#This Row],[Дата]],"ГГ")&amp;RIGHT("000"&amp;Таблица97[[#This Row],[Номер]],4)</f>
        <v>220778</v>
      </c>
      <c r="C2056" s="129">
        <v>44790</v>
      </c>
      <c r="D2056" s="2" t="s">
        <v>470</v>
      </c>
      <c r="E2056" s="108">
        <v>16070</v>
      </c>
      <c r="F2056" s="129">
        <v>44790</v>
      </c>
      <c r="H2056" s="129">
        <v>44797</v>
      </c>
      <c r="I2056" s="108">
        <f>E2056</f>
        <v>16070</v>
      </c>
      <c r="J2056" s="108" t="str">
        <f>IF(Таблица97[[#This Row],[НК]]=1,Таблица97[[#This Row],[Продажа]],"")</f>
        <v/>
      </c>
      <c r="M2056" s="108">
        <f>3900+3525+1209</f>
        <v>8634</v>
      </c>
      <c r="N2056" s="108">
        <f>Таблица97[[#This Row],[Продажа]]-Таблица97[[#This Row],[Закупка]]</f>
        <v>7436</v>
      </c>
      <c r="O2056" s="108" t="str">
        <f>IF(Таблица97[[#This Row],[НК]]=1,Таблица97[[#This Row],[Маржа]],"")</f>
        <v/>
      </c>
    </row>
    <row r="2057" spans="1:15" ht="20.100000000000001" customHeight="1" x14ac:dyDescent="0.25">
      <c r="A2057" s="2">
        <v>781</v>
      </c>
      <c r="B2057" s="2" t="str">
        <f>TEXT(Таблица97[[#This Row],[Дата]],"ГГ")&amp;RIGHT("000"&amp;Таблица97[[#This Row],[Номер]],4)</f>
        <v>220781</v>
      </c>
      <c r="C2057" s="129">
        <v>44790</v>
      </c>
      <c r="D2057" s="2" t="s">
        <v>372</v>
      </c>
      <c r="E2057" s="108">
        <v>8100</v>
      </c>
      <c r="F2057" s="129">
        <v>44791</v>
      </c>
      <c r="H2057" s="129">
        <v>44792</v>
      </c>
      <c r="I2057" s="108">
        <f>E2057</f>
        <v>8100</v>
      </c>
      <c r="J2057" s="108" t="str">
        <f>IF(Таблица97[[#This Row],[НК]]=1,Таблица97[[#This Row],[Продажа]],"")</f>
        <v/>
      </c>
      <c r="M2057" s="108">
        <f>3179.19*2</f>
        <v>6358.38</v>
      </c>
      <c r="N2057" s="108">
        <f>Таблица97[[#This Row],[Продажа]]-Таблица97[[#This Row],[Закупка]]</f>
        <v>1741.62</v>
      </c>
      <c r="O2057" s="108" t="str">
        <f>IF(Таблица97[[#This Row],[НК]]=1,Таблица97[[#This Row],[Маржа]],"")</f>
        <v/>
      </c>
    </row>
    <row r="2058" spans="1:15" ht="20.100000000000001" customHeight="1" x14ac:dyDescent="0.25">
      <c r="A2058" s="2">
        <v>729</v>
      </c>
      <c r="B2058" s="2" t="str">
        <f>TEXT(Таблица97[[#This Row],[Дата]],"ГГ")&amp;RIGHT("000"&amp;Таблица97[[#This Row],[Номер]],4)</f>
        <v>220729</v>
      </c>
      <c r="C2058" s="129">
        <v>44777</v>
      </c>
      <c r="D2058" s="2" t="s">
        <v>520</v>
      </c>
      <c r="E2058" s="108">
        <v>700701</v>
      </c>
      <c r="F2058" s="129">
        <v>44791</v>
      </c>
      <c r="H2058" s="129">
        <v>44788</v>
      </c>
      <c r="I2058" s="108">
        <f>E2058/2</f>
        <v>350350.5</v>
      </c>
      <c r="J2058" s="108" t="str">
        <f>IF(Таблица97[[#This Row],[НК]]=1,Таблица97[[#This Row],[Продажа]],"")</f>
        <v/>
      </c>
      <c r="M2058" s="108">
        <v>208523</v>
      </c>
      <c r="N2058" s="108">
        <f>Таблица97[[#This Row],[Продажа]]-Таблица97[[#This Row],[Закупка]]</f>
        <v>141827.5</v>
      </c>
      <c r="O2058" s="108" t="str">
        <f>IF(Таблица97[[#This Row],[НК]]=1,Таблица97[[#This Row],[Маржа]],"")</f>
        <v/>
      </c>
    </row>
    <row r="2059" spans="1:15" ht="20.100000000000001" customHeight="1" x14ac:dyDescent="0.25">
      <c r="A2059" s="2">
        <v>776</v>
      </c>
      <c r="B2059" s="2" t="str">
        <f>TEXT(Таблица97[[#This Row],[Дата]],"ГГ")&amp;RIGHT("000"&amp;Таблица97[[#This Row],[Номер]],4)</f>
        <v>220776</v>
      </c>
      <c r="C2059" s="129">
        <v>44790</v>
      </c>
      <c r="D2059" s="2" t="s">
        <v>149</v>
      </c>
      <c r="E2059" s="108">
        <v>4520</v>
      </c>
      <c r="F2059" s="129">
        <v>44792</v>
      </c>
      <c r="H2059" s="129">
        <v>44795</v>
      </c>
      <c r="I2059" s="108">
        <f t="shared" ref="I2059:I2072" si="106">E2059</f>
        <v>4520</v>
      </c>
      <c r="J2059" s="108" t="str">
        <f>IF(Таблица97[[#This Row],[НК]]=1,Таблица97[[#This Row],[Продажа]],"")</f>
        <v/>
      </c>
      <c r="M2059" s="108">
        <v>3525</v>
      </c>
      <c r="N2059" s="108">
        <f>Таблица97[[#This Row],[Продажа]]-Таблица97[[#This Row],[Закупка]]</f>
        <v>995</v>
      </c>
      <c r="O2059" s="108" t="str">
        <f>IF(Таблица97[[#This Row],[НК]]=1,Таблица97[[#This Row],[Маржа]],"")</f>
        <v/>
      </c>
    </row>
    <row r="2060" spans="1:15" ht="20.100000000000001" customHeight="1" x14ac:dyDescent="0.25">
      <c r="A2060" s="2">
        <v>777</v>
      </c>
      <c r="B2060" s="2" t="str">
        <f>TEXT(Таблица97[[#This Row],[Дата]],"ГГ")&amp;RIGHT("000"&amp;Таблица97[[#This Row],[Номер]],4)</f>
        <v>220777</v>
      </c>
      <c r="C2060" s="129">
        <v>44790</v>
      </c>
      <c r="D2060" s="2" t="s">
        <v>69</v>
      </c>
      <c r="E2060" s="108">
        <v>22380</v>
      </c>
      <c r="F2060" s="129">
        <v>44792</v>
      </c>
      <c r="H2060" s="129">
        <v>44824</v>
      </c>
      <c r="I2060" s="108">
        <f t="shared" si="106"/>
        <v>22380</v>
      </c>
      <c r="J2060" s="108" t="str">
        <f>IF(Таблица97[[#This Row],[НК]]=1,Таблица97[[#This Row],[Продажа]],"")</f>
        <v/>
      </c>
      <c r="M2060" s="108">
        <v>17456</v>
      </c>
      <c r="N2060" s="108">
        <f>Таблица97[[#This Row],[Продажа]]-Таблица97[[#This Row],[Закупка]]</f>
        <v>4924</v>
      </c>
      <c r="O2060" s="108" t="str">
        <f>IF(Таблица97[[#This Row],[НК]]=1,Таблица97[[#This Row],[Маржа]],"")</f>
        <v/>
      </c>
    </row>
    <row r="2061" spans="1:15" ht="20.100000000000001" customHeight="1" x14ac:dyDescent="0.25">
      <c r="A2061" s="2">
        <v>779</v>
      </c>
      <c r="B2061" s="2" t="str">
        <f>TEXT(Таблица97[[#This Row],[Дата]],"ГГ")&amp;RIGHT("000"&amp;Таблица97[[#This Row],[Номер]],4)</f>
        <v>220779</v>
      </c>
      <c r="C2061" s="129">
        <v>44790</v>
      </c>
      <c r="D2061" s="2" t="s">
        <v>524</v>
      </c>
      <c r="E2061" s="108">
        <v>3590</v>
      </c>
      <c r="F2061" s="129">
        <v>44792</v>
      </c>
      <c r="G2061" s="128">
        <v>1</v>
      </c>
      <c r="H2061" s="129">
        <v>44798</v>
      </c>
      <c r="I2061" s="108">
        <f t="shared" si="106"/>
        <v>3590</v>
      </c>
      <c r="J2061" s="108">
        <f>IF(Таблица97[[#This Row],[НК]]=1,Таблица97[[#This Row],[Продажа]],"")</f>
        <v>3590</v>
      </c>
      <c r="M2061" s="108">
        <v>2524.5</v>
      </c>
      <c r="N2061" s="108">
        <f>Таблица97[[#This Row],[Продажа]]-Таблица97[[#This Row],[Закупка]]</f>
        <v>1065.5</v>
      </c>
      <c r="O2061" s="108">
        <f>IF(Таблица97[[#This Row],[НК]]=1,Таблица97[[#This Row],[Маржа]],"")</f>
        <v>1065.5</v>
      </c>
    </row>
    <row r="2062" spans="1:15" ht="20.100000000000001" customHeight="1" x14ac:dyDescent="0.25">
      <c r="A2062" s="2">
        <v>773</v>
      </c>
      <c r="B2062" s="2" t="str">
        <f>TEXT(Таблица97[[#This Row],[Дата]],"ГГ")&amp;RIGHT("000"&amp;Таблица97[[#This Row],[Номер]],4)</f>
        <v>220773</v>
      </c>
      <c r="C2062" s="129">
        <v>44790</v>
      </c>
      <c r="D2062" s="2" t="s">
        <v>515</v>
      </c>
      <c r="E2062" s="108">
        <v>15400</v>
      </c>
      <c r="F2062" s="129">
        <v>44796</v>
      </c>
      <c r="H2062" s="129">
        <v>44837</v>
      </c>
      <c r="I2062" s="108">
        <f t="shared" si="106"/>
        <v>15400</v>
      </c>
      <c r="J2062" s="108" t="str">
        <f>IF(Таблица97[[#This Row],[НК]]=1,Таблица97[[#This Row],[Продажа]],"")</f>
        <v/>
      </c>
      <c r="M2062" s="108">
        <f>6775*2</f>
        <v>13550</v>
      </c>
      <c r="N2062" s="108">
        <f>Таблица97[[#This Row],[Продажа]]-Таблица97[[#This Row],[Закупка]]</f>
        <v>1850</v>
      </c>
      <c r="O2062" s="108" t="str">
        <f>IF(Таблица97[[#This Row],[НК]]=1,Таблица97[[#This Row],[Маржа]],"")</f>
        <v/>
      </c>
    </row>
    <row r="2063" spans="1:15" ht="20.100000000000001" customHeight="1" x14ac:dyDescent="0.25">
      <c r="A2063" s="2">
        <v>667</v>
      </c>
      <c r="B2063" s="2" t="str">
        <f>TEXT(Таблица97[[#This Row],[Дата]],"ГГ")&amp;RIGHT("000"&amp;Таблица97[[#This Row],[Номер]],4)</f>
        <v>220667</v>
      </c>
      <c r="C2063" s="129">
        <v>44796</v>
      </c>
      <c r="D2063" s="2" t="s">
        <v>525</v>
      </c>
      <c r="E2063" s="108">
        <v>367686</v>
      </c>
      <c r="F2063" s="129">
        <v>44796</v>
      </c>
      <c r="H2063" s="129">
        <v>44845</v>
      </c>
      <c r="I2063" s="108">
        <f t="shared" si="106"/>
        <v>367686</v>
      </c>
      <c r="J2063" s="108" t="str">
        <f>IF(Таблица97[[#This Row],[НК]]=1,Таблица97[[#This Row],[Продажа]],"")</f>
        <v/>
      </c>
      <c r="M2063" s="108">
        <v>268407</v>
      </c>
      <c r="N2063" s="108">
        <f>Таблица97[[#This Row],[Продажа]]-Таблица97[[#This Row],[Закупка]]</f>
        <v>99279</v>
      </c>
      <c r="O2063" s="108" t="str">
        <f>IF(Таблица97[[#This Row],[НК]]=1,Таблица97[[#This Row],[Маржа]],"")</f>
        <v/>
      </c>
    </row>
    <row r="2064" spans="1:15" ht="20.100000000000001" customHeight="1" x14ac:dyDescent="0.25">
      <c r="A2064" s="2">
        <v>792</v>
      </c>
      <c r="B2064" s="2" t="str">
        <f>TEXT(Таблица97[[#This Row],[Дата]],"ГГ")&amp;RIGHT("000"&amp;Таблица97[[#This Row],[Номер]],4)</f>
        <v>220792</v>
      </c>
      <c r="C2064" s="129">
        <v>44795</v>
      </c>
      <c r="D2064" s="2" t="s">
        <v>396</v>
      </c>
      <c r="E2064" s="108">
        <v>18790</v>
      </c>
      <c r="F2064" s="129">
        <v>44797</v>
      </c>
      <c r="H2064" s="129">
        <v>44823</v>
      </c>
      <c r="I2064" s="108">
        <f t="shared" si="106"/>
        <v>18790</v>
      </c>
      <c r="J2064" s="108" t="str">
        <f>IF(Таблица97[[#This Row],[НК]]=1,Таблица97[[#This Row],[Продажа]],"")</f>
        <v/>
      </c>
      <c r="M2064" s="108">
        <v>13810</v>
      </c>
      <c r="N2064" s="108">
        <f>Таблица97[[#This Row],[Продажа]]-Таблица97[[#This Row],[Закупка]]</f>
        <v>4980</v>
      </c>
      <c r="O2064" s="108" t="str">
        <f>IF(Таблица97[[#This Row],[НК]]=1,Таблица97[[#This Row],[Маржа]],"")</f>
        <v/>
      </c>
    </row>
    <row r="2065" spans="1:15" ht="20.100000000000001" customHeight="1" x14ac:dyDescent="0.25">
      <c r="A2065" s="2">
        <v>793</v>
      </c>
      <c r="B2065" s="2" t="str">
        <f>TEXT(Таблица97[[#This Row],[Дата]],"ГГ")&amp;RIGHT("000"&amp;Таблица97[[#This Row],[Номер]],4)</f>
        <v>220793</v>
      </c>
      <c r="C2065" s="129">
        <v>44795</v>
      </c>
      <c r="D2065" s="2" t="s">
        <v>287</v>
      </c>
      <c r="E2065" s="108">
        <v>1000</v>
      </c>
      <c r="F2065" s="129">
        <v>44797</v>
      </c>
      <c r="H2065" s="129">
        <v>44798</v>
      </c>
      <c r="I2065" s="108">
        <f t="shared" si="106"/>
        <v>1000</v>
      </c>
      <c r="J2065" s="108" t="str">
        <f>IF(Таблица97[[#This Row],[НК]]=1,Таблица97[[#This Row],[Продажа]],"")</f>
        <v/>
      </c>
      <c r="M2065" s="108">
        <v>390</v>
      </c>
      <c r="N2065" s="108">
        <f>Таблица97[[#This Row],[Продажа]]-Таблица97[[#This Row],[Закупка]]</f>
        <v>610</v>
      </c>
      <c r="O2065" s="108" t="str">
        <f>IF(Таблица97[[#This Row],[НК]]=1,Таблица97[[#This Row],[Маржа]],"")</f>
        <v/>
      </c>
    </row>
    <row r="2066" spans="1:15" ht="20.100000000000001" customHeight="1" x14ac:dyDescent="0.25">
      <c r="A2066" s="2">
        <v>686</v>
      </c>
      <c r="B2066" s="2" t="str">
        <f>TEXT(Таблица97[[#This Row],[Дата]],"ГГ")&amp;RIGHT("000"&amp;Таблица97[[#This Row],[Номер]],4)</f>
        <v>220686</v>
      </c>
      <c r="C2066" s="129">
        <v>44782</v>
      </c>
      <c r="D2066" s="2" t="s">
        <v>11</v>
      </c>
      <c r="E2066" s="108">
        <v>1038</v>
      </c>
      <c r="F2066" s="129">
        <v>44798</v>
      </c>
      <c r="H2066" s="129">
        <v>44790</v>
      </c>
      <c r="I2066" s="108">
        <f t="shared" si="106"/>
        <v>1038</v>
      </c>
      <c r="J2066" s="108" t="str">
        <f>IF(Таблица97[[#This Row],[НК]]=1,Таблица97[[#This Row],[Продажа]],"")</f>
        <v/>
      </c>
      <c r="M2066" s="108">
        <v>749</v>
      </c>
      <c r="N2066" s="108">
        <f>Таблица97[[#This Row],[Продажа]]-Таблица97[[#This Row],[Закупка]]</f>
        <v>289</v>
      </c>
      <c r="O2066" s="108" t="str">
        <f>IF(Таблица97[[#This Row],[НК]]=1,Таблица97[[#This Row],[Маржа]],"")</f>
        <v/>
      </c>
    </row>
    <row r="2067" spans="1:15" ht="20.100000000000001" customHeight="1" x14ac:dyDescent="0.25">
      <c r="A2067" s="2">
        <v>776</v>
      </c>
      <c r="B2067" s="2" t="str">
        <f>TEXT(Таблица97[[#This Row],[Дата]],"ГГ")&amp;RIGHT("000"&amp;Таблица97[[#This Row],[Номер]],4)</f>
        <v>220776</v>
      </c>
      <c r="C2067" s="129">
        <v>44790</v>
      </c>
      <c r="D2067" s="2" t="s">
        <v>149</v>
      </c>
      <c r="E2067" s="108">
        <v>950</v>
      </c>
      <c r="F2067" s="129">
        <v>44798</v>
      </c>
      <c r="H2067" s="129">
        <v>44795</v>
      </c>
      <c r="I2067" s="108">
        <f t="shared" si="106"/>
        <v>950</v>
      </c>
      <c r="J2067" s="108" t="str">
        <f>IF(Таблица97[[#This Row],[НК]]=1,Таблица97[[#This Row],[Продажа]],"")</f>
        <v/>
      </c>
      <c r="M2067" s="108">
        <v>120</v>
      </c>
      <c r="N2067" s="108">
        <f>Таблица97[[#This Row],[Продажа]]-Таблица97[[#This Row],[Закупка]]</f>
        <v>830</v>
      </c>
      <c r="O2067" s="108" t="str">
        <f>IF(Таблица97[[#This Row],[НК]]=1,Таблица97[[#This Row],[Маржа]],"")</f>
        <v/>
      </c>
    </row>
    <row r="2068" spans="1:15" ht="20.100000000000001" customHeight="1" x14ac:dyDescent="0.25">
      <c r="A2068" s="2">
        <v>799</v>
      </c>
      <c r="B2068" s="2" t="str">
        <f>TEXT(Таблица97[[#This Row],[Дата]],"ГГ")&amp;RIGHT("000"&amp;Таблица97[[#This Row],[Номер]],4)</f>
        <v>220799</v>
      </c>
      <c r="C2068" s="129">
        <v>44796</v>
      </c>
      <c r="D2068" s="2" t="s">
        <v>372</v>
      </c>
      <c r="E2068" s="108">
        <v>3630</v>
      </c>
      <c r="F2068" s="129">
        <v>44798</v>
      </c>
      <c r="H2068" s="129">
        <v>44824</v>
      </c>
      <c r="I2068" s="108">
        <f t="shared" si="106"/>
        <v>3630</v>
      </c>
      <c r="J2068" s="108" t="str">
        <f>IF(Таблица97[[#This Row],[НК]]=1,Таблица97[[#This Row],[Продажа]],"")</f>
        <v/>
      </c>
      <c r="M2068" s="108">
        <v>2831</v>
      </c>
      <c r="N2068" s="108">
        <f>Таблица97[[#This Row],[Продажа]]-Таблица97[[#This Row],[Закупка]]</f>
        <v>799</v>
      </c>
      <c r="O2068" s="108" t="str">
        <f>IF(Таблица97[[#This Row],[НК]]=1,Таблица97[[#This Row],[Маржа]],"")</f>
        <v/>
      </c>
    </row>
    <row r="2069" spans="1:15" ht="20.100000000000001" customHeight="1" x14ac:dyDescent="0.25">
      <c r="A2069" s="2">
        <v>795</v>
      </c>
      <c r="B2069" s="2" t="str">
        <f>TEXT(Таблица97[[#This Row],[Дата]],"ГГ")&amp;RIGHT("000"&amp;Таблица97[[#This Row],[Номер]],4)</f>
        <v>220795</v>
      </c>
      <c r="C2069" s="129">
        <v>44795</v>
      </c>
      <c r="D2069" s="2" t="s">
        <v>520</v>
      </c>
      <c r="E2069" s="108">
        <v>44600</v>
      </c>
      <c r="F2069" s="129">
        <v>44798</v>
      </c>
      <c r="H2069" s="129">
        <v>44825</v>
      </c>
      <c r="I2069" s="108">
        <f t="shared" si="106"/>
        <v>44600</v>
      </c>
      <c r="J2069" s="108" t="str">
        <f>IF(Таблица97[[#This Row],[НК]]=1,Таблица97[[#This Row],[Продажа]],"")</f>
        <v/>
      </c>
      <c r="M2069" s="108">
        <f>8697*4</f>
        <v>34788</v>
      </c>
      <c r="N2069" s="108">
        <f>Таблица97[[#This Row],[Продажа]]-Таблица97[[#This Row],[Закупка]]</f>
        <v>9812</v>
      </c>
      <c r="O2069" s="108" t="str">
        <f>IF(Таблица97[[#This Row],[НК]]=1,Таблица97[[#This Row],[Маржа]],"")</f>
        <v/>
      </c>
    </row>
    <row r="2070" spans="1:15" ht="20.100000000000001" customHeight="1" x14ac:dyDescent="0.25">
      <c r="A2070" s="2">
        <v>788</v>
      </c>
      <c r="B2070" s="2" t="str">
        <f>TEXT(Таблица97[[#This Row],[Дата]],"ГГ")&amp;RIGHT("000"&amp;Таблица97[[#This Row],[Номер]],4)</f>
        <v>220788</v>
      </c>
      <c r="C2070" s="129">
        <v>44795</v>
      </c>
      <c r="D2070" s="2" t="s">
        <v>186</v>
      </c>
      <c r="E2070" s="108">
        <v>6560</v>
      </c>
      <c r="F2070" s="129">
        <v>44799</v>
      </c>
      <c r="H2070" s="129">
        <v>44810</v>
      </c>
      <c r="I2070" s="108">
        <f t="shared" si="106"/>
        <v>6560</v>
      </c>
      <c r="J2070" s="108" t="str">
        <f>IF(Таблица97[[#This Row],[НК]]=1,Таблица97[[#This Row],[Продажа]],"")</f>
        <v/>
      </c>
      <c r="M2070" s="108">
        <f t="shared" ref="M2070" si="107">I2070</f>
        <v>6560</v>
      </c>
      <c r="N2070" s="108">
        <f>Таблица97[[#This Row],[Продажа]]-Таблица97[[#This Row],[Закупка]]</f>
        <v>0</v>
      </c>
      <c r="O2070" s="108" t="str">
        <f>IF(Таблица97[[#This Row],[НК]]=1,Таблица97[[#This Row],[Маржа]],"")</f>
        <v/>
      </c>
    </row>
    <row r="2071" spans="1:15" ht="20.100000000000001" customHeight="1" x14ac:dyDescent="0.25">
      <c r="A2071" s="2">
        <v>391</v>
      </c>
      <c r="B2071" s="2" t="str">
        <f>TEXT(Таблица97[[#This Row],[Дата]],"ГГ")&amp;RIGHT("000"&amp;Таблица97[[#This Row],[Номер]],4)</f>
        <v>220391</v>
      </c>
      <c r="C2071" s="129">
        <v>44698</v>
      </c>
      <c r="D2071" s="2" t="s">
        <v>56</v>
      </c>
      <c r="E2071" s="108">
        <v>79620</v>
      </c>
      <c r="F2071" s="129">
        <v>44799</v>
      </c>
      <c r="H2071" s="129">
        <v>44768</v>
      </c>
      <c r="I2071" s="108">
        <f t="shared" si="106"/>
        <v>79620</v>
      </c>
      <c r="J2071" s="108" t="str">
        <f>IF(Таблица97[[#This Row],[НК]]=1,Таблица97[[#This Row],[Продажа]],"")</f>
        <v/>
      </c>
      <c r="M2071" s="108">
        <v>39817.54</v>
      </c>
      <c r="N2071" s="108">
        <f>Таблица97[[#This Row],[Продажа]]-Таблица97[[#This Row],[Закупка]]</f>
        <v>39802.46</v>
      </c>
      <c r="O2071" s="108" t="str">
        <f>IF(Таблица97[[#This Row],[НК]]=1,Таблица97[[#This Row],[Маржа]],"")</f>
        <v/>
      </c>
    </row>
    <row r="2072" spans="1:15" ht="20.100000000000001" customHeight="1" x14ac:dyDescent="0.25">
      <c r="A2072" s="2">
        <v>532</v>
      </c>
      <c r="B2072" s="2" t="str">
        <f>TEXT(Таблица97[[#This Row],[Дата]],"ГГ")&amp;RIGHT("000"&amp;Таблица97[[#This Row],[Номер]],4)</f>
        <v>220532</v>
      </c>
      <c r="C2072" s="129">
        <v>44729</v>
      </c>
      <c r="D2072" s="2" t="s">
        <v>56</v>
      </c>
      <c r="E2072" s="108">
        <v>81940</v>
      </c>
      <c r="F2072" s="129">
        <v>44799</v>
      </c>
      <c r="H2072" s="129">
        <v>44768</v>
      </c>
      <c r="I2072" s="108">
        <f t="shared" si="106"/>
        <v>81940</v>
      </c>
      <c r="J2072" s="108" t="str">
        <f>IF(Таблица97[[#This Row],[НК]]=1,Таблица97[[#This Row],[Продажа]],"")</f>
        <v/>
      </c>
      <c r="L2072" s="108">
        <v>1200</v>
      </c>
      <c r="M2072" s="108">
        <v>39366.639999999999</v>
      </c>
      <c r="N2072" s="108">
        <f>Таблица97[[#This Row],[Продажа]]-Таблица97[[#This Row],[Закупка]]</f>
        <v>42573.36</v>
      </c>
      <c r="O2072" s="108" t="str">
        <f>IF(Таблица97[[#This Row],[НК]]=1,Таблица97[[#This Row],[Маржа]],"")</f>
        <v/>
      </c>
    </row>
    <row r="2073" spans="1:15" ht="20.100000000000001" customHeight="1" x14ac:dyDescent="0.25">
      <c r="A2073" s="2">
        <v>650</v>
      </c>
      <c r="B2073" s="2" t="str">
        <f>TEXT(Таблица97[[#This Row],[Дата]],"ГГ")&amp;RIGHT("000"&amp;Таблица97[[#This Row],[Номер]],4)</f>
        <v>220650</v>
      </c>
      <c r="C2073" s="129">
        <v>44761</v>
      </c>
      <c r="D2073" s="2" t="s">
        <v>56</v>
      </c>
      <c r="E2073" s="108">
        <v>6970</v>
      </c>
      <c r="F2073" s="129">
        <v>44799</v>
      </c>
      <c r="H2073" s="129">
        <v>44768</v>
      </c>
      <c r="I2073" s="108">
        <f>E2073</f>
        <v>6970</v>
      </c>
      <c r="J2073" s="108" t="str">
        <f>IF(Таблица97[[#This Row],[НК]]=1,Таблица97[[#This Row],[Продажа]],"")</f>
        <v/>
      </c>
      <c r="M2073" s="108">
        <v>5026.3999999999996</v>
      </c>
      <c r="N2073" s="108">
        <f>Таблица97[[#This Row],[Продажа]]-Таблица97[[#This Row],[Закупка]]</f>
        <v>1943.6000000000004</v>
      </c>
      <c r="O2073" s="108" t="str">
        <f>IF(Таблица97[[#This Row],[НК]]=1,Таблица97[[#This Row],[Маржа]],"")</f>
        <v/>
      </c>
    </row>
    <row r="2074" spans="1:15" ht="20.100000000000001" customHeight="1" x14ac:dyDescent="0.25">
      <c r="A2074" s="2">
        <v>764</v>
      </c>
      <c r="B2074" s="2" t="str">
        <f>TEXT(Таблица97[[#This Row],[Дата]],"ГГ")&amp;RIGHT("000"&amp;Таблица97[[#This Row],[Номер]],4)</f>
        <v>220764</v>
      </c>
      <c r="C2074" s="129">
        <v>44788</v>
      </c>
      <c r="D2074" s="2" t="s">
        <v>60</v>
      </c>
      <c r="E2074" s="108">
        <v>14700</v>
      </c>
      <c r="F2074" s="129">
        <v>44803</v>
      </c>
      <c r="H2074" s="129">
        <v>44789</v>
      </c>
      <c r="I2074" s="108">
        <f>E2074</f>
        <v>14700</v>
      </c>
      <c r="J2074" s="108" t="str">
        <f>IF(Таблица97[[#This Row],[НК]]=1,Таблица97[[#This Row],[Продажа]],"")</f>
        <v/>
      </c>
      <c r="M2074" s="108">
        <f>1692*6</f>
        <v>10152</v>
      </c>
      <c r="N2074" s="108">
        <f>Таблица97[[#This Row],[Продажа]]-Таблица97[[#This Row],[Закупка]]</f>
        <v>4548</v>
      </c>
      <c r="O2074" s="108" t="str">
        <f>IF(Таблица97[[#This Row],[НК]]=1,Таблица97[[#This Row],[Маржа]],"")</f>
        <v/>
      </c>
    </row>
    <row r="2075" spans="1:15" ht="20.100000000000001" customHeight="1" x14ac:dyDescent="0.25">
      <c r="A2075" s="2">
        <v>821</v>
      </c>
      <c r="B2075" s="2" t="str">
        <f>TEXT(Таблица97[[#This Row],[Дата]],"ГГ")&amp;RIGHT("000"&amp;Таблица97[[#This Row],[Номер]],4)</f>
        <v>220821</v>
      </c>
      <c r="C2075" s="129">
        <v>44802</v>
      </c>
      <c r="D2075" s="2" t="s">
        <v>33</v>
      </c>
      <c r="E2075" s="108">
        <v>8720</v>
      </c>
      <c r="F2075" s="129">
        <v>44805</v>
      </c>
      <c r="H2075" s="129">
        <v>44810</v>
      </c>
      <c r="I2075" s="108">
        <f t="shared" ref="I2075:I2086" si="108">E2075</f>
        <v>8720</v>
      </c>
      <c r="J2075" s="108" t="str">
        <f>IF(Таблица97[[#This Row],[НК]]=1,Таблица97[[#This Row],[Продажа]],"")</f>
        <v/>
      </c>
      <c r="M2075" s="108">
        <v>6605.82</v>
      </c>
      <c r="N2075" s="108">
        <f>Таблица97[[#This Row],[Продажа]]-Таблица97[[#This Row],[Закупка]]</f>
        <v>2114.1800000000003</v>
      </c>
      <c r="O2075" s="108" t="str">
        <f>IF(Таблица97[[#This Row],[НК]]=1,Таблица97[[#This Row],[Маржа]],"")</f>
        <v/>
      </c>
    </row>
    <row r="2076" spans="1:15" ht="20.100000000000001" customHeight="1" x14ac:dyDescent="0.25">
      <c r="A2076" s="2">
        <v>824</v>
      </c>
      <c r="B2076" s="2" t="str">
        <f>TEXT(Таблица97[[#This Row],[Дата]],"ГГ")&amp;RIGHT("000"&amp;Таблица97[[#This Row],[Номер]],4)</f>
        <v>220824</v>
      </c>
      <c r="C2076" s="129">
        <v>44803</v>
      </c>
      <c r="D2076" s="2" t="s">
        <v>481</v>
      </c>
      <c r="E2076" s="108">
        <v>7000</v>
      </c>
      <c r="F2076" s="129">
        <v>44806</v>
      </c>
      <c r="H2076" s="129">
        <v>44809</v>
      </c>
      <c r="I2076" s="108">
        <f t="shared" si="108"/>
        <v>7000</v>
      </c>
      <c r="J2076" s="108" t="str">
        <f>IF(Таблица97[[#This Row],[НК]]=1,Таблица97[[#This Row],[Продажа]],"")</f>
        <v/>
      </c>
      <c r="L2076" s="108">
        <v>600</v>
      </c>
      <c r="M2076" s="108">
        <v>2022</v>
      </c>
      <c r="N2076" s="108">
        <f>Таблица97[[#This Row],[Продажа]]-Таблица97[[#This Row],[Закупка]]</f>
        <v>4978</v>
      </c>
      <c r="O2076" s="108" t="str">
        <f>IF(Таблица97[[#This Row],[НК]]=1,Таблица97[[#This Row],[Маржа]],"")</f>
        <v/>
      </c>
    </row>
    <row r="2077" spans="1:15" ht="20.100000000000001" customHeight="1" x14ac:dyDescent="0.25">
      <c r="A2077" s="2">
        <v>831</v>
      </c>
      <c r="B2077" s="2" t="str">
        <f>TEXT(Таблица97[[#This Row],[Дата]],"ГГ")&amp;RIGHT("000"&amp;Таблица97[[#This Row],[Номер]],4)</f>
        <v>220831</v>
      </c>
      <c r="C2077" s="129">
        <v>44805</v>
      </c>
      <c r="D2077" s="2" t="s">
        <v>435</v>
      </c>
      <c r="E2077" s="108">
        <v>5190</v>
      </c>
      <c r="F2077" s="129">
        <v>44809</v>
      </c>
      <c r="H2077" s="129">
        <v>44827</v>
      </c>
      <c r="I2077" s="108">
        <f t="shared" si="108"/>
        <v>5190</v>
      </c>
      <c r="J2077" s="108" t="str">
        <f>IF(Таблица97[[#This Row],[НК]]=1,Таблица97[[#This Row],[Продажа]],"")</f>
        <v/>
      </c>
      <c r="M2077" s="108">
        <v>2558.7199999999998</v>
      </c>
      <c r="N2077" s="108">
        <f>Таблица97[[#This Row],[Продажа]]-Таблица97[[#This Row],[Закупка]]</f>
        <v>2631.28</v>
      </c>
      <c r="O2077" s="108" t="str">
        <f>IF(Таблица97[[#This Row],[НК]]=1,Таблица97[[#This Row],[Маржа]],"")</f>
        <v/>
      </c>
    </row>
    <row r="2078" spans="1:15" ht="20.100000000000001" customHeight="1" x14ac:dyDescent="0.25">
      <c r="A2078" s="2">
        <v>828</v>
      </c>
      <c r="B2078" s="2" t="str">
        <f>TEXT(Таблица97[[#This Row],[Дата]],"ГГ")&amp;RIGHT("000"&amp;Таблица97[[#This Row],[Номер]],4)</f>
        <v>220828</v>
      </c>
      <c r="C2078" s="129">
        <v>44804</v>
      </c>
      <c r="D2078" s="2" t="s">
        <v>403</v>
      </c>
      <c r="E2078" s="108">
        <v>9840</v>
      </c>
      <c r="F2078" s="129">
        <v>44809</v>
      </c>
      <c r="H2078" s="129">
        <v>44804</v>
      </c>
      <c r="I2078" s="108">
        <f t="shared" si="108"/>
        <v>9840</v>
      </c>
      <c r="J2078" s="108" t="str">
        <f>IF(Таблица97[[#This Row],[НК]]=1,Таблица97[[#This Row],[Продажа]],"")</f>
        <v/>
      </c>
      <c r="M2078" s="108">
        <f>4820*2</f>
        <v>9640</v>
      </c>
      <c r="N2078" s="108">
        <f>Таблица97[[#This Row],[Продажа]]-Таблица97[[#This Row],[Закупка]]</f>
        <v>200</v>
      </c>
      <c r="O2078" s="108" t="str">
        <f>IF(Таблица97[[#This Row],[НК]]=1,Таблица97[[#This Row],[Маржа]],"")</f>
        <v/>
      </c>
    </row>
    <row r="2079" spans="1:15" ht="20.100000000000001" customHeight="1" x14ac:dyDescent="0.25">
      <c r="A2079" s="2">
        <v>790</v>
      </c>
      <c r="B2079" s="2" t="str">
        <f>TEXT(Таблица97[[#This Row],[Дата]],"ГГ")&amp;RIGHT("000"&amp;Таблица97[[#This Row],[Номер]],4)</f>
        <v>220790</v>
      </c>
      <c r="C2079" s="129">
        <v>44795</v>
      </c>
      <c r="D2079" s="2" t="s">
        <v>526</v>
      </c>
      <c r="E2079" s="108">
        <v>17150</v>
      </c>
      <c r="F2079" s="129">
        <v>44810</v>
      </c>
      <c r="H2079" s="129">
        <v>44811</v>
      </c>
      <c r="I2079" s="108">
        <f t="shared" si="108"/>
        <v>17150</v>
      </c>
      <c r="J2079" s="108" t="str">
        <f>IF(Таблица97[[#This Row],[НК]]=1,Таблица97[[#This Row],[Продажа]],"")</f>
        <v/>
      </c>
      <c r="M2079" s="108">
        <v>13992</v>
      </c>
      <c r="N2079" s="108">
        <f>Таблица97[[#This Row],[Продажа]]-Таблица97[[#This Row],[Закупка]]</f>
        <v>3158</v>
      </c>
      <c r="O2079" s="108" t="str">
        <f>IF(Таблица97[[#This Row],[НК]]=1,Таблица97[[#This Row],[Маржа]],"")</f>
        <v/>
      </c>
    </row>
    <row r="2080" spans="1:15" ht="20.100000000000001" customHeight="1" x14ac:dyDescent="0.25">
      <c r="A2080" s="2">
        <v>832</v>
      </c>
      <c r="B2080" s="2" t="str">
        <f>TEXT(Таблица97[[#This Row],[Дата]],"ГГ")&amp;RIGHT("000"&amp;Таблица97[[#This Row],[Номер]],4)</f>
        <v>220832</v>
      </c>
      <c r="C2080" s="129">
        <v>44805</v>
      </c>
      <c r="D2080" s="2" t="s">
        <v>527</v>
      </c>
      <c r="E2080" s="108">
        <v>4030</v>
      </c>
      <c r="F2080" s="129">
        <v>44811</v>
      </c>
      <c r="G2080" s="128">
        <v>1</v>
      </c>
      <c r="H2080" s="129">
        <v>44805</v>
      </c>
      <c r="I2080" s="108">
        <f t="shared" si="108"/>
        <v>4030</v>
      </c>
      <c r="J2080" s="108">
        <f>IF(Таблица97[[#This Row],[НК]]=1,Таблица97[[#This Row],[Продажа]],"")</f>
        <v>4030</v>
      </c>
      <c r="M2080" s="108">
        <v>2009.15</v>
      </c>
      <c r="N2080" s="108">
        <f>Таблица97[[#This Row],[Продажа]]-Таблица97[[#This Row],[Закупка]]</f>
        <v>2020.85</v>
      </c>
      <c r="O2080" s="108">
        <f>IF(Таблица97[[#This Row],[НК]]=1,Таблица97[[#This Row],[Маржа]],"")</f>
        <v>2020.85</v>
      </c>
    </row>
    <row r="2081" spans="1:15" ht="20.100000000000001" customHeight="1" x14ac:dyDescent="0.25">
      <c r="A2081" s="2">
        <v>703</v>
      </c>
      <c r="B2081" s="2" t="str">
        <f>TEXT(Таблица97[[#This Row],[Дата]],"ГГ")&amp;RIGHT("000"&amp;Таблица97[[#This Row],[Номер]],4)</f>
        <v>220703</v>
      </c>
      <c r="C2081" s="129">
        <v>44774</v>
      </c>
      <c r="D2081" s="2" t="s">
        <v>60</v>
      </c>
      <c r="E2081" s="108">
        <v>69370</v>
      </c>
      <c r="F2081" s="129">
        <v>44811</v>
      </c>
      <c r="H2081" s="129">
        <v>44797</v>
      </c>
      <c r="I2081" s="108">
        <f t="shared" si="108"/>
        <v>69370</v>
      </c>
      <c r="J2081" s="108" t="str">
        <f>IF(Таблица97[[#This Row],[НК]]=1,Таблица97[[#This Row],[Продажа]],"")</f>
        <v/>
      </c>
      <c r="M2081" s="108">
        <v>51673</v>
      </c>
      <c r="N2081" s="108">
        <f>Таблица97[[#This Row],[Продажа]]-Таблица97[[#This Row],[Закупка]]</f>
        <v>17697</v>
      </c>
      <c r="O2081" s="108" t="str">
        <f>IF(Таблица97[[#This Row],[НК]]=1,Таблица97[[#This Row],[Маржа]],"")</f>
        <v/>
      </c>
    </row>
    <row r="2082" spans="1:15" ht="20.100000000000001" customHeight="1" x14ac:dyDescent="0.25">
      <c r="A2082" s="2">
        <v>829</v>
      </c>
      <c r="B2082" s="2" t="str">
        <f>TEXT(Таблица97[[#This Row],[Дата]],"ГГ")&amp;RIGHT("000"&amp;Таблица97[[#This Row],[Номер]],4)</f>
        <v>220829</v>
      </c>
      <c r="C2082" s="129">
        <v>44804</v>
      </c>
      <c r="D2082" s="2" t="s">
        <v>377</v>
      </c>
      <c r="E2082" s="108">
        <v>60020</v>
      </c>
      <c r="F2082" s="129">
        <v>44812</v>
      </c>
      <c r="H2082" s="129">
        <v>44824</v>
      </c>
      <c r="I2082" s="108">
        <f t="shared" si="108"/>
        <v>60020</v>
      </c>
      <c r="J2082" s="108" t="str">
        <f>IF(Таблица97[[#This Row],[НК]]=1,Таблица97[[#This Row],[Продажа]],"")</f>
        <v/>
      </c>
      <c r="M2082" s="108">
        <v>39813</v>
      </c>
      <c r="N2082" s="108">
        <f>Таблица97[[#This Row],[Продажа]]-Таблица97[[#This Row],[Закупка]]</f>
        <v>20207</v>
      </c>
      <c r="O2082" s="108" t="str">
        <f>IF(Таблица97[[#This Row],[НК]]=1,Таблица97[[#This Row],[Маржа]],"")</f>
        <v/>
      </c>
    </row>
    <row r="2083" spans="1:15" ht="20.100000000000001" customHeight="1" x14ac:dyDescent="0.25">
      <c r="A2083" s="2">
        <v>626</v>
      </c>
      <c r="B2083" s="2" t="str">
        <f>TEXT(Таблица97[[#This Row],[Дата]],"ГГ")&amp;RIGHT("000"&amp;Таблица97[[#This Row],[Номер]],4)</f>
        <v>220626</v>
      </c>
      <c r="C2083" s="129">
        <v>44755</v>
      </c>
      <c r="D2083" s="2" t="s">
        <v>56</v>
      </c>
      <c r="E2083" s="108">
        <v>84950</v>
      </c>
      <c r="F2083" s="129">
        <v>44813</v>
      </c>
      <c r="H2083" s="129">
        <v>44784</v>
      </c>
      <c r="I2083" s="108">
        <f t="shared" si="108"/>
        <v>84950</v>
      </c>
      <c r="J2083" s="108" t="str">
        <f>IF(Таблица97[[#This Row],[НК]]=1,Таблица97[[#This Row],[Продажа]],"")</f>
        <v/>
      </c>
      <c r="L2083" s="108">
        <v>2400</v>
      </c>
      <c r="M2083" s="108">
        <v>33738.74</v>
      </c>
      <c r="N2083" s="108">
        <f>Таблица97[[#This Row],[Продажа]]-Таблица97[[#This Row],[Закупка]]</f>
        <v>51211.26</v>
      </c>
      <c r="O2083" s="108" t="str">
        <f>IF(Таблица97[[#This Row],[НК]]=1,Таблица97[[#This Row],[Маржа]],"")</f>
        <v/>
      </c>
    </row>
    <row r="2084" spans="1:15" ht="20.100000000000001" customHeight="1" x14ac:dyDescent="0.25">
      <c r="A2084" s="2">
        <v>443</v>
      </c>
      <c r="B2084" s="2" t="str">
        <f>TEXT(Таблица97[[#This Row],[Дата]],"ГГ")&amp;RIGHT("000"&amp;Таблица97[[#This Row],[Номер]],4)</f>
        <v>220443</v>
      </c>
      <c r="C2084" s="129">
        <v>44774</v>
      </c>
      <c r="D2084" s="2" t="s">
        <v>275</v>
      </c>
      <c r="E2084" s="108">
        <v>399886</v>
      </c>
      <c r="F2084" s="129">
        <v>44818</v>
      </c>
      <c r="H2084" s="129">
        <v>44785</v>
      </c>
      <c r="I2084" s="108">
        <f t="shared" si="108"/>
        <v>399886</v>
      </c>
      <c r="J2084" s="108" t="str">
        <f>IF(Таблица97[[#This Row],[НК]]=1,Таблица97[[#This Row],[Продажа]],"")</f>
        <v/>
      </c>
      <c r="M2084" s="108">
        <v>329747</v>
      </c>
      <c r="N2084" s="108">
        <f>Таблица97[[#This Row],[Продажа]]-Таблица97[[#This Row],[Закупка]]</f>
        <v>70139</v>
      </c>
      <c r="O2084" s="108" t="str">
        <f>IF(Таблица97[[#This Row],[НК]]=1,Таблица97[[#This Row],[Маржа]],"")</f>
        <v/>
      </c>
    </row>
    <row r="2085" spans="1:15" ht="20.100000000000001" customHeight="1" x14ac:dyDescent="0.25">
      <c r="A2085" s="2">
        <v>635</v>
      </c>
      <c r="B2085" s="2" t="str">
        <f>TEXT(Таблица97[[#This Row],[Дата]],"ГГ")&amp;RIGHT("000"&amp;Таблица97[[#This Row],[Номер]],4)</f>
        <v>220635</v>
      </c>
      <c r="C2085" s="129">
        <v>44757</v>
      </c>
      <c r="D2085" s="2" t="s">
        <v>275</v>
      </c>
      <c r="E2085" s="108">
        <v>13170</v>
      </c>
      <c r="F2085" s="129">
        <v>44818</v>
      </c>
      <c r="H2085" s="129">
        <v>44785</v>
      </c>
      <c r="I2085" s="108">
        <f t="shared" si="108"/>
        <v>13170</v>
      </c>
      <c r="J2085" s="108" t="str">
        <f>IF(Таблица97[[#This Row],[НК]]=1,Таблица97[[#This Row],[Продажа]],"")</f>
        <v/>
      </c>
      <c r="M2085" s="108">
        <v>3254</v>
      </c>
      <c r="N2085" s="108">
        <f>Таблица97[[#This Row],[Продажа]]-Таблица97[[#This Row],[Закупка]]</f>
        <v>9916</v>
      </c>
      <c r="O2085" s="108" t="str">
        <f>IF(Таблица97[[#This Row],[НК]]=1,Таблица97[[#This Row],[Маржа]],"")</f>
        <v/>
      </c>
    </row>
    <row r="2086" spans="1:15" ht="20.100000000000001" customHeight="1" x14ac:dyDescent="0.25">
      <c r="A2086" s="2">
        <v>807</v>
      </c>
      <c r="B2086" s="2" t="str">
        <f>TEXT(Таблица97[[#This Row],[Дата]],"ГГ")&amp;RIGHT("000"&amp;Таблица97[[#This Row],[Номер]],4)</f>
        <v>220807</v>
      </c>
      <c r="C2086" s="129">
        <v>44797</v>
      </c>
      <c r="D2086" s="2" t="s">
        <v>443</v>
      </c>
      <c r="E2086" s="108">
        <v>7480</v>
      </c>
      <c r="F2086" s="129">
        <v>44819</v>
      </c>
      <c r="H2086" s="129">
        <v>44867</v>
      </c>
      <c r="I2086" s="108">
        <f t="shared" si="108"/>
        <v>7480</v>
      </c>
      <c r="J2086" s="108" t="str">
        <f>IF(Таблица97[[#This Row],[НК]]=1,Таблица97[[#This Row],[Продажа]],"")</f>
        <v/>
      </c>
      <c r="M2086" s="108">
        <v>5864</v>
      </c>
      <c r="N2086" s="108">
        <f>Таблица97[[#This Row],[Продажа]]-Таблица97[[#This Row],[Закупка]]</f>
        <v>1616</v>
      </c>
      <c r="O2086" s="108" t="str">
        <f>IF(Таблица97[[#This Row],[НК]]=1,Таблица97[[#This Row],[Маржа]],"")</f>
        <v/>
      </c>
    </row>
    <row r="2087" spans="1:15" ht="20.100000000000001" customHeight="1" x14ac:dyDescent="0.25">
      <c r="A2087" s="2">
        <v>863</v>
      </c>
      <c r="B2087" s="2" t="str">
        <f>TEXT(Таблица97[[#This Row],[Дата]],"ГГ")&amp;RIGHT("000"&amp;Таблица97[[#This Row],[Номер]],4)</f>
        <v>220863</v>
      </c>
      <c r="C2087" s="129">
        <v>44819</v>
      </c>
      <c r="D2087" s="2" t="s">
        <v>528</v>
      </c>
      <c r="E2087" s="108">
        <v>434883</v>
      </c>
      <c r="F2087" s="129">
        <v>44824</v>
      </c>
      <c r="G2087" s="128">
        <v>1</v>
      </c>
      <c r="H2087" s="129">
        <v>44820</v>
      </c>
      <c r="I2087" s="108">
        <f>E2087/2</f>
        <v>217441.5</v>
      </c>
      <c r="J2087" s="108">
        <f>IF(Таблица97[[#This Row],[НК]]=1,Таблица97[[#This Row],[Продажа]],"")</f>
        <v>217441.5</v>
      </c>
      <c r="M2087" s="108">
        <v>117999</v>
      </c>
      <c r="N2087" s="108">
        <f>Таблица97[[#This Row],[Продажа]]-Таблица97[[#This Row],[Закупка]]</f>
        <v>99442.5</v>
      </c>
      <c r="O2087" s="108">
        <f>IF(Таблица97[[#This Row],[НК]]=1,Таблица97[[#This Row],[Маржа]],"")</f>
        <v>99442.5</v>
      </c>
    </row>
    <row r="2088" spans="1:15" ht="20.100000000000001" customHeight="1" x14ac:dyDescent="0.25">
      <c r="A2088" s="2">
        <v>864</v>
      </c>
      <c r="B2088" s="2" t="str">
        <f>TEXT(Таблица97[[#This Row],[Дата]],"ГГ")&amp;RIGHT("000"&amp;Таблица97[[#This Row],[Номер]],4)</f>
        <v>220864</v>
      </c>
      <c r="C2088" s="129">
        <v>44819</v>
      </c>
      <c r="D2088" s="2" t="s">
        <v>528</v>
      </c>
      <c r="E2088" s="108">
        <v>111500</v>
      </c>
      <c r="F2088" s="129">
        <v>44824</v>
      </c>
      <c r="G2088" s="128">
        <v>1</v>
      </c>
      <c r="H2088" s="129">
        <v>44820</v>
      </c>
      <c r="I2088" s="108">
        <f>E2088/2</f>
        <v>55750</v>
      </c>
      <c r="J2088" s="108">
        <f>IF(Таблица97[[#This Row],[НК]]=1,Таблица97[[#This Row],[Продажа]],"")</f>
        <v>55750</v>
      </c>
      <c r="M2088" s="108">
        <v>43485</v>
      </c>
      <c r="N2088" s="108">
        <f>Таблица97[[#This Row],[Продажа]]-Таблица97[[#This Row],[Закупка]]</f>
        <v>12265</v>
      </c>
      <c r="O2088" s="108">
        <f>IF(Таблица97[[#This Row],[НК]]=1,Таблица97[[#This Row],[Маржа]],"")</f>
        <v>12265</v>
      </c>
    </row>
    <row r="2089" spans="1:15" ht="20.100000000000001" customHeight="1" x14ac:dyDescent="0.25">
      <c r="A2089" s="2">
        <v>782</v>
      </c>
      <c r="B2089" s="2" t="str">
        <f>TEXT(Таблица97[[#This Row],[Дата]],"ГГ")&amp;RIGHT("000"&amp;Таблица97[[#This Row],[Номер]],4)</f>
        <v>220782</v>
      </c>
      <c r="C2089" s="129">
        <v>44790</v>
      </c>
      <c r="D2089" s="2" t="s">
        <v>275</v>
      </c>
      <c r="E2089" s="108">
        <v>15500</v>
      </c>
      <c r="F2089" s="129">
        <v>44837</v>
      </c>
      <c r="H2089" s="129">
        <v>44798</v>
      </c>
      <c r="I2089" s="108">
        <f>E2089</f>
        <v>15500</v>
      </c>
      <c r="J2089" s="108" t="str">
        <f>IF(Таблица97[[#This Row],[НК]]=1,Таблица97[[#This Row],[Продажа]],"")</f>
        <v/>
      </c>
      <c r="L2089" s="108">
        <v>1200</v>
      </c>
      <c r="M2089" s="108">
        <v>3254</v>
      </c>
      <c r="N2089" s="108">
        <f>Таблица97[[#This Row],[Продажа]]-Таблица97[[#This Row],[Закупка]]</f>
        <v>12246</v>
      </c>
      <c r="O2089" s="108" t="str">
        <f>IF(Таблица97[[#This Row],[НК]]=1,Таблица97[[#This Row],[Маржа]],"")</f>
        <v/>
      </c>
    </row>
    <row r="2090" spans="1:15" ht="20.100000000000001" customHeight="1" x14ac:dyDescent="0.25">
      <c r="A2090" s="2">
        <v>904</v>
      </c>
      <c r="B2090" s="2" t="str">
        <f>TEXT(Таблица97[[#This Row],[Дата]],"ГГ")&amp;RIGHT("000"&amp;Таблица97[[#This Row],[Номер]],4)</f>
        <v>220904</v>
      </c>
      <c r="C2090" s="129">
        <v>44833</v>
      </c>
      <c r="D2090" s="2" t="s">
        <v>50</v>
      </c>
      <c r="E2090" s="108">
        <v>13120</v>
      </c>
      <c r="F2090" s="129">
        <v>44838</v>
      </c>
      <c r="H2090" s="129">
        <v>44841</v>
      </c>
      <c r="I2090" s="108">
        <f>E2090/2</f>
        <v>6560</v>
      </c>
      <c r="J2090" s="108" t="str">
        <f>IF(Таблица97[[#This Row],[НК]]=1,Таблица97[[#This Row],[Продажа]],"")</f>
        <v/>
      </c>
      <c r="M2090" s="108">
        <v>6560</v>
      </c>
      <c r="N2090" s="108">
        <f>Таблица97[[#This Row],[Продажа]]-Таблица97[[#This Row],[Закупка]]</f>
        <v>0</v>
      </c>
      <c r="O2090" s="108" t="str">
        <f>IF(Таблица97[[#This Row],[НК]]=1,Таблица97[[#This Row],[Маржа]],"")</f>
        <v/>
      </c>
    </row>
    <row r="2091" spans="1:15" ht="20.100000000000001" customHeight="1" x14ac:dyDescent="0.25">
      <c r="A2091" s="2">
        <v>817</v>
      </c>
      <c r="B2091" s="2" t="str">
        <f>TEXT(Таблица97[[#This Row],[Дата]],"ГГ")&amp;RIGHT("000"&amp;Таблица97[[#This Row],[Номер]],4)</f>
        <v>220817</v>
      </c>
      <c r="C2091" s="129">
        <v>44798</v>
      </c>
      <c r="D2091" s="2" t="s">
        <v>56</v>
      </c>
      <c r="E2091" s="108">
        <v>23990</v>
      </c>
      <c r="F2091" s="129">
        <v>44839</v>
      </c>
      <c r="H2091" s="129">
        <v>44810</v>
      </c>
      <c r="I2091" s="108">
        <f t="shared" ref="I2091:I2103" si="109">E2091</f>
        <v>23990</v>
      </c>
      <c r="J2091" s="108" t="str">
        <f>IF(Таблица97[[#This Row],[НК]]=1,Таблица97[[#This Row],[Продажа]],"")</f>
        <v/>
      </c>
      <c r="L2091" s="108">
        <v>1200</v>
      </c>
      <c r="M2091" s="108">
        <v>10624.41</v>
      </c>
      <c r="N2091" s="108">
        <f>Таблица97[[#This Row],[Продажа]]-Таблица97[[#This Row],[Закупка]]</f>
        <v>13365.59</v>
      </c>
      <c r="O2091" s="108" t="str">
        <f>IF(Таблица97[[#This Row],[НК]]=1,Таблица97[[#This Row],[Маржа]],"")</f>
        <v/>
      </c>
    </row>
    <row r="2092" spans="1:15" ht="20.100000000000001" customHeight="1" x14ac:dyDescent="0.25">
      <c r="A2092" s="2">
        <v>920</v>
      </c>
      <c r="B2092" s="2" t="str">
        <f>TEXT(Таблица97[[#This Row],[Дата]],"ГГ")&amp;RIGHT("000"&amp;Таблица97[[#This Row],[Номер]],4)</f>
        <v>220920</v>
      </c>
      <c r="C2092" s="129">
        <v>44839</v>
      </c>
      <c r="D2092" s="2" t="s">
        <v>171</v>
      </c>
      <c r="E2092" s="108">
        <v>51990</v>
      </c>
      <c r="F2092" s="129">
        <v>44839</v>
      </c>
      <c r="H2092" s="129">
        <v>44846</v>
      </c>
      <c r="I2092" s="108">
        <f t="shared" si="109"/>
        <v>51990</v>
      </c>
      <c r="J2092" s="108" t="str">
        <f>IF(Таблица97[[#This Row],[НК]]=1,Таблица97[[#This Row],[Продажа]],"")</f>
        <v/>
      </c>
      <c r="M2092" s="108">
        <v>33781.33</v>
      </c>
      <c r="N2092" s="108">
        <f>Таблица97[[#This Row],[Продажа]]-Таблица97[[#This Row],[Закупка]]</f>
        <v>18208.669999999998</v>
      </c>
      <c r="O2092" s="108" t="str">
        <f>IF(Таблица97[[#This Row],[НК]]=1,Таблица97[[#This Row],[Маржа]],"")</f>
        <v/>
      </c>
    </row>
    <row r="2093" spans="1:15" ht="20.100000000000001" customHeight="1" x14ac:dyDescent="0.25">
      <c r="A2093" s="2">
        <v>914</v>
      </c>
      <c r="B2093" s="2" t="str">
        <f>TEXT(Таблица97[[#This Row],[Дата]],"ГГ")&amp;RIGHT("000"&amp;Таблица97[[#This Row],[Номер]],4)</f>
        <v>220914</v>
      </c>
      <c r="C2093" s="129">
        <v>44838</v>
      </c>
      <c r="D2093" s="2" t="s">
        <v>403</v>
      </c>
      <c r="E2093" s="108">
        <v>9840</v>
      </c>
      <c r="F2093" s="129">
        <v>44844</v>
      </c>
      <c r="H2093" s="129">
        <v>44848</v>
      </c>
      <c r="I2093" s="108">
        <f t="shared" si="109"/>
        <v>9840</v>
      </c>
      <c r="J2093" s="108" t="str">
        <f>IF(Таблица97[[#This Row],[НК]]=1,Таблица97[[#This Row],[Продажа]],"")</f>
        <v/>
      </c>
      <c r="M2093" s="108">
        <f>3994.4*2</f>
        <v>7988.8</v>
      </c>
      <c r="N2093" s="108">
        <f>Таблица97[[#This Row],[Продажа]]-Таблица97[[#This Row],[Закупка]]</f>
        <v>1851.1999999999998</v>
      </c>
      <c r="O2093" s="108" t="str">
        <f>IF(Таблица97[[#This Row],[НК]]=1,Таблица97[[#This Row],[Маржа]],"")</f>
        <v/>
      </c>
    </row>
    <row r="2094" spans="1:15" ht="20.100000000000001" customHeight="1" x14ac:dyDescent="0.25">
      <c r="A2094" s="2">
        <v>934</v>
      </c>
      <c r="B2094" s="2" t="str">
        <f>TEXT(Таблица97[[#This Row],[Дата]],"ГГ")&amp;RIGHT("000"&amp;Таблица97[[#This Row],[Номер]],4)</f>
        <v>220934</v>
      </c>
      <c r="C2094" s="129">
        <v>44845</v>
      </c>
      <c r="D2094" s="2" t="s">
        <v>179</v>
      </c>
      <c r="E2094" s="108">
        <v>10780</v>
      </c>
      <c r="F2094" s="129">
        <v>44846</v>
      </c>
      <c r="H2094" s="129">
        <v>44847</v>
      </c>
      <c r="I2094" s="108">
        <f t="shared" si="109"/>
        <v>10780</v>
      </c>
      <c r="J2094" s="108" t="str">
        <f>IF(Таблица97[[#This Row],[НК]]=1,Таблица97[[#This Row],[Продажа]],"")</f>
        <v/>
      </c>
      <c r="M2094" s="108">
        <v>7114</v>
      </c>
      <c r="N2094" s="108">
        <f>Таблица97[[#This Row],[Продажа]]-Таблица97[[#This Row],[Закупка]]</f>
        <v>3666</v>
      </c>
      <c r="O2094" s="108" t="str">
        <f>IF(Таблица97[[#This Row],[НК]]=1,Таблица97[[#This Row],[Маржа]],"")</f>
        <v/>
      </c>
    </row>
    <row r="2095" spans="1:15" ht="20.100000000000001" customHeight="1" x14ac:dyDescent="0.25">
      <c r="A2095" s="2">
        <v>927</v>
      </c>
      <c r="B2095" s="2" t="str">
        <f>TEXT(Таблица97[[#This Row],[Дата]],"ГГ")&amp;RIGHT("000"&amp;Таблица97[[#This Row],[Номер]],4)</f>
        <v>220927</v>
      </c>
      <c r="C2095" s="129">
        <v>44846</v>
      </c>
      <c r="D2095" s="2" t="s">
        <v>410</v>
      </c>
      <c r="E2095" s="108">
        <v>559936</v>
      </c>
      <c r="F2095" s="129">
        <v>44847</v>
      </c>
      <c r="H2095" s="129">
        <v>44901</v>
      </c>
      <c r="I2095" s="108">
        <f t="shared" si="109"/>
        <v>559936</v>
      </c>
      <c r="J2095" s="108" t="str">
        <f>IF(Таблица97[[#This Row],[НК]]=1,Таблица97[[#This Row],[Продажа]],"")</f>
        <v/>
      </c>
      <c r="M2095" s="108">
        <v>418773</v>
      </c>
      <c r="N2095" s="108">
        <f>Таблица97[[#This Row],[Продажа]]-Таблица97[[#This Row],[Закупка]]</f>
        <v>141163</v>
      </c>
      <c r="O2095" s="108" t="str">
        <f>IF(Таблица97[[#This Row],[НК]]=1,Таблица97[[#This Row],[Маржа]],"")</f>
        <v/>
      </c>
    </row>
    <row r="2096" spans="1:15" ht="20.100000000000001" customHeight="1" x14ac:dyDescent="0.25">
      <c r="A2096" s="2">
        <v>916</v>
      </c>
      <c r="B2096" s="2" t="str">
        <f>TEXT(Таблица97[[#This Row],[Дата]],"ГГ")&amp;RIGHT("000"&amp;Таблица97[[#This Row],[Номер]],4)</f>
        <v>220916</v>
      </c>
      <c r="C2096" s="129">
        <v>44838</v>
      </c>
      <c r="D2096" s="2" t="s">
        <v>472</v>
      </c>
      <c r="E2096" s="108">
        <v>10000</v>
      </c>
      <c r="F2096" s="129">
        <v>44848</v>
      </c>
      <c r="H2096" s="129">
        <v>44846</v>
      </c>
      <c r="I2096" s="108">
        <f t="shared" si="109"/>
        <v>10000</v>
      </c>
      <c r="J2096" s="108" t="str">
        <f>IF(Таблица97[[#This Row],[НК]]=1,Таблица97[[#This Row],[Продажа]],"")</f>
        <v/>
      </c>
      <c r="L2096" s="108">
        <v>500</v>
      </c>
      <c r="M2096" s="108">
        <v>3259</v>
      </c>
      <c r="N2096" s="108">
        <f>Таблица97[[#This Row],[Продажа]]-Таблица97[[#This Row],[Закупка]]</f>
        <v>6741</v>
      </c>
      <c r="O2096" s="108" t="str">
        <f>IF(Таблица97[[#This Row],[НК]]=1,Таблица97[[#This Row],[Маржа]],"")</f>
        <v/>
      </c>
    </row>
    <row r="2097" spans="1:15" ht="20.100000000000001" customHeight="1" x14ac:dyDescent="0.25">
      <c r="A2097" s="2">
        <v>958</v>
      </c>
      <c r="B2097" s="2" t="str">
        <f>TEXT(Таблица97[[#This Row],[Дата]],"ГГ")&amp;RIGHT("000"&amp;Таблица97[[#This Row],[Номер]],4)</f>
        <v>220958</v>
      </c>
      <c r="C2097" s="129">
        <v>44848</v>
      </c>
      <c r="D2097" s="2" t="s">
        <v>529</v>
      </c>
      <c r="E2097" s="108">
        <v>29990</v>
      </c>
      <c r="F2097" s="129">
        <v>44848</v>
      </c>
      <c r="G2097" s="128">
        <v>1</v>
      </c>
      <c r="H2097" s="129">
        <v>44851</v>
      </c>
      <c r="I2097" s="108">
        <f t="shared" si="109"/>
        <v>29990</v>
      </c>
      <c r="J2097" s="108">
        <f>IF(Таблица97[[#This Row],[НК]]=1,Таблица97[[#This Row],[Продажа]],"")</f>
        <v>29990</v>
      </c>
      <c r="M2097" s="108">
        <v>17631</v>
      </c>
      <c r="N2097" s="108">
        <f>Таблица97[[#This Row],[Продажа]]-Таблица97[[#This Row],[Закупка]]</f>
        <v>12359</v>
      </c>
      <c r="O2097" s="108">
        <f>IF(Таблица97[[#This Row],[НК]]=1,Таблица97[[#This Row],[Маржа]],"")</f>
        <v>12359</v>
      </c>
    </row>
    <row r="2098" spans="1:15" ht="20.100000000000001" customHeight="1" x14ac:dyDescent="0.25">
      <c r="A2098" s="2">
        <v>945</v>
      </c>
      <c r="B2098" s="2" t="str">
        <f>TEXT(Таблица97[[#This Row],[Дата]],"ГГ")&amp;RIGHT("000"&amp;Таблица97[[#This Row],[Номер]],4)</f>
        <v>220945</v>
      </c>
      <c r="C2098" s="129">
        <v>44846</v>
      </c>
      <c r="D2098" s="2" t="s">
        <v>258</v>
      </c>
      <c r="E2098" s="108">
        <v>8000</v>
      </c>
      <c r="F2098" s="129">
        <v>44853</v>
      </c>
      <c r="H2098" s="129">
        <v>44854</v>
      </c>
      <c r="I2098" s="108">
        <f t="shared" si="109"/>
        <v>8000</v>
      </c>
      <c r="J2098" s="108" t="str">
        <f>IF(Таблица97[[#This Row],[НК]]=1,Таблица97[[#This Row],[Продажа]],"")</f>
        <v/>
      </c>
      <c r="L2098" s="108">
        <v>600</v>
      </c>
      <c r="M2098" s="108">
        <v>2434</v>
      </c>
      <c r="N2098" s="108">
        <f>Таблица97[[#This Row],[Продажа]]-Таблица97[[#This Row],[Закупка]]</f>
        <v>5566</v>
      </c>
      <c r="O2098" s="108" t="str">
        <f>IF(Таблица97[[#This Row],[НК]]=1,Таблица97[[#This Row],[Маржа]],"")</f>
        <v/>
      </c>
    </row>
    <row r="2099" spans="1:15" ht="20.100000000000001" customHeight="1" x14ac:dyDescent="0.25">
      <c r="A2099" s="2">
        <v>904</v>
      </c>
      <c r="B2099" s="2" t="str">
        <f>TEXT(Таблица97[[#This Row],[Дата]],"ГГ")&amp;RIGHT("000"&amp;Таблица97[[#This Row],[Номер]],4)</f>
        <v>220904</v>
      </c>
      <c r="C2099" s="129">
        <v>44833</v>
      </c>
      <c r="D2099" s="2" t="s">
        <v>50</v>
      </c>
      <c r="E2099" s="108">
        <v>13120</v>
      </c>
      <c r="F2099" s="129">
        <v>44854</v>
      </c>
      <c r="H2099" s="129">
        <v>44858</v>
      </c>
      <c r="I2099" s="108">
        <f>E2099/2</f>
        <v>6560</v>
      </c>
      <c r="J2099" s="108" t="str">
        <f>IF(Таблица97[[#This Row],[НК]]=1,Таблица97[[#This Row],[Продажа]],"")</f>
        <v/>
      </c>
      <c r="M2099" s="108">
        <f>2632.45*2</f>
        <v>5264.9</v>
      </c>
      <c r="N2099" s="108">
        <f>Таблица97[[#This Row],[Продажа]]-Таблица97[[#This Row],[Закупка]]</f>
        <v>1295.1000000000004</v>
      </c>
      <c r="O2099" s="108" t="str">
        <f>IF(Таблица97[[#This Row],[НК]]=1,Таблица97[[#This Row],[Маржа]],"")</f>
        <v/>
      </c>
    </row>
    <row r="2100" spans="1:15" ht="20.100000000000001" customHeight="1" x14ac:dyDescent="0.25">
      <c r="A2100" s="2">
        <v>973</v>
      </c>
      <c r="B2100" s="2" t="str">
        <f>TEXT(Таблица97[[#This Row],[Дата]],"ГГ")&amp;RIGHT("000"&amp;Таблица97[[#This Row],[Номер]],4)</f>
        <v>220973</v>
      </c>
      <c r="C2100" s="129">
        <v>44853</v>
      </c>
      <c r="D2100" s="2" t="s">
        <v>372</v>
      </c>
      <c r="E2100" s="108">
        <v>8100</v>
      </c>
      <c r="F2100" s="129">
        <v>44859</v>
      </c>
      <c r="H2100" s="129">
        <v>44860</v>
      </c>
      <c r="I2100" s="108">
        <f t="shared" si="109"/>
        <v>8100</v>
      </c>
      <c r="J2100" s="108" t="str">
        <f>IF(Таблица97[[#This Row],[НК]]=1,Таблица97[[#This Row],[Продажа]],"")</f>
        <v/>
      </c>
      <c r="M2100" s="108">
        <f>3191.62*2</f>
        <v>6383.24</v>
      </c>
      <c r="N2100" s="108">
        <f>Таблица97[[#This Row],[Продажа]]-Таблица97[[#This Row],[Закупка]]</f>
        <v>1716.7600000000002</v>
      </c>
      <c r="O2100" s="108" t="str">
        <f>IF(Таблица97[[#This Row],[НК]]=1,Таблица97[[#This Row],[Маржа]],"")</f>
        <v/>
      </c>
    </row>
    <row r="2101" spans="1:15" ht="19.5" customHeight="1" x14ac:dyDescent="0.25">
      <c r="A2101" s="2">
        <v>834</v>
      </c>
      <c r="B2101" s="2" t="str">
        <f>TEXT(Таблица97[[#This Row],[Дата]],"ГГ")&amp;RIGHT("000"&amp;Таблица97[[#This Row],[Номер]],4)</f>
        <v>220834</v>
      </c>
      <c r="C2101" s="129">
        <v>44832</v>
      </c>
      <c r="D2101" s="2" t="s">
        <v>99</v>
      </c>
      <c r="E2101" s="108">
        <v>49800</v>
      </c>
      <c r="F2101" s="129">
        <v>44862</v>
      </c>
      <c r="H2101" s="129">
        <v>44832</v>
      </c>
      <c r="I2101" s="108">
        <f t="shared" si="109"/>
        <v>49800</v>
      </c>
      <c r="J2101" s="108" t="str">
        <f>IF(Таблица97[[#This Row],[НК]]=1,Таблица97[[#This Row],[Продажа]],"")</f>
        <v/>
      </c>
      <c r="M2101" s="108">
        <v>12312</v>
      </c>
      <c r="N2101" s="108">
        <f>Таблица97[[#This Row],[Продажа]]-Таблица97[[#This Row],[Закупка]]</f>
        <v>37488</v>
      </c>
      <c r="O2101" s="108" t="str">
        <f>IF(Таблица97[[#This Row],[НК]]=1,Таблица97[[#This Row],[Маржа]],"")</f>
        <v/>
      </c>
    </row>
    <row r="2102" spans="1:15" ht="20.100000000000001" customHeight="1" x14ac:dyDescent="0.25">
      <c r="A2102" s="2">
        <v>987</v>
      </c>
      <c r="B2102" s="2" t="str">
        <f>TEXT(Таблица97[[#This Row],[Дата]],"ГГ")&amp;RIGHT("000"&amp;Таблица97[[#This Row],[Номер]],4)</f>
        <v>220987</v>
      </c>
      <c r="C2102" s="129">
        <v>44858</v>
      </c>
      <c r="D2102" s="2" t="s">
        <v>481</v>
      </c>
      <c r="E2102" s="108">
        <v>7950</v>
      </c>
      <c r="F2102" s="129">
        <v>44862</v>
      </c>
      <c r="H2102" s="129">
        <v>44873</v>
      </c>
      <c r="I2102" s="108">
        <f>E2102</f>
        <v>7950</v>
      </c>
      <c r="J2102" s="108" t="str">
        <f>IF(Таблица97[[#This Row],[НК]]=1,Таблица97[[#This Row],[Продажа]],"")</f>
        <v/>
      </c>
      <c r="L2102" s="108">
        <v>600</v>
      </c>
      <c r="M2102" s="108">
        <v>1846.5</v>
      </c>
      <c r="N2102" s="108">
        <f>Таблица97[[#This Row],[Продажа]]-Таблица97[[#This Row],[Закупка]]</f>
        <v>6103.5</v>
      </c>
      <c r="O2102" s="108" t="str">
        <f>IF(Таблица97[[#This Row],[НК]]=1,Таблица97[[#This Row],[Маржа]],"")</f>
        <v/>
      </c>
    </row>
    <row r="2103" spans="1:15" ht="19.5" customHeight="1" x14ac:dyDescent="0.25">
      <c r="A2103" s="2">
        <v>1009</v>
      </c>
      <c r="B2103" s="2" t="str">
        <f>TEXT(Таблица97[[#This Row],[Дата]],"ГГ")&amp;RIGHT("000"&amp;Таблица97[[#This Row],[Номер]],4)</f>
        <v>221009</v>
      </c>
      <c r="C2103" s="129">
        <v>44865</v>
      </c>
      <c r="D2103" s="2" t="s">
        <v>124</v>
      </c>
      <c r="E2103" s="108">
        <v>3000</v>
      </c>
      <c r="F2103" s="129">
        <v>44865</v>
      </c>
      <c r="H2103" s="129">
        <v>44865</v>
      </c>
      <c r="I2103" s="108">
        <f t="shared" si="109"/>
        <v>3000</v>
      </c>
      <c r="J2103" s="108" t="str">
        <f>IF(Таблица97[[#This Row],[НК]]=1,Таблица97[[#This Row],[Продажа]],"")</f>
        <v/>
      </c>
      <c r="M2103" s="108">
        <v>1560</v>
      </c>
      <c r="N2103" s="108">
        <f>Таблица97[[#This Row],[Продажа]]-Таблица97[[#This Row],[Закупка]]</f>
        <v>1440</v>
      </c>
      <c r="O2103" s="108" t="str">
        <f>IF(Таблица97[[#This Row],[НК]]=1,Таблица97[[#This Row],[Маржа]],"")</f>
        <v/>
      </c>
    </row>
    <row r="2104" spans="1:15" ht="20.100000000000001" customHeight="1" x14ac:dyDescent="0.25">
      <c r="A2104" s="2">
        <v>1005</v>
      </c>
      <c r="B2104" s="2" t="str">
        <f>TEXT(Таблица97[[#This Row],[Дата]],"ГГ")&amp;RIGHT("000"&amp;Таблица97[[#This Row],[Номер]],4)</f>
        <v>221005</v>
      </c>
      <c r="C2104" s="129">
        <v>44862</v>
      </c>
      <c r="D2104" s="2" t="s">
        <v>414</v>
      </c>
      <c r="E2104" s="108">
        <v>8030</v>
      </c>
      <c r="F2104" s="129">
        <v>44866</v>
      </c>
      <c r="H2104" s="129">
        <v>44911</v>
      </c>
      <c r="I2104" s="108">
        <f t="shared" ref="I2104:I2117" si="110">E2104</f>
        <v>8030</v>
      </c>
      <c r="J2104" s="108" t="str">
        <f>IF(Таблица97[[#This Row],[НК]]=1,Таблица97[[#This Row],[Продажа]],"")</f>
        <v/>
      </c>
      <c r="M2104" s="108">
        <v>6263</v>
      </c>
      <c r="N2104" s="108">
        <f>Таблица97[[#This Row],[Продажа]]-Таблица97[[#This Row],[Закупка]]</f>
        <v>1767</v>
      </c>
      <c r="O2104" s="108" t="str">
        <f>IF(Таблица97[[#This Row],[НК]]=1,Таблица97[[#This Row],[Маржа]],"")</f>
        <v/>
      </c>
    </row>
    <row r="2105" spans="1:15" ht="20.100000000000001" customHeight="1" x14ac:dyDescent="0.25">
      <c r="A2105" s="2">
        <v>988</v>
      </c>
      <c r="B2105" s="2" t="str">
        <f>TEXT(Таблица97[[#This Row],[Дата]],"ГГ")&amp;RIGHT("000"&amp;Таблица97[[#This Row],[Номер]],4)</f>
        <v>220988</v>
      </c>
      <c r="C2105" s="129">
        <v>44859</v>
      </c>
      <c r="D2105" s="2" t="s">
        <v>439</v>
      </c>
      <c r="E2105" s="108">
        <v>227</v>
      </c>
      <c r="F2105" s="129">
        <v>44868</v>
      </c>
      <c r="H2105" s="129">
        <v>44875</v>
      </c>
      <c r="I2105" s="108">
        <f t="shared" si="110"/>
        <v>227</v>
      </c>
      <c r="J2105" s="108" t="str">
        <f>IF(Таблица97[[#This Row],[НК]]=1,Таблица97[[#This Row],[Продажа]],"")</f>
        <v/>
      </c>
      <c r="M2105" s="108">
        <v>112</v>
      </c>
      <c r="N2105" s="108">
        <f>Таблица97[[#This Row],[Продажа]]-Таблица97[[#This Row],[Закупка]]</f>
        <v>115</v>
      </c>
      <c r="O2105" s="108" t="str">
        <f>IF(Таблица97[[#This Row],[НК]]=1,Таблица97[[#This Row],[Маржа]],"")</f>
        <v/>
      </c>
    </row>
    <row r="2106" spans="1:15" ht="20.100000000000001" customHeight="1" x14ac:dyDescent="0.25">
      <c r="A2106" s="2">
        <v>1029</v>
      </c>
      <c r="B2106" s="2" t="str">
        <f>TEXT(Таблица97[[#This Row],[Дата]],"ГГ")&amp;RIGHT("000"&amp;Таблица97[[#This Row],[Номер]],4)</f>
        <v>221029</v>
      </c>
      <c r="C2106" s="129">
        <v>44873</v>
      </c>
      <c r="D2106" s="2" t="s">
        <v>508</v>
      </c>
      <c r="E2106" s="108">
        <v>35235</v>
      </c>
      <c r="F2106" s="129">
        <v>44873</v>
      </c>
      <c r="H2106" s="129">
        <v>44901</v>
      </c>
      <c r="I2106" s="108">
        <f t="shared" si="110"/>
        <v>35235</v>
      </c>
      <c r="J2106" s="108" t="str">
        <f>IF(Таблица97[[#This Row],[НК]]=1,Таблица97[[#This Row],[Продажа]],"")</f>
        <v/>
      </c>
      <c r="M2106" s="108">
        <f>27791+1474</f>
        <v>29265</v>
      </c>
      <c r="N2106" s="108">
        <f>Таблица97[[#This Row],[Продажа]]-Таблица97[[#This Row],[Закупка]]</f>
        <v>5970</v>
      </c>
      <c r="O2106" s="108" t="str">
        <f>IF(Таблица97[[#This Row],[НК]]=1,Таблица97[[#This Row],[Маржа]],"")</f>
        <v/>
      </c>
    </row>
    <row r="2107" spans="1:15" ht="20.100000000000001" customHeight="1" x14ac:dyDescent="0.25">
      <c r="A2107" s="2">
        <v>899</v>
      </c>
      <c r="B2107" s="2" t="str">
        <f>TEXT(Таблица97[[#This Row],[Дата]],"ГГ")&amp;RIGHT("000"&amp;Таблица97[[#This Row],[Номер]],4)</f>
        <v>220899</v>
      </c>
      <c r="C2107" s="129">
        <v>44837</v>
      </c>
      <c r="D2107" s="2" t="s">
        <v>56</v>
      </c>
      <c r="E2107" s="108">
        <v>33940</v>
      </c>
      <c r="F2107" s="129">
        <v>44874</v>
      </c>
      <c r="H2107" s="129">
        <v>44846</v>
      </c>
      <c r="I2107" s="108">
        <f t="shared" si="110"/>
        <v>33940</v>
      </c>
      <c r="J2107" s="108" t="str">
        <f>IF(Таблица97[[#This Row],[НК]]=1,Таблица97[[#This Row],[Продажа]],"")</f>
        <v/>
      </c>
      <c r="L2107" s="108">
        <v>500</v>
      </c>
      <c r="M2107" s="108">
        <v>16181</v>
      </c>
      <c r="N2107" s="108">
        <f>Таблица97[[#This Row],[Продажа]]-Таблица97[[#This Row],[Закупка]]</f>
        <v>17759</v>
      </c>
      <c r="O2107" s="108" t="str">
        <f>IF(Таблица97[[#This Row],[НК]]=1,Таблица97[[#This Row],[Маржа]],"")</f>
        <v/>
      </c>
    </row>
    <row r="2108" spans="1:15" ht="20.100000000000001" customHeight="1" x14ac:dyDescent="0.25">
      <c r="A2108" s="2">
        <v>923</v>
      </c>
      <c r="B2108" s="2" t="str">
        <f>TEXT(Таблица97[[#This Row],[Дата]],"ГГ")&amp;RIGHT("000"&amp;Таблица97[[#This Row],[Номер]],4)</f>
        <v>220923</v>
      </c>
      <c r="C2108" s="129">
        <v>44840</v>
      </c>
      <c r="D2108" s="2" t="s">
        <v>56</v>
      </c>
      <c r="E2108" s="108">
        <v>15000</v>
      </c>
      <c r="F2108" s="129">
        <v>44874</v>
      </c>
      <c r="H2108" s="129">
        <v>44846</v>
      </c>
      <c r="I2108" s="108">
        <f t="shared" si="110"/>
        <v>15000</v>
      </c>
      <c r="J2108" s="108" t="str">
        <f>IF(Таблица97[[#This Row],[НК]]=1,Таблица97[[#This Row],[Продажа]],"")</f>
        <v/>
      </c>
      <c r="L2108" s="108">
        <v>500</v>
      </c>
      <c r="M2108" s="108">
        <v>3672</v>
      </c>
      <c r="N2108" s="108">
        <f>Таблица97[[#This Row],[Продажа]]-Таблица97[[#This Row],[Закупка]]</f>
        <v>11328</v>
      </c>
      <c r="O2108" s="108" t="str">
        <f>IF(Таблица97[[#This Row],[НК]]=1,Таблица97[[#This Row],[Маржа]],"")</f>
        <v/>
      </c>
    </row>
    <row r="2109" spans="1:15" ht="20.100000000000001" customHeight="1" x14ac:dyDescent="0.25">
      <c r="A2109" s="2">
        <v>990</v>
      </c>
      <c r="B2109" s="2" t="str">
        <f>TEXT(Таблица97[[#This Row],[Дата]],"ГГ")&amp;RIGHT("000"&amp;Таблица97[[#This Row],[Номер]],4)</f>
        <v>220990</v>
      </c>
      <c r="C2109" s="129">
        <v>44874</v>
      </c>
      <c r="D2109" s="2" t="s">
        <v>270</v>
      </c>
      <c r="E2109" s="108">
        <v>23390</v>
      </c>
      <c r="F2109" s="129">
        <v>44874</v>
      </c>
      <c r="H2109" s="129">
        <v>44874</v>
      </c>
      <c r="I2109" s="108">
        <f t="shared" si="110"/>
        <v>23390</v>
      </c>
      <c r="J2109" s="108" t="str">
        <f>IF(Таблица97[[#This Row],[НК]]=1,Таблица97[[#This Row],[Продажа]],"")</f>
        <v/>
      </c>
      <c r="M2109" s="108">
        <v>17583</v>
      </c>
      <c r="N2109" s="108">
        <f>Таблица97[[#This Row],[Продажа]]-Таблица97[[#This Row],[Закупка]]</f>
        <v>5807</v>
      </c>
      <c r="O2109" s="108" t="str">
        <f>IF(Таблица97[[#This Row],[НК]]=1,Таблица97[[#This Row],[Маржа]],"")</f>
        <v/>
      </c>
    </row>
    <row r="2110" spans="1:15" ht="20.100000000000001" customHeight="1" x14ac:dyDescent="0.25">
      <c r="A2110" s="2">
        <v>997</v>
      </c>
      <c r="B2110" s="2" t="str">
        <f>TEXT(Таблица97[[#This Row],[Дата]],"ГГ")&amp;RIGHT("000"&amp;Таблица97[[#This Row],[Номер]],4)</f>
        <v>220997</v>
      </c>
      <c r="C2110" s="129">
        <v>44861</v>
      </c>
      <c r="D2110" s="2" t="s">
        <v>530</v>
      </c>
      <c r="E2110" s="108">
        <v>83910</v>
      </c>
      <c r="F2110" s="129">
        <v>44874</v>
      </c>
      <c r="H2110" s="129">
        <v>44888</v>
      </c>
      <c r="I2110" s="108">
        <f t="shared" si="110"/>
        <v>83910</v>
      </c>
      <c r="J2110" s="108" t="str">
        <f>IF(Таблица97[[#This Row],[НК]]=1,Таблица97[[#This Row],[Продажа]],"")</f>
        <v/>
      </c>
      <c r="M2110" s="108">
        <f>46553+9134</f>
        <v>55687</v>
      </c>
      <c r="N2110" s="108">
        <f>Таблица97[[#This Row],[Продажа]]-Таблица97[[#This Row],[Закупка]]</f>
        <v>28223</v>
      </c>
      <c r="O2110" s="108" t="str">
        <f>IF(Таблица97[[#This Row],[НК]]=1,Таблица97[[#This Row],[Маржа]],"")</f>
        <v/>
      </c>
    </row>
    <row r="2111" spans="1:15" ht="19.5" customHeight="1" x14ac:dyDescent="0.25">
      <c r="A2111" s="2">
        <v>1047</v>
      </c>
      <c r="B2111" s="2" t="str">
        <f>TEXT(Таблица97[[#This Row],[Дата]],"ГГ")&amp;RIGHT("000"&amp;Таблица97[[#This Row],[Номер]],4)</f>
        <v>221047</v>
      </c>
      <c r="C2111" s="129">
        <v>44879</v>
      </c>
      <c r="D2111" s="2" t="s">
        <v>124</v>
      </c>
      <c r="E2111" s="108">
        <v>3000</v>
      </c>
      <c r="F2111" s="129">
        <v>44879</v>
      </c>
      <c r="H2111" s="129">
        <v>44880</v>
      </c>
      <c r="I2111" s="108">
        <f t="shared" si="110"/>
        <v>3000</v>
      </c>
      <c r="J2111" s="108" t="str">
        <f>IF(Таблица97[[#This Row],[НК]]=1,Таблица97[[#This Row],[Продажа]],"")</f>
        <v/>
      </c>
      <c r="M2111" s="108">
        <v>1560</v>
      </c>
      <c r="N2111" s="108">
        <f>Таблица97[[#This Row],[Продажа]]-Таблица97[[#This Row],[Закупка]]</f>
        <v>1440</v>
      </c>
      <c r="O2111" s="108" t="str">
        <f>IF(Таблица97[[#This Row],[НК]]=1,Таблица97[[#This Row],[Маржа]],"")</f>
        <v/>
      </c>
    </row>
    <row r="2112" spans="1:15" ht="19.5" customHeight="1" x14ac:dyDescent="0.25">
      <c r="A2112" s="2">
        <v>1054</v>
      </c>
      <c r="B2112" s="2" t="str">
        <f>TEXT(Таблица97[[#This Row],[Дата]],"ГГ")&amp;RIGHT("000"&amp;Таблица97[[#This Row],[Номер]],4)</f>
        <v>221054</v>
      </c>
      <c r="C2112" s="129">
        <v>44880</v>
      </c>
      <c r="D2112" s="2" t="s">
        <v>403</v>
      </c>
      <c r="E2112" s="108">
        <v>4920</v>
      </c>
      <c r="F2112" s="129">
        <v>44886</v>
      </c>
      <c r="H2112" s="129">
        <v>44881</v>
      </c>
      <c r="I2112" s="108">
        <f t="shared" si="110"/>
        <v>4920</v>
      </c>
      <c r="J2112" s="108" t="str">
        <f>IF(Таблица97[[#This Row],[НК]]=1,Таблица97[[#This Row],[Продажа]],"")</f>
        <v/>
      </c>
      <c r="M2112" s="108">
        <v>3788</v>
      </c>
      <c r="N2112" s="108">
        <f>Таблица97[[#This Row],[Продажа]]-Таблица97[[#This Row],[Закупка]]</f>
        <v>1132</v>
      </c>
      <c r="O2112" s="108" t="str">
        <f>IF(Таблица97[[#This Row],[НК]]=1,Таблица97[[#This Row],[Маржа]],"")</f>
        <v/>
      </c>
    </row>
    <row r="2113" spans="1:15" ht="20.100000000000001" customHeight="1" x14ac:dyDescent="0.25">
      <c r="A2113" s="2">
        <v>991</v>
      </c>
      <c r="B2113" s="2" t="str">
        <f>TEXT(Таблица97[[#This Row],[Дата]],"ГГ")&amp;RIGHT("000"&amp;Таблица97[[#This Row],[Номер]],4)</f>
        <v>220991</v>
      </c>
      <c r="C2113" s="129">
        <v>44860</v>
      </c>
      <c r="D2113" s="2" t="s">
        <v>11</v>
      </c>
      <c r="E2113" s="108">
        <v>4520</v>
      </c>
      <c r="F2113" s="129">
        <v>44887</v>
      </c>
      <c r="H2113" s="129">
        <v>44881</v>
      </c>
      <c r="I2113" s="108">
        <f t="shared" si="110"/>
        <v>4520</v>
      </c>
      <c r="J2113" s="108" t="str">
        <f>IF(Таблица97[[#This Row],[НК]]=1,Таблица97[[#This Row],[Продажа]],"")</f>
        <v/>
      </c>
      <c r="M2113" s="108">
        <v>2160</v>
      </c>
      <c r="N2113" s="108">
        <f>Таблица97[[#This Row],[Продажа]]-Таблица97[[#This Row],[Закупка]]</f>
        <v>2360</v>
      </c>
      <c r="O2113" s="108" t="str">
        <f>IF(Таблица97[[#This Row],[НК]]=1,Таблица97[[#This Row],[Маржа]],"")</f>
        <v/>
      </c>
    </row>
    <row r="2114" spans="1:15" ht="20.100000000000001" customHeight="1" x14ac:dyDescent="0.25">
      <c r="A2114" s="2">
        <v>1085</v>
      </c>
      <c r="B2114" s="2" t="str">
        <f>TEXT(Таблица97[[#This Row],[Дата]],"ГГ")&amp;RIGHT("000"&amp;Таблица97[[#This Row],[Номер]],4)</f>
        <v>221085</v>
      </c>
      <c r="C2114" s="129">
        <v>44888</v>
      </c>
      <c r="D2114" s="2" t="s">
        <v>211</v>
      </c>
      <c r="E2114" s="108">
        <v>8850</v>
      </c>
      <c r="F2114" s="129">
        <v>44889</v>
      </c>
      <c r="I2114" s="108">
        <f t="shared" si="110"/>
        <v>8850</v>
      </c>
      <c r="J2114" s="108" t="str">
        <f>IF(Таблица97[[#This Row],[НК]]=1,Таблица97[[#This Row],[Продажа]],"")</f>
        <v/>
      </c>
      <c r="M2114" s="108">
        <f>1380*5</f>
        <v>6900</v>
      </c>
      <c r="N2114" s="108">
        <f>Таблица97[[#This Row],[Продажа]]-Таблица97[[#This Row],[Закупка]]</f>
        <v>1950</v>
      </c>
      <c r="O2114" s="108" t="str">
        <f>IF(Таблица97[[#This Row],[НК]]=1,Таблица97[[#This Row],[Маржа]],"")</f>
        <v/>
      </c>
    </row>
    <row r="2115" spans="1:15" ht="20.100000000000001" customHeight="1" x14ac:dyDescent="0.25">
      <c r="A2115" s="2">
        <v>1088</v>
      </c>
      <c r="B2115" s="2" t="str">
        <f>TEXT(Таблица97[[#This Row],[Дата]],"ГГ")&amp;RIGHT("000"&amp;Таблица97[[#This Row],[Номер]],4)</f>
        <v>221088</v>
      </c>
      <c r="C2115" s="129">
        <v>44888</v>
      </c>
      <c r="D2115" s="2" t="s">
        <v>515</v>
      </c>
      <c r="E2115" s="108">
        <v>8300</v>
      </c>
      <c r="F2115" s="129">
        <v>44889</v>
      </c>
      <c r="H2115" s="129">
        <v>44893</v>
      </c>
      <c r="I2115" s="108">
        <f t="shared" si="110"/>
        <v>8300</v>
      </c>
      <c r="J2115" s="108" t="str">
        <f>IF(Таблица97[[#This Row],[НК]]=1,Таблица97[[#This Row],[Продажа]],"")</f>
        <v/>
      </c>
      <c r="M2115" s="108">
        <v>5478</v>
      </c>
      <c r="N2115" s="108">
        <f>Таблица97[[#This Row],[Продажа]]-Таблица97[[#This Row],[Закупка]]</f>
        <v>2822</v>
      </c>
      <c r="O2115" s="108" t="str">
        <f>IF(Таблица97[[#This Row],[НК]]=1,Таблица97[[#This Row],[Маржа]],"")</f>
        <v/>
      </c>
    </row>
    <row r="2116" spans="1:15" ht="20.100000000000001" customHeight="1" x14ac:dyDescent="0.25">
      <c r="A2116" s="2">
        <v>1064</v>
      </c>
      <c r="B2116" s="2" t="str">
        <f>TEXT(Таблица97[[#This Row],[Дата]],"ГГ")&amp;RIGHT("000"&amp;Таблица97[[#This Row],[Номер]],4)</f>
        <v>221064</v>
      </c>
      <c r="C2116" s="129">
        <v>44887</v>
      </c>
      <c r="D2116" s="2" t="s">
        <v>481</v>
      </c>
      <c r="E2116" s="108">
        <v>211340</v>
      </c>
      <c r="F2116" s="129">
        <v>44890</v>
      </c>
      <c r="H2116" s="129">
        <v>44904</v>
      </c>
      <c r="I2116" s="108">
        <f>E2116/2</f>
        <v>105670</v>
      </c>
      <c r="J2116" s="108" t="str">
        <f>IF(Таблица97[[#This Row],[НК]]=1,Таблица97[[#This Row],[Продажа]],"")</f>
        <v/>
      </c>
      <c r="L2116" s="108">
        <v>600</v>
      </c>
      <c r="M2116" s="108">
        <f>(150509+1515+331)/2</f>
        <v>76177.5</v>
      </c>
      <c r="N2116" s="108">
        <f>Таблица97[[#This Row],[Продажа]]-Таблица97[[#This Row],[Закупка]]</f>
        <v>29492.5</v>
      </c>
      <c r="O2116" s="108" t="str">
        <f>IF(Таблица97[[#This Row],[НК]]=1,Таблица97[[#This Row],[Маржа]],"")</f>
        <v/>
      </c>
    </row>
    <row r="2117" spans="1:15" ht="20.100000000000001" customHeight="1" x14ac:dyDescent="0.25">
      <c r="A2117" s="2">
        <v>1092</v>
      </c>
      <c r="B2117" s="2" t="str">
        <f>TEXT(Таблица97[[#This Row],[Дата]],"ГГ")&amp;RIGHT("000"&amp;Таблица97[[#This Row],[Номер]],4)</f>
        <v>221092</v>
      </c>
      <c r="C2117" s="129">
        <v>44889</v>
      </c>
      <c r="D2117" s="2" t="s">
        <v>531</v>
      </c>
      <c r="E2117" s="108">
        <v>7570</v>
      </c>
      <c r="F2117" s="129">
        <v>44890</v>
      </c>
      <c r="G2117" s="128">
        <v>1</v>
      </c>
      <c r="H2117" s="129">
        <v>44893</v>
      </c>
      <c r="I2117" s="108">
        <f t="shared" si="110"/>
        <v>7570</v>
      </c>
      <c r="J2117" s="108">
        <f>IF(Таблица97[[#This Row],[НК]]=1,Таблица97[[#This Row],[Продажа]],"")</f>
        <v>7570</v>
      </c>
      <c r="M2117" s="108">
        <v>5904</v>
      </c>
      <c r="N2117" s="108">
        <f>Таблица97[[#This Row],[Продажа]]-Таблица97[[#This Row],[Закупка]]</f>
        <v>1666</v>
      </c>
      <c r="O2117" s="108">
        <f>IF(Таблица97[[#This Row],[НК]]=1,Таблица97[[#This Row],[Маржа]],"")</f>
        <v>1666</v>
      </c>
    </row>
    <row r="2118" spans="1:15" ht="20.100000000000001" customHeight="1" x14ac:dyDescent="0.25">
      <c r="A2118" s="2">
        <v>1118</v>
      </c>
      <c r="B2118" s="2" t="str">
        <f>TEXT(Таблица97[[#This Row],[Дата]],"ГГ")&amp;RIGHT("000"&amp;Таблица97[[#This Row],[Номер]],4)</f>
        <v>221118</v>
      </c>
      <c r="C2118" s="129">
        <v>44896</v>
      </c>
      <c r="D2118" s="2" t="s">
        <v>532</v>
      </c>
      <c r="E2118" s="108">
        <v>5500</v>
      </c>
      <c r="F2118" s="129">
        <v>44897</v>
      </c>
      <c r="H2118" s="129">
        <v>44896</v>
      </c>
      <c r="I2118" s="108">
        <f t="shared" ref="I2118:I2122" si="111">E2118</f>
        <v>5500</v>
      </c>
      <c r="J2118" s="108" t="str">
        <f>IF(Таблица97[[#This Row],[НК]]=1,Таблица97[[#This Row],[Продажа]],"")</f>
        <v/>
      </c>
      <c r="M2118" s="108">
        <v>4726</v>
      </c>
      <c r="N2118" s="108">
        <f>Таблица97[[#This Row],[Продажа]]-Таблица97[[#This Row],[Закупка]]</f>
        <v>774</v>
      </c>
      <c r="O2118" s="108" t="str">
        <f>IF(Таблица97[[#This Row],[НК]]=1,Таблица97[[#This Row],[Маржа]],"")</f>
        <v/>
      </c>
    </row>
    <row r="2119" spans="1:15" ht="20.100000000000001" customHeight="1" x14ac:dyDescent="0.25">
      <c r="A2119" s="2">
        <v>1121</v>
      </c>
      <c r="B2119" s="2" t="str">
        <f>TEXT(Таблица97[[#This Row],[Дата]],"ГГ")&amp;RIGHT("000"&amp;Таблица97[[#This Row],[Номер]],4)</f>
        <v>221121</v>
      </c>
      <c r="C2119" s="129">
        <v>44900</v>
      </c>
      <c r="D2119" s="2" t="s">
        <v>508</v>
      </c>
      <c r="E2119" s="108">
        <v>11241</v>
      </c>
      <c r="F2119" s="129">
        <v>44900</v>
      </c>
      <c r="H2119" s="129">
        <v>44901</v>
      </c>
      <c r="I2119" s="108">
        <f t="shared" si="111"/>
        <v>11241</v>
      </c>
      <c r="J2119" s="108" t="str">
        <f>IF(Таблица97[[#This Row],[НК]]=1,Таблица97[[#This Row],[Продажа]],"")</f>
        <v/>
      </c>
      <c r="M2119" s="108">
        <v>9742</v>
      </c>
      <c r="N2119" s="108">
        <f>Таблица97[[#This Row],[Продажа]]-Таблица97[[#This Row],[Закупка]]</f>
        <v>1499</v>
      </c>
      <c r="O2119" s="108" t="str">
        <f>IF(Таблица97[[#This Row],[НК]]=1,Таблица97[[#This Row],[Маржа]],"")</f>
        <v/>
      </c>
    </row>
    <row r="2120" spans="1:15" ht="20.100000000000001" customHeight="1" x14ac:dyDescent="0.25">
      <c r="A2120" s="2">
        <v>1120</v>
      </c>
      <c r="B2120" s="2" t="str">
        <f>TEXT(Таблица97[[#This Row],[Дата]],"ГГ")&amp;RIGHT("000"&amp;Таблица97[[#This Row],[Номер]],4)</f>
        <v>221120</v>
      </c>
      <c r="C2120" s="129">
        <v>44896</v>
      </c>
      <c r="D2120" s="2" t="s">
        <v>403</v>
      </c>
      <c r="E2120" s="108">
        <v>4920</v>
      </c>
      <c r="F2120" s="129">
        <v>44900</v>
      </c>
      <c r="H2120" s="129">
        <v>44902</v>
      </c>
      <c r="I2120" s="108">
        <f t="shared" si="111"/>
        <v>4920</v>
      </c>
      <c r="J2120" s="108" t="str">
        <f>IF(Таблица97[[#This Row],[НК]]=1,Таблица97[[#This Row],[Продажа]],"")</f>
        <v/>
      </c>
      <c r="M2120" s="108">
        <v>3788</v>
      </c>
      <c r="N2120" s="108">
        <f>Таблица97[[#This Row],[Продажа]]-Таблица97[[#This Row],[Закупка]]</f>
        <v>1132</v>
      </c>
      <c r="O2120" s="108" t="str">
        <f>IF(Таблица97[[#This Row],[НК]]=1,Таблица97[[#This Row],[Маржа]],"")</f>
        <v/>
      </c>
    </row>
    <row r="2121" spans="1:15" ht="20.100000000000001" customHeight="1" x14ac:dyDescent="0.25">
      <c r="A2121" s="2">
        <v>965</v>
      </c>
      <c r="B2121" s="2" t="str">
        <f>TEXT(Таблица97[[#This Row],[Дата]],"ГГ")&amp;RIGHT("000"&amp;Таблица97[[#This Row],[Номер]],4)</f>
        <v>220965</v>
      </c>
      <c r="C2121" s="129">
        <v>44852</v>
      </c>
      <c r="D2121" s="2" t="s">
        <v>275</v>
      </c>
      <c r="E2121" s="108">
        <v>34313</v>
      </c>
      <c r="F2121" s="129">
        <v>44901</v>
      </c>
      <c r="H2121" s="129">
        <v>44862</v>
      </c>
      <c r="I2121" s="108">
        <f t="shared" si="111"/>
        <v>34313</v>
      </c>
      <c r="J2121" s="108" t="str">
        <f>IF(Таблица97[[#This Row],[НК]]=1,Таблица97[[#This Row],[Продажа]],"")</f>
        <v/>
      </c>
      <c r="M2121" s="108">
        <v>21790</v>
      </c>
      <c r="N2121" s="108">
        <f>Таблица97[[#This Row],[Продажа]]-Таблица97[[#This Row],[Закупка]]</f>
        <v>12523</v>
      </c>
      <c r="O2121" s="108" t="str">
        <f>IF(Таблица97[[#This Row],[НК]]=1,Таблица97[[#This Row],[Маржа]],"")</f>
        <v/>
      </c>
    </row>
    <row r="2122" spans="1:15" ht="20.100000000000001" customHeight="1" x14ac:dyDescent="0.25">
      <c r="A2122" s="2">
        <v>1095</v>
      </c>
      <c r="B2122" s="2" t="str">
        <f>TEXT(Таблица97[[#This Row],[Дата]],"ГГ")&amp;RIGHT("000"&amp;Таблица97[[#This Row],[Номер]],4)</f>
        <v>221095</v>
      </c>
      <c r="C2122" s="129">
        <v>44893</v>
      </c>
      <c r="D2122" s="2" t="s">
        <v>206</v>
      </c>
      <c r="E2122" s="108">
        <v>3540</v>
      </c>
      <c r="F2122" s="129">
        <v>44901</v>
      </c>
      <c r="H2122" s="129">
        <v>44893</v>
      </c>
      <c r="I2122" s="108">
        <f t="shared" si="111"/>
        <v>3540</v>
      </c>
      <c r="J2122" s="108" t="str">
        <f>IF(Таблица97[[#This Row],[НК]]=1,Таблица97[[#This Row],[Продажа]],"")</f>
        <v/>
      </c>
      <c r="M2122" s="108">
        <f>1382*2</f>
        <v>2764</v>
      </c>
      <c r="N2122" s="108">
        <f>Таблица97[[#This Row],[Продажа]]-Таблица97[[#This Row],[Закупка]]</f>
        <v>776</v>
      </c>
      <c r="O2122" s="108" t="str">
        <f>IF(Таблица97[[#This Row],[НК]]=1,Таблица97[[#This Row],[Маржа]],"")</f>
        <v/>
      </c>
    </row>
    <row r="2123" spans="1:15" ht="20.100000000000001" customHeight="1" x14ac:dyDescent="0.25">
      <c r="A2123" s="2">
        <v>1064</v>
      </c>
      <c r="B2123" s="2" t="str">
        <f>TEXT(Таблица97[[#This Row],[Дата]],"ГГ")&amp;RIGHT("000"&amp;Таблица97[[#This Row],[Номер]],4)</f>
        <v>221064</v>
      </c>
      <c r="C2123" s="129">
        <v>44887</v>
      </c>
      <c r="D2123" s="2" t="s">
        <v>481</v>
      </c>
      <c r="E2123" s="108">
        <v>211340</v>
      </c>
      <c r="F2123" s="129">
        <v>44902</v>
      </c>
      <c r="H2123" s="129">
        <v>44904</v>
      </c>
      <c r="I2123" s="108">
        <f>E2123/2</f>
        <v>105670</v>
      </c>
      <c r="J2123" s="108" t="str">
        <f>IF(Таблица97[[#This Row],[НК]]=1,Таблица97[[#This Row],[Продажа]],"")</f>
        <v/>
      </c>
      <c r="M2123" s="108">
        <f>(150509+1515+331)/2</f>
        <v>76177.5</v>
      </c>
      <c r="N2123" s="108">
        <f>Таблица97[[#This Row],[Продажа]]-Таблица97[[#This Row],[Закупка]]</f>
        <v>29492.5</v>
      </c>
      <c r="O2123" s="108" t="str">
        <f>IF(Таблица97[[#This Row],[НК]]=1,Таблица97[[#This Row],[Маржа]],"")</f>
        <v/>
      </c>
    </row>
    <row r="2124" spans="1:15" ht="20.100000000000001" customHeight="1" x14ac:dyDescent="0.25">
      <c r="A2124" s="2">
        <v>1060</v>
      </c>
      <c r="B2124" s="2" t="str">
        <f>TEXT(Таблица97[[#This Row],[Дата]],"ГГ")&amp;RIGHT("000"&amp;Таблица97[[#This Row],[Номер]],4)</f>
        <v>221060</v>
      </c>
      <c r="C2124" s="129">
        <v>44888</v>
      </c>
      <c r="D2124" s="2" t="s">
        <v>520</v>
      </c>
      <c r="E2124" s="108">
        <v>844110</v>
      </c>
      <c r="F2124" s="129">
        <v>44909</v>
      </c>
      <c r="I2124" s="108">
        <f>E2124</f>
        <v>844110</v>
      </c>
      <c r="J2124" s="108" t="str">
        <f>IF(Таблица97[[#This Row],[НК]]=1,Таблица97[[#This Row],[Продажа]],"")</f>
        <v/>
      </c>
      <c r="M2124" s="108">
        <f>245672+239012+124185</f>
        <v>608869</v>
      </c>
      <c r="N2124" s="108">
        <f>Таблица97[[#This Row],[Продажа]]-Таблица97[[#This Row],[Закупка]]</f>
        <v>235241</v>
      </c>
      <c r="O2124" s="108" t="str">
        <f>IF(Таблица97[[#This Row],[НК]]=1,Таблица97[[#This Row],[Маржа]],"")</f>
        <v/>
      </c>
    </row>
    <row r="2125" spans="1:15" ht="20.100000000000001" customHeight="1" x14ac:dyDescent="0.25">
      <c r="A2125" s="2">
        <v>1038</v>
      </c>
      <c r="B2125" s="2" t="str">
        <f>TEXT(Таблица97[[#This Row],[Дата]],"ГГ")&amp;RIGHT("000"&amp;Таблица97[[#This Row],[Номер]],4)</f>
        <v>221038</v>
      </c>
      <c r="C2125" s="129">
        <v>44875</v>
      </c>
      <c r="D2125" s="2" t="s">
        <v>13</v>
      </c>
      <c r="E2125" s="108">
        <v>26750</v>
      </c>
      <c r="F2125" s="129">
        <v>44911</v>
      </c>
      <c r="H2125" s="129">
        <v>44908</v>
      </c>
      <c r="I2125" s="108">
        <f>E2125</f>
        <v>26750</v>
      </c>
      <c r="J2125" s="108" t="str">
        <f>IF(Таблица97[[#This Row],[НК]]=1,Таблица97[[#This Row],[Продажа]],"")</f>
        <v/>
      </c>
      <c r="M2125" s="108">
        <v>15795</v>
      </c>
      <c r="N2125" s="108">
        <f>Таблица97[[#This Row],[Продажа]]-Таблица97[[#This Row],[Закупка]]</f>
        <v>10955</v>
      </c>
      <c r="O2125" s="108" t="str">
        <f>IF(Таблица97[[#This Row],[НК]]=1,Таблица97[[#This Row],[Маржа]],"")</f>
        <v/>
      </c>
    </row>
    <row r="2126" spans="1:15" ht="20.100000000000001" customHeight="1" x14ac:dyDescent="0.25">
      <c r="A2126" s="2">
        <v>116</v>
      </c>
      <c r="B2126" s="2" t="str">
        <f>TEXT(Таблица97[[#This Row],[Дата]],"ГГ")&amp;RIGHT("000"&amp;Таблица97[[#This Row],[Номер]],4)</f>
        <v>220116</v>
      </c>
      <c r="C2126" s="129">
        <v>44670</v>
      </c>
      <c r="D2126" s="2" t="s">
        <v>517</v>
      </c>
      <c r="E2126" s="108">
        <v>96440</v>
      </c>
      <c r="F2126" s="129">
        <v>44911</v>
      </c>
      <c r="H2126" s="129">
        <v>44915</v>
      </c>
      <c r="I2126" s="108">
        <v>10970</v>
      </c>
      <c r="J2126" s="108" t="str">
        <f>IF(Таблица97[[#This Row],[НК]]=1,Таблица97[[#This Row],[Продажа]],"")</f>
        <v/>
      </c>
      <c r="M2126" s="108">
        <v>6474</v>
      </c>
      <c r="N2126" s="108">
        <f>Таблица97[[#This Row],[Продажа]]-Таблица97[[#This Row],[Закупка]]</f>
        <v>4496</v>
      </c>
      <c r="O2126" s="108" t="str">
        <f>IF(Таблица97[[#This Row],[НК]]=1,Таблица97[[#This Row],[Маржа]],"")</f>
        <v/>
      </c>
    </row>
    <row r="2127" spans="1:15" ht="20.100000000000001" customHeight="1" x14ac:dyDescent="0.25">
      <c r="A2127" s="2">
        <v>1171</v>
      </c>
      <c r="B2127" s="2" t="str">
        <f>TEXT(Таблица97[[#This Row],[Дата]],"ГГ")&amp;RIGHT("000"&amp;Таблица97[[#This Row],[Номер]],4)</f>
        <v>221171</v>
      </c>
      <c r="C2127" s="129">
        <v>44915</v>
      </c>
      <c r="D2127" s="2" t="s">
        <v>124</v>
      </c>
      <c r="E2127" s="108">
        <v>5272</v>
      </c>
      <c r="F2127" s="129">
        <v>44915</v>
      </c>
      <c r="H2127" s="129">
        <v>44915</v>
      </c>
      <c r="I2127" s="108">
        <f>E2127</f>
        <v>5272</v>
      </c>
      <c r="J2127" s="108" t="str">
        <f>IF(Таблица97[[#This Row],[НК]]=1,Таблица97[[#This Row],[Продажа]],"")</f>
        <v/>
      </c>
      <c r="M2127" s="108">
        <v>4190</v>
      </c>
      <c r="N2127" s="108">
        <f>Таблица97[[#This Row],[Продажа]]-Таблица97[[#This Row],[Закупка]]</f>
        <v>1082</v>
      </c>
      <c r="O2127" s="108" t="str">
        <f>IF(Таблица97[[#This Row],[НК]]=1,Таблица97[[#This Row],[Маржа]],"")</f>
        <v/>
      </c>
    </row>
    <row r="2128" spans="1:15" ht="20.100000000000001" customHeight="1" x14ac:dyDescent="0.25">
      <c r="A2128" s="2">
        <v>1173</v>
      </c>
      <c r="B2128" s="2" t="str">
        <f>TEXT(Таблица97[[#This Row],[Дата]],"ГГ")&amp;RIGHT("000"&amp;Таблица97[[#This Row],[Номер]],4)</f>
        <v>221173</v>
      </c>
      <c r="C2128" s="129">
        <v>44915</v>
      </c>
      <c r="D2128" s="2" t="s">
        <v>124</v>
      </c>
      <c r="E2128" s="108">
        <v>3960</v>
      </c>
      <c r="F2128" s="129">
        <v>44915</v>
      </c>
      <c r="I2128" s="108">
        <f>E2128</f>
        <v>3960</v>
      </c>
      <c r="J2128" s="108" t="str">
        <f>IF(Таблица97[[#This Row],[НК]]=1,Таблица97[[#This Row],[Продажа]],"")</f>
        <v/>
      </c>
      <c r="M2128" s="108">
        <v>3088</v>
      </c>
      <c r="N2128" s="108">
        <f>Таблица97[[#This Row],[Продажа]]-Таблица97[[#This Row],[Закупка]]</f>
        <v>872</v>
      </c>
      <c r="O2128" s="108" t="str">
        <f>IF(Таблица97[[#This Row],[НК]]=1,Таблица97[[#This Row],[Маржа]],"")</f>
        <v/>
      </c>
    </row>
    <row r="2129" spans="1:15" ht="20.100000000000001" customHeight="1" x14ac:dyDescent="0.25">
      <c r="A2129" s="2">
        <v>618</v>
      </c>
      <c r="B2129" s="2" t="str">
        <f>TEXT(Таблица97[[#This Row],[Дата]],"ГГ")&amp;RIGHT("000"&amp;Таблица97[[#This Row],[Номер]],4)</f>
        <v>220618</v>
      </c>
      <c r="C2129" s="129">
        <v>44753</v>
      </c>
      <c r="D2129" s="2" t="s">
        <v>66</v>
      </c>
      <c r="E2129" s="108">
        <v>63840</v>
      </c>
      <c r="F2129" s="129">
        <v>44916</v>
      </c>
      <c r="H2129" s="129">
        <v>44785</v>
      </c>
      <c r="I2129" s="108">
        <f>E2129</f>
        <v>63840</v>
      </c>
      <c r="J2129" s="108" t="str">
        <f>IF(Таблица97[[#This Row],[НК]]=1,Таблица97[[#This Row],[Продажа]],"")</f>
        <v/>
      </c>
      <c r="M2129" s="108">
        <f>4*12289</f>
        <v>49156</v>
      </c>
      <c r="N2129" s="108">
        <f>Таблица97[[#This Row],[Продажа]]-Таблица97[[#This Row],[Закупка]]</f>
        <v>14684</v>
      </c>
      <c r="O2129" s="108" t="str">
        <f>IF(Таблица97[[#This Row],[НК]]=1,Таблица97[[#This Row],[Маржа]],"")</f>
        <v/>
      </c>
    </row>
    <row r="2130" spans="1:15" ht="20.100000000000001" customHeight="1" x14ac:dyDescent="0.25">
      <c r="A2130" s="2">
        <v>1145</v>
      </c>
      <c r="B2130" s="2" t="str">
        <f>TEXT(Таблица97[[#This Row],[Дата]],"ГГ")&amp;RIGHT("000"&amp;Таблица97[[#This Row],[Номер]],4)</f>
        <v>221145</v>
      </c>
      <c r="C2130" s="129">
        <v>44904</v>
      </c>
      <c r="D2130" s="2" t="s">
        <v>345</v>
      </c>
      <c r="E2130" s="108">
        <v>16730</v>
      </c>
      <c r="F2130" s="129">
        <v>44917</v>
      </c>
      <c r="I2130" s="108">
        <f t="shared" ref="I2130:I2140" si="112">E2130</f>
        <v>16730</v>
      </c>
      <c r="J2130" s="108" t="str">
        <f>IF(Таблица97[[#This Row],[НК]]=1,Таблица97[[#This Row],[Продажа]],"")</f>
        <v/>
      </c>
      <c r="M2130" s="108">
        <f>7674+2035*2</f>
        <v>11744</v>
      </c>
      <c r="N2130" s="108">
        <f>Таблица97[[#This Row],[Продажа]]-Таблица97[[#This Row],[Закупка]]</f>
        <v>4986</v>
      </c>
      <c r="O2130" s="108" t="str">
        <f>IF(Таблица97[[#This Row],[НК]]=1,Таблица97[[#This Row],[Маржа]],"")</f>
        <v/>
      </c>
    </row>
    <row r="2131" spans="1:15" ht="20.100000000000001" customHeight="1" x14ac:dyDescent="0.25">
      <c r="A2131" s="2">
        <v>1180</v>
      </c>
      <c r="B2131" s="2" t="str">
        <f>TEXT(Таблица97[[#This Row],[Дата]],"ГГ")&amp;RIGHT("000"&amp;Таблица97[[#This Row],[Номер]],4)</f>
        <v>221180</v>
      </c>
      <c r="C2131" s="129">
        <v>44916</v>
      </c>
      <c r="D2131" s="2" t="s">
        <v>517</v>
      </c>
      <c r="E2131" s="108">
        <v>59440</v>
      </c>
      <c r="F2131" s="129">
        <v>44917</v>
      </c>
      <c r="I2131" s="108">
        <f t="shared" si="112"/>
        <v>59440</v>
      </c>
      <c r="J2131" s="108" t="str">
        <f>IF(Таблица97[[#This Row],[НК]]=1,Таблица97[[#This Row],[Продажа]],"")</f>
        <v/>
      </c>
      <c r="M2131" s="108">
        <v>46531</v>
      </c>
      <c r="N2131" s="108">
        <f>Таблица97[[#This Row],[Продажа]]-Таблица97[[#This Row],[Закупка]]</f>
        <v>12909</v>
      </c>
      <c r="O2131" s="108" t="str">
        <f>IF(Таблица97[[#This Row],[НК]]=1,Таблица97[[#This Row],[Маржа]],"")</f>
        <v/>
      </c>
    </row>
    <row r="2132" spans="1:15" ht="20.100000000000001" customHeight="1" x14ac:dyDescent="0.25">
      <c r="A2132" s="2">
        <v>1179</v>
      </c>
      <c r="B2132" s="2" t="str">
        <f>TEXT(Таблица97[[#This Row],[Дата]],"ГГ")&amp;RIGHT("000"&amp;Таблица97[[#This Row],[Номер]],4)</f>
        <v>221179</v>
      </c>
      <c r="C2132" s="129">
        <v>44916</v>
      </c>
      <c r="D2132" s="2" t="s">
        <v>351</v>
      </c>
      <c r="E2132" s="108">
        <v>8560</v>
      </c>
      <c r="F2132" s="129">
        <v>44918</v>
      </c>
      <c r="H2132" s="129">
        <v>44918</v>
      </c>
      <c r="I2132" s="108">
        <f t="shared" si="112"/>
        <v>8560</v>
      </c>
      <c r="J2132" s="108" t="str">
        <f>IF(Таблица97[[#This Row],[НК]]=1,Таблица97[[#This Row],[Продажа]],"")</f>
        <v/>
      </c>
      <c r="M2132" s="108">
        <f>4485+2191</f>
        <v>6676</v>
      </c>
      <c r="N2132" s="108">
        <f>Таблица97[[#This Row],[Продажа]]-Таблица97[[#This Row],[Закупка]]</f>
        <v>1884</v>
      </c>
      <c r="O2132" s="108" t="str">
        <f>IF(Таблица97[[#This Row],[НК]]=1,Таблица97[[#This Row],[Маржа]],"")</f>
        <v/>
      </c>
    </row>
    <row r="2133" spans="1:15" ht="20.100000000000001" customHeight="1" x14ac:dyDescent="0.25">
      <c r="A2133" s="2">
        <v>1181</v>
      </c>
      <c r="B2133" s="2" t="str">
        <f>TEXT(Таблица97[[#This Row],[Дата]],"ГГ")&amp;RIGHT("000"&amp;Таблица97[[#This Row],[Номер]],4)</f>
        <v>221181</v>
      </c>
      <c r="C2133" s="129">
        <v>44916</v>
      </c>
      <c r="D2133" s="2" t="s">
        <v>517</v>
      </c>
      <c r="E2133" s="108">
        <v>14960</v>
      </c>
      <c r="F2133" s="129">
        <v>44921</v>
      </c>
      <c r="I2133" s="108">
        <f t="shared" si="112"/>
        <v>14960</v>
      </c>
      <c r="J2133" s="108" t="str">
        <f>IF(Таблица97[[#This Row],[НК]]=1,Таблица97[[#This Row],[Продажа]],"")</f>
        <v/>
      </c>
      <c r="M2133" s="108">
        <f>6474+2355</f>
        <v>8829</v>
      </c>
      <c r="N2133" s="108">
        <f>Таблица97[[#This Row],[Продажа]]-Таблица97[[#This Row],[Закупка]]</f>
        <v>6131</v>
      </c>
      <c r="O2133" s="108" t="str">
        <f>IF(Таблица97[[#This Row],[НК]]=1,Таблица97[[#This Row],[Маржа]],"")</f>
        <v/>
      </c>
    </row>
    <row r="2134" spans="1:15" ht="20.100000000000001" customHeight="1" x14ac:dyDescent="0.25">
      <c r="A2134" s="2">
        <v>1192</v>
      </c>
      <c r="B2134" s="2" t="str">
        <f>TEXT(Таблица97[[#This Row],[Дата]],"ГГ")&amp;RIGHT("000"&amp;Таблица97[[#This Row],[Номер]],4)</f>
        <v>221192</v>
      </c>
      <c r="C2134" s="129">
        <v>44918</v>
      </c>
      <c r="D2134" s="2" t="s">
        <v>351</v>
      </c>
      <c r="E2134" s="108">
        <v>10058</v>
      </c>
      <c r="F2134" s="129">
        <v>44922</v>
      </c>
      <c r="I2134" s="108">
        <f t="shared" si="112"/>
        <v>10058</v>
      </c>
      <c r="J2134" s="108" t="str">
        <f>IF(Таблица97[[#This Row],[НК]]=1,Таблица97[[#This Row],[Продажа]],"")</f>
        <v/>
      </c>
      <c r="M2134" s="108">
        <v>7254</v>
      </c>
      <c r="N2134" s="108">
        <f>Таблица97[[#This Row],[Продажа]]-Таблица97[[#This Row],[Закупка]]</f>
        <v>2804</v>
      </c>
      <c r="O2134" s="108" t="str">
        <f>IF(Таблица97[[#This Row],[НК]]=1,Таблица97[[#This Row],[Маржа]],"")</f>
        <v/>
      </c>
    </row>
    <row r="2135" spans="1:15" ht="20.100000000000001" customHeight="1" x14ac:dyDescent="0.25">
      <c r="A2135" s="2">
        <v>1153</v>
      </c>
      <c r="B2135" s="2" t="str">
        <f>TEXT(Таблица97[[#This Row],[Дата]],"ГГ")&amp;RIGHT("000"&amp;Таблица97[[#This Row],[Номер]],4)</f>
        <v>221153</v>
      </c>
      <c r="C2135" s="129">
        <v>44914</v>
      </c>
      <c r="D2135" s="2" t="s">
        <v>533</v>
      </c>
      <c r="E2135" s="108">
        <v>65580</v>
      </c>
      <c r="F2135" s="129">
        <v>44922</v>
      </c>
      <c r="H2135" s="129">
        <v>44914</v>
      </c>
      <c r="I2135" s="108">
        <f t="shared" si="112"/>
        <v>65580</v>
      </c>
      <c r="J2135" s="108" t="str">
        <f>IF(Таблица97[[#This Row],[НК]]=1,Таблица97[[#This Row],[Продажа]],"")</f>
        <v/>
      </c>
      <c r="M2135" s="108">
        <v>46359</v>
      </c>
      <c r="N2135" s="108">
        <f>Таблица97[[#This Row],[Продажа]]-Таблица97[[#This Row],[Закупка]]</f>
        <v>19221</v>
      </c>
      <c r="O2135" s="108" t="str">
        <f>IF(Таблица97[[#This Row],[НК]]=1,Таблица97[[#This Row],[Маржа]],"")</f>
        <v/>
      </c>
    </row>
    <row r="2136" spans="1:15" ht="20.100000000000001" customHeight="1" x14ac:dyDescent="0.25">
      <c r="A2136" s="2">
        <v>979</v>
      </c>
      <c r="B2136" s="2" t="str">
        <f>TEXT(Таблица97[[#This Row],[Дата]],"ГГ")&amp;RIGHT("000"&amp;Таблица97[[#This Row],[Номер]],4)</f>
        <v>220979</v>
      </c>
      <c r="C2136" s="129">
        <v>44859</v>
      </c>
      <c r="D2136" s="2" t="s">
        <v>56</v>
      </c>
      <c r="E2136" s="108">
        <v>94561</v>
      </c>
      <c r="F2136" s="129">
        <v>44923</v>
      </c>
      <c r="H2136" s="129">
        <v>44879</v>
      </c>
      <c r="I2136" s="108">
        <f t="shared" si="112"/>
        <v>94561</v>
      </c>
      <c r="J2136" s="108" t="str">
        <f>IF(Таблица97[[#This Row],[НК]]=1,Таблица97[[#This Row],[Продажа]],"")</f>
        <v/>
      </c>
      <c r="L2136" s="108">
        <v>500</v>
      </c>
      <c r="M2136" s="108">
        <v>58371</v>
      </c>
      <c r="N2136" s="108">
        <f>Таблица97[[#This Row],[Продажа]]-Таблица97[[#This Row],[Закупка]]</f>
        <v>36190</v>
      </c>
      <c r="O2136" s="108" t="str">
        <f>IF(Таблица97[[#This Row],[НК]]=1,Таблица97[[#This Row],[Маржа]],"")</f>
        <v/>
      </c>
    </row>
    <row r="2137" spans="1:15" ht="20.100000000000001" customHeight="1" x14ac:dyDescent="0.25">
      <c r="A2137" s="2">
        <v>978</v>
      </c>
      <c r="B2137" s="2" t="str">
        <f>TEXT(Таблица97[[#This Row],[Дата]],"ГГ")&amp;RIGHT("000"&amp;Таблица97[[#This Row],[Номер]],4)</f>
        <v>220978</v>
      </c>
      <c r="C2137" s="129">
        <v>44876</v>
      </c>
      <c r="D2137" s="2" t="s">
        <v>56</v>
      </c>
      <c r="E2137" s="108">
        <v>30600</v>
      </c>
      <c r="F2137" s="129">
        <v>44923</v>
      </c>
      <c r="H2137" s="129">
        <v>44879</v>
      </c>
      <c r="I2137" s="108">
        <f t="shared" si="112"/>
        <v>30600</v>
      </c>
      <c r="J2137" s="108" t="str">
        <f>IF(Таблица97[[#This Row],[НК]]=1,Таблица97[[#This Row],[Продажа]],"")</f>
        <v/>
      </c>
      <c r="M2137" s="108">
        <f>11934*2</f>
        <v>23868</v>
      </c>
      <c r="N2137" s="108">
        <f>Таблица97[[#This Row],[Продажа]]-Таблица97[[#This Row],[Закупка]]</f>
        <v>6732</v>
      </c>
      <c r="O2137" s="108" t="str">
        <f>IF(Таблица97[[#This Row],[НК]]=1,Таблица97[[#This Row],[Маржа]],"")</f>
        <v/>
      </c>
    </row>
    <row r="2138" spans="1:15" ht="20.100000000000001" customHeight="1" x14ac:dyDescent="0.25">
      <c r="A2138" s="2">
        <v>1201</v>
      </c>
      <c r="B2138" s="2" t="str">
        <f>TEXT(Таблица97[[#This Row],[Дата]],"ГГ")&amp;RIGHT("000"&amp;Таблица97[[#This Row],[Номер]],4)</f>
        <v>221201</v>
      </c>
      <c r="C2138" s="129">
        <v>44923</v>
      </c>
      <c r="D2138" s="2" t="s">
        <v>124</v>
      </c>
      <c r="E2138" s="108">
        <v>7500</v>
      </c>
      <c r="F2138" s="129">
        <v>44923</v>
      </c>
      <c r="H2138" s="129">
        <v>44924</v>
      </c>
      <c r="I2138" s="108">
        <f t="shared" si="112"/>
        <v>7500</v>
      </c>
      <c r="J2138" s="108" t="str">
        <f>IF(Таблица97[[#This Row],[НК]]=1,Таблица97[[#This Row],[Продажа]],"")</f>
        <v/>
      </c>
      <c r="M2138" s="108">
        <f>780*5</f>
        <v>3900</v>
      </c>
      <c r="N2138" s="108">
        <f>Таблица97[[#This Row],[Продажа]]-Таблица97[[#This Row],[Закупка]]</f>
        <v>3600</v>
      </c>
      <c r="O2138" s="108" t="str">
        <f>IF(Таблица97[[#This Row],[НК]]=1,Таблица97[[#This Row],[Маржа]],"")</f>
        <v/>
      </c>
    </row>
    <row r="2139" spans="1:15" ht="20.100000000000001" customHeight="1" x14ac:dyDescent="0.25">
      <c r="A2139" s="2">
        <v>1186</v>
      </c>
      <c r="B2139" s="2" t="str">
        <f>TEXT(Таблица97[[#This Row],[Дата]],"ГГ")&amp;RIGHT("000"&amp;Таблица97[[#This Row],[Номер]],4)</f>
        <v>221186</v>
      </c>
      <c r="C2139" s="129">
        <v>44917</v>
      </c>
      <c r="D2139" s="2" t="s">
        <v>534</v>
      </c>
      <c r="E2139" s="108">
        <v>13590</v>
      </c>
      <c r="F2139" s="129">
        <v>44923</v>
      </c>
      <c r="G2139" s="128">
        <v>1</v>
      </c>
      <c r="H2139" s="129">
        <v>44924</v>
      </c>
      <c r="I2139" s="108">
        <f t="shared" si="112"/>
        <v>13590</v>
      </c>
      <c r="J2139" s="108">
        <f>IF(Таблица97[[#This Row],[НК]]=1,Таблица97[[#This Row],[Продажа]],"")</f>
        <v>13590</v>
      </c>
      <c r="M2139" s="108">
        <v>9988</v>
      </c>
      <c r="N2139" s="108">
        <f>Таблица97[[#This Row],[Продажа]]-Таблица97[[#This Row],[Закупка]]</f>
        <v>3602</v>
      </c>
      <c r="O2139" s="108">
        <f>IF(Таблица97[[#This Row],[НК]]=1,Таблица97[[#This Row],[Маржа]],"")</f>
        <v>3602</v>
      </c>
    </row>
    <row r="2140" spans="1:15" ht="20.100000000000001" customHeight="1" x14ac:dyDescent="0.25">
      <c r="A2140" s="2">
        <v>1202</v>
      </c>
      <c r="B2140" s="2" t="str">
        <f>TEXT(Таблица97[[#This Row],[Дата]],"ГГ")&amp;RIGHT("000"&amp;Таблица97[[#This Row],[Номер]],4)</f>
        <v>221202</v>
      </c>
      <c r="C2140" s="129">
        <v>44923</v>
      </c>
      <c r="D2140" s="2" t="s">
        <v>492</v>
      </c>
      <c r="E2140" s="108">
        <v>3460</v>
      </c>
      <c r="F2140" s="129">
        <v>44924</v>
      </c>
      <c r="I2140" s="108">
        <f t="shared" si="112"/>
        <v>3460</v>
      </c>
      <c r="J2140" s="108" t="str">
        <f>IF(Таблица97[[#This Row],[НК]]=1,Таблица97[[#This Row],[Продажа]],"")</f>
        <v/>
      </c>
      <c r="M2140" s="108">
        <f>889*2+920</f>
        <v>2698</v>
      </c>
      <c r="N2140" s="108">
        <f>Таблица97[[#This Row],[Продажа]]-Таблица97[[#This Row],[Закупка]]</f>
        <v>762</v>
      </c>
      <c r="O2140" s="108" t="str">
        <f>IF(Таблица97[[#This Row],[НК]]=1,Таблица97[[#This Row],[Маржа]],"")</f>
        <v/>
      </c>
    </row>
  </sheetData>
  <pageMargins left="0" right="0" top="0" bottom="0" header="0" footer="0"/>
  <pageSetup paperSize="9" orientation="landscape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0EAA6-87B1-4447-A206-9B354860596F}">
  <dimension ref="A1:AG97"/>
  <sheetViews>
    <sheetView tabSelected="1" workbookViewId="0">
      <selection activeCell="J8" sqref="J8"/>
    </sheetView>
  </sheetViews>
  <sheetFormatPr defaultRowHeight="15" x14ac:dyDescent="0.25"/>
  <cols>
    <col min="1" max="1" width="14.140625" style="85" bestFit="1" customWidth="1"/>
    <col min="2" max="2" width="13.5703125" bestFit="1" customWidth="1"/>
    <col min="3" max="3" width="15.7109375" customWidth="1"/>
    <col min="4" max="4" width="12.85546875" bestFit="1" customWidth="1"/>
    <col min="5" max="5" width="13.85546875" bestFit="1" customWidth="1"/>
    <col min="6" max="6" width="13.28515625" bestFit="1" customWidth="1"/>
    <col min="7" max="7" width="9.28515625" style="80" bestFit="1" customWidth="1"/>
    <col min="8" max="8" width="14.140625" style="80" bestFit="1" customWidth="1"/>
    <col min="9" max="9" width="11.140625" style="80" bestFit="1" customWidth="1"/>
    <col min="10" max="10" width="10.140625" bestFit="1" customWidth="1"/>
    <col min="11" max="11" width="13" bestFit="1" customWidth="1"/>
    <col min="13" max="13" width="14.42578125" bestFit="1" customWidth="1"/>
    <col min="14" max="14" width="11.7109375" bestFit="1" customWidth="1"/>
  </cols>
  <sheetData>
    <row r="1" spans="1:14" ht="15.75" x14ac:dyDescent="0.25">
      <c r="A1" s="85" t="s">
        <v>609</v>
      </c>
      <c r="B1" s="2" t="s">
        <v>132</v>
      </c>
      <c r="C1" s="2" t="s">
        <v>133</v>
      </c>
      <c r="D1" s="40" t="s">
        <v>130</v>
      </c>
      <c r="E1" s="2" t="s">
        <v>131</v>
      </c>
      <c r="F1" s="79" t="s">
        <v>611</v>
      </c>
      <c r="G1" s="79" t="s">
        <v>610</v>
      </c>
      <c r="H1" s="79" t="s">
        <v>655</v>
      </c>
      <c r="I1" s="2" t="s">
        <v>612</v>
      </c>
      <c r="J1" s="2" t="s">
        <v>613</v>
      </c>
      <c r="K1" s="2" t="s">
        <v>615</v>
      </c>
      <c r="L1" s="2" t="s">
        <v>614</v>
      </c>
      <c r="M1" s="2" t="s">
        <v>624</v>
      </c>
      <c r="N1" s="2" t="s">
        <v>616</v>
      </c>
    </row>
    <row r="2" spans="1:14" x14ac:dyDescent="0.25">
      <c r="A2" s="86">
        <v>42036</v>
      </c>
      <c r="B2" s="50">
        <f>Февраль2015[[#Totals],[Продажа]]</f>
        <v>174382.41999999998</v>
      </c>
      <c r="C2" s="50">
        <f>Февраль2015[[#Totals],[Продажа НК]]</f>
        <v>174382.41999999998</v>
      </c>
      <c r="F2" s="80">
        <f>ROUND(Таблица98[[#This Row],[Продажа]]*(0.02 +IF(Таблица98[[#This Row],[Продажа]]&gt;=500000,0.03,0))+Таблица98[[#This Row],[Продажа НК]]*0.02,0)</f>
        <v>6975</v>
      </c>
      <c r="G2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6975</v>
      </c>
      <c r="H2" s="84">
        <f>Февраль2015[[#Totals],[Оплата]]</f>
        <v>6975.2967999999992</v>
      </c>
      <c r="I2"/>
      <c r="K2" s="80">
        <f>Таблица98[[#This Row],[БонусОлд]]-Таблица98[[#This Row],[Премия]]+Таблица98[[#This Row],[Штраф]]+14790</f>
        <v>21765</v>
      </c>
      <c r="L2" s="80">
        <f>Таблица98[[#This Row],[Бонус]]-Таблица98[[#This Row],[Штраф]]+Таблица98[[#This Row],[Премия]]+14790</f>
        <v>21765</v>
      </c>
      <c r="M2" s="80">
        <f>Таблица98[[#This Row],[БонусФакт]]+14790</f>
        <v>21765.2968</v>
      </c>
      <c r="N2" s="80">
        <f>Таблица98[[#This Row],[Бонус]]-Таблица98[[#This Row],[БонусОлд]]</f>
        <v>0</v>
      </c>
    </row>
    <row r="3" spans="1:14" x14ac:dyDescent="0.25">
      <c r="A3" s="86">
        <v>42064</v>
      </c>
      <c r="B3" s="50">
        <f>Март2015[[#Totals],[Продажа]]</f>
        <v>182189.76</v>
      </c>
      <c r="C3" s="50">
        <f>Март2015[[#Totals],[Продажа НК]]</f>
        <v>165259.35999999999</v>
      </c>
      <c r="F3" s="80">
        <f>ROUND(Таблица98[[#This Row],[Продажа]]*(0.02 +IF(Таблица98[[#This Row],[Продажа]]&gt;=500000,0.03,0))+Таблица98[[#This Row],[Продажа НК]]*0.02,0)</f>
        <v>6949</v>
      </c>
      <c r="G3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6949</v>
      </c>
      <c r="H3" s="84">
        <f>Март2015[[#Totals],[Оплата]]</f>
        <v>6948.9824000000008</v>
      </c>
      <c r="I3"/>
      <c r="K3" s="80">
        <f>Таблица98[[#This Row],[БонусОлд]]-Таблица98[[#This Row],[Премия]]+Таблица98[[#This Row],[Штраф]]+14790</f>
        <v>21739</v>
      </c>
      <c r="L3" s="80">
        <f>Таблица98[[#This Row],[Бонус]]-Таблица98[[#This Row],[Штраф]]+Таблица98[[#This Row],[Премия]]+14790</f>
        <v>21739</v>
      </c>
      <c r="M3" s="80">
        <f>Таблица98[[#This Row],[БонусФакт]]+14790</f>
        <v>21738.982400000001</v>
      </c>
      <c r="N3" s="80">
        <f>Таблица98[[#This Row],[Бонус]]-Таблица98[[#This Row],[БонусОлд]]</f>
        <v>0</v>
      </c>
    </row>
    <row r="4" spans="1:14" x14ac:dyDescent="0.25">
      <c r="A4" s="86">
        <v>42095</v>
      </c>
      <c r="B4" s="50">
        <f>Апрель2015[[#Totals],[Продажа]]</f>
        <v>908520.11</v>
      </c>
      <c r="C4" s="50">
        <f>Апрель2015[[#Totals],[Продажа НК]]</f>
        <v>93884.25</v>
      </c>
      <c r="F4" s="80">
        <f>ROUND(Таблица98[[#This Row],[Продажа]]*(0.02 +IF(Таблица98[[#This Row],[Продажа]]&gt;=500000,0.03,0))+Таблица98[[#This Row],[Продажа НК]]*0.02,0)</f>
        <v>47304</v>
      </c>
      <c r="G4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47304</v>
      </c>
      <c r="H4" s="84">
        <f>Апрель2015[[#Totals],[Оплата]]</f>
        <v>47303.690499999997</v>
      </c>
      <c r="I4"/>
      <c r="K4" s="80">
        <f>Таблица98[[#This Row],[БонусОлд]]-Таблица98[[#This Row],[Премия]]+Таблица98[[#This Row],[Штраф]]+14790</f>
        <v>62094</v>
      </c>
      <c r="L4" s="80">
        <f>Таблица98[[#This Row],[Бонус]]-Таблица98[[#This Row],[Штраф]]+Таблица98[[#This Row],[Премия]]+14790</f>
        <v>62094</v>
      </c>
      <c r="M4" s="80">
        <f>Таблица98[[#This Row],[БонусФакт]]+14790</f>
        <v>62093.690499999997</v>
      </c>
      <c r="N4" s="80">
        <f>Таблица98[[#This Row],[Бонус]]-Таблица98[[#This Row],[БонусОлд]]</f>
        <v>0</v>
      </c>
    </row>
    <row r="5" spans="1:14" x14ac:dyDescent="0.25">
      <c r="A5" s="86">
        <v>42125</v>
      </c>
      <c r="B5" s="50">
        <f>Май2015[[#Totals],[Продажа]]</f>
        <v>1503359.38</v>
      </c>
      <c r="C5" s="50">
        <f>Май2015[[#Totals],[Продажа НК]]</f>
        <v>153683.06999999998</v>
      </c>
      <c r="F5" s="80">
        <f>ROUND(Таблица98[[#This Row],[Продажа]]*(0.02 +IF(Таблица98[[#This Row],[Продажа]]&gt;=500000,0.03,0))+Таблица98[[#This Row],[Продажа НК]]*0.02,0)</f>
        <v>78242</v>
      </c>
      <c r="G5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78242</v>
      </c>
      <c r="H5" s="84">
        <f>Май2015[[#Totals],[Оплата]]</f>
        <v>78241.630399999995</v>
      </c>
      <c r="I5"/>
      <c r="K5" s="80">
        <f>Таблица98[[#This Row],[БонусОлд]]-Таблица98[[#This Row],[Премия]]+Таблица98[[#This Row],[Штраф]]+14790</f>
        <v>93032</v>
      </c>
      <c r="L5" s="80">
        <f>Таблица98[[#This Row],[Бонус]]-Таблица98[[#This Row],[Штраф]]+Таблица98[[#This Row],[Премия]]+14790</f>
        <v>93032</v>
      </c>
      <c r="M5" s="80">
        <f>Таблица98[[#This Row],[БонусФакт]]+14790</f>
        <v>93031.630399999995</v>
      </c>
      <c r="N5" s="80">
        <f>Таблица98[[#This Row],[Бонус]]-Таблица98[[#This Row],[БонусОлд]]</f>
        <v>0</v>
      </c>
    </row>
    <row r="6" spans="1:14" x14ac:dyDescent="0.25">
      <c r="A6" s="86">
        <v>42156</v>
      </c>
      <c r="B6" s="50">
        <f>Июнь2015[[#Totals],[Продажа]]</f>
        <v>1871788.58</v>
      </c>
      <c r="C6" s="50">
        <f>Июнь2015[[#Totals],[Продажа НК]]</f>
        <v>228916.44</v>
      </c>
      <c r="F6" s="80">
        <f>ROUND(Таблица98[[#This Row],[Продажа]]*(0.02 +IF(Таблица98[[#This Row],[Продажа]]&gt;=500000,0.03,0))+Таблица98[[#This Row],[Продажа НК]]*0.02,0)</f>
        <v>98168</v>
      </c>
      <c r="G6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98168</v>
      </c>
      <c r="H6" s="84">
        <f>Июнь2015[[#Totals],[Оплата]]</f>
        <v>98167.757800000007</v>
      </c>
      <c r="I6"/>
      <c r="K6" s="80">
        <f>Таблица98[[#This Row],[БонусОлд]]-Таблица98[[#This Row],[Премия]]+Таблица98[[#This Row],[Штраф]]+14790</f>
        <v>112958</v>
      </c>
      <c r="L6" s="80">
        <f>Таблица98[[#This Row],[Бонус]]-Таблица98[[#This Row],[Штраф]]+Таблица98[[#This Row],[Премия]]+14790</f>
        <v>112958</v>
      </c>
      <c r="M6" s="80">
        <f>Таблица98[[#This Row],[БонусФакт]]+14790</f>
        <v>112957.75780000001</v>
      </c>
      <c r="N6" s="80">
        <f>Таблица98[[#This Row],[Бонус]]-Таблица98[[#This Row],[БонусОлд]]</f>
        <v>0</v>
      </c>
    </row>
    <row r="7" spans="1:14" x14ac:dyDescent="0.25">
      <c r="A7" s="86">
        <v>42186</v>
      </c>
      <c r="B7" s="50">
        <f>Июль2015[[#Totals],[Продажа]]</f>
        <v>455340.28</v>
      </c>
      <c r="C7" s="50">
        <f>Июль2015[[#Totals],[Продажа НК]]</f>
        <v>156089.91999999998</v>
      </c>
      <c r="F7" s="80">
        <f>ROUND(Таблица98[[#This Row],[Продажа]]*(0.02 +IF(Таблица98[[#This Row],[Продажа]]&gt;=500000,0.03,0))+Таблица98[[#This Row],[Продажа НК]]*0.02,0)</f>
        <v>12229</v>
      </c>
      <c r="G7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12229</v>
      </c>
      <c r="H7" s="84">
        <f>Июль2015[[#Totals],[Оплата]]</f>
        <v>12228.604000000001</v>
      </c>
      <c r="I7"/>
      <c r="K7" s="80">
        <f>Таблица98[[#This Row],[БонусОлд]]-Таблица98[[#This Row],[Премия]]+Таблица98[[#This Row],[Штраф]]+14790</f>
        <v>27019</v>
      </c>
      <c r="L7" s="80">
        <f>Таблица98[[#This Row],[Бонус]]-Таблица98[[#This Row],[Штраф]]+Таблица98[[#This Row],[Премия]]+14790</f>
        <v>27019</v>
      </c>
      <c r="M7" s="80">
        <f>Таблица98[[#This Row],[БонусФакт]]+14790</f>
        <v>27018.603999999999</v>
      </c>
      <c r="N7" s="80">
        <f>Таблица98[[#This Row],[Бонус]]-Таблица98[[#This Row],[БонусОлд]]</f>
        <v>0</v>
      </c>
    </row>
    <row r="8" spans="1:14" x14ac:dyDescent="0.25">
      <c r="A8" s="86">
        <v>42217</v>
      </c>
      <c r="B8" s="50">
        <f>Август2015[[#Totals],[Продажа]]</f>
        <v>300239.33</v>
      </c>
      <c r="C8" s="50">
        <f>Август2015[[#Totals],[Продажа НК]]</f>
        <v>120795.81999999999</v>
      </c>
      <c r="F8" s="80">
        <f>ROUND(Таблица98[[#This Row],[Продажа]]*(0.02 +IF(Таблица98[[#This Row],[Продажа]]&gt;=500000,0.03,0))+Таблица98[[#This Row],[Продажа НК]]*0.02,0)</f>
        <v>8421</v>
      </c>
      <c r="G8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8421</v>
      </c>
      <c r="H8" s="84">
        <f>Август2015[[#Totals],[Оплата]]</f>
        <v>8420.7030000000013</v>
      </c>
      <c r="I8"/>
      <c r="K8" s="80">
        <f>Таблица98[[#This Row],[БонусОлд]]-Таблица98[[#This Row],[Премия]]+Таблица98[[#This Row],[Штраф]]+14790</f>
        <v>23211</v>
      </c>
      <c r="L8" s="80">
        <f>Таблица98[[#This Row],[Бонус]]-Таблица98[[#This Row],[Штраф]]+Таблица98[[#This Row],[Премия]]+14790</f>
        <v>23211</v>
      </c>
      <c r="M8" s="80">
        <f>Таблица98[[#This Row],[БонусФакт]]+14790</f>
        <v>23210.703000000001</v>
      </c>
      <c r="N8" s="80">
        <f>Таблица98[[#This Row],[Бонус]]-Таблица98[[#This Row],[БонусОлд]]</f>
        <v>0</v>
      </c>
    </row>
    <row r="9" spans="1:14" x14ac:dyDescent="0.25">
      <c r="A9" s="86">
        <v>42248</v>
      </c>
      <c r="B9" s="50">
        <f>Сентябрь2015[[#Totals],[Продажа]]</f>
        <v>393600.1</v>
      </c>
      <c r="C9" s="50">
        <f>Сентябрь2015[[#Totals],[Продажа НК]]</f>
        <v>253430.75000000003</v>
      </c>
      <c r="F9" s="80">
        <f>ROUND(Таблица98[[#This Row],[Продажа]]*(0.02 +IF(Таблица98[[#This Row],[Продажа]]&gt;=500000,0.03,0))+Таблица98[[#This Row],[Продажа НК]]*0.02,0)</f>
        <v>12941</v>
      </c>
      <c r="G9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12941</v>
      </c>
      <c r="H9" s="84">
        <f>Сентябрь2015[[#Totals],[Оплата]]</f>
        <v>12940.617</v>
      </c>
      <c r="I9"/>
      <c r="K9" s="80">
        <f>Таблица98[[#This Row],[БонусОлд]]-Таблица98[[#This Row],[Премия]]+Таблица98[[#This Row],[Штраф]]+14790</f>
        <v>27731</v>
      </c>
      <c r="L9" s="80">
        <f>Таблица98[[#This Row],[Бонус]]-Таблица98[[#This Row],[Штраф]]+Таблица98[[#This Row],[Премия]]+14790</f>
        <v>27731</v>
      </c>
      <c r="M9" s="80">
        <f>Таблица98[[#This Row],[БонусФакт]]+14790</f>
        <v>27730.616999999998</v>
      </c>
      <c r="N9" s="80">
        <f>Таблица98[[#This Row],[Бонус]]-Таблица98[[#This Row],[БонусОлд]]</f>
        <v>0</v>
      </c>
    </row>
    <row r="10" spans="1:14" x14ac:dyDescent="0.25">
      <c r="A10" s="86">
        <v>42278</v>
      </c>
      <c r="B10" s="50">
        <f>Октябрь2015[[#Totals],[Продажа]]</f>
        <v>818045.69</v>
      </c>
      <c r="C10" s="50">
        <f>Октябрь2015[[#Totals],[Продажа НК]]</f>
        <v>34931.919999999998</v>
      </c>
      <c r="F10" s="80">
        <f>ROUND(Таблица98[[#This Row],[Продажа]]*(0.02 +IF(Таблица98[[#This Row],[Продажа]]&gt;=500000,0.03,0))+Таблица98[[#This Row],[Продажа НК]]*0.02,0)</f>
        <v>41601</v>
      </c>
      <c r="G10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41601</v>
      </c>
      <c r="H10" s="84">
        <f>Октябрь2015[[#Totals],[Оплата]]</f>
        <v>41600.922900000005</v>
      </c>
      <c r="I10"/>
      <c r="K10" s="80">
        <f>Таблица98[[#This Row],[БонусОлд]]-Таблица98[[#This Row],[Премия]]+Таблица98[[#This Row],[Штраф]]+14790</f>
        <v>56391</v>
      </c>
      <c r="L10" s="80">
        <f>Таблица98[[#This Row],[Бонус]]-Таблица98[[#This Row],[Штраф]]+Таблица98[[#This Row],[Премия]]+14790</f>
        <v>56391</v>
      </c>
      <c r="M10" s="80">
        <f>Таблица98[[#This Row],[БонусФакт]]+14790</f>
        <v>56390.922900000005</v>
      </c>
      <c r="N10" s="80">
        <f>Таблица98[[#This Row],[Бонус]]-Таблица98[[#This Row],[БонусОлд]]</f>
        <v>0</v>
      </c>
    </row>
    <row r="11" spans="1:14" x14ac:dyDescent="0.25">
      <c r="A11" s="86">
        <v>42309</v>
      </c>
      <c r="B11" s="50">
        <f>Ноябрь2015[[#Totals],[Продажа]]</f>
        <v>132431.05000000002</v>
      </c>
      <c r="C11" s="50">
        <f>Ноябрь2015[[#Totals],[Продажа НК]]</f>
        <v>82661.820000000007</v>
      </c>
      <c r="F11" s="80">
        <f>ROUND(Таблица98[[#This Row],[Продажа]]*(0.02 +IF(Таблица98[[#This Row],[Продажа]]&gt;=500000,0.03,0))+Таблица98[[#This Row],[Продажа НК]]*0.02,0)</f>
        <v>4302</v>
      </c>
      <c r="G11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4302</v>
      </c>
      <c r="H11" s="84">
        <f>Ноябрь2015[[#Totals],[Оплата]]</f>
        <v>4301.8574000000008</v>
      </c>
      <c r="I11"/>
      <c r="K11" s="80">
        <f>Таблица98[[#This Row],[БонусОлд]]-Таблица98[[#This Row],[Премия]]+Таблица98[[#This Row],[Штраф]]+14790</f>
        <v>19092</v>
      </c>
      <c r="L11" s="80">
        <f>Таблица98[[#This Row],[Бонус]]-Таблица98[[#This Row],[Штраф]]+Таблица98[[#This Row],[Премия]]+14790</f>
        <v>19092</v>
      </c>
      <c r="M11" s="80">
        <f>Таблица98[[#This Row],[БонусФакт]]+14790</f>
        <v>19091.857400000001</v>
      </c>
      <c r="N11" s="80">
        <f>Таблица98[[#This Row],[Бонус]]-Таблица98[[#This Row],[БонусОлд]]</f>
        <v>0</v>
      </c>
    </row>
    <row r="12" spans="1:14" x14ac:dyDescent="0.25">
      <c r="A12" s="86">
        <v>42339</v>
      </c>
      <c r="B12" s="50">
        <f>Декабрь2015[[#Totals],[Продажа]]</f>
        <v>1388698.6300000001</v>
      </c>
      <c r="C12" s="50">
        <f>Декабрь2015[[#Totals],[Продажа НК]]</f>
        <v>312643.32</v>
      </c>
      <c r="F12" s="80">
        <f>ROUND(Таблица98[[#This Row],[Продажа]]*(0.02 +IF(Таблица98[[#This Row],[Продажа]]&gt;=500000,0.03,0))+Таблица98[[#This Row],[Продажа НК]]*0.02,0)</f>
        <v>75688</v>
      </c>
      <c r="G12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75688</v>
      </c>
      <c r="H12" s="84">
        <f>Декабрь2015[[#Totals],[Оплата]]</f>
        <v>75687.797900000005</v>
      </c>
      <c r="I12"/>
      <c r="K12" s="80">
        <f>Таблица98[[#This Row],[БонусОлд]]-Таблица98[[#This Row],[Премия]]+Таблица98[[#This Row],[Штраф]]+14790</f>
        <v>90478</v>
      </c>
      <c r="L12" s="80">
        <f>Таблица98[[#This Row],[Бонус]]-Таблица98[[#This Row],[Штраф]]+Таблица98[[#This Row],[Премия]]+14790</f>
        <v>90478</v>
      </c>
      <c r="M12" s="80">
        <f>Таблица98[[#This Row],[БонусФакт]]+14790</f>
        <v>90477.797900000005</v>
      </c>
      <c r="N12" s="80">
        <f>Таблица98[[#This Row],[Бонус]]-Таблица98[[#This Row],[БонусОлд]]</f>
        <v>0</v>
      </c>
    </row>
    <row r="13" spans="1:14" x14ac:dyDescent="0.25">
      <c r="A13" s="86">
        <v>42370</v>
      </c>
      <c r="B13" s="50">
        <f>Январь2016[[#Totals],[Продажа]]</f>
        <v>126099.84</v>
      </c>
      <c r="C13" s="50">
        <f>Январь2016[[#Totals],[Продажа НК]]</f>
        <v>22091.45</v>
      </c>
      <c r="F13" s="80">
        <f>ROUND(Таблица98[[#This Row],[Продажа]]*(0.02 +IF(Таблица98[[#This Row],[Продажа]]&gt;=500000,0.03,0))+Таблица98[[#This Row],[Продажа НК]]*0.02,0)</f>
        <v>2964</v>
      </c>
      <c r="G13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2964</v>
      </c>
      <c r="H13" s="84">
        <f>Январь2016[[#Totals],[Оплата]]</f>
        <v>2963.8258000000001</v>
      </c>
      <c r="I13"/>
      <c r="K13" s="80">
        <f>Таблица98[[#This Row],[БонусОлд]]-Таблица98[[#This Row],[Премия]]+Таблица98[[#This Row],[Штраф]]+14790</f>
        <v>17754</v>
      </c>
      <c r="L13" s="80">
        <f>Таблица98[[#This Row],[Бонус]]-Таблица98[[#This Row],[Штраф]]+Таблица98[[#This Row],[Премия]]+14790</f>
        <v>17754</v>
      </c>
      <c r="M13" s="80">
        <f>Таблица98[[#This Row],[БонусФакт]]+14790</f>
        <v>17753.825799999999</v>
      </c>
      <c r="N13" s="80">
        <f>Таблица98[[#This Row],[Бонус]]-Таблица98[[#This Row],[БонусОлд]]</f>
        <v>0</v>
      </c>
    </row>
    <row r="14" spans="1:14" x14ac:dyDescent="0.25">
      <c r="A14" s="86">
        <v>42401</v>
      </c>
      <c r="B14" s="50">
        <f>Февраль2016[[#Totals],[Продажа]]</f>
        <v>771929.33</v>
      </c>
      <c r="C14" s="50">
        <f>Февраль2016[[#Totals],[Продажа НК]]</f>
        <v>251086.80000000002</v>
      </c>
      <c r="F14" s="80">
        <f>ROUND(Таблица98[[#This Row],[Продажа]]*(0.02 +IF(Таблица98[[#This Row],[Продажа]]&gt;=500000,0.03,0))+Таблица98[[#This Row],[Продажа НК]]*0.02,0)</f>
        <v>43618</v>
      </c>
      <c r="G14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43618</v>
      </c>
      <c r="H14" s="84">
        <f>Февраль2016[[#Totals],[Оплата]]</f>
        <v>43618.202499999999</v>
      </c>
      <c r="I14"/>
      <c r="K14" s="80">
        <f>Таблица98[[#This Row],[БонусОлд]]-Таблица98[[#This Row],[Премия]]+Таблица98[[#This Row],[Штраф]]+14790</f>
        <v>58408</v>
      </c>
      <c r="L14" s="80">
        <f>Таблица98[[#This Row],[Бонус]]-Таблица98[[#This Row],[Штраф]]+Таблица98[[#This Row],[Премия]]+14790</f>
        <v>58408</v>
      </c>
      <c r="M14" s="80">
        <f>Таблица98[[#This Row],[БонусФакт]]+14790</f>
        <v>58408.202499999999</v>
      </c>
      <c r="N14" s="80">
        <f>Таблица98[[#This Row],[Бонус]]-Таблица98[[#This Row],[БонусОлд]]</f>
        <v>0</v>
      </c>
    </row>
    <row r="15" spans="1:14" x14ac:dyDescent="0.25">
      <c r="A15" s="86">
        <v>42430</v>
      </c>
      <c r="B15" s="50">
        <f>Март2016[[#Totals],[Продажа]]</f>
        <v>903398.21999999974</v>
      </c>
      <c r="C15" s="50">
        <f>Март2016[[#Totals],[Продажа НК]]</f>
        <v>101984.88</v>
      </c>
      <c r="D15" s="50">
        <f>Март2016[[#Totals],[Маржа]]</f>
        <v>318259.10679999995</v>
      </c>
      <c r="E15" s="50">
        <f>Март2016[[#Totals],[Маржа НК]]</f>
        <v>33816.879999999997</v>
      </c>
      <c r="F15" s="80">
        <f>ROUND(Таблица98[[#This Row],[Продажа]]*(0.02 +IF(Таблица98[[#This Row],[Продажа]]&gt;=500000,0.03,0))+Таблица98[[#This Row],[Продажа НК]]*0.02,0)</f>
        <v>47210</v>
      </c>
      <c r="G15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56133</v>
      </c>
      <c r="H15" s="84" t="str">
        <f>Март2016[[#Totals],[Оплата]]</f>
        <v>55 900,00</v>
      </c>
      <c r="I15"/>
      <c r="K15" s="80">
        <f>Таблица98[[#This Row],[БонусОлд]]-Таблица98[[#This Row],[Премия]]+Таблица98[[#This Row],[Штраф]]+14790</f>
        <v>62000</v>
      </c>
      <c r="L15" s="80">
        <f>Таблица98[[#This Row],[Бонус]]-Таблица98[[#This Row],[Штраф]]+Таблица98[[#This Row],[Премия]]+14790</f>
        <v>70923</v>
      </c>
      <c r="M15" s="80">
        <f>Таблица98[[#This Row],[БонусФакт]]+14790</f>
        <v>70690</v>
      </c>
      <c r="N15" s="80">
        <f>Таблица98[[#This Row],[Бонус]]-Таблица98[[#This Row],[БонусОлд]]</f>
        <v>8923</v>
      </c>
    </row>
    <row r="16" spans="1:14" x14ac:dyDescent="0.25">
      <c r="A16" s="86">
        <v>42461</v>
      </c>
      <c r="B16" s="50">
        <f>Апрель2016[[#Totals],[Продажа]]</f>
        <v>1014294.04</v>
      </c>
      <c r="C16" s="50">
        <f>Апрель2016[[#Totals],[Продажа НК]]</f>
        <v>228900.28000000003</v>
      </c>
      <c r="D16" s="50">
        <f>Апрель2016[[#Totals],[Маржа]]</f>
        <v>328757.03820000001</v>
      </c>
      <c r="E16" s="50">
        <f>Апрель2016[[#Totals],[Маржа НК]]</f>
        <v>55574.76</v>
      </c>
      <c r="F16" s="80">
        <f>ROUND(Таблица98[[#This Row],[Продажа]]*(0.02 +IF(Таблица98[[#This Row],[Продажа]]&gt;=500000,0.03,0))+Таблица98[[#This Row],[Продажа НК]]*0.02,0)</f>
        <v>55293</v>
      </c>
      <c r="G16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59223</v>
      </c>
      <c r="H16" s="84" t="str">
        <f>Апрель2016[[#Totals],[Оплата]]</f>
        <v>65000,00</v>
      </c>
      <c r="I16"/>
      <c r="K16" s="80">
        <f>Таблица98[[#This Row],[БонусОлд]]-Таблица98[[#This Row],[Премия]]+Таблица98[[#This Row],[Штраф]]+14790</f>
        <v>70083</v>
      </c>
      <c r="L16" s="80">
        <f>Таблица98[[#This Row],[Бонус]]-Таблица98[[#This Row],[Штраф]]+Таблица98[[#This Row],[Премия]]+14790</f>
        <v>74013</v>
      </c>
      <c r="M16" s="80">
        <f>Таблица98[[#This Row],[БонусФакт]]+14790</f>
        <v>79790</v>
      </c>
      <c r="N16" s="80">
        <f>Таблица98[[#This Row],[Бонус]]-Таблица98[[#This Row],[БонусОлд]]</f>
        <v>3930</v>
      </c>
    </row>
    <row r="17" spans="1:14" x14ac:dyDescent="0.25">
      <c r="A17" s="86">
        <v>42491</v>
      </c>
      <c r="B17" s="50">
        <f>Май2016[[#Totals],[Продажа]]</f>
        <v>784596.76000000013</v>
      </c>
      <c r="C17" s="50">
        <f>Май2016[[#Totals],[Продажа НК]]</f>
        <v>130251.29</v>
      </c>
      <c r="D17" s="50">
        <f>Май2016[[#Totals],[Маржа]]</f>
        <v>272335.34999999998</v>
      </c>
      <c r="E17" s="50">
        <f>Май2016[[#Totals],[Маржа НК]]</f>
        <v>30723.29</v>
      </c>
      <c r="F17" s="80">
        <f>ROUND(Таблица98[[#This Row],[Продажа]]*(0.02 +IF(Таблица98[[#This Row],[Продажа]]&gt;=500000,0.03,0))+Таблица98[[#This Row],[Продажа НК]]*0.02,0)</f>
        <v>41835</v>
      </c>
      <c r="G17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48140</v>
      </c>
      <c r="H17" s="84" t="str">
        <f>Май2016[[#Totals],[Оплата]]</f>
        <v>49100,00</v>
      </c>
      <c r="I17"/>
      <c r="K17" s="80">
        <f>Таблица98[[#This Row],[БонусОлд]]-Таблица98[[#This Row],[Премия]]+Таблица98[[#This Row],[Штраф]]+14790</f>
        <v>56625</v>
      </c>
      <c r="L17" s="80">
        <f>Таблица98[[#This Row],[Бонус]]-Таблица98[[#This Row],[Штраф]]+Таблица98[[#This Row],[Премия]]+14790</f>
        <v>62930</v>
      </c>
      <c r="M17" s="80">
        <f>Таблица98[[#This Row],[БонусФакт]]+14790</f>
        <v>63890</v>
      </c>
      <c r="N17" s="80">
        <f>Таблица98[[#This Row],[Бонус]]-Таблица98[[#This Row],[БонусОлд]]</f>
        <v>6305</v>
      </c>
    </row>
    <row r="18" spans="1:14" x14ac:dyDescent="0.25">
      <c r="A18" s="86">
        <v>42522</v>
      </c>
      <c r="B18" s="50">
        <f>Июнь2016[[#Totals],[Продажа]]</f>
        <v>1042223.2200000001</v>
      </c>
      <c r="C18" s="50">
        <f>Июнь2016[[#Totals],[Продажа НК]]</f>
        <v>221015.45</v>
      </c>
      <c r="D18" s="50">
        <f>Июнь2016[[#Totals],[Маржа]]</f>
        <v>386019.67000000004</v>
      </c>
      <c r="E18" s="50">
        <f>Июнь2016[[#Totals],[Маржа НК]]</f>
        <v>48806.26</v>
      </c>
      <c r="F18" s="80">
        <f>ROUND(Таблица98[[#This Row],[Продажа]]*(0.02 +IF(Таблица98[[#This Row],[Продажа]]&gt;=500000,0.03,0))+Таблица98[[#This Row],[Продажа НК]]*0.02,0)</f>
        <v>56531</v>
      </c>
      <c r="G18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68552</v>
      </c>
      <c r="H18" s="84" t="str">
        <f>Июнь2016[[#Totals],[Оплата]]</f>
        <v>72700,00</v>
      </c>
      <c r="I18"/>
      <c r="K18" s="80">
        <f>Таблица98[[#This Row],[БонусОлд]]-Таблица98[[#This Row],[Премия]]+Таблица98[[#This Row],[Штраф]]+14790</f>
        <v>71321</v>
      </c>
      <c r="L18" s="80">
        <f>Таблица98[[#This Row],[Бонус]]-Таблица98[[#This Row],[Штраф]]+Таблица98[[#This Row],[Премия]]+14790</f>
        <v>83342</v>
      </c>
      <c r="M18" s="80">
        <f>Таблица98[[#This Row],[БонусФакт]]+14790</f>
        <v>87490</v>
      </c>
      <c r="N18" s="80">
        <f>Таблица98[[#This Row],[Бонус]]-Таблица98[[#This Row],[БонусОлд]]</f>
        <v>12021</v>
      </c>
    </row>
    <row r="19" spans="1:14" x14ac:dyDescent="0.25">
      <c r="A19" s="86">
        <v>42552</v>
      </c>
      <c r="B19" s="50">
        <f>Июль2016[[#Totals],[Продажа]]</f>
        <v>504276.93</v>
      </c>
      <c r="C19" s="50">
        <f>Июль2016[[#Totals],[Продажа НК]]</f>
        <v>173527.96</v>
      </c>
      <c r="D19" s="50">
        <f>Июль2016[[#Totals],[Маржа]]</f>
        <v>192572.10459999999</v>
      </c>
      <c r="E19" s="50">
        <f>Июль2016[[#Totals],[Маржа НК]]</f>
        <v>42785.279999999999</v>
      </c>
      <c r="F19" s="80">
        <f>ROUND(Таблица98[[#This Row],[Продажа]]*(0.02 +IF(Таблица98[[#This Row],[Продажа]]&gt;=500000,0.03,0))+Таблица98[[#This Row],[Продажа НК]]*0.02,0)</f>
        <v>28684</v>
      </c>
      <c r="G19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25676</v>
      </c>
      <c r="H19" s="84" t="str">
        <f>Июль2016[[#Totals],[Оплата]]</f>
        <v>35500,00</v>
      </c>
      <c r="I19"/>
      <c r="K19" s="80">
        <f>Таблица98[[#This Row],[БонусОлд]]-Таблица98[[#This Row],[Премия]]+Таблица98[[#This Row],[Штраф]]+14790</f>
        <v>43474</v>
      </c>
      <c r="L19" s="80">
        <f>Таблица98[[#This Row],[Бонус]]-Таблица98[[#This Row],[Штраф]]+Таблица98[[#This Row],[Премия]]+14790</f>
        <v>40466</v>
      </c>
      <c r="M19" s="80">
        <f>Таблица98[[#This Row],[БонусФакт]]+14790</f>
        <v>50290</v>
      </c>
      <c r="N19" s="80">
        <f>Таблица98[[#This Row],[Бонус]]-Таблица98[[#This Row],[БонусОлд]]</f>
        <v>-3008</v>
      </c>
    </row>
    <row r="20" spans="1:14" x14ac:dyDescent="0.25">
      <c r="A20" s="86">
        <v>42583</v>
      </c>
      <c r="B20" s="50">
        <f>Август2016[[#Totals],[Продажа]]</f>
        <v>1626820.6999999997</v>
      </c>
      <c r="C20" s="50">
        <f>Август2016[[#Totals],[Продажа НК]]</f>
        <v>740778.03999999992</v>
      </c>
      <c r="D20" s="50">
        <f>Август2016[[#Totals],[Маржа]]</f>
        <v>466958.91880000016</v>
      </c>
      <c r="E20" s="50">
        <f>Август2016[[#Totals],[Маржа НК]]</f>
        <v>174871.24</v>
      </c>
      <c r="F20" s="80">
        <f>ROUND(Таблица98[[#This Row],[Продажа]]*(0.02 +IF(Таблица98[[#This Row],[Продажа]]&gt;=500000,0.03,0))+Таблица98[[#This Row],[Продажа НК]]*0.02,0)</f>
        <v>96157</v>
      </c>
      <c r="G20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89875</v>
      </c>
      <c r="H20" s="84" t="str">
        <f>Август2016[[#Totals],[Оплата]]</f>
        <v>90450,00</v>
      </c>
      <c r="I20"/>
      <c r="K20" s="80">
        <f>Таблица98[[#This Row],[БонусОлд]]-Таблица98[[#This Row],[Премия]]+Таблица98[[#This Row],[Штраф]]+14790</f>
        <v>110947</v>
      </c>
      <c r="L20" s="80">
        <f>Таблица98[[#This Row],[Бонус]]-Таблица98[[#This Row],[Штраф]]+Таблица98[[#This Row],[Премия]]+14790</f>
        <v>104665</v>
      </c>
      <c r="M20" s="80">
        <f>Таблица98[[#This Row],[БонусФакт]]+14790</f>
        <v>105240</v>
      </c>
      <c r="N20" s="80">
        <f>Таблица98[[#This Row],[Бонус]]-Таблица98[[#This Row],[БонусОлд]]</f>
        <v>-6282</v>
      </c>
    </row>
    <row r="21" spans="1:14" x14ac:dyDescent="0.25">
      <c r="A21" s="86">
        <v>42614</v>
      </c>
      <c r="B21" s="50">
        <f>Сентябрь2016[[#Totals],[Продажа]]</f>
        <v>757843.39</v>
      </c>
      <c r="C21" s="50">
        <f>Сентябрь2016[[#Totals],[Продажа НК]]</f>
        <v>110838.31</v>
      </c>
      <c r="D21" s="50">
        <f>Сентябрь2016[[#Totals],[Маржа]]</f>
        <v>248408.54620000001</v>
      </c>
      <c r="E21" s="50">
        <f>Сентябрь2016[[#Totals],[Маржа НК]]</f>
        <v>29027.309999999998</v>
      </c>
      <c r="F21" s="80">
        <f>ROUND(Таблица98[[#This Row],[Продажа]]*(0.02 +IF(Таблица98[[#This Row],[Продажа]]&gt;=500000,0.03,0))+Таблица98[[#This Row],[Продажа НК]]*0.02,0)</f>
        <v>40109</v>
      </c>
      <c r="G21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31551</v>
      </c>
      <c r="H21" s="84" t="str">
        <f>Сентябрь2016[[#Totals],[Оплата]]</f>
        <v xml:space="preserve">44 400  </v>
      </c>
      <c r="I21"/>
      <c r="K21" s="80">
        <f>Таблица98[[#This Row],[БонусОлд]]-Таблица98[[#This Row],[Премия]]+Таблица98[[#This Row],[Штраф]]+14790</f>
        <v>54899</v>
      </c>
      <c r="L21" s="80">
        <f>Таблица98[[#This Row],[Бонус]]-Таблица98[[#This Row],[Штраф]]+Таблица98[[#This Row],[Премия]]+14790</f>
        <v>46341</v>
      </c>
      <c r="M21" s="80">
        <f>Таблица98[[#This Row],[БонусФакт]]+14790</f>
        <v>59190</v>
      </c>
      <c r="N21" s="80">
        <f>Таблица98[[#This Row],[Бонус]]-Таблица98[[#This Row],[БонусОлд]]</f>
        <v>-8558</v>
      </c>
    </row>
    <row r="22" spans="1:14" x14ac:dyDescent="0.25">
      <c r="A22" s="86">
        <v>42644</v>
      </c>
      <c r="B22" s="50">
        <f>Октябрь2016[[#Totals],[Продажа]]</f>
        <v>1109584.6300000001</v>
      </c>
      <c r="C22" s="50">
        <f>Октябрь2016[[#Totals],[Продажа НК]]</f>
        <v>78830.11</v>
      </c>
      <c r="D22" s="50">
        <f>Октябрь2016[[#Totals],[Маржа]]</f>
        <v>326967.55559999996</v>
      </c>
      <c r="E22" s="50">
        <f>Октябрь2016[[#Totals],[Маржа НК]]</f>
        <v>13691.11</v>
      </c>
      <c r="F22" s="80">
        <f>ROUND(Таблица98[[#This Row],[Продажа]]*(0.02 +IF(Таблица98[[#This Row],[Продажа]]&gt;=500000,0.03,0))+Таблица98[[#This Row],[Продажа НК]]*0.02,0)</f>
        <v>57056</v>
      </c>
      <c r="G22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56406</v>
      </c>
      <c r="H22" s="84" t="str">
        <f>Октябрь2016[[#Totals],[Оплата]]</f>
        <v xml:space="preserve">56 400  </v>
      </c>
      <c r="I22"/>
      <c r="K22" s="80">
        <f>Таблица98[[#This Row],[БонусОлд]]-Таблица98[[#This Row],[Премия]]+Таблица98[[#This Row],[Штраф]]+14790</f>
        <v>71846</v>
      </c>
      <c r="L22" s="80">
        <f>Таблица98[[#This Row],[Бонус]]-Таблица98[[#This Row],[Штраф]]+Таблица98[[#This Row],[Премия]]+14790</f>
        <v>71196</v>
      </c>
      <c r="M22" s="80">
        <f>Таблица98[[#This Row],[БонусФакт]]+14790</f>
        <v>71190</v>
      </c>
      <c r="N22" s="80">
        <f>Таблица98[[#This Row],[Бонус]]-Таблица98[[#This Row],[БонусОлд]]</f>
        <v>-650</v>
      </c>
    </row>
    <row r="23" spans="1:14" x14ac:dyDescent="0.25">
      <c r="A23" s="86">
        <v>42675</v>
      </c>
      <c r="B23" s="50">
        <f>Ноябрь2016[[#Totals],[Продажа]]</f>
        <v>1599650.02</v>
      </c>
      <c r="C23" s="50">
        <f>Ноябрь2016[[#Totals],[Продажа НК]]</f>
        <v>148054.85999999999</v>
      </c>
      <c r="D23" s="50">
        <f>Ноябрь2016[[#Totals],[Маржа]]</f>
        <v>488252.46179999999</v>
      </c>
      <c r="E23" s="50">
        <f>Ноябрь2016[[#Totals],[Маржа НК]]</f>
        <v>28706.86</v>
      </c>
      <c r="F23" s="80">
        <f>ROUND(Таблица98[[#This Row],[Продажа]]*(0.02 +IF(Таблица98[[#This Row],[Продажа]]&gt;=500000,0.03,0))+Таблица98[[#This Row],[Продажа НК]]*0.02,0)</f>
        <v>82944</v>
      </c>
      <c r="G23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84725</v>
      </c>
      <c r="H23" s="84" t="str">
        <f>Ноябрь2016[[#Totals],[Оплата]]</f>
        <v xml:space="preserve">84 500  </v>
      </c>
      <c r="I23"/>
      <c r="K23" s="80">
        <f>Таблица98[[#This Row],[БонусОлд]]-Таблица98[[#This Row],[Премия]]+Таблица98[[#This Row],[Штраф]]+14790</f>
        <v>97734</v>
      </c>
      <c r="L23" s="80">
        <f>Таблица98[[#This Row],[Бонус]]-Таблица98[[#This Row],[Штраф]]+Таблица98[[#This Row],[Премия]]+14790</f>
        <v>99515</v>
      </c>
      <c r="M23" s="80">
        <f>Таблица98[[#This Row],[БонусФакт]]+14790</f>
        <v>99290</v>
      </c>
      <c r="N23" s="80">
        <f>Таблица98[[#This Row],[Бонус]]-Таблица98[[#This Row],[БонусОлд]]</f>
        <v>1781</v>
      </c>
    </row>
    <row r="24" spans="1:14" x14ac:dyDescent="0.25">
      <c r="A24" s="86">
        <v>42705</v>
      </c>
      <c r="B24" s="50">
        <f>Декабрь2016[[#Totals],[Продажа]]</f>
        <v>1000492.4899999999</v>
      </c>
      <c r="C24" s="50">
        <f>Декабрь2016[[#Totals],[Продажа НК]]</f>
        <v>87142.51999999999</v>
      </c>
      <c r="D24" s="50">
        <f>Декабрь2016[[#Totals],[Маржа]]</f>
        <v>242825.68999999997</v>
      </c>
      <c r="E24" s="50">
        <f>Декабрь2016[[#Totals],[Маржа НК]]</f>
        <v>22543.52</v>
      </c>
      <c r="F24" s="80">
        <f>ROUND(Таблица98[[#This Row],[Продажа]]*(0.02 +IF(Таблица98[[#This Row],[Продажа]]&gt;=500000,0.03,0))+Таблица98[[#This Row],[Продажа НК]]*0.02,0)</f>
        <v>51767</v>
      </c>
      <c r="G24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30492</v>
      </c>
      <c r="H24" s="84" t="str">
        <f>Декабрь2016[[#Totals],[Оплата]]</f>
        <v xml:space="preserve">42 400  </v>
      </c>
      <c r="I24"/>
      <c r="K24" s="80">
        <f>Таблица98[[#This Row],[БонусОлд]]-Таблица98[[#This Row],[Премия]]+Таблица98[[#This Row],[Штраф]]+14790</f>
        <v>66557</v>
      </c>
      <c r="L24" s="80">
        <f>Таблица98[[#This Row],[Бонус]]-Таблица98[[#This Row],[Штраф]]+Таблица98[[#This Row],[Премия]]+14790</f>
        <v>45282</v>
      </c>
      <c r="M24" s="80">
        <f>Таблица98[[#This Row],[БонусФакт]]+14790</f>
        <v>57190</v>
      </c>
      <c r="N24" s="80">
        <f>Таблица98[[#This Row],[Бонус]]-Таблица98[[#This Row],[БонусОлд]]</f>
        <v>-21275</v>
      </c>
    </row>
    <row r="25" spans="1:14" x14ac:dyDescent="0.25">
      <c r="A25" s="86">
        <v>42736</v>
      </c>
      <c r="B25" s="50">
        <f>Январь2017[[#Totals],[Продажа]]</f>
        <v>1077626.7999999998</v>
      </c>
      <c r="C25" s="50">
        <f>Январь2017[[#Totals],[Продажа НК]]</f>
        <v>134472.72</v>
      </c>
      <c r="D25" s="50">
        <f>Январь2017[[#Totals],[Маржа]]</f>
        <v>396573.67</v>
      </c>
      <c r="E25" s="50">
        <f>Январь2017[[#Totals],[Маржа НК]]</f>
        <v>50352.72</v>
      </c>
      <c r="F25" s="80">
        <f>ROUND(Таблица98[[#This Row],[Продажа]]*(0.02 +IF(Таблица98[[#This Row],[Продажа]]&gt;=500000,0.03,0))+Таблица98[[#This Row],[Продажа НК]]*0.02,0)</f>
        <v>56571</v>
      </c>
      <c r="G25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70439</v>
      </c>
      <c r="H25" s="84" t="str">
        <f>Январь2017[[#Totals],[Оплата]]</f>
        <v xml:space="preserve">78 400  </v>
      </c>
      <c r="I25">
        <v>8000</v>
      </c>
      <c r="K25" s="80">
        <f>Таблица98[[#This Row],[БонусОлд]]-Таблица98[[#This Row],[Премия]]+Таблица98[[#This Row],[Штраф]]+14790</f>
        <v>63361</v>
      </c>
      <c r="L25" s="80">
        <f>Таблица98[[#This Row],[Бонус]]-Таблица98[[#This Row],[Штраф]]+Таблица98[[#This Row],[Премия]]+14790</f>
        <v>93229</v>
      </c>
      <c r="M25" s="80">
        <f>Таблица98[[#This Row],[БонусФакт]]+14790</f>
        <v>93190</v>
      </c>
      <c r="N25" s="80">
        <f>Таблица98[[#This Row],[Бонус]]-Таблица98[[#This Row],[БонусОлд]]</f>
        <v>13868</v>
      </c>
    </row>
    <row r="26" spans="1:14" x14ac:dyDescent="0.25">
      <c r="A26" s="86">
        <v>42767</v>
      </c>
      <c r="B26" s="50">
        <f>Февраль2017[[#Totals],[Продажа]]</f>
        <v>1051963.1800000002</v>
      </c>
      <c r="C26" s="50">
        <f>Февраль2017[[#Totals],[Продажа НК]]</f>
        <v>500489.68</v>
      </c>
      <c r="D26" s="50">
        <f>Февраль2017[[#Totals],[Маржа]]</f>
        <v>277741.18</v>
      </c>
      <c r="E26" s="50">
        <f>Февраль2017[[#Totals],[Маржа НК]]</f>
        <v>104392.68</v>
      </c>
      <c r="F26" s="80">
        <f>ROUND(Таблица98[[#This Row],[Продажа]]*(0.02 +IF(Таблица98[[#This Row],[Продажа]]&gt;=500000,0.03,0))+Таблица98[[#This Row],[Продажа НК]]*0.02,0)</f>
        <v>62608</v>
      </c>
      <c r="G26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53480</v>
      </c>
      <c r="H26" s="84" t="str">
        <f>Февраль2017[[#Totals],[Оплата]]</f>
        <v xml:space="preserve">61 500  </v>
      </c>
      <c r="I26">
        <v>8000</v>
      </c>
      <c r="K26" s="80">
        <f>Таблица98[[#This Row],[БонусОлд]]-Таблица98[[#This Row],[Премия]]+Таблица98[[#This Row],[Штраф]]+14790</f>
        <v>69398</v>
      </c>
      <c r="L26" s="80">
        <f>Таблица98[[#This Row],[Бонус]]-Таблица98[[#This Row],[Штраф]]+Таблица98[[#This Row],[Премия]]+14790</f>
        <v>76270</v>
      </c>
      <c r="M26" s="80">
        <f>Таблица98[[#This Row],[БонусФакт]]+14790</f>
        <v>76290</v>
      </c>
      <c r="N26" s="80">
        <f>Таблица98[[#This Row],[Бонус]]-Таблица98[[#This Row],[БонусОлд]]</f>
        <v>-9128</v>
      </c>
    </row>
    <row r="27" spans="1:14" x14ac:dyDescent="0.25">
      <c r="A27" s="86">
        <v>42795</v>
      </c>
      <c r="B27" s="50">
        <f>Март2017[[#Totals],[Продажа]]</f>
        <v>1041219.1800000002</v>
      </c>
      <c r="C27" s="50">
        <f>Март2017[[#Totals],[Продажа НК]]</f>
        <v>455024.42</v>
      </c>
      <c r="D27" s="50">
        <f>Март2017[[#Totals],[Маржа]]</f>
        <v>303617.18000000005</v>
      </c>
      <c r="E27" s="50">
        <f>Март2017[[#Totals],[Маржа НК]]</f>
        <v>94246.92</v>
      </c>
      <c r="F27" s="80">
        <f>ROUND(Таблица98[[#This Row],[Продажа]]*(0.02 +IF(Таблица98[[#This Row],[Продажа]]&gt;=500000,0.03,0))+Таблица98[[#This Row],[Продажа НК]]*0.02,0)</f>
        <v>61161</v>
      </c>
      <c r="G27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57270</v>
      </c>
      <c r="H27" s="84" t="str">
        <f>Март2017[[#Totals],[Оплата]]</f>
        <v xml:space="preserve">64 800  </v>
      </c>
      <c r="I27">
        <v>8000</v>
      </c>
      <c r="K27" s="80">
        <f>Таблица98[[#This Row],[БонусОлд]]-Таблица98[[#This Row],[Премия]]+Таблица98[[#This Row],[Штраф]]+14790</f>
        <v>67951</v>
      </c>
      <c r="L27" s="80">
        <f>Таблица98[[#This Row],[Бонус]]-Таблица98[[#This Row],[Штраф]]+Таблица98[[#This Row],[Премия]]+14790</f>
        <v>80060</v>
      </c>
      <c r="M27" s="80">
        <f>Таблица98[[#This Row],[БонусФакт]]+14790</f>
        <v>79590</v>
      </c>
      <c r="N27" s="80">
        <f>Таблица98[[#This Row],[Бонус]]-Таблица98[[#This Row],[БонусОлд]]</f>
        <v>-3891</v>
      </c>
    </row>
    <row r="28" spans="1:14" x14ac:dyDescent="0.25">
      <c r="A28" s="86">
        <v>42826</v>
      </c>
      <c r="B28" s="50">
        <f>Апрель2017[[#Totals],[Продажа]]</f>
        <v>703675.89999999991</v>
      </c>
      <c r="C28" s="50">
        <f>Апрель2017[[#Totals],[Продажа НК]]</f>
        <v>289968.63</v>
      </c>
      <c r="D28" s="50">
        <f>Апрель2017[[#Totals],[Маржа]]</f>
        <v>167614.14999999997</v>
      </c>
      <c r="E28" s="50">
        <f>Апрель2017[[#Totals],[Маржа НК]]</f>
        <v>61010.87999999999</v>
      </c>
      <c r="F28" s="80">
        <f>ROUND(Таблица98[[#This Row],[Продажа]]*(0.02 +IF(Таблица98[[#This Row],[Продажа]]&gt;=500000,0.03,0))+Таблица98[[#This Row],[Продажа НК]]*0.02,0)</f>
        <v>40983</v>
      </c>
      <c r="G28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23774</v>
      </c>
      <c r="H28" s="84" t="str">
        <f>Апрель2017[[#Totals],[Оплата]]</f>
        <v xml:space="preserve">40 150  </v>
      </c>
      <c r="I28">
        <v>8000</v>
      </c>
      <c r="K28" s="80">
        <f>Таблица98[[#This Row],[БонусОлд]]-Таблица98[[#This Row],[Премия]]+Таблица98[[#This Row],[Штраф]]+14790</f>
        <v>47773</v>
      </c>
      <c r="L28" s="80">
        <f>Таблица98[[#This Row],[Бонус]]-Таблица98[[#This Row],[Штраф]]+Таблица98[[#This Row],[Премия]]+14790</f>
        <v>46564</v>
      </c>
      <c r="M28" s="80">
        <f>Таблица98[[#This Row],[БонусФакт]]+14790</f>
        <v>54940</v>
      </c>
      <c r="N28" s="80">
        <f>Таблица98[[#This Row],[Бонус]]-Таблица98[[#This Row],[БонусОлд]]</f>
        <v>-17209</v>
      </c>
    </row>
    <row r="29" spans="1:14" x14ac:dyDescent="0.25">
      <c r="A29" s="86">
        <v>42856</v>
      </c>
      <c r="B29" s="50">
        <f>Май2017[[#Totals],[Продажа]]</f>
        <v>1208758.48</v>
      </c>
      <c r="C29" s="50">
        <f>Май2017[[#Totals],[Продажа НК]]</f>
        <v>237205.68</v>
      </c>
      <c r="D29" s="50">
        <f>Май2017[[#Totals],[Маржа]]</f>
        <v>325249.07</v>
      </c>
      <c r="E29" s="50">
        <f>Май2017[[#Totals],[Маржа НК]]</f>
        <v>52420.770000000004</v>
      </c>
      <c r="F29" s="80">
        <f>ROUND(Таблица98[[#This Row],[Продажа]]*(0.02 +IF(Таблица98[[#This Row],[Продажа]]&gt;=500000,0.03,0))+Таблица98[[#This Row],[Продажа НК]]*0.02,0)</f>
        <v>65182</v>
      </c>
      <c r="G29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58438</v>
      </c>
      <c r="H29" s="84" t="str">
        <f>Май2017[[#Totals],[Оплата]]</f>
        <v xml:space="preserve">66 400  </v>
      </c>
      <c r="I29">
        <v>8000</v>
      </c>
      <c r="K29" s="80">
        <f>Таблица98[[#This Row],[БонусОлд]]-Таблица98[[#This Row],[Премия]]+Таблица98[[#This Row],[Штраф]]+14790</f>
        <v>71972</v>
      </c>
      <c r="L29" s="80">
        <f>Таблица98[[#This Row],[Бонус]]-Таблица98[[#This Row],[Штраф]]+Таблица98[[#This Row],[Премия]]+14790</f>
        <v>81228</v>
      </c>
      <c r="M29" s="80">
        <f>Таблица98[[#This Row],[БонусФакт]]+14790</f>
        <v>81190</v>
      </c>
      <c r="N29" s="80">
        <f>Таблица98[[#This Row],[Бонус]]-Таблица98[[#This Row],[БонусОлд]]</f>
        <v>-6744</v>
      </c>
    </row>
    <row r="30" spans="1:14" x14ac:dyDescent="0.25">
      <c r="A30" s="86">
        <v>42887</v>
      </c>
      <c r="B30" s="50">
        <f>Июнь2017[[#Totals],[Продажа]]</f>
        <v>986942.44</v>
      </c>
      <c r="C30" s="50">
        <f>Июнь2017[[#Totals],[Продажа НК]]</f>
        <v>288855.07999999996</v>
      </c>
      <c r="D30" s="50">
        <f>Июнь2017[[#Totals],[Маржа]]</f>
        <v>361423.24000000005</v>
      </c>
      <c r="E30" s="50">
        <f>Июнь2017[[#Totals],[Маржа НК]]</f>
        <v>69476.08</v>
      </c>
      <c r="F30" s="80">
        <f>ROUND(Таблица98[[#This Row],[Продажа]]*(0.02 +IF(Таблица98[[#This Row],[Продажа]]&gt;=500000,0.03,0))+Таблица98[[#This Row],[Продажа НК]]*0.02,0)</f>
        <v>55124</v>
      </c>
      <c r="G30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65611</v>
      </c>
      <c r="H30" s="84" t="str">
        <f>Июнь2017[[#Totals],[Оплата]]</f>
        <v xml:space="preserve">70 900  </v>
      </c>
      <c r="I30">
        <v>8000</v>
      </c>
      <c r="K30" s="80">
        <f>Таблица98[[#This Row],[БонусОлд]]-Таблица98[[#This Row],[Премия]]+Таблица98[[#This Row],[Штраф]]+14790</f>
        <v>61914</v>
      </c>
      <c r="L30" s="80">
        <f>Таблица98[[#This Row],[Бонус]]-Таблица98[[#This Row],[Штраф]]+Таблица98[[#This Row],[Премия]]+14790</f>
        <v>88401</v>
      </c>
      <c r="M30" s="80">
        <f>Таблица98[[#This Row],[БонусФакт]]+14790</f>
        <v>85690</v>
      </c>
      <c r="N30" s="80">
        <f>Таблица98[[#This Row],[Бонус]]-Таблица98[[#This Row],[БонусОлд]]</f>
        <v>10487</v>
      </c>
    </row>
    <row r="31" spans="1:14" x14ac:dyDescent="0.25">
      <c r="A31" s="86">
        <v>42917</v>
      </c>
      <c r="B31" s="50">
        <f>Июль2017[[#Totals],[Продажа]]</f>
        <v>1211341.5</v>
      </c>
      <c r="C31" s="50">
        <f>Июль2017[[#Totals],[Продажа НК]]</f>
        <v>123025</v>
      </c>
      <c r="D31" s="50">
        <f>Июль2017[[#Totals],[Маржа]]</f>
        <v>279675.53000000003</v>
      </c>
      <c r="E31" s="50">
        <f>Июль2017[[#Totals],[Маржа НК]]</f>
        <v>28731</v>
      </c>
      <c r="F31" s="80">
        <f>ROUND(Таблица98[[#This Row],[Продажа]]*(0.02 +IF(Таблица98[[#This Row],[Продажа]]&gt;=500000,0.03,0))+Таблица98[[#This Row],[Продажа НК]]*0.02,0)</f>
        <v>63028</v>
      </c>
      <c r="G31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49269</v>
      </c>
      <c r="H31" s="84" t="str">
        <f>Июль2017[[#Totals],[Оплата]]</f>
        <v xml:space="preserve">57 400  </v>
      </c>
      <c r="I31">
        <v>8000</v>
      </c>
      <c r="K31" s="80">
        <f>Таблица98[[#This Row],[БонусОлд]]-Таблица98[[#This Row],[Премия]]+Таблица98[[#This Row],[Штраф]]+14790</f>
        <v>69818</v>
      </c>
      <c r="L31" s="80">
        <f>Таблица98[[#This Row],[Бонус]]-Таблица98[[#This Row],[Штраф]]+Таблица98[[#This Row],[Премия]]+14790</f>
        <v>72059</v>
      </c>
      <c r="M31" s="80">
        <f>Таблица98[[#This Row],[БонусФакт]]+14790</f>
        <v>72190</v>
      </c>
      <c r="N31" s="80">
        <f>Таблица98[[#This Row],[Бонус]]-Таблица98[[#This Row],[БонусОлд]]</f>
        <v>-13759</v>
      </c>
    </row>
    <row r="32" spans="1:14" x14ac:dyDescent="0.25">
      <c r="A32" s="86">
        <v>42948</v>
      </c>
      <c r="B32" s="50">
        <f>Август2017[[#Totals],[Продажа]]</f>
        <v>475471.54000000004</v>
      </c>
      <c r="C32" s="50">
        <f>Август2017[[#Totals],[Продажа НК]]</f>
        <v>141315</v>
      </c>
      <c r="D32" s="50">
        <f>Август2017[[#Totals],[Маржа]]</f>
        <v>136331.53999999998</v>
      </c>
      <c r="E32" s="50">
        <f>Август2017[[#Totals],[Маржа НК]]</f>
        <v>35987</v>
      </c>
      <c r="F32" s="80">
        <f>ROUND(Таблица98[[#This Row],[Продажа]]*(0.02 +IF(Таблица98[[#This Row],[Продажа]]&gt;=500000,0.03,0))+Таблица98[[#This Row],[Продажа НК]]*0.02,0)</f>
        <v>12336</v>
      </c>
      <c r="G32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8976</v>
      </c>
      <c r="H32" s="84" t="str">
        <f>Август2017[[#Totals],[Оплата]]</f>
        <v xml:space="preserve">25 900  </v>
      </c>
      <c r="I32">
        <v>8000</v>
      </c>
      <c r="K32" s="80">
        <f>Таблица98[[#This Row],[БонусОлд]]-Таблица98[[#This Row],[Премия]]+Таблица98[[#This Row],[Штраф]]+14790</f>
        <v>19126</v>
      </c>
      <c r="L32" s="80">
        <f>Таблица98[[#This Row],[Бонус]]-Таблица98[[#This Row],[Штраф]]+Таблица98[[#This Row],[Премия]]+14790</f>
        <v>31766</v>
      </c>
      <c r="M32" s="80">
        <f>Таблица98[[#This Row],[БонусФакт]]+14790</f>
        <v>40690</v>
      </c>
      <c r="N32" s="80">
        <f>Таблица98[[#This Row],[Бонус]]-Таблица98[[#This Row],[БонусОлд]]</f>
        <v>-3360</v>
      </c>
    </row>
    <row r="33" spans="1:14" x14ac:dyDescent="0.25">
      <c r="A33" s="86">
        <v>42979</v>
      </c>
      <c r="B33" s="50">
        <f>Сентябрь2017[[#Totals],[Продажа]]</f>
        <v>625315.87</v>
      </c>
      <c r="C33" s="50">
        <f>Сентябрь2017[[#Totals],[Продажа НК]]</f>
        <v>220688</v>
      </c>
      <c r="D33" s="50">
        <f>Сентябрь2017[[#Totals],[Маржа]]</f>
        <v>183410.87</v>
      </c>
      <c r="E33" s="50">
        <f>Сентябрь2017[[#Totals],[Маржа НК]]</f>
        <v>62210</v>
      </c>
      <c r="F33" s="80">
        <f>ROUND(Таблица98[[#This Row],[Продажа]]*(0.02 +IF(Таблица98[[#This Row],[Продажа]]&gt;=500000,0.03,0))+Таблица98[[#This Row],[Продажа НК]]*0.02,0)</f>
        <v>35680</v>
      </c>
      <c r="G33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25742</v>
      </c>
      <c r="H33" s="84" t="str">
        <f>Сентябрь2017[[#Totals],[Оплата]]</f>
        <v xml:space="preserve">33 000  </v>
      </c>
      <c r="I33">
        <v>8000</v>
      </c>
      <c r="K33" s="80">
        <f>Таблица98[[#This Row],[БонусОлд]]-Таблица98[[#This Row],[Премия]]+Таблица98[[#This Row],[Штраф]]+14790</f>
        <v>42470</v>
      </c>
      <c r="L33" s="80">
        <f>Таблица98[[#This Row],[Бонус]]-Таблица98[[#This Row],[Штраф]]+Таблица98[[#This Row],[Премия]]+14790</f>
        <v>48532</v>
      </c>
      <c r="M33" s="80">
        <f>Таблица98[[#This Row],[БонусФакт]]+14790</f>
        <v>47790</v>
      </c>
      <c r="N33" s="80">
        <f>Таблица98[[#This Row],[Бонус]]-Таблица98[[#This Row],[БонусОлд]]</f>
        <v>-9938</v>
      </c>
    </row>
    <row r="34" spans="1:14" x14ac:dyDescent="0.25">
      <c r="A34" s="86">
        <v>43009</v>
      </c>
      <c r="B34" s="50">
        <f>Октябрь2017[[#Totals],[Продажа]]</f>
        <v>1170224.25</v>
      </c>
      <c r="C34" s="50">
        <f>Октябрь2017[[#Totals],[Продажа НК]]</f>
        <v>130979</v>
      </c>
      <c r="D34" s="50">
        <f>Октябрь2017[[#Totals],[Маржа]]</f>
        <v>300737.25</v>
      </c>
      <c r="E34" s="50">
        <f>Октябрь2017[[#Totals],[Маржа НК]]</f>
        <v>31835</v>
      </c>
      <c r="F34" s="80">
        <f>ROUND(Таблица98[[#This Row],[Продажа]]*(0.02 +IF(Таблица98[[#This Row],[Продажа]]&gt;=500000,0.03,0))+Таблица98[[#This Row],[Продажа НК]]*0.02,0)</f>
        <v>61131</v>
      </c>
      <c r="G34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53035</v>
      </c>
      <c r="H34" s="84" t="str">
        <f>Октябрь2017[[#Totals],[Оплата]]</f>
        <v xml:space="preserve">61 700  </v>
      </c>
      <c r="I34">
        <v>8000</v>
      </c>
      <c r="K34" s="80">
        <f>Таблица98[[#This Row],[БонусОлд]]-Таблица98[[#This Row],[Премия]]+Таблица98[[#This Row],[Штраф]]+14790</f>
        <v>67921</v>
      </c>
      <c r="L34" s="80">
        <f>Таблица98[[#This Row],[Бонус]]-Таблица98[[#This Row],[Штраф]]+Таблица98[[#This Row],[Премия]]+14790</f>
        <v>75825</v>
      </c>
      <c r="M34" s="80">
        <f>Таблица98[[#This Row],[БонусФакт]]+14790</f>
        <v>76490</v>
      </c>
      <c r="N34" s="80">
        <f>Таблица98[[#This Row],[Бонус]]-Таблица98[[#This Row],[БонусОлд]]</f>
        <v>-8096</v>
      </c>
    </row>
    <row r="35" spans="1:14" x14ac:dyDescent="0.25">
      <c r="A35" s="86">
        <v>43040</v>
      </c>
      <c r="B35" s="50">
        <f>Ноябрь2017[[#Totals],[Продажа]]</f>
        <v>1030734.1199999998</v>
      </c>
      <c r="C35" s="50">
        <f>Ноябрь2017[[#Totals],[Продажа НК]]</f>
        <v>171268.5</v>
      </c>
      <c r="D35" s="50">
        <f>Ноябрь2017[[#Totals],[Маржа]]</f>
        <v>267636.12000000005</v>
      </c>
      <c r="E35" s="50">
        <f>Ноябрь2017[[#Totals],[Маржа НК]]</f>
        <v>38501.5</v>
      </c>
      <c r="F35" s="80">
        <f>ROUND(Таблица98[[#This Row],[Продажа]]*(0.02 +IF(Таблица98[[#This Row],[Продажа]]&gt;=500000,0.03,0))+Таблица98[[#This Row],[Продажа НК]]*0.02,0)</f>
        <v>54962</v>
      </c>
      <c r="G35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47808</v>
      </c>
      <c r="H35" s="84" t="str">
        <f>Ноябрь2017[[#Totals],[Оплата]]</f>
        <v xml:space="preserve">55 300  </v>
      </c>
      <c r="I35">
        <v>8000</v>
      </c>
      <c r="K35" s="80">
        <f>Таблица98[[#This Row],[БонусОлд]]-Таблица98[[#This Row],[Премия]]+Таблица98[[#This Row],[Штраф]]+14790</f>
        <v>61752</v>
      </c>
      <c r="L35" s="80">
        <f>Таблица98[[#This Row],[Бонус]]-Таблица98[[#This Row],[Штраф]]+Таблица98[[#This Row],[Премия]]+14790</f>
        <v>70598</v>
      </c>
      <c r="M35" s="80">
        <f>Таблица98[[#This Row],[БонусФакт]]+14790</f>
        <v>70090</v>
      </c>
      <c r="N35" s="80">
        <f>Таблица98[[#This Row],[Бонус]]-Таблица98[[#This Row],[БонусОлд]]</f>
        <v>-7154</v>
      </c>
    </row>
    <row r="36" spans="1:14" x14ac:dyDescent="0.25">
      <c r="A36" s="86">
        <v>43070</v>
      </c>
      <c r="B36" s="50">
        <f>Декабрь2017[[#Totals],[Продажа]]</f>
        <v>1460952.53</v>
      </c>
      <c r="C36" s="50">
        <f>Декабрь2017[[#Totals],[Продажа НК]]</f>
        <v>104903</v>
      </c>
      <c r="D36" s="50">
        <f>Декабрь2017[[#Totals],[Маржа]]</f>
        <v>534927.7300000001</v>
      </c>
      <c r="E36" s="50">
        <f>Декабрь2017[[#Totals],[Маржа НК]]</f>
        <v>21446</v>
      </c>
      <c r="F36" s="80">
        <f>ROUND(Таблица98[[#This Row],[Продажа]]*(0.02 +IF(Таблица98[[#This Row],[Продажа]]&gt;=500000,0.03,0))+Таблица98[[#This Row],[Продажа НК]]*0.02,0)</f>
        <v>75146</v>
      </c>
      <c r="G36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92224</v>
      </c>
      <c r="H36" s="84" t="str">
        <f>Декабрь2017[[#Totals],[Оплата]]</f>
        <v xml:space="preserve">100 100  </v>
      </c>
      <c r="I36">
        <v>8000</v>
      </c>
      <c r="K36" s="80">
        <f>Таблица98[[#This Row],[БонусОлд]]-Таблица98[[#This Row],[Премия]]+Таблица98[[#This Row],[Штраф]]+14790</f>
        <v>81936</v>
      </c>
      <c r="L36" s="80">
        <f>Таблица98[[#This Row],[Бонус]]-Таблица98[[#This Row],[Штраф]]+Таблица98[[#This Row],[Премия]]+14790</f>
        <v>115014</v>
      </c>
      <c r="M36" s="80">
        <f>Таблица98[[#This Row],[БонусФакт]]+14790</f>
        <v>114890</v>
      </c>
      <c r="N36" s="80">
        <f>Таблица98[[#This Row],[Бонус]]-Таблица98[[#This Row],[БонусОлд]]</f>
        <v>17078</v>
      </c>
    </row>
    <row r="37" spans="1:14" x14ac:dyDescent="0.25">
      <c r="A37" s="86">
        <v>43101</v>
      </c>
      <c r="B37" s="50">
        <f>Январь2018[[#Totals],[Продажа]]</f>
        <v>722919.5</v>
      </c>
      <c r="C37" s="50">
        <f>Январь2018[[#Totals],[Продажа НК]]</f>
        <v>135529</v>
      </c>
      <c r="D37" s="50">
        <f>Январь2018[[#Totals],[Маржа]]</f>
        <v>179451.22</v>
      </c>
      <c r="E37" s="50">
        <f>Январь2018[[#Totals],[Маржа НК]]</f>
        <v>40428</v>
      </c>
      <c r="F37" s="80">
        <f>ROUND(Таблица98[[#This Row],[Продажа]]*(0.02 +IF(Таблица98[[#This Row],[Продажа]]&gt;=500000,0.03,0))+Таблица98[[#This Row],[Продажа НК]]*0.02,0)</f>
        <v>38857</v>
      </c>
      <c r="G37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23960</v>
      </c>
      <c r="H37" s="84" t="str">
        <f>Январь2018[[#Totals],[Оплата]]</f>
        <v xml:space="preserve">23 800  </v>
      </c>
      <c r="I37"/>
      <c r="K37" s="80">
        <f>Таблица98[[#This Row],[БонусОлд]]-Таблица98[[#This Row],[Премия]]+Таблица98[[#This Row],[Штраф]]+14790</f>
        <v>53647</v>
      </c>
      <c r="L37" s="80">
        <f>Таблица98[[#This Row],[Бонус]]-Таблица98[[#This Row],[Штраф]]+Таблица98[[#This Row],[Премия]]+14790</f>
        <v>38750</v>
      </c>
      <c r="M37" s="80">
        <f>Таблица98[[#This Row],[БонусФакт]]+14790</f>
        <v>38590</v>
      </c>
      <c r="N37" s="80">
        <f>Таблица98[[#This Row],[Бонус]]-Таблица98[[#This Row],[БонусОлд]]</f>
        <v>-14897</v>
      </c>
    </row>
    <row r="38" spans="1:14" x14ac:dyDescent="0.25">
      <c r="A38" s="86">
        <v>43132</v>
      </c>
      <c r="B38" s="50">
        <f>Февраль2018[[#Totals],[Продажа]]</f>
        <v>311207.2</v>
      </c>
      <c r="C38" s="50">
        <f>Февраль2018[[#Totals],[Продажа НК]]</f>
        <v>49654</v>
      </c>
      <c r="D38" s="50">
        <f>Февраль2018[[#Totals],[Маржа]]</f>
        <v>97621.2</v>
      </c>
      <c r="E38" s="50">
        <f>Февраль2018[[#Totals],[Маржа НК]]</f>
        <v>18366</v>
      </c>
      <c r="F38" s="80">
        <f>ROUND(Таблица98[[#This Row],[Продажа]]*(0.02 +IF(Таблица98[[#This Row],[Продажа]]&gt;=500000,0.03,0))+Таблица98[[#This Row],[Продажа НК]]*0.02,0)</f>
        <v>7217</v>
      </c>
      <c r="G38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5983</v>
      </c>
      <c r="H38" s="84" t="str">
        <f>Февраль2018[[#Totals],[Оплата]]</f>
        <v xml:space="preserve">6 300  </v>
      </c>
      <c r="I38"/>
      <c r="K38" s="80">
        <f>Таблица98[[#This Row],[БонусОлд]]-Таблица98[[#This Row],[Премия]]+Таблица98[[#This Row],[Штраф]]+14790</f>
        <v>22007</v>
      </c>
      <c r="L38" s="80">
        <f>Таблица98[[#This Row],[Бонус]]-Таблица98[[#This Row],[Штраф]]+Таблица98[[#This Row],[Премия]]+14790</f>
        <v>20773</v>
      </c>
      <c r="M38" s="80">
        <f>Таблица98[[#This Row],[БонусФакт]]+14790</f>
        <v>21090</v>
      </c>
      <c r="N38" s="80">
        <f>Таблица98[[#This Row],[Бонус]]-Таблица98[[#This Row],[БонусОлд]]</f>
        <v>-1234</v>
      </c>
    </row>
    <row r="39" spans="1:14" x14ac:dyDescent="0.25">
      <c r="A39" s="86">
        <v>43160</v>
      </c>
      <c r="B39" s="50">
        <f>Март2018[[#Totals],[Продажа]]</f>
        <v>381169.5</v>
      </c>
      <c r="C39" s="50">
        <f>Март2018[[#Totals],[Продажа НК]]</f>
        <v>72670</v>
      </c>
      <c r="D39" s="50">
        <f>Март2018[[#Totals],[Маржа]]</f>
        <v>101592.86</v>
      </c>
      <c r="E39" s="50">
        <f>Март2018[[#Totals],[Маржа НК]]</f>
        <v>18652</v>
      </c>
      <c r="F39" s="80">
        <f>ROUND(Таблица98[[#This Row],[Продажа]]*(0.02 +IF(Таблица98[[#This Row],[Продажа]]&gt;=500000,0.03,0))+Таблица98[[#This Row],[Продажа НК]]*0.02,0)</f>
        <v>9077</v>
      </c>
      <c r="G39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6199</v>
      </c>
      <c r="H39" s="84" t="str">
        <f>Март2018[[#Totals],[Оплата]]</f>
        <v xml:space="preserve">13 000  </v>
      </c>
      <c r="I39"/>
      <c r="K39" s="80">
        <f>Таблица98[[#This Row],[БонусОлд]]-Таблица98[[#This Row],[Премия]]+Таблица98[[#This Row],[Штраф]]+14790</f>
        <v>23867</v>
      </c>
      <c r="L39" s="80">
        <f>Таблица98[[#This Row],[Бонус]]-Таблица98[[#This Row],[Штраф]]+Таблица98[[#This Row],[Премия]]+14790</f>
        <v>20989</v>
      </c>
      <c r="M39" s="80">
        <f>Таблица98[[#This Row],[БонусФакт]]+14790</f>
        <v>27790</v>
      </c>
      <c r="N39" s="80">
        <f>Таблица98[[#This Row],[Бонус]]-Таблица98[[#This Row],[БонусОлд]]</f>
        <v>-2878</v>
      </c>
    </row>
    <row r="40" spans="1:14" x14ac:dyDescent="0.25">
      <c r="A40" s="86">
        <v>43191</v>
      </c>
      <c r="B40" s="50">
        <f>Апрель2018[[#Totals],[Продажа]]</f>
        <v>1628300.3</v>
      </c>
      <c r="C40" s="50">
        <f>Апрель2018[[#Totals],[Продажа НК]]</f>
        <v>0</v>
      </c>
      <c r="D40" s="50">
        <f>Апрель2018[[#Totals],[Маржа]]</f>
        <v>366524.19</v>
      </c>
      <c r="E40" s="50">
        <f>Апрель2018[[#Totals],[Маржа НК]]</f>
        <v>0</v>
      </c>
      <c r="F40" s="80">
        <f>ROUND(Таблица98[[#This Row],[Продажа]]*(0.02 +IF(Таблица98[[#This Row],[Продажа]]&gt;=500000,0.03,0))+Таблица98[[#This Row],[Продажа НК]]*0.02,0)</f>
        <v>81415</v>
      </c>
      <c r="G40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62309</v>
      </c>
      <c r="H40" s="84" t="str">
        <f>Апрель2018[[#Totals],[Оплата]]</f>
        <v xml:space="preserve">62 300  </v>
      </c>
      <c r="I40"/>
      <c r="K40" s="80">
        <f>Таблица98[[#This Row],[БонусОлд]]-Таблица98[[#This Row],[Премия]]+Таблица98[[#This Row],[Штраф]]+14790</f>
        <v>96205</v>
      </c>
      <c r="L40" s="80">
        <f>Таблица98[[#This Row],[Бонус]]-Таблица98[[#This Row],[Штраф]]+Таблица98[[#This Row],[Премия]]+14790</f>
        <v>77099</v>
      </c>
      <c r="M40" s="80">
        <f>Таблица98[[#This Row],[БонусФакт]]+14790</f>
        <v>77090</v>
      </c>
      <c r="N40" s="80">
        <f>Таблица98[[#This Row],[Бонус]]-Таблица98[[#This Row],[БонусОлд]]</f>
        <v>-19106</v>
      </c>
    </row>
    <row r="41" spans="1:14" x14ac:dyDescent="0.25">
      <c r="A41" s="86">
        <v>43221</v>
      </c>
      <c r="B41" s="50">
        <f>Май2018[[#Totals],[Продажа]]</f>
        <v>1677366.8900000001</v>
      </c>
      <c r="C41" s="50">
        <f>Май2018[[#Totals],[Продажа НК]]</f>
        <v>119104</v>
      </c>
      <c r="D41" s="50">
        <f>Май2018[[#Totals],[Маржа]]</f>
        <v>545972.99</v>
      </c>
      <c r="E41" s="50">
        <f>Май2018[[#Totals],[Маржа НК]]</f>
        <v>35862</v>
      </c>
      <c r="F41" s="80">
        <f>ROUND(Таблица98[[#This Row],[Продажа]]*(0.02 +IF(Таблица98[[#This Row],[Продажа]]&gt;=500000,0.03,0))+Таблица98[[#This Row],[Продажа НК]]*0.02,0)</f>
        <v>86250</v>
      </c>
      <c r="G41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94967</v>
      </c>
      <c r="H41" s="84" t="str">
        <f>Май2018[[#Totals],[Оплата]]</f>
        <v xml:space="preserve">94 500  </v>
      </c>
      <c r="I41"/>
      <c r="K41" s="80">
        <f>Таблица98[[#This Row],[БонусОлд]]-Таблица98[[#This Row],[Премия]]+Таблица98[[#This Row],[Штраф]]+14790</f>
        <v>101040</v>
      </c>
      <c r="L41" s="80">
        <f>Таблица98[[#This Row],[Бонус]]-Таблица98[[#This Row],[Штраф]]+Таблица98[[#This Row],[Премия]]+14790</f>
        <v>109757</v>
      </c>
      <c r="M41" s="80">
        <f>Таблица98[[#This Row],[БонусФакт]]+14790</f>
        <v>109290</v>
      </c>
      <c r="N41" s="80">
        <f>Таблица98[[#This Row],[Бонус]]-Таблица98[[#This Row],[БонусОлд]]</f>
        <v>8717</v>
      </c>
    </row>
    <row r="42" spans="1:14" x14ac:dyDescent="0.25">
      <c r="A42" s="86">
        <v>43252</v>
      </c>
      <c r="B42" s="50">
        <f>Июнь2018[[#Totals],[Продажа]]</f>
        <v>952275.53</v>
      </c>
      <c r="C42" s="50">
        <f>Июнь2018[[#Totals],[Продажа НК]]</f>
        <v>412650</v>
      </c>
      <c r="D42" s="50">
        <f>Июнь2018[[#Totals],[Маржа]]</f>
        <v>308334.83</v>
      </c>
      <c r="E42" s="50">
        <f>Июнь2018[[#Totals],[Маржа НК]]</f>
        <v>121156</v>
      </c>
      <c r="F42" s="80">
        <f>ROUND(Таблица98[[#This Row],[Продажа]]*(0.02 +IF(Таблица98[[#This Row],[Продажа]]&gt;=500000,0.03,0))+Таблица98[[#This Row],[Продажа НК]]*0.02,0)</f>
        <v>55867</v>
      </c>
      <c r="G42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59686</v>
      </c>
      <c r="H42" s="84" t="str">
        <f>Июнь2018[[#Totals],[Оплата]]</f>
        <v xml:space="preserve">59 700  </v>
      </c>
      <c r="I42"/>
      <c r="K42" s="80">
        <f>Таблица98[[#This Row],[БонусОлд]]-Таблица98[[#This Row],[Премия]]+Таблица98[[#This Row],[Штраф]]+14790</f>
        <v>70657</v>
      </c>
      <c r="L42" s="80">
        <f>Таблица98[[#This Row],[Бонус]]-Таблица98[[#This Row],[Штраф]]+Таблица98[[#This Row],[Премия]]+14790</f>
        <v>74476</v>
      </c>
      <c r="M42" s="80">
        <f>Таблица98[[#This Row],[БонусФакт]]+14790</f>
        <v>74490</v>
      </c>
      <c r="N42" s="80">
        <f>Таблица98[[#This Row],[Бонус]]-Таблица98[[#This Row],[БонусОлд]]</f>
        <v>3819</v>
      </c>
    </row>
    <row r="43" spans="1:14" x14ac:dyDescent="0.25">
      <c r="A43" s="86">
        <v>43282</v>
      </c>
      <c r="B43" s="50">
        <f>Июль2018[[#Totals],[Продажа]]</f>
        <v>562653.75</v>
      </c>
      <c r="C43" s="50">
        <f>Июль2018[[#Totals],[Продажа НК]]</f>
        <v>42964</v>
      </c>
      <c r="D43" s="50">
        <f>Июль2018[[#Totals],[Маржа]]</f>
        <v>157992.05000000002</v>
      </c>
      <c r="E43" s="50">
        <f>Июль2018[[#Totals],[Маржа НК]]</f>
        <v>11207</v>
      </c>
      <c r="F43" s="80">
        <f>ROUND(Таблица98[[#This Row],[Продажа]]*(0.02 +IF(Таблица98[[#This Row],[Продажа]]&gt;=500000,0.03,0))+Таблица98[[#This Row],[Продажа НК]]*0.02,0)</f>
        <v>28992</v>
      </c>
      <c r="G43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19631</v>
      </c>
      <c r="H43" s="84" t="str">
        <f>Июль2018[[#Totals],[Оплата]]</f>
        <v xml:space="preserve">19 600  </v>
      </c>
      <c r="I43"/>
      <c r="K43" s="80">
        <f>Таблица98[[#This Row],[БонусОлд]]-Таблица98[[#This Row],[Премия]]+Таблица98[[#This Row],[Штраф]]+14790</f>
        <v>43782</v>
      </c>
      <c r="L43" s="80">
        <f>Таблица98[[#This Row],[Бонус]]-Таблица98[[#This Row],[Штраф]]+Таблица98[[#This Row],[Премия]]+14790</f>
        <v>34421</v>
      </c>
      <c r="M43" s="80">
        <f>Таблица98[[#This Row],[БонусФакт]]+14790</f>
        <v>34390</v>
      </c>
      <c r="N43" s="80">
        <f>Таблица98[[#This Row],[Бонус]]-Таблица98[[#This Row],[БонусОлд]]</f>
        <v>-9361</v>
      </c>
    </row>
    <row r="44" spans="1:14" x14ac:dyDescent="0.25">
      <c r="A44" s="86">
        <v>43313</v>
      </c>
      <c r="B44" s="50">
        <f>Август2018[[#Totals],[Продажа]]</f>
        <v>497392.43</v>
      </c>
      <c r="C44" s="50">
        <f>Август2018[[#Totals],[Продажа НК]]</f>
        <v>57820</v>
      </c>
      <c r="D44" s="50">
        <f>Август2018[[#Totals],[Маржа]]</f>
        <v>167386.43</v>
      </c>
      <c r="E44" s="50">
        <f>Август2018[[#Totals],[Маржа НК]]</f>
        <v>14007</v>
      </c>
      <c r="F44" s="80">
        <f>ROUND(Таблица98[[#This Row],[Продажа]]*(0.02 +IF(Таблица98[[#This Row],[Продажа]]&gt;=500000,0.03,0))+Таблица98[[#This Row],[Продажа НК]]*0.02,0)</f>
        <v>11104</v>
      </c>
      <c r="G44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20927</v>
      </c>
      <c r="H44" s="84" t="str">
        <f>Август2018[[#Totals],[Оплата]]</f>
        <v xml:space="preserve">20 900  </v>
      </c>
      <c r="I44"/>
      <c r="K44" s="80">
        <f>Таблица98[[#This Row],[БонусОлд]]-Таблица98[[#This Row],[Премия]]+Таблица98[[#This Row],[Штраф]]+14790</f>
        <v>25894</v>
      </c>
      <c r="L44" s="80">
        <f>Таблица98[[#This Row],[Бонус]]-Таблица98[[#This Row],[Штраф]]+Таблица98[[#This Row],[Премия]]+14790</f>
        <v>35717</v>
      </c>
      <c r="M44" s="80">
        <f>Таблица98[[#This Row],[БонусФакт]]+14790</f>
        <v>35690</v>
      </c>
      <c r="N44" s="80">
        <f>Таблица98[[#This Row],[Бонус]]-Таблица98[[#This Row],[БонусОлд]]</f>
        <v>9823</v>
      </c>
    </row>
    <row r="45" spans="1:14" x14ac:dyDescent="0.25">
      <c r="A45" s="86">
        <v>43344</v>
      </c>
      <c r="B45" s="50">
        <f>Сентябрь2018[[#Totals],[Продажа]]</f>
        <v>468913.86</v>
      </c>
      <c r="C45" s="50">
        <f>Сентябрь2018[[#Totals],[Продажа НК]]</f>
        <v>0</v>
      </c>
      <c r="D45" s="50">
        <f>Сентябрь2018[[#Totals],[Маржа]]</f>
        <v>145199.85999999999</v>
      </c>
      <c r="E45" s="50">
        <f>Сентябрь2018[[#Totals],[Маржа НК]]</f>
        <v>0</v>
      </c>
      <c r="F45" s="80">
        <f>ROUND(Таблица98[[#This Row],[Продажа]]*(0.02 +IF(Таблица98[[#This Row],[Продажа]]&gt;=500000,0.03,0))+Таблица98[[#This Row],[Продажа НК]]*0.02,0)</f>
        <v>9378</v>
      </c>
      <c r="G45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7260</v>
      </c>
      <c r="H45" s="84" t="str">
        <f>Сентябрь2018[[#Totals],[Оплата]]</f>
        <v>10164</v>
      </c>
      <c r="I45"/>
      <c r="K45" s="80">
        <f>Таблица98[[#This Row],[БонусОлд]]-Таблица98[[#This Row],[Премия]]+Таблица98[[#This Row],[Штраф]]+14790</f>
        <v>24168</v>
      </c>
      <c r="L45" s="80">
        <f>Таблица98[[#This Row],[Бонус]]-Таблица98[[#This Row],[Штраф]]+Таблица98[[#This Row],[Премия]]+14790</f>
        <v>22050</v>
      </c>
      <c r="M45" s="80">
        <f>Таблица98[[#This Row],[БонусФакт]]+14790</f>
        <v>24954</v>
      </c>
      <c r="N45" s="80">
        <f>Таблица98[[#This Row],[Бонус]]-Таблица98[[#This Row],[БонусОлд]]</f>
        <v>-2118</v>
      </c>
    </row>
    <row r="46" spans="1:14" x14ac:dyDescent="0.25">
      <c r="A46" s="86">
        <v>43374</v>
      </c>
      <c r="B46" s="50">
        <f>Октябрь2018[[#Totals],[Продажа]]</f>
        <v>1251788.3500000001</v>
      </c>
      <c r="C46" s="50">
        <f>Октябрь2018[[#Totals],[Продажа НК]]</f>
        <v>33913</v>
      </c>
      <c r="D46" s="50">
        <f>Октябрь2018[[#Totals],[Маржа]]</f>
        <v>363048.09</v>
      </c>
      <c r="E46" s="50">
        <f>Октябрь2018[[#Totals],[Маржа НК]]</f>
        <v>8904</v>
      </c>
      <c r="F46" s="80">
        <f>ROUND(Таблица98[[#This Row],[Продажа]]*(0.02 +IF(Таблица98[[#This Row],[Продажа]]&gt;=500000,0.03,0))+Таблица98[[#This Row],[Продажа НК]]*0.02,0)</f>
        <v>63268</v>
      </c>
      <c r="G46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62252</v>
      </c>
      <c r="H46" s="84" t="str">
        <f>Октябрь2018[[#Totals],[Оплата]]</f>
        <v xml:space="preserve">62 250  </v>
      </c>
      <c r="I46"/>
      <c r="K46" s="80">
        <f>Таблица98[[#This Row],[БонусОлд]]-Таблица98[[#This Row],[Премия]]+Таблица98[[#This Row],[Штраф]]+14790</f>
        <v>78058</v>
      </c>
      <c r="L46" s="80">
        <f>Таблица98[[#This Row],[Бонус]]-Таблица98[[#This Row],[Штраф]]+Таблица98[[#This Row],[Премия]]+14790</f>
        <v>77042</v>
      </c>
      <c r="M46" s="80">
        <f>Таблица98[[#This Row],[БонусФакт]]+14790</f>
        <v>77040</v>
      </c>
      <c r="N46" s="80">
        <f>Таблица98[[#This Row],[Бонус]]-Таблица98[[#This Row],[БонусОлд]]</f>
        <v>-1016</v>
      </c>
    </row>
    <row r="47" spans="1:14" x14ac:dyDescent="0.25">
      <c r="A47" s="86">
        <v>43405</v>
      </c>
      <c r="B47" s="50">
        <f>Ноябрь2018[[#Totals],[Продажа]]</f>
        <v>818142.65</v>
      </c>
      <c r="C47" s="50">
        <f>Ноябрь2018[[#Totals],[Продажа НК]]</f>
        <v>13413</v>
      </c>
      <c r="D47" s="50">
        <f>Ноябрь2018[[#Totals],[Маржа]]</f>
        <v>150110.91999999998</v>
      </c>
      <c r="E47" s="50">
        <f>Ноябрь2018[[#Totals],[Маржа НК]]</f>
        <v>3425</v>
      </c>
      <c r="F47" s="80">
        <f>ROUND(Таблица98[[#This Row],[Продажа]]*(0.02 +IF(Таблица98[[#This Row],[Продажа]]&gt;=500000,0.03,0))+Таблица98[[#This Row],[Продажа НК]]*0.02,0)</f>
        <v>41175</v>
      </c>
      <c r="G47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18219</v>
      </c>
      <c r="H47" s="84" t="str">
        <f>Ноябрь2018[[#Totals],[Оплата]]</f>
        <v xml:space="preserve">18 200  </v>
      </c>
      <c r="I47"/>
      <c r="K47" s="80">
        <f>Таблица98[[#This Row],[БонусОлд]]-Таблица98[[#This Row],[Премия]]+Таблица98[[#This Row],[Штраф]]+14790</f>
        <v>55965</v>
      </c>
      <c r="L47" s="80">
        <f>Таблица98[[#This Row],[Бонус]]-Таблица98[[#This Row],[Штраф]]+Таблица98[[#This Row],[Премия]]+14790</f>
        <v>33009</v>
      </c>
      <c r="M47" s="80">
        <f>Таблица98[[#This Row],[БонусФакт]]+14790</f>
        <v>32990</v>
      </c>
      <c r="N47" s="80">
        <f>Таблица98[[#This Row],[Бонус]]-Таблица98[[#This Row],[БонусОлд]]</f>
        <v>-22956</v>
      </c>
    </row>
    <row r="48" spans="1:14" x14ac:dyDescent="0.25">
      <c r="A48" s="86">
        <v>43435</v>
      </c>
      <c r="B48" s="50">
        <f>Декабрь2018[[#Totals],[Продажа]]</f>
        <v>1072301.81</v>
      </c>
      <c r="C48" s="50">
        <f>Декабрь2018[[#Totals],[Продажа НК]]</f>
        <v>16531</v>
      </c>
      <c r="D48" s="50">
        <f>Декабрь2018[[#Totals],[Маржа]]</f>
        <v>329948.70000000007</v>
      </c>
      <c r="E48" s="50">
        <f>Декабрь2018[[#Totals],[Маржа НК]]</f>
        <v>3607</v>
      </c>
      <c r="F48" s="80">
        <f>ROUND(Таблица98[[#This Row],[Продажа]]*(0.02 +IF(Таблица98[[#This Row],[Продажа]]&gt;=500000,0.03,0))+Таблица98[[#This Row],[Продажа НК]]*0.02,0)</f>
        <v>53946</v>
      </c>
      <c r="G48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56308</v>
      </c>
      <c r="H48" s="84" t="str">
        <f>Декабрь2018[[#Totals],[Оплата]]</f>
        <v xml:space="preserve">56 300  </v>
      </c>
      <c r="I48"/>
      <c r="K48" s="80">
        <f>Таблица98[[#This Row],[БонусОлд]]-Таблица98[[#This Row],[Премия]]+Таблица98[[#This Row],[Штраф]]+14790</f>
        <v>68736</v>
      </c>
      <c r="L48" s="80">
        <f>Таблица98[[#This Row],[Бонус]]-Таблица98[[#This Row],[Штраф]]+Таблица98[[#This Row],[Премия]]+14790</f>
        <v>71098</v>
      </c>
      <c r="M48" s="80">
        <f>Таблица98[[#This Row],[БонусФакт]]+14790</f>
        <v>71090</v>
      </c>
      <c r="N48" s="80">
        <f>Таблица98[[#This Row],[Бонус]]-Таблица98[[#This Row],[БонусОлд]]</f>
        <v>2362</v>
      </c>
    </row>
    <row r="49" spans="1:14" x14ac:dyDescent="0.25">
      <c r="A49" s="86">
        <v>43466</v>
      </c>
      <c r="B49" s="50">
        <f>Январь2019[[#Totals],[Продажа]]</f>
        <v>1076404.3</v>
      </c>
      <c r="C49" s="50">
        <f>Январь2019[[#Totals],[Продажа НК]]</f>
        <v>45168</v>
      </c>
      <c r="D49" s="50">
        <f>Январь2019[[#Totals],[Маржа]]</f>
        <v>226610.3</v>
      </c>
      <c r="E49" s="50">
        <f>Январь2019[[#Totals],[Маржа НК]]</f>
        <v>13016</v>
      </c>
      <c r="F49" s="80">
        <f>ROUND(Таблица98[[#This Row],[Продажа]]*(0.02 +IF(Таблица98[[#This Row],[Продажа]]&gt;=500000,0.03,0))+Таблица98[[#This Row],[Продажа НК]]*0.02,0)</f>
        <v>54724</v>
      </c>
      <c r="G49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27974</v>
      </c>
      <c r="H49" s="84" t="str">
        <f>Январь2019[[#Totals],[Оплата]]</f>
        <v xml:space="preserve">28 000  </v>
      </c>
      <c r="I49"/>
      <c r="K49" s="80">
        <f>Таблица98[[#This Row],[БонусОлд]]-Таблица98[[#This Row],[Премия]]+Таблица98[[#This Row],[Штраф]]+14790</f>
        <v>69514</v>
      </c>
      <c r="L49" s="80">
        <f>Таблица98[[#This Row],[Бонус]]-Таблица98[[#This Row],[Штраф]]+Таблица98[[#This Row],[Премия]]+14790</f>
        <v>42764</v>
      </c>
      <c r="M49" s="80">
        <f>Таблица98[[#This Row],[БонусФакт]]+14790</f>
        <v>42790</v>
      </c>
      <c r="N49" s="80">
        <f>Таблица98[[#This Row],[Бонус]]-Таблица98[[#This Row],[БонусОлд]]</f>
        <v>-26750</v>
      </c>
    </row>
    <row r="50" spans="1:14" x14ac:dyDescent="0.25">
      <c r="A50" s="86">
        <v>43497</v>
      </c>
      <c r="B50" s="50">
        <f>Февраль2019[[#Totals],[Продажа]]</f>
        <v>1608172.2</v>
      </c>
      <c r="C50" s="50">
        <f>Февраль2019[[#Totals],[Продажа НК]]</f>
        <v>80352</v>
      </c>
      <c r="D50" s="50">
        <f>Февраль2019[[#Totals],[Маржа]]</f>
        <v>480316.2</v>
      </c>
      <c r="E50" s="50">
        <f>Февраль2019[[#Totals],[Маржа НК]]</f>
        <v>21522</v>
      </c>
      <c r="F50" s="80">
        <f>ROUND(Таблица98[[#This Row],[Продажа]]*(0.02 +IF(Таблица98[[#This Row],[Продажа]]&gt;=500000,0.03,0))+Таблица98[[#This Row],[Продажа НК]]*0.02,0)</f>
        <v>82016</v>
      </c>
      <c r="G50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82945</v>
      </c>
      <c r="H50" s="84" t="str">
        <f>Февраль2019[[#Totals],[Оплата]]</f>
        <v xml:space="preserve">82 950  </v>
      </c>
      <c r="I50"/>
      <c r="K50" s="80">
        <f>Таблица98[[#This Row],[БонусОлд]]-Таблица98[[#This Row],[Премия]]+Таблица98[[#This Row],[Штраф]]+14790</f>
        <v>96806</v>
      </c>
      <c r="L50" s="80">
        <f>Таблица98[[#This Row],[Бонус]]-Таблица98[[#This Row],[Штраф]]+Таблица98[[#This Row],[Премия]]+14790</f>
        <v>97735</v>
      </c>
      <c r="M50" s="80">
        <f>Таблица98[[#This Row],[БонусФакт]]+14790</f>
        <v>97740</v>
      </c>
      <c r="N50" s="80">
        <f>Таблица98[[#This Row],[Бонус]]-Таблица98[[#This Row],[БонусОлд]]</f>
        <v>929</v>
      </c>
    </row>
    <row r="51" spans="1:14" x14ac:dyDescent="0.25">
      <c r="A51" s="86">
        <v>43525</v>
      </c>
      <c r="B51" s="50">
        <f>Март2019[[#Totals],[Продажа]]</f>
        <v>962589.35</v>
      </c>
      <c r="C51" s="50">
        <f>Март2019[[#Totals],[Продажа НК]]</f>
        <v>98583</v>
      </c>
      <c r="D51" s="50">
        <f>Март2019[[#Totals],[Маржа]]</f>
        <v>281484.34999999998</v>
      </c>
      <c r="E51" s="50">
        <f>Март2019[[#Totals],[Маржа НК]]</f>
        <v>28118</v>
      </c>
      <c r="F51" s="80">
        <f>ROUND(Таблица98[[#This Row],[Продажа]]*(0.02 +IF(Таблица98[[#This Row],[Продажа]]&gt;=500000,0.03,0))+Таблица98[[#This Row],[Продажа НК]]*0.02,0)</f>
        <v>50101</v>
      </c>
      <c r="G51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49539</v>
      </c>
      <c r="H51" s="84" t="str">
        <f>Март2019[[#Totals],[Оплата]]</f>
        <v xml:space="preserve">49 200  </v>
      </c>
      <c r="I51"/>
      <c r="K51" s="80">
        <f>Таблица98[[#This Row],[БонусОлд]]-Таблица98[[#This Row],[Премия]]+Таблица98[[#This Row],[Штраф]]+14790</f>
        <v>64891</v>
      </c>
      <c r="L51" s="80">
        <f>Таблица98[[#This Row],[Бонус]]-Таблица98[[#This Row],[Штраф]]+Таблица98[[#This Row],[Премия]]+14790</f>
        <v>64329</v>
      </c>
      <c r="M51" s="80">
        <f>Таблица98[[#This Row],[БонусФакт]]+14790</f>
        <v>63990</v>
      </c>
      <c r="N51" s="80">
        <f>Таблица98[[#This Row],[Бонус]]-Таблица98[[#This Row],[БонусОлд]]</f>
        <v>-562</v>
      </c>
    </row>
    <row r="52" spans="1:14" x14ac:dyDescent="0.25">
      <c r="A52" s="86">
        <v>43556</v>
      </c>
      <c r="B52" s="50">
        <f>Апрель2019[[#Totals],[Продажа]]</f>
        <v>2149215.5499999998</v>
      </c>
      <c r="C52" s="50">
        <f>Апрель2019[[#Totals],[Продажа НК]]</f>
        <v>323635.59999999998</v>
      </c>
      <c r="D52" s="50">
        <f>Апрель2019[[#Totals],[Маржа]]</f>
        <v>616399.55000000005</v>
      </c>
      <c r="E52" s="50">
        <f>Апрель2019[[#Totals],[Маржа НК]]</f>
        <v>71103.600000000006</v>
      </c>
      <c r="F52" s="80">
        <f>ROUND(Таблица98[[#This Row],[Продажа]]*(0.02 +IF(Таблица98[[#This Row],[Продажа]]&gt;=500000,0.03,0))+Таблица98[[#This Row],[Продажа НК]]*0.02,0)</f>
        <v>113933</v>
      </c>
      <c r="G52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109054</v>
      </c>
      <c r="H52" s="84" t="str">
        <f>Апрель2019[[#Totals],[Оплата]]</f>
        <v xml:space="preserve">109 050  </v>
      </c>
      <c r="I52"/>
      <c r="K52" s="80">
        <f>Таблица98[[#This Row],[БонусОлд]]-Таблица98[[#This Row],[Премия]]+Таблица98[[#This Row],[Штраф]]+14790</f>
        <v>128723</v>
      </c>
      <c r="L52" s="80">
        <f>Таблица98[[#This Row],[Бонус]]-Таблица98[[#This Row],[Штраф]]+Таблица98[[#This Row],[Премия]]+14790</f>
        <v>123844</v>
      </c>
      <c r="M52" s="80">
        <f>Таблица98[[#This Row],[БонусФакт]]+14790</f>
        <v>123840</v>
      </c>
      <c r="N52" s="80">
        <f>Таблица98[[#This Row],[Бонус]]-Таблица98[[#This Row],[БонусОлд]]</f>
        <v>-4879</v>
      </c>
    </row>
    <row r="53" spans="1:14" x14ac:dyDescent="0.25">
      <c r="A53" s="86">
        <v>43586</v>
      </c>
      <c r="B53" s="50">
        <f>Май2019[[#Totals],[Продажа]]</f>
        <v>663356</v>
      </c>
      <c r="C53" s="50">
        <f>Май2019[[#Totals],[Продажа НК]]</f>
        <v>200481</v>
      </c>
      <c r="D53" s="50">
        <f>Май2019[[#Totals],[Маржа]]</f>
        <v>222199</v>
      </c>
      <c r="E53" s="50">
        <f>Май2019[[#Totals],[Маржа НК]]</f>
        <v>55624</v>
      </c>
      <c r="F53" s="80">
        <f>ROUND(Таблица98[[#This Row],[Продажа]]*(0.02 +IF(Таблица98[[#This Row],[Продажа]]&gt;=500000,0.03,0))+Таблица98[[#This Row],[Продажа НК]]*0.02,0)</f>
        <v>37177</v>
      </c>
      <c r="G53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30001</v>
      </c>
      <c r="H53" s="84" t="str">
        <f>Май2019[[#Totals],[Оплата]]</f>
        <v xml:space="preserve">30 000  </v>
      </c>
      <c r="I53"/>
      <c r="K53" s="80">
        <f>Таблица98[[#This Row],[БонусОлд]]-Таблица98[[#This Row],[Премия]]+Таблица98[[#This Row],[Штраф]]+14790</f>
        <v>51967</v>
      </c>
      <c r="L53" s="80">
        <f>Таблица98[[#This Row],[Бонус]]-Таблица98[[#This Row],[Штраф]]+Таблица98[[#This Row],[Премия]]+14790</f>
        <v>44791</v>
      </c>
      <c r="M53" s="80">
        <f>Таблица98[[#This Row],[БонусФакт]]+14790</f>
        <v>44790</v>
      </c>
      <c r="N53" s="80">
        <f>Таблица98[[#This Row],[Бонус]]-Таблица98[[#This Row],[БонусОлд]]</f>
        <v>-7176</v>
      </c>
    </row>
    <row r="54" spans="1:14" x14ac:dyDescent="0.25">
      <c r="A54" s="86">
        <v>43617</v>
      </c>
      <c r="B54" s="50">
        <f>Июнь2019[[#Totals],[Продажа]]</f>
        <v>1178637.2</v>
      </c>
      <c r="C54" s="50">
        <f>Июнь2019[[#Totals],[Продажа НК]]</f>
        <v>204792</v>
      </c>
      <c r="D54" s="50">
        <f>Июнь2019[[#Totals],[Маржа]]</f>
        <v>422548.2</v>
      </c>
      <c r="E54" s="50">
        <f>Июнь2019[[#Totals],[Маржа НК]]</f>
        <v>60447</v>
      </c>
      <c r="F54" s="80">
        <f>ROUND(Таблица98[[#This Row],[Продажа]]*(0.02 +IF(Таблица98[[#This Row],[Продажа]]&gt;=500000,0.03,0))+Таблица98[[#This Row],[Продажа НК]]*0.02,0)</f>
        <v>63028</v>
      </c>
      <c r="G54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75460</v>
      </c>
      <c r="H54" s="84" t="str">
        <f>Июнь2019[[#Totals],[Оплата]]</f>
        <v xml:space="preserve">75 450  </v>
      </c>
      <c r="I54"/>
      <c r="K54" s="80">
        <f>Таблица98[[#This Row],[БонусОлд]]-Таблица98[[#This Row],[Премия]]+Таблица98[[#This Row],[Штраф]]+14790</f>
        <v>77818</v>
      </c>
      <c r="L54" s="80">
        <f>Таблица98[[#This Row],[Бонус]]-Таблица98[[#This Row],[Штраф]]+Таблица98[[#This Row],[Премия]]+14790</f>
        <v>90250</v>
      </c>
      <c r="M54" s="80">
        <f>Таблица98[[#This Row],[БонусФакт]]+14790</f>
        <v>90240</v>
      </c>
      <c r="N54" s="80">
        <f>Таблица98[[#This Row],[Бонус]]-Таблица98[[#This Row],[БонусОлд]]</f>
        <v>12432</v>
      </c>
    </row>
    <row r="55" spans="1:14" x14ac:dyDescent="0.25">
      <c r="A55" s="86">
        <v>43647</v>
      </c>
      <c r="B55" s="50">
        <f>Июль2019[[#Totals],[Продажа]]</f>
        <v>1254919.6100000001</v>
      </c>
      <c r="C55" s="50">
        <f>Июль2019[[#Totals],[Продажа НК]]</f>
        <v>161901</v>
      </c>
      <c r="D55" s="50">
        <f>Июль2019[[#Totals],[Маржа]]</f>
        <v>377514.73</v>
      </c>
      <c r="E55" s="50">
        <f>Июль2019[[#Totals],[Маржа НК]]</f>
        <v>41137.119999999995</v>
      </c>
      <c r="F55" s="80">
        <f>ROUND(Таблица98[[#This Row],[Продажа]]*(0.02 +IF(Таблица98[[#This Row],[Продажа]]&gt;=500000,0.03,0))+Таблица98[[#This Row],[Продажа НК]]*0.02,0)</f>
        <v>65984</v>
      </c>
      <c r="G55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66646</v>
      </c>
      <c r="H55" s="84" t="str">
        <f>Июль2019[[#Totals],[Оплата]]</f>
        <v xml:space="preserve">66 650  </v>
      </c>
      <c r="I55"/>
      <c r="K55" s="80">
        <f>Таблица98[[#This Row],[БонусОлд]]-Таблица98[[#This Row],[Премия]]+Таблица98[[#This Row],[Штраф]]+14790</f>
        <v>80774</v>
      </c>
      <c r="L55" s="80">
        <f>Таблица98[[#This Row],[Бонус]]-Таблица98[[#This Row],[Штраф]]+Таблица98[[#This Row],[Премия]]+14790</f>
        <v>81436</v>
      </c>
      <c r="M55" s="80">
        <f>Таблица98[[#This Row],[БонусФакт]]+14790</f>
        <v>81440</v>
      </c>
      <c r="N55" s="80">
        <f>Таблица98[[#This Row],[Бонус]]-Таблица98[[#This Row],[БонусОлд]]</f>
        <v>662</v>
      </c>
    </row>
    <row r="56" spans="1:14" x14ac:dyDescent="0.25">
      <c r="A56" s="86">
        <v>43678</v>
      </c>
      <c r="B56" s="50">
        <f>Август2019[[#Totals],[Продажа]]</f>
        <v>3511123.05</v>
      </c>
      <c r="C56" s="50">
        <f>Август2019[[#Totals],[Продажа НК]]</f>
        <v>2079209</v>
      </c>
      <c r="D56" s="50">
        <f>Август2019[[#Totals],[Маржа]]</f>
        <v>619341.17000000004</v>
      </c>
      <c r="E56" s="50">
        <f>Август2019[[#Totals],[Маржа НК]]</f>
        <v>261643</v>
      </c>
      <c r="F56" s="80">
        <f>ROUND(Таблица98[[#This Row],[Продажа]]*(0.02 +IF(Таблица98[[#This Row],[Продажа]]&gt;=500000,0.03,0))+Таблица98[[#This Row],[Продажа НК]]*0.02,0)</f>
        <v>217140</v>
      </c>
      <c r="G56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120987</v>
      </c>
      <c r="H56" s="84" t="str">
        <f>Август2019[[#Totals],[Оплата]]</f>
        <v xml:space="preserve">90 250  </v>
      </c>
      <c r="I56"/>
      <c r="K56" s="80">
        <f>Таблица98[[#This Row],[БонусОлд]]-Таблица98[[#This Row],[Премия]]+Таблица98[[#This Row],[Штраф]]+14790</f>
        <v>231930</v>
      </c>
      <c r="L56" s="80">
        <f>Таблица98[[#This Row],[Бонус]]-Таблица98[[#This Row],[Штраф]]+Таблица98[[#This Row],[Премия]]+14790</f>
        <v>135777</v>
      </c>
      <c r="M56" s="80">
        <f>Таблица98[[#This Row],[БонусФакт]]+14790</f>
        <v>105040</v>
      </c>
      <c r="N56" s="80">
        <f>Таблица98[[#This Row],[Бонус]]-Таблица98[[#This Row],[БонусОлд]]</f>
        <v>-96153</v>
      </c>
    </row>
    <row r="57" spans="1:14" x14ac:dyDescent="0.25">
      <c r="A57" s="86">
        <v>43709</v>
      </c>
      <c r="B57" s="50">
        <f>Сентябрь2019[[#Totals],[Продажа]]</f>
        <v>1148606.05</v>
      </c>
      <c r="C57" s="50">
        <f>Сентябрь2019[[#Totals],[Продажа НК]]</f>
        <v>116927</v>
      </c>
      <c r="D57" s="50">
        <f>Сентябрь2019[[#Totals],[Маржа]]</f>
        <v>333233.05</v>
      </c>
      <c r="E57" s="50">
        <f>Сентябрь2019[[#Totals],[Маржа НК]]</f>
        <v>34745</v>
      </c>
      <c r="F57" s="80">
        <f>ROUND(Таблица98[[#This Row],[Продажа]]*(0.02 +IF(Таблица98[[#This Row],[Продажа]]&gt;=500000,0.03,0))+Таблица98[[#This Row],[Продажа НК]]*0.02,0)</f>
        <v>59769</v>
      </c>
      <c r="G57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58734</v>
      </c>
      <c r="H57" s="84" t="str">
        <f>Сентябрь2019[[#Totals],[Оплата]]</f>
        <v xml:space="preserve">89 050  </v>
      </c>
      <c r="I57"/>
      <c r="K57" s="80">
        <f>Таблица98[[#This Row],[БонусОлд]]-Таблица98[[#This Row],[Премия]]+Таблица98[[#This Row],[Штраф]]+14790</f>
        <v>74559</v>
      </c>
      <c r="L57" s="80">
        <f>Таблица98[[#This Row],[Бонус]]-Таблица98[[#This Row],[Штраф]]+Таблица98[[#This Row],[Премия]]+14790</f>
        <v>73524</v>
      </c>
      <c r="M57" s="80">
        <f>Таблица98[[#This Row],[БонусФакт]]+14790</f>
        <v>103840</v>
      </c>
      <c r="N57" s="80">
        <f>Таблица98[[#This Row],[Бонус]]-Таблица98[[#This Row],[БонусОлд]]</f>
        <v>-1035</v>
      </c>
    </row>
    <row r="58" spans="1:14" x14ac:dyDescent="0.25">
      <c r="A58" s="86">
        <v>43739</v>
      </c>
      <c r="B58" s="50">
        <f>Октябрь2019[[#Totals],[Продажа]]</f>
        <v>769465.8</v>
      </c>
      <c r="C58" s="50">
        <f>Октябрь2019[[#Totals],[Продажа НК]]</f>
        <v>128552</v>
      </c>
      <c r="D58" s="50">
        <f>Октябрь2019[[#Totals],[Маржа]]</f>
        <v>270854.8</v>
      </c>
      <c r="E58" s="50">
        <f>Октябрь2019[[#Totals],[Маржа НК]]</f>
        <v>34000</v>
      </c>
      <c r="F58" s="80">
        <f>ROUND(Таблица98[[#This Row],[Продажа]]*(0.02 +IF(Таблица98[[#This Row],[Продажа]]&gt;=500000,0.03,0))+Таблица98[[#This Row],[Продажа НК]]*0.02,0)</f>
        <v>41044</v>
      </c>
      <c r="G58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48085</v>
      </c>
      <c r="H58" s="84" t="str">
        <f>Октябрь2019[[#Totals],[Оплата]]</f>
        <v xml:space="preserve">48 100  </v>
      </c>
      <c r="I58"/>
      <c r="K58" s="80">
        <f>Таблица98[[#This Row],[БонусОлд]]-Таблица98[[#This Row],[Премия]]+Таблица98[[#This Row],[Штраф]]+14790</f>
        <v>55834</v>
      </c>
      <c r="L58" s="80">
        <f>Таблица98[[#This Row],[Бонус]]-Таблица98[[#This Row],[Штраф]]+Таблица98[[#This Row],[Премия]]+14790</f>
        <v>62875</v>
      </c>
      <c r="M58" s="80">
        <f>Таблица98[[#This Row],[БонусФакт]]+14790</f>
        <v>62890</v>
      </c>
      <c r="N58" s="80">
        <f>Таблица98[[#This Row],[Бонус]]-Таблица98[[#This Row],[БонусОлд]]</f>
        <v>7041</v>
      </c>
    </row>
    <row r="59" spans="1:14" x14ac:dyDescent="0.25">
      <c r="A59" s="86">
        <v>43770</v>
      </c>
      <c r="B59" s="50">
        <f>Ноябрь2019[[#Totals],[Продажа]]</f>
        <v>327739</v>
      </c>
      <c r="C59" s="50">
        <f>Ноябрь2019[[#Totals],[Продажа НК]]</f>
        <v>96450</v>
      </c>
      <c r="D59" s="50">
        <f>Ноябрь2019[[#Totals],[Маржа]]</f>
        <v>91619</v>
      </c>
      <c r="E59" s="50">
        <f>Ноябрь2019[[#Totals],[Маржа НК]]</f>
        <v>25619</v>
      </c>
      <c r="F59" s="80">
        <f>ROUND(Таблица98[[#This Row],[Продажа]]*(0.02 +IF(Таблица98[[#This Row],[Продажа]]&gt;=500000,0.03,0))+Таблица98[[#This Row],[Продажа НК]]*0.02,0)</f>
        <v>8484</v>
      </c>
      <c r="G59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6118</v>
      </c>
      <c r="H59" s="84" t="str">
        <f>Ноябрь2019[[#Totals],[Оплата]]</f>
        <v xml:space="preserve">6 100  </v>
      </c>
      <c r="I59"/>
      <c r="K59" s="80">
        <f>Таблица98[[#This Row],[БонусОлд]]-Таблица98[[#This Row],[Премия]]+Таблица98[[#This Row],[Штраф]]+14790</f>
        <v>23274</v>
      </c>
      <c r="L59" s="80">
        <f>Таблица98[[#This Row],[Бонус]]-Таблица98[[#This Row],[Штраф]]+Таблица98[[#This Row],[Премия]]+14790</f>
        <v>20908</v>
      </c>
      <c r="M59" s="80">
        <f>Таблица98[[#This Row],[БонусФакт]]+14790</f>
        <v>20890</v>
      </c>
      <c r="N59" s="80">
        <f>Таблица98[[#This Row],[Бонус]]-Таблица98[[#This Row],[БонусОлд]]</f>
        <v>-2366</v>
      </c>
    </row>
    <row r="60" spans="1:14" x14ac:dyDescent="0.25">
      <c r="A60" s="86">
        <v>43800</v>
      </c>
      <c r="B60" s="50">
        <f>Декабрь2019[[#Totals],[Продажа]]</f>
        <v>2132659</v>
      </c>
      <c r="C60" s="50">
        <f>Декабрь2019[[#Totals],[Продажа НК]]</f>
        <v>194327</v>
      </c>
      <c r="D60" s="50">
        <f>Декабрь2019[[#Totals],[Маржа]]</f>
        <v>405862.59999999992</v>
      </c>
      <c r="E60" s="50">
        <f>Декабрь2019[[#Totals],[Маржа НК]]</f>
        <v>45878</v>
      </c>
      <c r="F60" s="80">
        <f>ROUND(Таблица98[[#This Row],[Продажа]]*(0.02 +IF(Таблица98[[#This Row],[Продажа]]&gt;=500000,0.03,0))+Таблица98[[#This Row],[Продажа НК]]*0.02,0)</f>
        <v>110519</v>
      </c>
      <c r="G60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71749</v>
      </c>
      <c r="H60" s="84" t="str">
        <f>Декабрь2019[[#Totals],[Оплата]]</f>
        <v xml:space="preserve">45 400  </v>
      </c>
      <c r="I60"/>
      <c r="K60" s="80">
        <f>Таблица98[[#This Row],[БонусОлд]]-Таблица98[[#This Row],[Премия]]+Таблица98[[#This Row],[Штраф]]+14790</f>
        <v>125309</v>
      </c>
      <c r="L60" s="80">
        <f>Таблица98[[#This Row],[Бонус]]-Таблица98[[#This Row],[Штраф]]+Таблица98[[#This Row],[Премия]]+14790</f>
        <v>86539</v>
      </c>
      <c r="M60" s="80">
        <f>Таблица98[[#This Row],[БонусФакт]]+14790</f>
        <v>60190</v>
      </c>
      <c r="N60" s="80">
        <f>Таблица98[[#This Row],[Бонус]]-Таблица98[[#This Row],[БонусОлд]]</f>
        <v>-38770</v>
      </c>
    </row>
    <row r="61" spans="1:14" x14ac:dyDescent="0.25">
      <c r="A61" s="86">
        <v>43831</v>
      </c>
      <c r="B61" s="50">
        <f>Январь2020[[#Totals],[Продажа]]</f>
        <v>625627</v>
      </c>
      <c r="C61" s="50">
        <f>Январь2020[[#Totals],[Продажа НК]]</f>
        <v>96512</v>
      </c>
      <c r="D61" s="50">
        <f>Январь2020[[#Totals],[Маржа]]</f>
        <v>187414</v>
      </c>
      <c r="E61" s="50">
        <f>Январь2020[[#Totals],[Маржа НК]]</f>
        <v>25064</v>
      </c>
      <c r="F61" s="80">
        <f>ROUND(Таблица98[[#This Row],[Продажа]]*(0.02 +IF(Таблица98[[#This Row],[Продажа]]&gt;=500000,0.03,0))+Таблица98[[#This Row],[Продажа НК]]*0.02,0)</f>
        <v>33212</v>
      </c>
      <c r="G61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23994</v>
      </c>
      <c r="H61" s="84" t="str">
        <f>Январь2020[[#Totals],[Оплата]]</f>
        <v xml:space="preserve">69 700  </v>
      </c>
      <c r="I61">
        <v>10000</v>
      </c>
      <c r="K61" s="80">
        <f>Таблица98[[#This Row],[БонусОлд]]-Таблица98[[#This Row],[Премия]]+Таблица98[[#This Row],[Штраф]]+14790</f>
        <v>38002</v>
      </c>
      <c r="L61" s="80">
        <f>Таблица98[[#This Row],[Бонус]]-Таблица98[[#This Row],[Штраф]]+Таблица98[[#This Row],[Премия]]+14790</f>
        <v>48784</v>
      </c>
      <c r="M61" s="80">
        <f>Таблица98[[#This Row],[БонусФакт]]+14790</f>
        <v>84490</v>
      </c>
      <c r="N61" s="80">
        <f>Таблица98[[#This Row],[Бонус]]-Таблица98[[#This Row],[БонусОлд]]</f>
        <v>-9218</v>
      </c>
    </row>
    <row r="62" spans="1:14" x14ac:dyDescent="0.25">
      <c r="A62" s="86">
        <v>43862</v>
      </c>
      <c r="B62" s="50">
        <f>Февраль2020[[#Totals],[Продажа]]</f>
        <v>2699055</v>
      </c>
      <c r="C62" s="50">
        <f>Февраль2020[[#Totals],[Продажа НК]]</f>
        <v>404131</v>
      </c>
      <c r="D62" s="50">
        <f>Февраль2020[[#Totals],[Маржа]]</f>
        <v>440212.5</v>
      </c>
      <c r="E62" s="50">
        <f>Февраль2020[[#Totals],[Маржа НК]]</f>
        <v>110513.5</v>
      </c>
      <c r="F62" s="80">
        <f>ROUND(Таблица98[[#This Row],[Продажа]]*(0.02 +IF(Таблица98[[#This Row],[Продажа]]&gt;=500000,0.03,0))+Таблица98[[#This Row],[Продажа НК]]*0.02,0)</f>
        <v>143035</v>
      </c>
      <c r="G62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81467</v>
      </c>
      <c r="H62" s="84" t="str">
        <f>Февраль2020[[#Totals],[Оплата]]</f>
        <v xml:space="preserve">91 400  </v>
      </c>
      <c r="I62">
        <v>10000</v>
      </c>
      <c r="K62" s="80">
        <f>Таблица98[[#This Row],[БонусОлд]]-Таблица98[[#This Row],[Премия]]+Таблица98[[#This Row],[Штраф]]+14790</f>
        <v>147825</v>
      </c>
      <c r="L62" s="80">
        <f>Таблица98[[#This Row],[Бонус]]-Таблица98[[#This Row],[Штраф]]+Таблица98[[#This Row],[Премия]]+14790</f>
        <v>106257</v>
      </c>
      <c r="M62" s="80">
        <f>Таблица98[[#This Row],[БонусФакт]]+14790</f>
        <v>106190</v>
      </c>
      <c r="N62" s="80">
        <f>Таблица98[[#This Row],[Бонус]]-Таблица98[[#This Row],[БонусОлд]]</f>
        <v>-61568</v>
      </c>
    </row>
    <row r="63" spans="1:14" x14ac:dyDescent="0.25">
      <c r="A63" s="86">
        <v>43891</v>
      </c>
      <c r="B63" s="50">
        <f>Март2020[[#Totals],[Продажа]]</f>
        <v>1267436.6500000001</v>
      </c>
      <c r="C63" s="50">
        <f>Март2020[[#Totals],[Продажа НК]]</f>
        <v>102792</v>
      </c>
      <c r="D63" s="50">
        <f>Март2020[[#Totals],[Маржа]]</f>
        <v>422616.65</v>
      </c>
      <c r="E63" s="50">
        <f>Март2020[[#Totals],[Маржа НК]]</f>
        <v>30908</v>
      </c>
      <c r="F63" s="80">
        <f>ROUND(Таблица98[[#This Row],[Продажа]]*(0.02 +IF(Таблица98[[#This Row],[Продажа]]&gt;=500000,0.03,0))+Таблица98[[#This Row],[Продажа НК]]*0.02,0)</f>
        <v>65428</v>
      </c>
      <c r="G63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73699</v>
      </c>
      <c r="H63" s="84" t="str">
        <f>Март2020[[#Totals],[Оплата]]</f>
        <v xml:space="preserve">83 750  </v>
      </c>
      <c r="I63">
        <v>10000</v>
      </c>
      <c r="K63" s="80">
        <f>Таблица98[[#This Row],[БонусОлд]]-Таблица98[[#This Row],[Премия]]+Таблица98[[#This Row],[Штраф]]+14790</f>
        <v>70218</v>
      </c>
      <c r="L63" s="80">
        <f>Таблица98[[#This Row],[Бонус]]-Таблица98[[#This Row],[Штраф]]+Таблица98[[#This Row],[Премия]]+14790</f>
        <v>98489</v>
      </c>
      <c r="M63" s="80">
        <f>Таблица98[[#This Row],[БонусФакт]]+14790</f>
        <v>98540</v>
      </c>
      <c r="N63" s="80">
        <f>Таблица98[[#This Row],[Бонус]]-Таблица98[[#This Row],[БонусОлд]]</f>
        <v>8271</v>
      </c>
    </row>
    <row r="64" spans="1:14" x14ac:dyDescent="0.25">
      <c r="A64" s="86">
        <v>43922</v>
      </c>
      <c r="B64" s="50">
        <f>Апрель2020[[#Totals],[Продажа]]</f>
        <v>1088627</v>
      </c>
      <c r="C64" s="50">
        <f>Апрель2020[[#Totals],[Продажа НК]]</f>
        <v>658199</v>
      </c>
      <c r="D64" s="50">
        <f>Апрель2020[[#Totals],[Маржа]]</f>
        <v>305325.12</v>
      </c>
      <c r="E64" s="50">
        <f>Апрель2020[[#Totals],[Маржа НК]]</f>
        <v>145022.67000000001</v>
      </c>
      <c r="F64" s="80">
        <f>ROUND(Таблица98[[#This Row],[Продажа]]*(0.02 +IF(Таблица98[[#This Row],[Продажа]]&gt;=500000,0.03,0))+Таблица98[[#This Row],[Продажа НК]]*0.02,0)</f>
        <v>67595</v>
      </c>
      <c r="G64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60607</v>
      </c>
      <c r="H64" s="84" t="str">
        <f>Апрель2020[[#Totals],[Оплата]]</f>
        <v xml:space="preserve">70 600  </v>
      </c>
      <c r="I64">
        <v>10000</v>
      </c>
      <c r="K64" s="80">
        <f>Таблица98[[#This Row],[БонусОлд]]-Таблица98[[#This Row],[Премия]]+Таблица98[[#This Row],[Штраф]]+14790</f>
        <v>72385</v>
      </c>
      <c r="L64" s="80">
        <f>Таблица98[[#This Row],[Бонус]]-Таблица98[[#This Row],[Штраф]]+Таблица98[[#This Row],[Премия]]+14790</f>
        <v>85397</v>
      </c>
      <c r="M64" s="80">
        <f>Таблица98[[#This Row],[БонусФакт]]+14790</f>
        <v>85390</v>
      </c>
      <c r="N64" s="80">
        <f>Таблица98[[#This Row],[Бонус]]-Таблица98[[#This Row],[БонусОлд]]</f>
        <v>-6988</v>
      </c>
    </row>
    <row r="65" spans="1:33" x14ac:dyDescent="0.25">
      <c r="A65" s="86">
        <v>43952</v>
      </c>
      <c r="B65" s="50">
        <f>Май2020[[#Totals],[Продажа]]</f>
        <v>499489</v>
      </c>
      <c r="C65" s="50">
        <f>Май2020[[#Totals],[Продажа НК]]</f>
        <v>22490</v>
      </c>
      <c r="D65" s="50">
        <f>Май2020[[#Totals],[Маржа]]</f>
        <v>156064.50000000003</v>
      </c>
      <c r="E65" s="50">
        <f>Май2020[[#Totals],[Маржа НК]]</f>
        <v>6355</v>
      </c>
      <c r="F65" s="80">
        <f>ROUND(Таблица98[[#This Row],[Продажа]]*(0.02 +IF(Таблица98[[#This Row],[Продажа]]&gt;=500000,0.03,0))+Таблица98[[#This Row],[Продажа НК]]*0.02,0)</f>
        <v>10440</v>
      </c>
      <c r="G65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19109</v>
      </c>
      <c r="H65" s="84" t="str">
        <f>Май2020[[#Totals],[Оплата]]</f>
        <v xml:space="preserve">29 100  </v>
      </c>
      <c r="I65">
        <v>10000</v>
      </c>
      <c r="K65" s="80">
        <f>Таблица98[[#This Row],[БонусОлд]]-Таблица98[[#This Row],[Премия]]+Таблица98[[#This Row],[Штраф]]+14790</f>
        <v>15230</v>
      </c>
      <c r="L65" s="80">
        <f>Таблица98[[#This Row],[Бонус]]-Таблица98[[#This Row],[Штраф]]+Таблица98[[#This Row],[Премия]]+14790</f>
        <v>43899</v>
      </c>
      <c r="M65" s="80">
        <f>Таблица98[[#This Row],[БонусФакт]]+14790</f>
        <v>43890</v>
      </c>
      <c r="N65" s="80">
        <f>Таблица98[[#This Row],[Бонус]]-Таблица98[[#This Row],[БонусОлд]]</f>
        <v>8669</v>
      </c>
    </row>
    <row r="66" spans="1:33" x14ac:dyDescent="0.25">
      <c r="A66" s="86">
        <v>43983</v>
      </c>
      <c r="B66" s="50">
        <f>Июнь2020[[#Totals],[Продажа]]</f>
        <v>1313724.3</v>
      </c>
      <c r="C66" s="50">
        <f>Июнь2020[[#Totals],[Продажа НК]]</f>
        <v>226879</v>
      </c>
      <c r="D66" s="50">
        <f>Июнь2020[[#Totals],[Маржа]]</f>
        <v>443690.95</v>
      </c>
      <c r="E66" s="50">
        <f>Июнь2020[[#Totals],[Маржа НК]]</f>
        <v>71262</v>
      </c>
      <c r="F66" s="80">
        <f>ROUND(Таблица98[[#This Row],[Продажа]]*(0.02 +IF(Таблица98[[#This Row],[Продажа]]&gt;=500000,0.03,0))+Таблица98[[#This Row],[Продажа НК]]*0.02,0)</f>
        <v>70224</v>
      </c>
      <c r="G66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79703</v>
      </c>
      <c r="H66" s="84" t="str">
        <f>Июнь2020[[#Totals],[Оплата]]</f>
        <v xml:space="preserve">89 700  </v>
      </c>
      <c r="I66">
        <v>10000</v>
      </c>
      <c r="K66" s="80">
        <f>Таблица98[[#This Row],[БонусОлд]]-Таблица98[[#This Row],[Премия]]+Таблица98[[#This Row],[Штраф]]+14790</f>
        <v>75014</v>
      </c>
      <c r="L66" s="80">
        <f>Таблица98[[#This Row],[Бонус]]-Таблица98[[#This Row],[Штраф]]+Таблица98[[#This Row],[Премия]]+14790</f>
        <v>104493</v>
      </c>
      <c r="M66" s="80">
        <f>Таблица98[[#This Row],[БонусФакт]]+14790</f>
        <v>104490</v>
      </c>
      <c r="N66" s="80">
        <f>Таблица98[[#This Row],[Бонус]]-Таблица98[[#This Row],[БонусОлд]]</f>
        <v>9479</v>
      </c>
    </row>
    <row r="67" spans="1:33" x14ac:dyDescent="0.25">
      <c r="A67" s="86">
        <v>44013</v>
      </c>
      <c r="B67" s="50">
        <f>Июль2020[[#Totals],[Продажа]]</f>
        <v>877140.15</v>
      </c>
      <c r="C67" s="50">
        <f>Июль2020[[#Totals],[Продажа НК]]</f>
        <v>392491</v>
      </c>
      <c r="D67" s="50">
        <f>Июль2020[[#Totals],[Маржа]]</f>
        <v>245945.41999999998</v>
      </c>
      <c r="E67" s="50">
        <f>Июль2020[[#Totals],[Маржа НК]]</f>
        <v>110167.56</v>
      </c>
      <c r="F67" s="80">
        <f>ROUND(Таблица98[[#This Row],[Продажа]]*(0.02 +IF(Таблица98[[#This Row],[Продажа]]&gt;=500000,0.03,0))+Таблица98[[#This Row],[Продажа НК]]*0.02,0)</f>
        <v>51707</v>
      </c>
      <c r="G67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36124</v>
      </c>
      <c r="H67" s="84" t="str">
        <f>Июль2020[[#Totals],[Оплата]]</f>
        <v xml:space="preserve">61 124  </v>
      </c>
      <c r="I67">
        <v>10000</v>
      </c>
      <c r="K67" s="80">
        <f>Таблица98[[#This Row],[БонусОлд]]-Таблица98[[#This Row],[Премия]]+Таблица98[[#This Row],[Штраф]]+14790</f>
        <v>56497</v>
      </c>
      <c r="L67" s="80">
        <f>Таблица98[[#This Row],[Бонус]]-Таблица98[[#This Row],[Штраф]]+Таблица98[[#This Row],[Премия]]+14790</f>
        <v>60914</v>
      </c>
      <c r="M67" s="80">
        <f>Таблица98[[#This Row],[БонусФакт]]+14790</f>
        <v>75914</v>
      </c>
      <c r="N67" s="80">
        <f>Таблица98[[#This Row],[Бонус]]-Таблица98[[#This Row],[БонусОлд]]</f>
        <v>-15583</v>
      </c>
      <c r="AG67">
        <f>1000/12</f>
        <v>83.333333333333329</v>
      </c>
    </row>
    <row r="68" spans="1:33" x14ac:dyDescent="0.25">
      <c r="A68" s="86">
        <v>44044</v>
      </c>
      <c r="B68" s="50">
        <f>Август2020[[#Totals],[Продажа]]</f>
        <v>6823456.9400000004</v>
      </c>
      <c r="C68" s="50">
        <f>Август2020[[#Totals],[Продажа НК]]</f>
        <v>782560</v>
      </c>
      <c r="D68" s="50">
        <f>Август2020[[#Totals],[Маржа]]</f>
        <v>1746448.77</v>
      </c>
      <c r="E68" s="50">
        <f>Август2020[[#Totals],[Маржа НК]]</f>
        <v>102731</v>
      </c>
      <c r="F68" s="80">
        <f>ROUND(Таблица98[[#This Row],[Продажа]]*(0.02 +IF(Таблица98[[#This Row],[Продажа]]&gt;=500000,0.03,0))+Таблица98[[#This Row],[Продажа НК]]*0.02,0)</f>
        <v>356824</v>
      </c>
      <c r="G68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303060</v>
      </c>
      <c r="H68" s="84" t="str">
        <f>Август2020[[#Totals],[Оплата]]</f>
        <v xml:space="preserve">313 060  </v>
      </c>
      <c r="I68">
        <v>10000</v>
      </c>
      <c r="K68" s="80">
        <f>Таблица98[[#This Row],[БонусОлд]]-Таблица98[[#This Row],[Премия]]+Таблица98[[#This Row],[Штраф]]+14790</f>
        <v>361614</v>
      </c>
      <c r="L68" s="80">
        <f>Таблица98[[#This Row],[Бонус]]-Таблица98[[#This Row],[Штраф]]+Таблица98[[#This Row],[Премия]]+14790</f>
        <v>327850</v>
      </c>
      <c r="M68" s="80">
        <f>Таблица98[[#This Row],[БонусФакт]]+14790</f>
        <v>327850</v>
      </c>
      <c r="N68" s="80">
        <f>Таблица98[[#This Row],[Бонус]]-Таблица98[[#This Row],[БонусОлд]]</f>
        <v>-53764</v>
      </c>
      <c r="AG68">
        <f>900/12</f>
        <v>75</v>
      </c>
    </row>
    <row r="69" spans="1:33" x14ac:dyDescent="0.25">
      <c r="A69" s="86">
        <v>44075</v>
      </c>
      <c r="B69" s="50">
        <f>Сентябрь2020[[#Totals],[Продажа]]</f>
        <v>1025191.8</v>
      </c>
      <c r="C69" s="50">
        <f>Сентябрь2020[[#Totals],[Продажа НК]]</f>
        <v>6508</v>
      </c>
      <c r="D69" s="50">
        <f>Сентябрь2020[[#Totals],[Маржа]]</f>
        <v>317554.89999999997</v>
      </c>
      <c r="E69" s="50">
        <f>Сентябрь2020[[#Totals],[Маржа НК]]</f>
        <v>1335</v>
      </c>
      <c r="F69" s="80">
        <f>ROUND(Таблица98[[#This Row],[Продажа]]*(0.02 +IF(Таблица98[[#This Row],[Продажа]]&gt;=500000,0.03,0))+Таблица98[[#This Row],[Продажа НК]]*0.02,0)</f>
        <v>51390</v>
      </c>
      <c r="G69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54064</v>
      </c>
      <c r="H69" s="84" t="str">
        <f>Сентябрь2020[[#Totals],[Оплата]]</f>
        <v xml:space="preserve">36 515  </v>
      </c>
      <c r="I69">
        <v>10000</v>
      </c>
      <c r="J69">
        <v>27549</v>
      </c>
      <c r="K69" s="80">
        <f>Таблица98[[#This Row],[БонусОлд]]-Таблица98[[#This Row],[Премия]]+Таблица98[[#This Row],[Штраф]]+14790</f>
        <v>83729</v>
      </c>
      <c r="L69" s="80">
        <f>Таблица98[[#This Row],[Бонус]]-Таблица98[[#This Row],[Штраф]]+Таблица98[[#This Row],[Премия]]+14790</f>
        <v>51305</v>
      </c>
      <c r="M69" s="80">
        <f>Таблица98[[#This Row],[БонусФакт]]+14790</f>
        <v>51305</v>
      </c>
      <c r="N69" s="80">
        <f>Таблица98[[#This Row],[Бонус]]-Таблица98[[#This Row],[БонусОлд]]</f>
        <v>2674</v>
      </c>
      <c r="AG69">
        <f>800/12</f>
        <v>66.666666666666671</v>
      </c>
    </row>
    <row r="70" spans="1:33" x14ac:dyDescent="0.25">
      <c r="A70" s="86">
        <v>44105</v>
      </c>
      <c r="B70" s="50">
        <f>Октябрь2020[[#Totals],[Продажа]]</f>
        <v>542293.56999999995</v>
      </c>
      <c r="C70" s="50">
        <f>Октябрь2020[[#Totals],[Продажа НК]]</f>
        <v>2156</v>
      </c>
      <c r="D70" s="50">
        <f>Октябрь2020[[#Totals],[Маржа]]</f>
        <v>159900.79</v>
      </c>
      <c r="E70" s="50">
        <f>Октябрь2020[[#Totals],[Маржа НК]]</f>
        <v>652</v>
      </c>
      <c r="F70" s="80">
        <f>ROUND(Таблица98[[#This Row],[Продажа]]*(0.02 +IF(Таблица98[[#This Row],[Продажа]]&gt;=500000,0.03,0))+Таблица98[[#This Row],[Продажа НК]]*0.02,0)</f>
        <v>27158</v>
      </c>
      <c r="G70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19227</v>
      </c>
      <c r="H70" s="84" t="str">
        <f>Октябрь2020[[#Totals],[Оплата]]</f>
        <v xml:space="preserve">0  </v>
      </c>
      <c r="I70">
        <v>10000</v>
      </c>
      <c r="J70">
        <v>29227</v>
      </c>
      <c r="K70" s="80">
        <f>Таблица98[[#This Row],[БонусОлд]]-Таблица98[[#This Row],[Премия]]+Таблица98[[#This Row],[Штраф]]+14790</f>
        <v>61175</v>
      </c>
      <c r="L70" s="80">
        <f>Таблица98[[#This Row],[Бонус]]-Таблица98[[#This Row],[Штраф]]+Таблица98[[#This Row],[Премия]]+14790</f>
        <v>14790</v>
      </c>
      <c r="M70" s="80">
        <f>Таблица98[[#This Row],[БонусФакт]]+14790</f>
        <v>14790</v>
      </c>
      <c r="N70" s="80">
        <f>Таблица98[[#This Row],[Бонус]]-Таблица98[[#This Row],[БонусОлд]]</f>
        <v>-7931</v>
      </c>
    </row>
    <row r="71" spans="1:33" x14ac:dyDescent="0.25">
      <c r="A71" s="86">
        <v>44136</v>
      </c>
      <c r="B71" s="50">
        <f>Ноябрь2020[[#Totals],[Продажа]]</f>
        <v>423459.6</v>
      </c>
      <c r="C71" s="50">
        <f>Ноябрь2020[[#Totals],[Продажа НК]]</f>
        <v>109600</v>
      </c>
      <c r="D71" s="50">
        <f>Ноябрь2020[[#Totals],[Маржа]]</f>
        <v>137432.08000000002</v>
      </c>
      <c r="E71" s="50">
        <f>Ноябрь2020[[#Totals],[Маржа НК]]</f>
        <v>36294</v>
      </c>
      <c r="F71" s="80">
        <f>ROUND(Таблица98[[#This Row],[Продажа]]*(0.02 +IF(Таблица98[[#This Row],[Продажа]]&gt;=500000,0.03,0))+Таблица98[[#This Row],[Продажа НК]]*0.02,0)</f>
        <v>10661</v>
      </c>
      <c r="G71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9049</v>
      </c>
      <c r="H71" s="84" t="str">
        <f>Ноябрь2020[[#Totals],[Оплата]]</f>
        <v xml:space="preserve">16 049  </v>
      </c>
      <c r="I71">
        <v>10000</v>
      </c>
      <c r="J71">
        <v>3000</v>
      </c>
      <c r="K71" s="80">
        <f>Таблица98[[#This Row],[БонусОлд]]-Таблица98[[#This Row],[Премия]]+Таблица98[[#This Row],[Штраф]]+14790</f>
        <v>18451</v>
      </c>
      <c r="L71" s="80">
        <f>Таблица98[[#This Row],[Бонус]]-Таблица98[[#This Row],[Штраф]]+Таблица98[[#This Row],[Премия]]+14790</f>
        <v>30839</v>
      </c>
      <c r="M71" s="80">
        <f>Таблица98[[#This Row],[БонусФакт]]+14790</f>
        <v>30839</v>
      </c>
      <c r="N71" s="80">
        <f>Таблица98[[#This Row],[Бонус]]-Таблица98[[#This Row],[БонусОлд]]</f>
        <v>-1612</v>
      </c>
    </row>
    <row r="72" spans="1:33" x14ac:dyDescent="0.25">
      <c r="A72" s="86">
        <v>44166</v>
      </c>
      <c r="B72" s="50">
        <f>Декабрь2020[[#Totals],[Продажа]]</f>
        <v>1063640.8500000001</v>
      </c>
      <c r="C72" s="50">
        <f>Декабрь2020[[#Totals],[Продажа НК]]</f>
        <v>764430</v>
      </c>
      <c r="D72" s="50">
        <f>Декабрь2020[[#Totals],[Маржа]]</f>
        <v>336333.85</v>
      </c>
      <c r="E72" s="50">
        <f>Декабрь2020[[#Totals],[Маржа НК]]</f>
        <v>230045</v>
      </c>
      <c r="F72" s="80">
        <f>ROUND(Таблица98[[#This Row],[Продажа]]*(0.02 +IF(Таблица98[[#This Row],[Продажа]]&gt;=500000,0.03,0))+Таблица98[[#This Row],[Продажа НК]]*0.02,0)</f>
        <v>68471</v>
      </c>
      <c r="G72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70979</v>
      </c>
      <c r="H72" s="84" t="str">
        <f>Декабрь2020[[#Totals],[Оплата]]</f>
        <v xml:space="preserve">70 980  </v>
      </c>
      <c r="I72"/>
      <c r="K72" s="80">
        <f>Таблица98[[#This Row],[БонусОлд]]-Таблица98[[#This Row],[Премия]]+Таблица98[[#This Row],[Штраф]]+14790</f>
        <v>83261</v>
      </c>
      <c r="L72" s="80">
        <f>Таблица98[[#This Row],[Бонус]]-Таблица98[[#This Row],[Штраф]]+Таблица98[[#This Row],[Премия]]+14790</f>
        <v>85769</v>
      </c>
      <c r="M72" s="80">
        <f>Таблица98[[#This Row],[БонусФакт]]+14790</f>
        <v>85770</v>
      </c>
      <c r="N72" s="80">
        <f>Таблица98[[#This Row],[Бонус]]-Таблица98[[#This Row],[БонусОлд]]</f>
        <v>2508</v>
      </c>
    </row>
    <row r="73" spans="1:33" x14ac:dyDescent="0.25">
      <c r="A73" s="86">
        <v>44197</v>
      </c>
      <c r="B73" s="50">
        <f>Январь2021[[#Totals],[Продажа]]</f>
        <v>1313939.3199999998</v>
      </c>
      <c r="C73" s="50">
        <f>Январь2021[[#Totals],[Продажа НК]]</f>
        <v>0</v>
      </c>
      <c r="D73" s="50">
        <f>Январь2021[[#Totals],[Маржа]]</f>
        <v>316475.31999999995</v>
      </c>
      <c r="E73" s="50">
        <f>Январь2021[[#Totals],[Маржа НК]]</f>
        <v>0</v>
      </c>
      <c r="F73" s="80">
        <f>ROUND(Таблица98[[#This Row],[Продажа]]*(0.02 +IF(Таблица98[[#This Row],[Продажа]]&gt;=500000,0.03,0))+Таблица98[[#This Row],[Продажа НК]]*0.02,0)</f>
        <v>65697</v>
      </c>
      <c r="G73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53801</v>
      </c>
      <c r="H73" s="84" t="str">
        <f>Январь2021[[#Totals],[Оплата]]</f>
        <v xml:space="preserve">73 801  </v>
      </c>
      <c r="I73">
        <v>20000</v>
      </c>
      <c r="K73" s="80">
        <f>Таблица98[[#This Row],[БонусОлд]]-Таблица98[[#This Row],[Премия]]+Таблица98[[#This Row],[Штраф]]+14790</f>
        <v>60487</v>
      </c>
      <c r="L73" s="80">
        <f>Таблица98[[#This Row],[Бонус]]-Таблица98[[#This Row],[Штраф]]+Таблица98[[#This Row],[Премия]]+14790</f>
        <v>88591</v>
      </c>
      <c r="M73" s="80">
        <f>Таблица98[[#This Row],[БонусФакт]]+14790</f>
        <v>88591</v>
      </c>
      <c r="N73" s="80">
        <f>Таблица98[[#This Row],[Бонус]]-Таблица98[[#This Row],[БонусОлд]]</f>
        <v>-11896</v>
      </c>
    </row>
    <row r="74" spans="1:33" x14ac:dyDescent="0.25">
      <c r="A74" s="86">
        <v>44228</v>
      </c>
      <c r="B74" s="50">
        <f>Февраль2021[[#Totals],[Продажа]]</f>
        <v>813289.4</v>
      </c>
      <c r="C74" s="50">
        <f>Февраль2021[[#Totals],[Продажа НК]]</f>
        <v>137286.39999999999</v>
      </c>
      <c r="D74" s="50">
        <f>Февраль2021[[#Totals],[Маржа]]</f>
        <v>216596.32</v>
      </c>
      <c r="E74" s="50">
        <f>Февраль2021[[#Totals],[Маржа НК]]</f>
        <v>49195.469999999994</v>
      </c>
      <c r="F74" s="80">
        <f>ROUND(Таблица98[[#This Row],[Продажа]]*(0.02 +IF(Таблица98[[#This Row],[Продажа]]&gt;=500000,0.03,0))+Таблица98[[#This Row],[Продажа НК]]*0.02,0)</f>
        <v>43410</v>
      </c>
      <c r="G74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28943</v>
      </c>
      <c r="H74" s="84" t="str">
        <f>Февраль2021[[#Totals],[Оплата]]</f>
        <v xml:space="preserve">38 943  </v>
      </c>
      <c r="I74">
        <v>10000</v>
      </c>
      <c r="K74" s="80">
        <f>Таблица98[[#This Row],[БонусОлд]]-Таблица98[[#This Row],[Премия]]+Таблица98[[#This Row],[Штраф]]+14790</f>
        <v>48200</v>
      </c>
      <c r="L74" s="80">
        <f>Таблица98[[#This Row],[Бонус]]-Таблица98[[#This Row],[Штраф]]+Таблица98[[#This Row],[Премия]]+14790</f>
        <v>53733</v>
      </c>
      <c r="M74" s="80">
        <f>Таблица98[[#This Row],[БонусФакт]]+14790</f>
        <v>53733</v>
      </c>
      <c r="N74" s="80">
        <f>Таблица98[[#This Row],[Бонус]]-Таблица98[[#This Row],[БонусОлд]]</f>
        <v>-14467</v>
      </c>
    </row>
    <row r="75" spans="1:33" x14ac:dyDescent="0.25">
      <c r="A75" s="86">
        <v>44256</v>
      </c>
      <c r="B75" s="50">
        <f>Март2021[[#Totals],[Продажа]]</f>
        <v>1356988.8499999999</v>
      </c>
      <c r="C75" s="50">
        <f>Март2021[[#Totals],[Продажа НК]]</f>
        <v>227845</v>
      </c>
      <c r="D75" s="50">
        <f>Март2021[[#Totals],[Маржа]]</f>
        <v>384739.29000000004</v>
      </c>
      <c r="E75" s="50">
        <f>Март2021[[#Totals],[Маржа НК]]</f>
        <v>74359.69</v>
      </c>
      <c r="F75" s="80">
        <f>ROUND(Таблица98[[#This Row],[Продажа]]*(0.02 +IF(Таблица98[[#This Row],[Продажа]]&gt;=500000,0.03,0))+Таблица98[[#This Row],[Продажа НК]]*0.02,0)</f>
        <v>72406</v>
      </c>
      <c r="G75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69867</v>
      </c>
      <c r="H75" s="84" t="str">
        <f>Март2021[[#Totals],[Оплата]]</f>
        <v xml:space="preserve">79 867  </v>
      </c>
      <c r="I75">
        <v>10000</v>
      </c>
      <c r="K75" s="80">
        <f>Таблица98[[#This Row],[БонусОлд]]-Таблица98[[#This Row],[Премия]]+Таблица98[[#This Row],[Штраф]]+14790</f>
        <v>77196</v>
      </c>
      <c r="L75" s="80">
        <f>Таблица98[[#This Row],[Бонус]]-Таблица98[[#This Row],[Штраф]]+Таблица98[[#This Row],[Премия]]+14790</f>
        <v>94657</v>
      </c>
      <c r="M75" s="80">
        <f>Таблица98[[#This Row],[БонусФакт]]+14790</f>
        <v>94657</v>
      </c>
      <c r="N75" s="80">
        <f>Таблица98[[#This Row],[Бонус]]-Таблица98[[#This Row],[БонусОлд]]</f>
        <v>-2539</v>
      </c>
    </row>
    <row r="76" spans="1:33" x14ac:dyDescent="0.25">
      <c r="A76" s="86">
        <v>44287</v>
      </c>
      <c r="B76" s="50">
        <f>Апрель2021[[#Totals],[Продажа]]</f>
        <v>2381022.2400000002</v>
      </c>
      <c r="C76" s="50">
        <f>Апрель2021[[#Totals],[Продажа НК]]</f>
        <v>198990</v>
      </c>
      <c r="D76" s="50">
        <f>Апрель2021[[#Totals],[Маржа]]</f>
        <v>388099.52</v>
      </c>
      <c r="E76" s="50">
        <f>Апрель2021[[#Totals],[Маржа НК]]</f>
        <v>52852</v>
      </c>
      <c r="F76" s="80">
        <f>ROUND(Таблица98[[#This Row],[Продажа]]*(0.02 +IF(Таблица98[[#This Row],[Продажа]]&gt;=500000,0.03,0))+Таблица98[[#This Row],[Продажа НК]]*0.02,0)</f>
        <v>123031</v>
      </c>
      <c r="G76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69148</v>
      </c>
      <c r="H76" s="84" t="str">
        <f>Апрель2021[[#Totals],[Оплата]]</f>
        <v xml:space="preserve">83 771  </v>
      </c>
      <c r="I76">
        <v>10000</v>
      </c>
      <c r="K76" s="80">
        <f>Таблица98[[#This Row],[БонусОлд]]-Таблица98[[#This Row],[Премия]]+Таблица98[[#This Row],[Штраф]]+14790</f>
        <v>127821</v>
      </c>
      <c r="L76" s="80">
        <f>Таблица98[[#This Row],[Бонус]]-Таблица98[[#This Row],[Штраф]]+Таблица98[[#This Row],[Премия]]+14790</f>
        <v>93938</v>
      </c>
      <c r="M76" s="80">
        <f>Таблица98[[#This Row],[БонусФакт]]+14790</f>
        <v>98561</v>
      </c>
      <c r="N76" s="80">
        <f>Таблица98[[#This Row],[Бонус]]-Таблица98[[#This Row],[БонусОлд]]</f>
        <v>-53883</v>
      </c>
    </row>
    <row r="77" spans="1:33" x14ac:dyDescent="0.25">
      <c r="A77" s="86">
        <v>44317</v>
      </c>
      <c r="B77" s="50">
        <f>Май2021[[#Totals],[Продажа]]</f>
        <v>1052639.1000000001</v>
      </c>
      <c r="C77" s="50">
        <f>Май2021[[#Totals],[Продажа НК]]</f>
        <v>26115.5</v>
      </c>
      <c r="D77" s="50">
        <f>Май2021[[#Totals],[Маржа]]</f>
        <v>251816.06</v>
      </c>
      <c r="E77" s="50">
        <f>Май2021[[#Totals],[Маржа НК]]</f>
        <v>6418.5</v>
      </c>
      <c r="F77" s="80">
        <f>ROUND(Таблица98[[#This Row],[Продажа]]*(0.02 +IF(Таблица98[[#This Row],[Продажа]]&gt;=500000,0.03,0))+Таблица98[[#This Row],[Продажа НК]]*0.02,0)</f>
        <v>53154</v>
      </c>
      <c r="G77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43194</v>
      </c>
      <c r="H77" s="84" t="str">
        <f>Май2021[[#Totals],[Оплата]]</f>
        <v xml:space="preserve">53 194  </v>
      </c>
      <c r="I77">
        <v>10000</v>
      </c>
      <c r="K77" s="80">
        <f>Таблица98[[#This Row],[БонусОлд]]-Таблица98[[#This Row],[Премия]]+Таблица98[[#This Row],[Штраф]]+14790</f>
        <v>57944</v>
      </c>
      <c r="L77" s="80">
        <f>Таблица98[[#This Row],[Бонус]]-Таблица98[[#This Row],[Штраф]]+Таблица98[[#This Row],[Премия]]+14790</f>
        <v>67984</v>
      </c>
      <c r="M77" s="80">
        <f>Таблица98[[#This Row],[БонусФакт]]+14790</f>
        <v>67984</v>
      </c>
      <c r="N77" s="80">
        <f>Таблица98[[#This Row],[Бонус]]-Таблица98[[#This Row],[БонусОлд]]</f>
        <v>-9960</v>
      </c>
    </row>
    <row r="78" spans="1:33" x14ac:dyDescent="0.25">
      <c r="A78" s="86">
        <v>44348</v>
      </c>
      <c r="B78" s="50">
        <f>Июнь2021[[#Totals],[Продажа]]</f>
        <v>356541.80000000005</v>
      </c>
      <c r="C78" s="50">
        <f>Июнь2021[[#Totals],[Продажа НК]]</f>
        <v>45226</v>
      </c>
      <c r="D78" s="50">
        <f>Июнь2021[[#Totals],[Маржа]]</f>
        <v>99860.26</v>
      </c>
      <c r="E78" s="50">
        <f>Июнь2021[[#Totals],[Маржа НК]]</f>
        <v>13447.3</v>
      </c>
      <c r="F78" s="80">
        <f>ROUND(Таблица98[[#This Row],[Продажа]]*(0.02 +IF(Таблица98[[#This Row],[Продажа]]&gt;=500000,0.03,0))+Таблица98[[#This Row],[Продажа НК]]*0.02,0)</f>
        <v>8035</v>
      </c>
      <c r="G78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5800</v>
      </c>
      <c r="H78" s="84" t="str">
        <f>Июнь2021[[#Totals],[Оплата]]</f>
        <v xml:space="preserve">15 800  </v>
      </c>
      <c r="I78">
        <v>10000</v>
      </c>
      <c r="K78" s="80">
        <f>Таблица98[[#This Row],[БонусОлд]]-Таблица98[[#This Row],[Премия]]+Таблица98[[#This Row],[Штраф]]+14790</f>
        <v>12825</v>
      </c>
      <c r="L78" s="80">
        <f>Таблица98[[#This Row],[Бонус]]-Таблица98[[#This Row],[Штраф]]+Таблица98[[#This Row],[Премия]]+14790</f>
        <v>30590</v>
      </c>
      <c r="M78" s="80">
        <f>Таблица98[[#This Row],[БонусФакт]]+14790</f>
        <v>30590</v>
      </c>
      <c r="N78" s="80">
        <f>Таблица98[[#This Row],[Бонус]]-Таблица98[[#This Row],[БонусОлд]]</f>
        <v>-2235</v>
      </c>
    </row>
    <row r="79" spans="1:33" x14ac:dyDescent="0.25">
      <c r="A79" s="86">
        <v>44378</v>
      </c>
      <c r="B79" s="50">
        <f>Июль2021[[#Totals],[Продажа]]</f>
        <v>817518</v>
      </c>
      <c r="C79" s="50">
        <f>Июль2021[[#Totals],[Продажа НК]]</f>
        <v>237270</v>
      </c>
      <c r="D79" s="50">
        <f>Июль2021[[#Totals],[Маржа]]</f>
        <v>220152.59</v>
      </c>
      <c r="E79" s="50">
        <f>Июль2021[[#Totals],[Маржа НК]]</f>
        <v>82725.62</v>
      </c>
      <c r="F79" s="80">
        <f>ROUND(Таблица98[[#This Row],[Продажа]]*(0.02 +IF(Таблица98[[#This Row],[Продажа]]&gt;=500000,0.03,0))+Таблица98[[#This Row],[Продажа НК]]*0.02,0)</f>
        <v>45621</v>
      </c>
      <c r="G79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31382</v>
      </c>
      <c r="H79" s="84" t="str">
        <f>Июль2021[[#Totals],[Оплата]]</f>
        <v xml:space="preserve">31 382  </v>
      </c>
      <c r="I79"/>
      <c r="K79" s="80">
        <f>Таблица98[[#This Row],[БонусОлд]]-Таблица98[[#This Row],[Премия]]+Таблица98[[#This Row],[Штраф]]+14790</f>
        <v>60411</v>
      </c>
      <c r="L79" s="80">
        <f>Таблица98[[#This Row],[Бонус]]-Таблица98[[#This Row],[Штраф]]+Таблица98[[#This Row],[Премия]]+14790</f>
        <v>46172</v>
      </c>
      <c r="M79" s="80">
        <f>Таблица98[[#This Row],[БонусФакт]]+14790</f>
        <v>46172</v>
      </c>
      <c r="N79" s="80">
        <f>Таблица98[[#This Row],[Бонус]]-Таблица98[[#This Row],[БонусОлд]]</f>
        <v>-14239</v>
      </c>
    </row>
    <row r="80" spans="1:33" x14ac:dyDescent="0.25">
      <c r="A80" s="86">
        <v>44409</v>
      </c>
      <c r="B80" s="50">
        <f>Август2021[[#Totals],[Продажа]]</f>
        <v>609983.80000000005</v>
      </c>
      <c r="C80" s="50">
        <f>Август2021[[#Totals],[Продажа НК]]</f>
        <v>54610.8</v>
      </c>
      <c r="D80" s="50">
        <f>Август2021[[#Totals],[Маржа]]</f>
        <v>254016.97</v>
      </c>
      <c r="E80" s="50">
        <f>Август2021[[#Totals],[Маржа НК]]</f>
        <v>14308.8</v>
      </c>
      <c r="F80" s="80">
        <f>ROUND(Таблица98[[#This Row],[Продажа]]*(0.02 +IF(Таблица98[[#This Row],[Продажа]]&gt;=500000,0.03,0))+Таблица98[[#This Row],[Продажа НК]]*0.02,0)</f>
        <v>31591</v>
      </c>
      <c r="G80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44041</v>
      </c>
      <c r="H80" s="84" t="str">
        <f>Август2021[[#Totals],[Оплата]]</f>
        <v xml:space="preserve">44 042  </v>
      </c>
      <c r="I80"/>
      <c r="K80" s="80">
        <f>Таблица98[[#This Row],[БонусОлд]]-Таблица98[[#This Row],[Премия]]+Таблица98[[#This Row],[Штраф]]+14790</f>
        <v>46381</v>
      </c>
      <c r="L80" s="80">
        <f>Таблица98[[#This Row],[Бонус]]-Таблица98[[#This Row],[Штраф]]+Таблица98[[#This Row],[Премия]]+14790</f>
        <v>58831</v>
      </c>
      <c r="M80" s="80">
        <f>Таблица98[[#This Row],[БонусФакт]]+14790</f>
        <v>58832</v>
      </c>
      <c r="N80" s="80">
        <f>Таблица98[[#This Row],[Бонус]]-Таблица98[[#This Row],[БонусОлд]]</f>
        <v>12450</v>
      </c>
    </row>
    <row r="81" spans="1:14" x14ac:dyDescent="0.25">
      <c r="A81" s="86">
        <v>44440</v>
      </c>
      <c r="B81" s="50">
        <f>Сентябрь2021[[#Totals],[Продажа]]</f>
        <v>1356093.4</v>
      </c>
      <c r="C81" s="50">
        <f>Сентябрь2021[[#Totals],[Продажа НК]]</f>
        <v>678676.4</v>
      </c>
      <c r="D81" s="50">
        <f>Сентябрь2021[[#Totals],[Маржа]]</f>
        <v>348696.67000000004</v>
      </c>
      <c r="E81" s="50">
        <f>Сентябрь2021[[#Totals],[Маржа НК]]</f>
        <v>130724.40000000002</v>
      </c>
      <c r="F81" s="80">
        <f>ROUND(Таблица98[[#This Row],[Продажа]]*(0.02 +IF(Таблица98[[#This Row],[Продажа]]&gt;=500000,0.03,0))+Таблица98[[#This Row],[Продажа НК]]*0.02,0)</f>
        <v>81378</v>
      </c>
      <c r="G81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67122</v>
      </c>
      <c r="H81" s="84" t="str">
        <f>Сентябрь2021[[#Totals],[Оплата]]</f>
        <v xml:space="preserve">67 122  </v>
      </c>
      <c r="I81"/>
      <c r="K81" s="80">
        <f>Таблица98[[#This Row],[БонусОлд]]-Таблица98[[#This Row],[Премия]]+Таблица98[[#This Row],[Штраф]]+14790</f>
        <v>96168</v>
      </c>
      <c r="L81" s="80">
        <f>Таблица98[[#This Row],[Бонус]]-Таблица98[[#This Row],[Штраф]]+Таблица98[[#This Row],[Премия]]+14790</f>
        <v>81912</v>
      </c>
      <c r="M81" s="80">
        <f>Таблица98[[#This Row],[БонусФакт]]+14790</f>
        <v>81912</v>
      </c>
      <c r="N81" s="80">
        <f>Таблица98[[#This Row],[Бонус]]-Таблица98[[#This Row],[БонусОлд]]</f>
        <v>-14256</v>
      </c>
    </row>
    <row r="82" spans="1:14" x14ac:dyDescent="0.25">
      <c r="A82" s="86">
        <v>44470</v>
      </c>
      <c r="B82" s="50">
        <f>Октябрь2021[[#Totals],[Продажа]]</f>
        <v>2065149.52</v>
      </c>
      <c r="C82" s="50">
        <f>Октябрь2021[[#Totals],[Продажа НК]]</f>
        <v>0</v>
      </c>
      <c r="D82" s="50">
        <f>Октябрь2021[[#Totals],[Маржа]]</f>
        <v>430910.36</v>
      </c>
      <c r="E82" s="50">
        <f>Октябрь2021[[#Totals],[Маржа НК]]</f>
        <v>0</v>
      </c>
      <c r="F82" s="80">
        <f>ROUND(Таблица98[[#This Row],[Продажа]]*(0.02 +IF(Таблица98[[#This Row],[Продажа]]&gt;=500000,0.03,0))+Таблица98[[#This Row],[Продажа НК]]*0.02,0)</f>
        <v>103257</v>
      </c>
      <c r="G82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73255</v>
      </c>
      <c r="H82" s="84" t="str">
        <f>Октябрь2021[[#Totals],[Оплата]]</f>
        <v xml:space="preserve">73 255  </v>
      </c>
      <c r="I82"/>
      <c r="K82" s="80">
        <f>Таблица98[[#This Row],[БонусОлд]]-Таблица98[[#This Row],[Премия]]+Таблица98[[#This Row],[Штраф]]+14790</f>
        <v>118047</v>
      </c>
      <c r="L82" s="80">
        <f>Таблица98[[#This Row],[Бонус]]-Таблица98[[#This Row],[Штраф]]+Таблица98[[#This Row],[Премия]]+14790</f>
        <v>88045</v>
      </c>
      <c r="M82" s="80">
        <f>Таблица98[[#This Row],[БонусФакт]]+14790</f>
        <v>88045</v>
      </c>
      <c r="N82" s="80">
        <f>Таблица98[[#This Row],[Бонус]]-Таблица98[[#This Row],[БонусОлд]]</f>
        <v>-30002</v>
      </c>
    </row>
    <row r="83" spans="1:14" x14ac:dyDescent="0.25">
      <c r="A83" s="86">
        <v>44501</v>
      </c>
      <c r="B83" s="50">
        <f>Ноябрь2021[[#Totals],[Продажа]]</f>
        <v>708836.5</v>
      </c>
      <c r="C83" s="50">
        <f>Ноябрь2021[[#Totals],[Продажа НК]]</f>
        <v>171536</v>
      </c>
      <c r="D83" s="50">
        <f>Ноябрь2021[[#Totals],[Маржа]]</f>
        <v>268907.99</v>
      </c>
      <c r="E83" s="50">
        <f>Ноябрь2021[[#Totals],[Маржа НК]]</f>
        <v>809</v>
      </c>
      <c r="F83" s="80">
        <f>ROUND(Таблица98[[#This Row],[Продажа]]*(0.02 +IF(Таблица98[[#This Row],[Продажа]]&gt;=500000,0.03,0))+Таблица98[[#This Row],[Продажа НК]]*0.02,0)</f>
        <v>38873</v>
      </c>
      <c r="G83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45763</v>
      </c>
      <c r="H83" s="84" t="str">
        <f>Ноябрь2021[[#Totals],[Оплата]]</f>
        <v xml:space="preserve">50 763  </v>
      </c>
      <c r="I83">
        <v>5000</v>
      </c>
      <c r="K83" s="80">
        <f>Таблица98[[#This Row],[БонусОлд]]-Таблица98[[#This Row],[Премия]]+Таблица98[[#This Row],[Штраф]]+14790</f>
        <v>48663</v>
      </c>
      <c r="L83" s="80">
        <f>Таблица98[[#This Row],[Бонус]]-Таблица98[[#This Row],[Штраф]]+Таблица98[[#This Row],[Премия]]+14790</f>
        <v>65553</v>
      </c>
      <c r="M83" s="80">
        <f>Таблица98[[#This Row],[БонусФакт]]+14790</f>
        <v>65553</v>
      </c>
      <c r="N83" s="80">
        <f>Таблица98[[#This Row],[Бонус]]-Таблица98[[#This Row],[БонусОлд]]</f>
        <v>6890</v>
      </c>
    </row>
    <row r="84" spans="1:14" x14ac:dyDescent="0.25">
      <c r="A84" s="86">
        <v>44531</v>
      </c>
      <c r="B84" s="50">
        <f>Декабрь2021[[#Totals],[Продажа]]</f>
        <v>766894</v>
      </c>
      <c r="C84" s="50">
        <f>Декабрь2021[[#Totals],[Продажа НК]]</f>
        <v>0</v>
      </c>
      <c r="D84" s="50">
        <f>Декабрь2021[[#Totals],[Маржа]]</f>
        <v>181865.60000000001</v>
      </c>
      <c r="E84" s="50">
        <f>Декабрь2021[[#Totals],[Маржа НК]]</f>
        <v>0</v>
      </c>
      <c r="F84" s="80">
        <f>ROUND(Таблица98[[#This Row],[Продажа]]*(0.02 +IF(Таблица98[[#This Row],[Продажа]]&gt;=500000,0.03,0))+Таблица98[[#This Row],[Продажа НК]]*0.02,0)</f>
        <v>38345</v>
      </c>
      <c r="G84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21824</v>
      </c>
      <c r="H84" s="84" t="str">
        <f>Декабрь2021[[#Totals],[Оплата]]</f>
        <v xml:space="preserve">21 824  </v>
      </c>
      <c r="I84"/>
      <c r="K84" s="80">
        <f>Таблица98[[#This Row],[БонусОлд]]-Таблица98[[#This Row],[Премия]]+Таблица98[[#This Row],[Штраф]]+14790</f>
        <v>53135</v>
      </c>
      <c r="L84" s="80">
        <f>Таблица98[[#This Row],[Бонус]]-Таблица98[[#This Row],[Штраф]]+Таблица98[[#This Row],[Премия]]+14790</f>
        <v>36614</v>
      </c>
      <c r="M84" s="80">
        <f>Таблица98[[#This Row],[БонусФакт]]+14790</f>
        <v>36614</v>
      </c>
      <c r="N84" s="80">
        <f>Таблица98[[#This Row],[Бонус]]-Таблица98[[#This Row],[БонусОлд]]</f>
        <v>-16521</v>
      </c>
    </row>
    <row r="85" spans="1:14" x14ac:dyDescent="0.25">
      <c r="A85" s="86">
        <v>44562</v>
      </c>
      <c r="B85" s="50">
        <f>Январь2022[[#Totals],[Продажа]]</f>
        <v>701613</v>
      </c>
      <c r="C85" s="50">
        <f>Январь2022[[#Totals],[Продажа НК]]</f>
        <v>0</v>
      </c>
      <c r="D85" s="50">
        <f>Январь2022[[#Totals],[Маржа]]</f>
        <v>288281.34999999998</v>
      </c>
      <c r="E85" s="50">
        <f>Январь2022[[#Totals],[Маржа НК]]</f>
        <v>0</v>
      </c>
      <c r="F85" s="80">
        <f>ROUND(Таблица98[[#This Row],[Продажа]]*(0.02 +IF(Таблица98[[#This Row],[Продажа]]&gt;=500000,0.03,0))+Таблица98[[#This Row],[Продажа НК]]*0.02,0)</f>
        <v>35081</v>
      </c>
      <c r="G85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49008</v>
      </c>
      <c r="H85" s="84" t="str">
        <f>Январь2022[[#Totals],[Оплата]]</f>
        <v xml:space="preserve">49 008  </v>
      </c>
      <c r="I85"/>
      <c r="K85" s="80">
        <f>Таблица98[[#This Row],[БонусОлд]]-Таблица98[[#This Row],[Премия]]+Таблица98[[#This Row],[Штраф]]+14790</f>
        <v>49871</v>
      </c>
      <c r="L85" s="80">
        <f>Таблица98[[#This Row],[Бонус]]-Таблица98[[#This Row],[Штраф]]+Таблица98[[#This Row],[Премия]]+14790</f>
        <v>63798</v>
      </c>
      <c r="M85" s="80">
        <f>Таблица98[[#This Row],[БонусФакт]]+14790</f>
        <v>63798</v>
      </c>
      <c r="N85" s="80">
        <f>Таблица98[[#This Row],[Бонус]]-Таблица98[[#This Row],[БонусОлд]]</f>
        <v>13927</v>
      </c>
    </row>
    <row r="86" spans="1:14" x14ac:dyDescent="0.25">
      <c r="A86" s="86">
        <v>44593</v>
      </c>
      <c r="B86" s="50">
        <f>Февраль2022[[#Totals],[Продажа]]</f>
        <v>521221.3</v>
      </c>
      <c r="C86" s="50">
        <f>Февраль2022[[#Totals],[Продажа НК]]</f>
        <v>191000</v>
      </c>
      <c r="D86" s="50">
        <f>Февраль2022[[#Totals],[Маржа]]</f>
        <v>204992.66999999998</v>
      </c>
      <c r="E86" s="50">
        <f>Февраль2022[[#Totals],[Маржа НК]]</f>
        <v>39678</v>
      </c>
      <c r="F86" s="80">
        <f>ROUND(Таблица98[[#This Row],[Продажа]]*(0.02 +IF(Таблица98[[#This Row],[Продажа]]&gt;=500000,0.03,0))+Таблица98[[#This Row],[Продажа НК]]*0.02,0)</f>
        <v>29881</v>
      </c>
      <c r="G86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26980</v>
      </c>
      <c r="H86" s="84" t="str">
        <f>Февраль2022[[#Totals],[Оплата]]</f>
        <v xml:space="preserve">24 599  </v>
      </c>
      <c r="I86"/>
      <c r="K86" s="80">
        <f>Таблица98[[#This Row],[БонусОлд]]-Таблица98[[#This Row],[Премия]]+Таблица98[[#This Row],[Штраф]]+14790</f>
        <v>44671</v>
      </c>
      <c r="L86" s="80">
        <f>Таблица98[[#This Row],[Бонус]]-Таблица98[[#This Row],[Штраф]]+Таблица98[[#This Row],[Премия]]+14790</f>
        <v>41770</v>
      </c>
      <c r="M86" s="80">
        <f>Таблица98[[#This Row],[БонусФакт]]+14790</f>
        <v>39389</v>
      </c>
      <c r="N86" s="80">
        <f>Таблица98[[#This Row],[Бонус]]-Таблица98[[#This Row],[БонусОлд]]</f>
        <v>-2901</v>
      </c>
    </row>
    <row r="87" spans="1:14" x14ac:dyDescent="0.25">
      <c r="A87" s="86">
        <v>44621</v>
      </c>
      <c r="B87" s="50">
        <f>Март2022[[#Totals],[Продажа]]</f>
        <v>4920286</v>
      </c>
      <c r="C87" s="50">
        <f>Март2022[[#Totals],[Продажа НК]]</f>
        <v>4361000</v>
      </c>
      <c r="D87" s="50">
        <f>Март2022[[#Totals],[Маржа]]</f>
        <v>522054.25</v>
      </c>
      <c r="E87" s="50">
        <f>Март2022[[#Totals],[Маржа НК]]</f>
        <v>324220</v>
      </c>
      <c r="F87" s="80">
        <f>ROUND(Таблица98[[#This Row],[Продажа]]*(0.02 +IF(Таблица98[[#This Row],[Продажа]]&gt;=500000,0.03,0))+Таблица98[[#This Row],[Продажа НК]]*0.02,0)</f>
        <v>333234</v>
      </c>
      <c r="G87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108202</v>
      </c>
      <c r="H87" s="84" t="str">
        <f>Март2022[[#Totals],[Оплата]]</f>
        <v xml:space="preserve">108 203  </v>
      </c>
      <c r="I87"/>
      <c r="K87" s="80">
        <f>Таблица98[[#This Row],[БонусОлд]]-Таблица98[[#This Row],[Премия]]+Таблица98[[#This Row],[Штраф]]+14790</f>
        <v>348024</v>
      </c>
      <c r="L87" s="80">
        <f>Таблица98[[#This Row],[Бонус]]-Таблица98[[#This Row],[Штраф]]+Таблица98[[#This Row],[Премия]]+14790</f>
        <v>122992</v>
      </c>
      <c r="M87" s="80">
        <f>Таблица98[[#This Row],[БонусФакт]]+14790</f>
        <v>122993</v>
      </c>
      <c r="N87" s="80">
        <f>Таблица98[[#This Row],[Бонус]]-Таблица98[[#This Row],[БонусОлд]]</f>
        <v>-225032</v>
      </c>
    </row>
    <row r="88" spans="1:14" x14ac:dyDescent="0.25">
      <c r="A88" s="86">
        <v>44652</v>
      </c>
      <c r="B88" s="50">
        <f>Апрель2022[[#Totals],[Продажа]]</f>
        <v>352313</v>
      </c>
      <c r="C88" s="50">
        <f>Апрель2022[[#Totals],[Продажа НК]]</f>
        <v>601</v>
      </c>
      <c r="D88" s="50">
        <f>Апрель2022[[#Totals],[Маржа]]</f>
        <v>179332.1</v>
      </c>
      <c r="E88" s="50">
        <f>Апрель2022[[#Totals],[Маржа НК]]</f>
        <v>0</v>
      </c>
      <c r="F88" s="80">
        <f>ROUND(Таблица98[[#This Row],[Продажа]]*(0.02 +IF(Таблица98[[#This Row],[Продажа]]&gt;=500000,0.03,0))+Таблица98[[#This Row],[Продажа НК]]*0.02,0)</f>
        <v>7058</v>
      </c>
      <c r="G88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21520</v>
      </c>
      <c r="H88" s="84" t="str">
        <f>Апрель2022[[#Totals],[Оплата]]</f>
        <v xml:space="preserve">21 519  </v>
      </c>
      <c r="I88"/>
      <c r="K88" s="80">
        <f>Таблица98[[#This Row],[БонусОлд]]-Таблица98[[#This Row],[Премия]]+Таблица98[[#This Row],[Штраф]]+14790</f>
        <v>21848</v>
      </c>
      <c r="L88" s="80">
        <f>Таблица98[[#This Row],[Бонус]]-Таблица98[[#This Row],[Штраф]]+Таблица98[[#This Row],[Премия]]+14790</f>
        <v>36310</v>
      </c>
      <c r="M88" s="80">
        <f>Таблица98[[#This Row],[БонусФакт]]+14790</f>
        <v>36309</v>
      </c>
      <c r="N88" s="80">
        <f>Таблица98[[#This Row],[Бонус]]-Таблица98[[#This Row],[БонусОлд]]</f>
        <v>14462</v>
      </c>
    </row>
    <row r="89" spans="1:14" x14ac:dyDescent="0.25">
      <c r="A89" s="86">
        <v>44682</v>
      </c>
      <c r="B89" s="50">
        <f>Май2022[[#Totals],[Продажа]]</f>
        <v>2065209.6</v>
      </c>
      <c r="C89" s="50">
        <f>Май2022[[#Totals],[Продажа НК]]</f>
        <v>1330150</v>
      </c>
      <c r="D89" s="50">
        <f>Май2022[[#Totals],[Маржа]]</f>
        <v>937977.39999999991</v>
      </c>
      <c r="E89" s="50">
        <f>Май2022[[#Totals],[Маржа НК]]</f>
        <v>579386</v>
      </c>
      <c r="F89" s="80">
        <f>ROUND(Таблица98[[#This Row],[Продажа]]*(0.02 +IF(Таблица98[[#This Row],[Продажа]]&gt;=500000,0.03,0))+Таблица98[[#This Row],[Продажа НК]]*0.02,0)</f>
        <v>129863</v>
      </c>
      <c r="G89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194219</v>
      </c>
      <c r="H89" s="84" t="str">
        <f>Май2022[[#Totals],[Оплата]]</f>
        <v xml:space="preserve">194 220  </v>
      </c>
      <c r="I89"/>
      <c r="K89" s="80">
        <f>Таблица98[[#This Row],[БонусОлд]]-Таблица98[[#This Row],[Премия]]+Таблица98[[#This Row],[Штраф]]+14790</f>
        <v>144653</v>
      </c>
      <c r="L89" s="80">
        <f>Таблица98[[#This Row],[Бонус]]-Таблица98[[#This Row],[Штраф]]+Таблица98[[#This Row],[Премия]]+14790</f>
        <v>209009</v>
      </c>
      <c r="M89" s="80">
        <f>Таблица98[[#This Row],[БонусФакт]]+14790</f>
        <v>209010</v>
      </c>
      <c r="N89" s="80">
        <f>Таблица98[[#This Row],[Бонус]]-Таблица98[[#This Row],[БонусОлд]]</f>
        <v>64356</v>
      </c>
    </row>
    <row r="90" spans="1:14" x14ac:dyDescent="0.25">
      <c r="A90" s="86">
        <v>44713</v>
      </c>
      <c r="B90" s="50">
        <f>Июнь2022[[#Totals],[Продажа]]</f>
        <v>1365838.6</v>
      </c>
      <c r="C90" s="50">
        <f>Июнь2022[[#Totals],[Продажа НК]]</f>
        <v>0</v>
      </c>
      <c r="D90" s="50">
        <f>Июнь2022[[#Totals],[Маржа]]</f>
        <v>600825.59999999998</v>
      </c>
      <c r="E90" s="50">
        <f>Июнь2022[[#Totals],[Маржа НК]]</f>
        <v>0</v>
      </c>
      <c r="F90" s="80">
        <f>ROUND(Таблица98[[#This Row],[Продажа]]*(0.02 +IF(Таблица98[[#This Row],[Продажа]]&gt;=500000,0.03,0))+Таблица98[[#This Row],[Продажа НК]]*0.02,0)</f>
        <v>68292</v>
      </c>
      <c r="G90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102140</v>
      </c>
      <c r="H90" s="84" t="str">
        <f>Июнь2022[[#Totals],[Оплата]]</f>
        <v xml:space="preserve">102 141  </v>
      </c>
      <c r="I90"/>
      <c r="K90" s="80">
        <f>Таблица98[[#This Row],[БонусОлд]]-Таблица98[[#This Row],[Премия]]+Таблица98[[#This Row],[Штраф]]+14790</f>
        <v>83082</v>
      </c>
      <c r="L90" s="80">
        <f>Таблица98[[#This Row],[Бонус]]-Таблица98[[#This Row],[Штраф]]+Таблица98[[#This Row],[Премия]]+14790</f>
        <v>116930</v>
      </c>
      <c r="M90" s="80">
        <f>Таблица98[[#This Row],[БонусФакт]]+14790</f>
        <v>116931</v>
      </c>
      <c r="N90" s="80">
        <f>Таблица98[[#This Row],[Бонус]]-Таблица98[[#This Row],[БонусОлд]]</f>
        <v>33848</v>
      </c>
    </row>
    <row r="91" spans="1:14" x14ac:dyDescent="0.25">
      <c r="A91" s="86">
        <v>44743</v>
      </c>
      <c r="B91" s="50">
        <f>Июль2022[[#Totals],[Продажа]]</f>
        <v>1027870</v>
      </c>
      <c r="C91" s="50">
        <f>Июль2022[[#Totals],[Продажа НК]]</f>
        <v>3800</v>
      </c>
      <c r="D91" s="50">
        <f>Июль2022[[#Totals],[Маржа]]</f>
        <v>471084</v>
      </c>
      <c r="E91" s="50">
        <f>Июль2022[[#Totals],[Маржа НК]]</f>
        <v>836</v>
      </c>
      <c r="F91" s="80">
        <f>ROUND(Таблица98[[#This Row],[Продажа]]*(0.02 +IF(Таблица98[[#This Row],[Продажа]]&gt;=500000,0.03,0))+Таблица98[[#This Row],[Продажа НК]]*0.02,0)</f>
        <v>51470</v>
      </c>
      <c r="G91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80134</v>
      </c>
      <c r="H91" s="84" t="str">
        <f>Июль2022[[#Totals],[Оплата]]</f>
        <v xml:space="preserve">80 084  </v>
      </c>
      <c r="I91"/>
      <c r="K91" s="80">
        <f>Таблица98[[#This Row],[БонусОлд]]-Таблица98[[#This Row],[Премия]]+Таблица98[[#This Row],[Штраф]]+14790</f>
        <v>66260</v>
      </c>
      <c r="L91" s="80">
        <f>Таблица98[[#This Row],[Бонус]]-Таблица98[[#This Row],[Штраф]]+Таблица98[[#This Row],[Премия]]+14790</f>
        <v>94924</v>
      </c>
      <c r="M91" s="80">
        <f>Таблица98[[#This Row],[БонусФакт]]+14790</f>
        <v>94874</v>
      </c>
      <c r="N91" s="80">
        <f>Таблица98[[#This Row],[Бонус]]-Таблица98[[#This Row],[БонусОлд]]</f>
        <v>28664</v>
      </c>
    </row>
    <row r="92" spans="1:14" x14ac:dyDescent="0.25">
      <c r="A92" s="86">
        <v>44774</v>
      </c>
      <c r="B92" s="50">
        <f>Август2022[[#Totals],[Продажа]]</f>
        <v>1554070</v>
      </c>
      <c r="C92" s="50">
        <f>Август2022[[#Totals],[Продажа НК]]</f>
        <v>81480</v>
      </c>
      <c r="D92" s="50">
        <f>Август2022[[#Totals],[Маржа]]</f>
        <v>546868.28</v>
      </c>
      <c r="E92" s="50">
        <f>Август2022[[#Totals],[Маржа НК]]</f>
        <v>21317.5</v>
      </c>
      <c r="F92" s="80">
        <f>ROUND(Таблица98[[#This Row],[Продажа]]*(0.02 +IF(Таблица98[[#This Row],[Продажа]]&gt;=500000,0.03,0))+Таблица98[[#This Row],[Продажа НК]]*0.02,0)</f>
        <v>79333</v>
      </c>
      <c r="G92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94247</v>
      </c>
      <c r="H92" s="84">
        <f>Август2022[[#Totals],[Оплата]]</f>
        <v>94246</v>
      </c>
      <c r="I92"/>
      <c r="K92" s="80">
        <f>Таблица98[[#This Row],[БонусОлд]]-Таблица98[[#This Row],[Премия]]+Таблица98[[#This Row],[Штраф]]+14790</f>
        <v>94123</v>
      </c>
      <c r="L92" s="80">
        <f>Таблица98[[#This Row],[Бонус]]-Таблица98[[#This Row],[Штраф]]+Таблица98[[#This Row],[Премия]]+14790</f>
        <v>109037</v>
      </c>
      <c r="M92" s="80">
        <f>Таблица98[[#This Row],[БонусФакт]]+14790</f>
        <v>109036</v>
      </c>
      <c r="N92" s="80">
        <f>Таблица98[[#This Row],[Бонус]]-Таблица98[[#This Row],[БонусОлд]]</f>
        <v>14914</v>
      </c>
    </row>
    <row r="93" spans="1:14" x14ac:dyDescent="0.25">
      <c r="A93" s="86">
        <v>44805</v>
      </c>
      <c r="B93" s="50">
        <f>Сентябрь2022[[#Totals],[Продажа]]</f>
        <v>959997.5</v>
      </c>
      <c r="C93" s="50">
        <f>Сентябрь2022[[#Totals],[Продажа НК]]</f>
        <v>277221.5</v>
      </c>
      <c r="D93" s="50">
        <f>Сентябрь2022[[#Totals],[Маржа]]</f>
        <v>294596.07</v>
      </c>
      <c r="E93" s="50">
        <f>Сентябрь2022[[#Totals],[Маржа НК]]</f>
        <v>113728.35</v>
      </c>
      <c r="F93" s="80">
        <f>ROUND(Таблица98[[#This Row],[Продажа]]*(0.02 +IF(Таблица98[[#This Row],[Продажа]]&gt;=500000,0.03,0))+Таблица98[[#This Row],[Продажа НК]]*0.02,0)</f>
        <v>53544</v>
      </c>
      <c r="G93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56905</v>
      </c>
      <c r="H93" s="84" t="str">
        <f>Сентябрь2022[[#Totals],[Оплата]]</f>
        <v xml:space="preserve">56 905  </v>
      </c>
      <c r="I93"/>
      <c r="K93" s="80">
        <f>Таблица98[[#This Row],[БонусОлд]]-Таблица98[[#This Row],[Премия]]+Таблица98[[#This Row],[Штраф]]+14790</f>
        <v>68334</v>
      </c>
      <c r="L93" s="80">
        <f>Таблица98[[#This Row],[Бонус]]-Таблица98[[#This Row],[Штраф]]+Таблица98[[#This Row],[Премия]]+14790</f>
        <v>71695</v>
      </c>
      <c r="M93" s="80">
        <f>Таблица98[[#This Row],[БонусФакт]]+14790</f>
        <v>71695</v>
      </c>
      <c r="N93" s="80">
        <f>Таблица98[[#This Row],[Бонус]]-Таблица98[[#This Row],[БонусОлд]]</f>
        <v>3361</v>
      </c>
    </row>
    <row r="94" spans="1:14" x14ac:dyDescent="0.25">
      <c r="A94" s="86">
        <v>44835</v>
      </c>
      <c r="B94" s="50">
        <f>Октябрь2022[[#Totals],[Продажа]]</f>
        <v>801996</v>
      </c>
      <c r="C94" s="50">
        <f>Октябрь2022[[#Totals],[Продажа НК]]</f>
        <v>29990</v>
      </c>
      <c r="D94" s="50">
        <f>Октябрь2022[[#Totals],[Маржа]]</f>
        <v>259109.82</v>
      </c>
      <c r="E94" s="50">
        <f>Октябрь2022[[#Totals],[Маржа НК]]</f>
        <v>12359</v>
      </c>
      <c r="F94" s="80">
        <f>ROUND(Таблица98[[#This Row],[Продажа]]*(0.02 +IF(Таблица98[[#This Row],[Продажа]]&gt;=500000,0.03,0))+Таблица98[[#This Row],[Продажа НК]]*0.02,0)</f>
        <v>40700</v>
      </c>
      <c r="G94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44790</v>
      </c>
      <c r="H94" s="84" t="str">
        <f>Октябрь2022[[#Totals],[Оплата]]</f>
        <v xml:space="preserve">44 790  </v>
      </c>
      <c r="I94"/>
      <c r="K94" s="80">
        <f>Таблица98[[#This Row],[БонусОлд]]-Таблица98[[#This Row],[Премия]]+Таблица98[[#This Row],[Штраф]]+14790</f>
        <v>55490</v>
      </c>
      <c r="L94" s="80">
        <f>Таблица98[[#This Row],[Бонус]]-Таблица98[[#This Row],[Штраф]]+Таблица98[[#This Row],[Премия]]+14790</f>
        <v>59580</v>
      </c>
      <c r="M94" s="80">
        <f>Таблица98[[#This Row],[БонусФакт]]+14790</f>
        <v>59580</v>
      </c>
      <c r="N94" s="80">
        <f>Таблица98[[#This Row],[Бонус]]-Таблица98[[#This Row],[БонусОлд]]</f>
        <v>4090</v>
      </c>
    </row>
    <row r="95" spans="1:14" x14ac:dyDescent="0.25">
      <c r="A95" s="86">
        <v>44866</v>
      </c>
      <c r="B95" s="50">
        <f>Ноябрь2022[[#Totals],[Продажа]]</f>
        <v>342562</v>
      </c>
      <c r="C95" s="50">
        <f>Ноябрь2022[[#Totals],[Продажа НК]]</f>
        <v>7570</v>
      </c>
      <c r="D95" s="50">
        <f>Ноябрь2022[[#Totals],[Маржа]]</f>
        <v>110231.5</v>
      </c>
      <c r="E95" s="50">
        <f>Ноябрь2022[[#Totals],[Маржа НК]]</f>
        <v>1666</v>
      </c>
      <c r="F95" s="80">
        <f>ROUND(Таблица98[[#This Row],[Продажа]]*(0.02 +IF(Таблица98[[#This Row],[Продажа]]&gt;=500000,0.03,0))+Таблица98[[#This Row],[Продажа НК]]*0.02,0)</f>
        <v>7003</v>
      </c>
      <c r="G95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5612</v>
      </c>
      <c r="H95" s="84" t="str">
        <f>Ноябрь2022[[#Totals],[Оплата]]</f>
        <v xml:space="preserve">6 253  </v>
      </c>
      <c r="I95"/>
      <c r="K95" s="80">
        <f>Таблица98[[#This Row],[БонусОлд]]-Таблица98[[#This Row],[Премия]]+Таблица98[[#This Row],[Штраф]]+14790</f>
        <v>21793</v>
      </c>
      <c r="L95" s="80">
        <f>Таблица98[[#This Row],[Бонус]]-Таблица98[[#This Row],[Штраф]]+Таблица98[[#This Row],[Премия]]+14790</f>
        <v>20402</v>
      </c>
      <c r="M95" s="80">
        <f>Таблица98[[#This Row],[БонусФакт]]+14790</f>
        <v>21043</v>
      </c>
      <c r="N95" s="80">
        <f>Таблица98[[#This Row],[Бонус]]-Таблица98[[#This Row],[БонусОлд]]</f>
        <v>-1391</v>
      </c>
    </row>
    <row r="96" spans="1:14" x14ac:dyDescent="0.25">
      <c r="A96" s="86">
        <v>44896</v>
      </c>
      <c r="B96" s="50">
        <f>Декабрь2022[[#Totals],[Продажа]]</f>
        <v>1445125</v>
      </c>
      <c r="C96" s="50">
        <f>Декабрь2022[[#Totals],[Продажа НК]]</f>
        <v>13590</v>
      </c>
      <c r="D96" s="50">
        <f>Декабрь2022[[#Totals],[Маржа]]</f>
        <v>411847.5</v>
      </c>
      <c r="E96" s="50">
        <f>Декабрь2022[[#Totals],[Маржа НК]]</f>
        <v>3602</v>
      </c>
      <c r="F96" s="80">
        <f>ROUND(Таблица98[[#This Row],[Продажа]]*(0.02 +IF(Таблица98[[#This Row],[Продажа]]&gt;=500000,0.03,0))+Таблица98[[#This Row],[Продажа НК]]*0.02,0)</f>
        <v>72528</v>
      </c>
      <c r="G96" s="80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70230</v>
      </c>
      <c r="H96" s="84" t="str">
        <f>Декабрь2022[[#Totals],[Оплата]]</f>
        <v xml:space="preserve">70 230  </v>
      </c>
      <c r="I96"/>
      <c r="K96" s="80">
        <f>Таблица98[[#This Row],[БонусОлд]]-Таблица98[[#This Row],[Премия]]+Таблица98[[#This Row],[Штраф]]+14790</f>
        <v>87318</v>
      </c>
      <c r="L96" s="80">
        <f>Таблица98[[#This Row],[Бонус]]-Таблица98[[#This Row],[Штраф]]+Таблица98[[#This Row],[Премия]]+14790</f>
        <v>85020</v>
      </c>
      <c r="M96" s="80">
        <f>Таблица98[[#This Row],[БонусФакт]]+14790</f>
        <v>85020</v>
      </c>
      <c r="N96" s="80">
        <f>Таблица98[[#This Row],[Бонус]]-Таблица98[[#This Row],[БонусОлд]]</f>
        <v>-2298</v>
      </c>
    </row>
    <row r="97" spans="1:14" x14ac:dyDescent="0.25">
      <c r="A97" s="85" t="s">
        <v>535</v>
      </c>
      <c r="B97" s="50">
        <f>SUBTOTAL(109,Таблица98[Продажа])</f>
        <v>106447489.35999992</v>
      </c>
      <c r="C97" s="50">
        <f>SUBTOTAL(109,Таблица98[Продажа НК])</f>
        <v>23196707.949999999</v>
      </c>
      <c r="D97" s="50">
        <f>SUBTOTAL(109,Таблица98[Маржа])</f>
        <v>27155737.282000005</v>
      </c>
      <c r="E97" s="50">
        <f>SUBTOTAL(109,Таблица98[Маржа НК])</f>
        <v>4491607.1399999997</v>
      </c>
      <c r="F97" s="80">
        <f>SUBTOTAL(101,Таблица98[БонусОлд])</f>
        <v>58950.473684210527</v>
      </c>
      <c r="G97" s="80">
        <f>SUBTOTAL(101,Таблица98[Бонус])</f>
        <v>52846.768421052635</v>
      </c>
      <c r="H97" s="80">
        <f>SUBTOTAL(101,Таблица98[БонусФакт])</f>
        <v>38117.56345714286</v>
      </c>
      <c r="I97">
        <f>SUBTOTAL(109,Таблица98[Премия])</f>
        <v>281000</v>
      </c>
      <c r="J97">
        <f>SUBTOTAL(109,Таблица98[Штраф])</f>
        <v>59776</v>
      </c>
      <c r="K97" s="80">
        <f>SUBTOTAL(101,Таблица98[ИтогоОлд])</f>
        <v>71411.8</v>
      </c>
      <c r="L97" s="80">
        <f>SUBTOTAL(101,Таблица98[Итого])</f>
        <v>69965.442105263151</v>
      </c>
      <c r="M97" s="80">
        <f>SUBTOTAL(101,Таблица98[Итого Факт])</f>
        <v>70963.198825263156</v>
      </c>
      <c r="N97" s="80">
        <f>SUBTOTAL(109,Таблица98[Разница])</f>
        <v>-579852</v>
      </c>
    </row>
  </sheetData>
  <phoneticPr fontId="14" type="noConversion"/>
  <dataValidations count="1">
    <dataValidation type="decimal" operator="greaterThanOrEqual" allowBlank="1" showInputMessage="1" showErrorMessage="1" sqref="B1:C1" xr:uid="{C33DF557-1603-4D4A-9EC9-BEDA023867E7}">
      <formula1>0</formula1>
    </dataValidation>
  </dataValidations>
  <pageMargins left="0.7" right="0.7" top="0.75" bottom="0.75" header="0.3" footer="0.3"/>
  <pageSetup paperSize="9" orientation="portrait" r:id="rId1"/>
  <ignoredErrors>
    <ignoredError sqref="H3:H96" calculatedColumn="1"/>
    <ignoredError sqref="B1:C1" listDataValidation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A699F-9111-455B-A24B-6FED8E2EB0FF}">
  <dimension ref="A3:Q89"/>
  <sheetViews>
    <sheetView workbookViewId="0">
      <selection activeCell="P74" sqref="P74"/>
    </sheetView>
  </sheetViews>
  <sheetFormatPr defaultRowHeight="15" x14ac:dyDescent="0.25"/>
  <cols>
    <col min="1" max="1" width="45.42578125" bestFit="1" customWidth="1"/>
    <col min="2" max="2" width="16.28515625" customWidth="1"/>
    <col min="3" max="3" width="13.140625" bestFit="1" customWidth="1"/>
    <col min="4" max="4" width="15" bestFit="1" customWidth="1"/>
    <col min="5" max="5" width="13.140625" bestFit="1" customWidth="1"/>
    <col min="6" max="6" width="15" bestFit="1" customWidth="1"/>
    <col min="7" max="15" width="15.5703125" bestFit="1" customWidth="1"/>
    <col min="16" max="16" width="29.42578125" bestFit="1" customWidth="1"/>
    <col min="17" max="17" width="27.5703125" bestFit="1" customWidth="1"/>
    <col min="18" max="18" width="10" bestFit="1" customWidth="1"/>
    <col min="19" max="19" width="11" bestFit="1" customWidth="1"/>
    <col min="20" max="23" width="10" bestFit="1" customWidth="1"/>
    <col min="24" max="26" width="11" bestFit="1" customWidth="1"/>
    <col min="27" max="29" width="9" bestFit="1" customWidth="1"/>
    <col min="30" max="30" width="10" bestFit="1" customWidth="1"/>
    <col min="31" max="31" width="11" bestFit="1" customWidth="1"/>
    <col min="32" max="35" width="10" bestFit="1" customWidth="1"/>
    <col min="36" max="36" width="11" bestFit="1" customWidth="1"/>
    <col min="37" max="37" width="10" bestFit="1" customWidth="1"/>
    <col min="38" max="38" width="11" bestFit="1" customWidth="1"/>
    <col min="39" max="41" width="10" bestFit="1" customWidth="1"/>
    <col min="42" max="42" width="11" bestFit="1" customWidth="1"/>
    <col min="43" max="43" width="7" bestFit="1" customWidth="1"/>
    <col min="44" max="44" width="10" bestFit="1" customWidth="1"/>
    <col min="45" max="47" width="11" bestFit="1" customWidth="1"/>
    <col min="48" max="48" width="9" bestFit="1" customWidth="1"/>
    <col min="49" max="49" width="7" bestFit="1" customWidth="1"/>
    <col min="50" max="50" width="11" bestFit="1" customWidth="1"/>
    <col min="51" max="51" width="9" bestFit="1" customWidth="1"/>
    <col min="52" max="52" width="8" bestFit="1" customWidth="1"/>
    <col min="53" max="53" width="11" bestFit="1" customWidth="1"/>
    <col min="54" max="54" width="8" bestFit="1" customWidth="1"/>
    <col min="55" max="55" width="7" bestFit="1" customWidth="1"/>
    <col min="56" max="57" width="10" bestFit="1" customWidth="1"/>
    <col min="58" max="58" width="11" bestFit="1" customWidth="1"/>
    <col min="59" max="60" width="10" bestFit="1" customWidth="1"/>
    <col min="61" max="61" width="9" bestFit="1" customWidth="1"/>
    <col min="62" max="63" width="11" bestFit="1" customWidth="1"/>
    <col min="64" max="64" width="9" bestFit="1" customWidth="1"/>
    <col min="65" max="66" width="11" bestFit="1" customWidth="1"/>
    <col min="67" max="67" width="10" bestFit="1" customWidth="1"/>
    <col min="68" max="68" width="9" bestFit="1" customWidth="1"/>
    <col min="69" max="69" width="7.85546875" bestFit="1" customWidth="1"/>
    <col min="70" max="70" width="9" bestFit="1" customWidth="1"/>
    <col min="71" max="71" width="10" bestFit="1" customWidth="1"/>
    <col min="72" max="72" width="11" bestFit="1" customWidth="1"/>
    <col min="73" max="74" width="9" bestFit="1" customWidth="1"/>
    <col min="75" max="75" width="7.85546875" bestFit="1" customWidth="1"/>
    <col min="76" max="76" width="9" bestFit="1" customWidth="1"/>
    <col min="77" max="77" width="8" bestFit="1" customWidth="1"/>
    <col min="78" max="78" width="7.85546875" bestFit="1" customWidth="1"/>
    <col min="79" max="80" width="10" bestFit="1" customWidth="1"/>
    <col min="81" max="82" width="8" bestFit="1" customWidth="1"/>
    <col min="83" max="83" width="9" bestFit="1" customWidth="1"/>
    <col min="84" max="84" width="7.85546875" bestFit="1" customWidth="1"/>
    <col min="85" max="85" width="7" bestFit="1" customWidth="1"/>
    <col min="86" max="86" width="8" bestFit="1" customWidth="1"/>
    <col min="87" max="87" width="12" bestFit="1" customWidth="1"/>
    <col min="88" max="95" width="7.42578125" bestFit="1" customWidth="1"/>
    <col min="96" max="96" width="11.85546875" bestFit="1" customWidth="1"/>
  </cols>
  <sheetData>
    <row r="3" spans="1:2" x14ac:dyDescent="0.25">
      <c r="A3" s="87" t="s">
        <v>625</v>
      </c>
      <c r="B3" t="s">
        <v>635</v>
      </c>
    </row>
    <row r="4" spans="1:2" x14ac:dyDescent="0.25">
      <c r="A4" s="88" t="s">
        <v>628</v>
      </c>
      <c r="B4" s="107">
        <v>3271356.4420000003</v>
      </c>
    </row>
    <row r="5" spans="1:2" x14ac:dyDescent="0.25">
      <c r="A5" s="88" t="s">
        <v>629</v>
      </c>
      <c r="B5" s="107">
        <v>3534937.5300000003</v>
      </c>
    </row>
    <row r="6" spans="1:2" x14ac:dyDescent="0.25">
      <c r="A6" s="88" t="s">
        <v>630</v>
      </c>
      <c r="B6" s="107">
        <v>2913183.34</v>
      </c>
    </row>
    <row r="7" spans="1:2" x14ac:dyDescent="0.25">
      <c r="A7" s="88" t="s">
        <v>631</v>
      </c>
      <c r="B7" s="107">
        <v>4347982.9499999993</v>
      </c>
    </row>
    <row r="8" spans="1:2" x14ac:dyDescent="0.25">
      <c r="A8" s="88" t="s">
        <v>632</v>
      </c>
      <c r="B8" s="107">
        <v>4898939.53</v>
      </c>
    </row>
    <row r="9" spans="1:2" x14ac:dyDescent="0.25">
      <c r="A9" s="88" t="s">
        <v>633</v>
      </c>
      <c r="B9" s="107">
        <v>3362136.9499999997</v>
      </c>
    </row>
    <row r="10" spans="1:2" x14ac:dyDescent="0.25">
      <c r="A10" s="88" t="s">
        <v>634</v>
      </c>
      <c r="B10" s="107">
        <v>4827200.5399999991</v>
      </c>
    </row>
    <row r="11" spans="1:2" x14ac:dyDescent="0.25">
      <c r="A11" s="88" t="s">
        <v>626</v>
      </c>
      <c r="B11" s="107">
        <v>27155737.281999998</v>
      </c>
    </row>
    <row r="16" spans="1:2" x14ac:dyDescent="0.25">
      <c r="A16" s="87" t="s">
        <v>625</v>
      </c>
      <c r="B16" t="s">
        <v>635</v>
      </c>
    </row>
    <row r="17" spans="1:2" x14ac:dyDescent="0.25">
      <c r="A17" s="88" t="s">
        <v>628</v>
      </c>
      <c r="B17" s="107">
        <v>4255046.7300000004</v>
      </c>
    </row>
    <row r="18" spans="1:2" x14ac:dyDescent="0.25">
      <c r="A18" s="88" t="s">
        <v>629</v>
      </c>
      <c r="B18" s="107">
        <v>3699157.6000000015</v>
      </c>
    </row>
    <row r="19" spans="1:2" x14ac:dyDescent="0.25">
      <c r="A19" s="88" t="s">
        <v>630</v>
      </c>
      <c r="B19" s="107">
        <v>3730801.8800000008</v>
      </c>
    </row>
    <row r="20" spans="1:2" x14ac:dyDescent="0.25">
      <c r="A20" s="88" t="s">
        <v>631</v>
      </c>
      <c r="B20" s="107">
        <v>4684490.0999999996</v>
      </c>
    </row>
    <row r="21" spans="1:2" x14ac:dyDescent="0.25">
      <c r="A21" s="88" t="s">
        <v>632</v>
      </c>
      <c r="B21" s="107">
        <v>5729081.8200000012</v>
      </c>
    </row>
    <row r="22" spans="1:2" x14ac:dyDescent="0.25">
      <c r="A22" s="88" t="s">
        <v>633</v>
      </c>
      <c r="B22" s="107">
        <v>3397044.11</v>
      </c>
    </row>
    <row r="23" spans="1:2" x14ac:dyDescent="0.25">
      <c r="A23" s="88" t="s">
        <v>634</v>
      </c>
      <c r="B23" s="107">
        <v>4908098.04</v>
      </c>
    </row>
    <row r="24" spans="1:2" x14ac:dyDescent="0.25">
      <c r="A24" s="88" t="s">
        <v>626</v>
      </c>
      <c r="B24" s="107">
        <v>30403720.280000001</v>
      </c>
    </row>
    <row r="32" spans="1:2" x14ac:dyDescent="0.25">
      <c r="A32" s="87" t="s">
        <v>625</v>
      </c>
      <c r="B32" t="s">
        <v>636</v>
      </c>
    </row>
    <row r="33" spans="1:2" x14ac:dyDescent="0.25">
      <c r="A33" s="88" t="s">
        <v>627</v>
      </c>
      <c r="B33" s="107">
        <v>50500.714554545448</v>
      </c>
    </row>
    <row r="34" spans="1:2" x14ac:dyDescent="0.25">
      <c r="A34" s="88" t="s">
        <v>628</v>
      </c>
      <c r="B34" s="107">
        <v>68367.669024999996</v>
      </c>
    </row>
    <row r="35" spans="1:2" x14ac:dyDescent="0.25">
      <c r="A35" s="88" t="s">
        <v>629</v>
      </c>
      <c r="B35" s="107">
        <v>74419.166666666672</v>
      </c>
    </row>
    <row r="36" spans="1:2" x14ac:dyDescent="0.25">
      <c r="A36" s="88" t="s">
        <v>630</v>
      </c>
      <c r="B36" s="107">
        <v>51194.166666666664</v>
      </c>
    </row>
    <row r="37" spans="1:2" x14ac:dyDescent="0.25">
      <c r="A37" s="88" t="s">
        <v>631</v>
      </c>
      <c r="B37" s="107">
        <v>74806.666666666672</v>
      </c>
    </row>
    <row r="38" spans="1:2" x14ac:dyDescent="0.25">
      <c r="A38" s="88" t="s">
        <v>632</v>
      </c>
      <c r="B38" s="107">
        <v>92454.833333333328</v>
      </c>
    </row>
    <row r="39" spans="1:2" x14ac:dyDescent="0.25">
      <c r="A39" s="88" t="s">
        <v>633</v>
      </c>
      <c r="B39" s="107">
        <v>67603.666666666672</v>
      </c>
    </row>
    <row r="40" spans="1:2" x14ac:dyDescent="0.25">
      <c r="A40" s="88" t="s">
        <v>634</v>
      </c>
      <c r="B40" s="107">
        <v>85806.5</v>
      </c>
    </row>
    <row r="41" spans="1:2" x14ac:dyDescent="0.25">
      <c r="A41" s="88" t="s">
        <v>626</v>
      </c>
      <c r="B41" s="107">
        <v>70856.209351578946</v>
      </c>
    </row>
    <row r="73" spans="1:17" x14ac:dyDescent="0.25">
      <c r="B73" s="87" t="s">
        <v>657</v>
      </c>
    </row>
    <row r="74" spans="1:17" x14ac:dyDescent="0.25">
      <c r="B74" t="s">
        <v>628</v>
      </c>
      <c r="D74" t="s">
        <v>629</v>
      </c>
      <c r="F74" t="s">
        <v>630</v>
      </c>
      <c r="H74" t="s">
        <v>631</v>
      </c>
      <c r="J74" t="s">
        <v>632</v>
      </c>
      <c r="L74" t="s">
        <v>633</v>
      </c>
      <c r="N74" t="s">
        <v>634</v>
      </c>
      <c r="P74" t="s">
        <v>658</v>
      </c>
      <c r="Q74" t="s">
        <v>659</v>
      </c>
    </row>
    <row r="75" spans="1:17" ht="49.5" customHeight="1" x14ac:dyDescent="0.25">
      <c r="A75" s="87" t="s">
        <v>625</v>
      </c>
      <c r="B75" s="136" t="s">
        <v>656</v>
      </c>
      <c r="C75" s="136" t="s">
        <v>635</v>
      </c>
      <c r="D75" s="136" t="s">
        <v>656</v>
      </c>
      <c r="E75" s="136" t="s">
        <v>635</v>
      </c>
      <c r="F75" s="136" t="s">
        <v>656</v>
      </c>
      <c r="G75" s="136" t="s">
        <v>635</v>
      </c>
      <c r="H75" s="136" t="s">
        <v>656</v>
      </c>
      <c r="I75" s="136" t="s">
        <v>635</v>
      </c>
      <c r="J75" s="136" t="s">
        <v>656</v>
      </c>
      <c r="K75" s="136" t="s">
        <v>635</v>
      </c>
      <c r="L75" s="136" t="s">
        <v>656</v>
      </c>
      <c r="M75" s="136" t="s">
        <v>635</v>
      </c>
      <c r="N75" s="136" t="s">
        <v>656</v>
      </c>
      <c r="O75" s="136" t="s">
        <v>635</v>
      </c>
    </row>
    <row r="76" spans="1:17" x14ac:dyDescent="0.25">
      <c r="A76" s="88" t="s">
        <v>99</v>
      </c>
      <c r="B76" s="107">
        <v>2235850.5100000002</v>
      </c>
      <c r="C76" s="107">
        <v>1350797.32</v>
      </c>
      <c r="D76" s="107">
        <v>3470362.6300000004</v>
      </c>
      <c r="E76" s="107">
        <v>1593989.63</v>
      </c>
      <c r="F76" s="107">
        <v>3192323</v>
      </c>
      <c r="G76" s="107">
        <v>1352193</v>
      </c>
      <c r="H76" s="107">
        <v>2103347</v>
      </c>
      <c r="I76" s="107">
        <v>1378899</v>
      </c>
      <c r="J76" s="107">
        <v>1686352</v>
      </c>
      <c r="K76" s="107">
        <v>959989.2</v>
      </c>
      <c r="L76" s="107">
        <v>1300494</v>
      </c>
      <c r="M76" s="107">
        <v>744188.59</v>
      </c>
      <c r="N76" s="107">
        <v>1581850</v>
      </c>
      <c r="O76" s="107">
        <v>1282310.05</v>
      </c>
      <c r="P76" s="107">
        <v>15570579.140000001</v>
      </c>
      <c r="Q76" s="107">
        <v>8662366.790000001</v>
      </c>
    </row>
    <row r="77" spans="1:17" x14ac:dyDescent="0.25">
      <c r="A77" s="88" t="s">
        <v>38</v>
      </c>
      <c r="B77" s="107">
        <v>1534277.4</v>
      </c>
      <c r="C77" s="107">
        <v>710321.84000000008</v>
      </c>
      <c r="D77" s="107">
        <v>199080</v>
      </c>
      <c r="E77" s="107">
        <v>65482</v>
      </c>
      <c r="F77" s="107">
        <v>1176052.9099999999</v>
      </c>
      <c r="G77" s="107">
        <v>284945.91000000003</v>
      </c>
      <c r="H77" s="107">
        <v>3283597.36</v>
      </c>
      <c r="I77" s="107">
        <v>739704.3600000001</v>
      </c>
      <c r="J77" s="107">
        <v>5663573</v>
      </c>
      <c r="K77" s="107">
        <v>1728220.83</v>
      </c>
      <c r="L77" s="107">
        <v>1863377.5</v>
      </c>
      <c r="M77" s="107">
        <v>356490.52</v>
      </c>
      <c r="N77" s="107"/>
      <c r="O77" s="107"/>
      <c r="P77" s="107">
        <v>13719958.17</v>
      </c>
      <c r="Q77" s="107">
        <v>3885165.4600000004</v>
      </c>
    </row>
    <row r="78" spans="1:17" x14ac:dyDescent="0.25">
      <c r="A78" s="88" t="s">
        <v>65</v>
      </c>
      <c r="B78" s="107">
        <v>385996.17000000004</v>
      </c>
      <c r="C78" s="107">
        <v>100818.96999999999</v>
      </c>
      <c r="D78" s="107">
        <v>695207.89999999991</v>
      </c>
      <c r="E78" s="107">
        <v>241807.9</v>
      </c>
      <c r="F78" s="107">
        <v>860936.41999999993</v>
      </c>
      <c r="G78" s="107">
        <v>322036.42</v>
      </c>
      <c r="H78" s="107">
        <v>1598880.6</v>
      </c>
      <c r="I78" s="107">
        <v>474397.6</v>
      </c>
      <c r="J78" s="107">
        <v>745318.03999999992</v>
      </c>
      <c r="K78" s="107">
        <v>271931.14</v>
      </c>
      <c r="L78" s="107">
        <v>1555083.41</v>
      </c>
      <c r="M78" s="107">
        <v>390682.03999999992</v>
      </c>
      <c r="N78" s="107">
        <v>476059.2</v>
      </c>
      <c r="O78" s="107">
        <v>296521.2</v>
      </c>
      <c r="P78" s="107">
        <v>6317481.7400000002</v>
      </c>
      <c r="Q78" s="107">
        <v>2098195.2700000005</v>
      </c>
    </row>
    <row r="79" spans="1:17" x14ac:dyDescent="0.25">
      <c r="A79" s="88" t="s">
        <v>410</v>
      </c>
      <c r="B79" s="107"/>
      <c r="C79" s="107"/>
      <c r="D79" s="107"/>
      <c r="E79" s="107"/>
      <c r="F79" s="107"/>
      <c r="G79" s="107"/>
      <c r="H79" s="107">
        <v>3119420</v>
      </c>
      <c r="I79" s="107">
        <v>412412.6</v>
      </c>
      <c r="J79" s="107">
        <v>1983890</v>
      </c>
      <c r="K79" s="107">
        <v>285870</v>
      </c>
      <c r="L79" s="107">
        <v>420930</v>
      </c>
      <c r="M79" s="107">
        <v>115858.5</v>
      </c>
      <c r="N79" s="107">
        <v>605356</v>
      </c>
      <c r="O79" s="107">
        <v>156607</v>
      </c>
      <c r="P79" s="107">
        <v>6129596</v>
      </c>
      <c r="Q79" s="107">
        <v>970748.1</v>
      </c>
    </row>
    <row r="80" spans="1:17" x14ac:dyDescent="0.25">
      <c r="A80" s="88" t="s">
        <v>56</v>
      </c>
      <c r="B80" s="107">
        <v>587199.44999999995</v>
      </c>
      <c r="C80" s="107">
        <v>199577.17</v>
      </c>
      <c r="D80" s="107">
        <v>1120415.74</v>
      </c>
      <c r="E80" s="107">
        <v>326918.74</v>
      </c>
      <c r="F80" s="107">
        <v>570064</v>
      </c>
      <c r="G80" s="107">
        <v>151033.30000000002</v>
      </c>
      <c r="H80" s="107">
        <v>494869</v>
      </c>
      <c r="I80" s="107">
        <v>131773</v>
      </c>
      <c r="J80" s="107">
        <v>1077658</v>
      </c>
      <c r="K80" s="107">
        <v>345535.30000000005</v>
      </c>
      <c r="L80" s="107">
        <v>1132419</v>
      </c>
      <c r="M80" s="107">
        <v>256600.6</v>
      </c>
      <c r="N80" s="107">
        <v>768057</v>
      </c>
      <c r="O80" s="107">
        <v>365627.27</v>
      </c>
      <c r="P80" s="107">
        <v>5750682.1899999995</v>
      </c>
      <c r="Q80" s="107">
        <v>1777065.3800000004</v>
      </c>
    </row>
    <row r="81" spans="1:17" x14ac:dyDescent="0.25">
      <c r="A81" s="88" t="s">
        <v>515</v>
      </c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>
        <v>4349700</v>
      </c>
      <c r="O81" s="107">
        <v>315642</v>
      </c>
      <c r="P81" s="107">
        <v>4349700</v>
      </c>
      <c r="Q81" s="107">
        <v>315642</v>
      </c>
    </row>
    <row r="82" spans="1:17" x14ac:dyDescent="0.25">
      <c r="A82" s="88" t="s">
        <v>520</v>
      </c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>
        <v>3479011</v>
      </c>
      <c r="O82" s="107">
        <v>1354562</v>
      </c>
      <c r="P82" s="107">
        <v>3479011</v>
      </c>
      <c r="Q82" s="107">
        <v>1354562</v>
      </c>
    </row>
    <row r="83" spans="1:17" x14ac:dyDescent="0.25">
      <c r="A83" s="88" t="s">
        <v>180</v>
      </c>
      <c r="B83" s="107">
        <v>2004684.68</v>
      </c>
      <c r="C83" s="107">
        <v>522842.68</v>
      </c>
      <c r="D83" s="107">
        <v>736677.03</v>
      </c>
      <c r="E83" s="107">
        <v>251564.05999999994</v>
      </c>
      <c r="F83" s="107"/>
      <c r="G83" s="107"/>
      <c r="H83" s="107">
        <v>12729</v>
      </c>
      <c r="I83" s="107">
        <v>3621</v>
      </c>
      <c r="J83" s="107"/>
      <c r="K83" s="107"/>
      <c r="L83" s="107"/>
      <c r="M83" s="107"/>
      <c r="N83" s="107"/>
      <c r="O83" s="107"/>
      <c r="P83" s="107">
        <v>2754090.71</v>
      </c>
      <c r="Q83" s="107">
        <v>778027.74</v>
      </c>
    </row>
    <row r="84" spans="1:17" x14ac:dyDescent="0.25">
      <c r="A84" s="88" t="s">
        <v>13</v>
      </c>
      <c r="B84" s="107">
        <v>88144.19</v>
      </c>
      <c r="C84" s="107">
        <v>23088.190000000002</v>
      </c>
      <c r="D84" s="107">
        <v>160019.78999999998</v>
      </c>
      <c r="E84" s="107">
        <v>41067.79</v>
      </c>
      <c r="F84" s="107">
        <v>118636</v>
      </c>
      <c r="G84" s="107">
        <v>25891</v>
      </c>
      <c r="H84" s="107">
        <v>122791</v>
      </c>
      <c r="I84" s="107">
        <v>29735</v>
      </c>
      <c r="J84" s="107">
        <v>285549</v>
      </c>
      <c r="K84" s="107">
        <v>80466</v>
      </c>
      <c r="L84" s="107">
        <v>826345.4</v>
      </c>
      <c r="M84" s="107">
        <v>202245.52000000002</v>
      </c>
      <c r="N84" s="107">
        <v>502280</v>
      </c>
      <c r="O84" s="107">
        <v>150695.98000000001</v>
      </c>
      <c r="P84" s="107">
        <v>2103765.38</v>
      </c>
      <c r="Q84" s="107">
        <v>553189.48</v>
      </c>
    </row>
    <row r="85" spans="1:17" x14ac:dyDescent="0.25">
      <c r="A85" s="88" t="s">
        <v>16</v>
      </c>
      <c r="B85" s="107">
        <v>121028.8</v>
      </c>
      <c r="C85" s="107">
        <v>37952.44</v>
      </c>
      <c r="D85" s="107">
        <v>34718.740000000005</v>
      </c>
      <c r="E85" s="107">
        <v>10788.740000000002</v>
      </c>
      <c r="F85" s="107">
        <v>112501.4</v>
      </c>
      <c r="G85" s="107">
        <v>27195.599999999999</v>
      </c>
      <c r="H85" s="107">
        <v>46203.199999999997</v>
      </c>
      <c r="I85" s="107">
        <v>11593.2</v>
      </c>
      <c r="J85" s="107">
        <v>50738</v>
      </c>
      <c r="K85" s="107">
        <v>12823</v>
      </c>
      <c r="L85" s="107">
        <v>1061284.1200000001</v>
      </c>
      <c r="M85" s="107">
        <v>123721.12</v>
      </c>
      <c r="N85" s="107">
        <v>71170</v>
      </c>
      <c r="O85" s="107">
        <v>22480</v>
      </c>
      <c r="P85" s="107">
        <v>1497644.2600000002</v>
      </c>
      <c r="Q85" s="107">
        <v>246554.09999999998</v>
      </c>
    </row>
    <row r="86" spans="1:17" x14ac:dyDescent="0.25">
      <c r="A86" s="88" t="s">
        <v>228</v>
      </c>
      <c r="B86" s="107"/>
      <c r="C86" s="107"/>
      <c r="D86" s="107">
        <v>335800.56999999995</v>
      </c>
      <c r="E86" s="107">
        <v>88831.569999999992</v>
      </c>
      <c r="F86" s="107">
        <v>357588</v>
      </c>
      <c r="G86" s="107">
        <v>134916</v>
      </c>
      <c r="H86" s="107">
        <v>346984.8</v>
      </c>
      <c r="I86" s="107">
        <v>111408.8</v>
      </c>
      <c r="J86" s="107">
        <v>248728</v>
      </c>
      <c r="K86" s="107">
        <v>87940.6</v>
      </c>
      <c r="L86" s="107">
        <v>81855</v>
      </c>
      <c r="M86" s="107">
        <v>26052</v>
      </c>
      <c r="N86" s="107"/>
      <c r="O86" s="107"/>
      <c r="P86" s="107">
        <v>1370956.3699999999</v>
      </c>
      <c r="Q86" s="107">
        <v>449148.97</v>
      </c>
    </row>
    <row r="87" spans="1:17" x14ac:dyDescent="0.25">
      <c r="A87" s="88" t="s">
        <v>275</v>
      </c>
      <c r="B87" s="107"/>
      <c r="C87" s="107"/>
      <c r="D87" s="107">
        <v>32878.980000000003</v>
      </c>
      <c r="E87" s="107">
        <v>7234.9800000000032</v>
      </c>
      <c r="F87" s="107">
        <v>19928</v>
      </c>
      <c r="G87" s="107">
        <v>8060</v>
      </c>
      <c r="H87" s="107">
        <v>37681</v>
      </c>
      <c r="I87" s="107">
        <v>19561</v>
      </c>
      <c r="J87" s="107">
        <v>36256</v>
      </c>
      <c r="K87" s="107">
        <v>9123</v>
      </c>
      <c r="L87" s="107">
        <v>589095.5</v>
      </c>
      <c r="M87" s="107">
        <v>137558.75</v>
      </c>
      <c r="N87" s="107">
        <v>648897</v>
      </c>
      <c r="O87" s="107">
        <v>121672</v>
      </c>
      <c r="P87" s="107">
        <v>1364736.48</v>
      </c>
      <c r="Q87" s="107">
        <v>303209.73</v>
      </c>
    </row>
    <row r="88" spans="1:17" x14ac:dyDescent="0.25">
      <c r="A88" s="88" t="s">
        <v>139</v>
      </c>
      <c r="B88" s="107">
        <v>15090</v>
      </c>
      <c r="C88" s="107">
        <v>5471</v>
      </c>
      <c r="D88" s="107">
        <v>29134.440000000002</v>
      </c>
      <c r="E88" s="107">
        <v>11076.44</v>
      </c>
      <c r="F88" s="107">
        <v>41623</v>
      </c>
      <c r="G88" s="107">
        <v>10554</v>
      </c>
      <c r="H88" s="107">
        <v>841734</v>
      </c>
      <c r="I88" s="107">
        <v>258947</v>
      </c>
      <c r="J88" s="107">
        <v>76790</v>
      </c>
      <c r="K88" s="107">
        <v>18852</v>
      </c>
      <c r="L88" s="107">
        <v>115830</v>
      </c>
      <c r="M88" s="107">
        <v>29589</v>
      </c>
      <c r="N88" s="107"/>
      <c r="O88" s="107"/>
      <c r="P88" s="107">
        <v>1120201.44</v>
      </c>
      <c r="Q88" s="107">
        <v>334489.44</v>
      </c>
    </row>
    <row r="89" spans="1:17" x14ac:dyDescent="0.25">
      <c r="A89" s="88" t="s">
        <v>626</v>
      </c>
      <c r="B89" s="107">
        <v>6972271.2000000002</v>
      </c>
      <c r="C89" s="107">
        <v>2950869.6100000003</v>
      </c>
      <c r="D89" s="107">
        <v>6814295.8200000012</v>
      </c>
      <c r="E89" s="107">
        <v>2638761.8499999996</v>
      </c>
      <c r="F89" s="107">
        <v>6449652.7300000004</v>
      </c>
      <c r="G89" s="107">
        <v>2316825.23</v>
      </c>
      <c r="H89" s="107">
        <v>12008236.960000001</v>
      </c>
      <c r="I89" s="107">
        <v>3572052.5600000005</v>
      </c>
      <c r="J89" s="107">
        <v>11854852.039999999</v>
      </c>
      <c r="K89" s="107">
        <v>3800751.07</v>
      </c>
      <c r="L89" s="107">
        <v>8946713.9299999997</v>
      </c>
      <c r="M89" s="107">
        <v>2382986.64</v>
      </c>
      <c r="N89" s="107">
        <v>12482380.199999999</v>
      </c>
      <c r="O89" s="107">
        <v>4066117.5</v>
      </c>
      <c r="P89" s="107">
        <v>65528402.879999995</v>
      </c>
      <c r="Q89" s="107">
        <v>21728364.460000008</v>
      </c>
    </row>
  </sheetData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Счета</vt:lpstr>
      <vt:lpstr>До марта 16</vt:lpstr>
      <vt:lpstr>С марта 16</vt:lpstr>
      <vt:lpstr>Общая</vt:lpstr>
      <vt:lpstr>Помесячно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2023-01-09T11:35:54Z</dcterms:modified>
</cp:coreProperties>
</file>