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LABORATOR\Programy na vyhodnocování\"/>
    </mc:Choice>
  </mc:AlternateContent>
  <xr:revisionPtr revIDLastSave="0" documentId="13_ncr:1_{7B08702C-5E06-4220-9DD0-39BFCCD20261}" xr6:coauthVersionLast="47" xr6:coauthVersionMax="47" xr10:uidLastSave="{00000000-0000-0000-0000-000000000000}"/>
  <bookViews>
    <workbookView xWindow="-108" yWindow="-108" windowWidth="23256" windowHeight="12456" tabRatio="841" firstSheet="1" activeTab="1" xr2:uid="{00000000-000D-0000-FFFF-FFFF00000000}"/>
  </bookViews>
  <sheets>
    <sheet name="List1" sheetId="4" state="hidden" r:id="rId1"/>
    <sheet name="Časový snímek A+B" sheetId="7" r:id="rId2"/>
    <sheet name="Vstupní údaje A+B" sheetId="2" state="hidden" r:id="rId3"/>
    <sheet name="Časové vážení činností" sheetId="13" r:id="rId4"/>
    <sheet name="MUŽI" sheetId="20" r:id="rId5"/>
    <sheet name="ŽENY" sheetId="18" r:id="rId6"/>
    <sheet name="Vztah mezi metab. produkcí  (2)" sheetId="8" state="hidden" r:id="rId7"/>
    <sheet name="Břemena 1A" sheetId="6" r:id="rId8"/>
    <sheet name="Břemena 1B" sheetId="11" r:id="rId9"/>
    <sheet name="Břemena průměr+přepočet limitů" sheetId="12" r:id="rId10"/>
  </sheets>
  <definedNames>
    <definedName name="_xlnm.Print_Area" localSheetId="1">'Časový snímek A+B'!$A$1:$M$54</definedName>
    <definedName name="_xlnm.Print_Area" localSheetId="2">'Vstupní údaje A+B'!$A$1:$E$29</definedName>
  </definedNames>
  <calcPr calcId="181029"/>
</workbook>
</file>

<file path=xl/calcChain.xml><?xml version="1.0" encoding="utf-8"?>
<calcChain xmlns="http://schemas.openxmlformats.org/spreadsheetml/2006/main">
  <c r="C43" i="18" l="1"/>
  <c r="B43" i="18"/>
  <c r="C42" i="18"/>
  <c r="C45" i="18" s="1"/>
  <c r="B42" i="18"/>
  <c r="B45" i="18" s="1"/>
  <c r="C41" i="18"/>
  <c r="B41" i="18"/>
  <c r="D40" i="18"/>
  <c r="C39" i="18"/>
  <c r="B39" i="18"/>
  <c r="C38" i="18"/>
  <c r="B38" i="18"/>
  <c r="C37" i="18"/>
  <c r="B37" i="18"/>
  <c r="C35" i="18"/>
  <c r="B35" i="18"/>
  <c r="C34" i="18"/>
  <c r="B34" i="18"/>
  <c r="B39" i="20"/>
  <c r="I13" i="20"/>
  <c r="H13" i="20"/>
  <c r="G13" i="20"/>
  <c r="F13" i="20"/>
  <c r="I12" i="20"/>
  <c r="H12" i="20"/>
  <c r="G12" i="20"/>
  <c r="F12" i="20"/>
  <c r="C43" i="20"/>
  <c r="B43" i="20"/>
  <c r="C42" i="20"/>
  <c r="C45" i="20" s="1"/>
  <c r="I32" i="20" s="1"/>
  <c r="B42" i="20"/>
  <c r="B45" i="20" s="1"/>
  <c r="B46" i="20" s="1"/>
  <c r="K6" i="20"/>
  <c r="J6" i="20"/>
  <c r="I6" i="20"/>
  <c r="H6" i="20"/>
  <c r="G6" i="20"/>
  <c r="F6" i="20"/>
  <c r="F22" i="20" s="1"/>
  <c r="C41" i="20"/>
  <c r="B41" i="20"/>
  <c r="K5" i="20"/>
  <c r="K7" i="20" s="1"/>
  <c r="J5" i="20"/>
  <c r="J7" i="20" s="1"/>
  <c r="I5" i="20"/>
  <c r="I7" i="20" s="1"/>
  <c r="H5" i="20"/>
  <c r="H7" i="20" s="1"/>
  <c r="G5" i="20"/>
  <c r="F5" i="20"/>
  <c r="F21" i="20" s="1"/>
  <c r="D40" i="20"/>
  <c r="C39" i="20"/>
  <c r="C38" i="20"/>
  <c r="B38" i="20"/>
  <c r="C37" i="20"/>
  <c r="B37" i="20"/>
  <c r="C35" i="20"/>
  <c r="B35" i="20"/>
  <c r="C34" i="20"/>
  <c r="B34" i="20"/>
  <c r="D2" i="6"/>
  <c r="H12" i="18"/>
  <c r="F5" i="18"/>
  <c r="F21" i="18" s="1"/>
  <c r="G5" i="18"/>
  <c r="H5" i="18"/>
  <c r="I5" i="18"/>
  <c r="J5" i="18"/>
  <c r="J7" i="18" s="1"/>
  <c r="K5" i="18"/>
  <c r="F6" i="18"/>
  <c r="F22" i="18" s="1"/>
  <c r="G6" i="18"/>
  <c r="H6" i="18"/>
  <c r="I6" i="18"/>
  <c r="J6" i="18"/>
  <c r="K6" i="18"/>
  <c r="L6" i="18" s="1"/>
  <c r="F12" i="18"/>
  <c r="G12" i="18"/>
  <c r="I12" i="18"/>
  <c r="F13" i="18"/>
  <c r="G13" i="18"/>
  <c r="H13" i="18"/>
  <c r="I13" i="18"/>
  <c r="K7" i="18" l="1"/>
  <c r="C46" i="20"/>
  <c r="B53" i="18"/>
  <c r="C44" i="18"/>
  <c r="C40" i="18"/>
  <c r="C47" i="18" s="1"/>
  <c r="C48" i="18" s="1"/>
  <c r="B40" i="18"/>
  <c r="B47" i="18" s="1"/>
  <c r="B48" i="18" s="1"/>
  <c r="J31" i="18"/>
  <c r="I31" i="18"/>
  <c r="C53" i="18"/>
  <c r="C54" i="18" s="1"/>
  <c r="I32" i="18"/>
  <c r="B44" i="18"/>
  <c r="B46" i="18"/>
  <c r="C46" i="18"/>
  <c r="J32" i="18" s="1"/>
  <c r="G14" i="20"/>
  <c r="J13" i="20"/>
  <c r="C53" i="20"/>
  <c r="C54" i="20" s="1"/>
  <c r="C40" i="20"/>
  <c r="B40" i="20"/>
  <c r="L5" i="20" s="1"/>
  <c r="L5" i="18"/>
  <c r="L7" i="18" s="1"/>
  <c r="J12" i="20"/>
  <c r="H7" i="18"/>
  <c r="B53" i="20"/>
  <c r="B54" i="20" s="1"/>
  <c r="I7" i="18"/>
  <c r="J31" i="20"/>
  <c r="I31" i="20"/>
  <c r="I33" i="20" s="1"/>
  <c r="J32" i="20"/>
  <c r="B44" i="20"/>
  <c r="C44" i="20"/>
  <c r="H14" i="20"/>
  <c r="H14" i="18"/>
  <c r="J12" i="18"/>
  <c r="G14" i="18"/>
  <c r="J13" i="18"/>
  <c r="J14" i="20" l="1"/>
  <c r="C47" i="20"/>
  <c r="C48" i="20" s="1"/>
  <c r="L6" i="20"/>
  <c r="L7" i="20" s="1"/>
  <c r="B47" i="20"/>
  <c r="B48" i="20" s="1"/>
  <c r="B54" i="18"/>
  <c r="J14" i="18"/>
  <c r="I33" i="18"/>
  <c r="J33" i="18" s="1"/>
  <c r="J21" i="18" s="1"/>
  <c r="J33" i="20"/>
  <c r="J21" i="20" s="1"/>
  <c r="D2" i="12" l="1"/>
  <c r="D3" i="12"/>
  <c r="D4" i="12"/>
  <c r="D5" i="12"/>
  <c r="D6" i="12"/>
  <c r="G5" i="12"/>
  <c r="C7" i="13" l="1"/>
  <c r="C8" i="13"/>
  <c r="C9" i="13"/>
  <c r="C10" i="13"/>
  <c r="C11" i="13"/>
  <c r="C12" i="13"/>
  <c r="C13" i="13"/>
  <c r="C14" i="13"/>
  <c r="C15" i="13"/>
  <c r="C16" i="13"/>
  <c r="C17" i="13"/>
  <c r="C18" i="13"/>
  <c r="B15" i="13"/>
  <c r="B16" i="13"/>
  <c r="B17" i="13"/>
  <c r="B18" i="13"/>
  <c r="B9" i="13"/>
  <c r="B10" i="13"/>
  <c r="B11" i="13"/>
  <c r="B12" i="13"/>
  <c r="B13" i="13"/>
  <c r="B14" i="13"/>
  <c r="B8" i="13"/>
  <c r="B7" i="13"/>
  <c r="G19" i="11" l="1"/>
  <c r="L108" i="11"/>
  <c r="L10" i="11"/>
  <c r="L11" i="11"/>
  <c r="L12" i="11"/>
  <c r="L13" i="11"/>
  <c r="L14" i="11"/>
  <c r="L15" i="11"/>
  <c r="L16" i="11"/>
  <c r="L17" i="11"/>
  <c r="L18" i="11"/>
  <c r="L20" i="11"/>
  <c r="L21" i="11"/>
  <c r="L22" i="11"/>
  <c r="L23" i="11"/>
  <c r="L24" i="11"/>
  <c r="L25" i="11"/>
  <c r="L26" i="11"/>
  <c r="L27" i="11"/>
  <c r="L28" i="11"/>
  <c r="L29" i="11"/>
  <c r="L31" i="11"/>
  <c r="L32" i="11"/>
  <c r="L33" i="11"/>
  <c r="L34" i="11"/>
  <c r="L35" i="11"/>
  <c r="L36" i="11"/>
  <c r="L37" i="11"/>
  <c r="L38" i="11"/>
  <c r="L39" i="11"/>
  <c r="L40" i="11"/>
  <c r="L42" i="11"/>
  <c r="L43" i="11"/>
  <c r="L44" i="11"/>
  <c r="L45" i="11"/>
  <c r="L46" i="11"/>
  <c r="L47" i="11"/>
  <c r="L48" i="11"/>
  <c r="L49" i="11"/>
  <c r="L50" i="11"/>
  <c r="L51" i="11"/>
  <c r="L53" i="11"/>
  <c r="L54" i="11"/>
  <c r="L55" i="11"/>
  <c r="L56" i="11"/>
  <c r="L57" i="11"/>
  <c r="L58" i="11"/>
  <c r="L59" i="11"/>
  <c r="L60" i="11"/>
  <c r="L61" i="11"/>
  <c r="L62" i="11"/>
  <c r="L64" i="11"/>
  <c r="L65" i="11"/>
  <c r="L66" i="11"/>
  <c r="L67" i="11"/>
  <c r="L68" i="11"/>
  <c r="L69" i="11"/>
  <c r="L70" i="11"/>
  <c r="L71" i="11"/>
  <c r="L72" i="11"/>
  <c r="L73" i="11"/>
  <c r="L75" i="11"/>
  <c r="L76" i="11"/>
  <c r="L77" i="11"/>
  <c r="L78" i="11"/>
  <c r="L79" i="11"/>
  <c r="L80" i="11"/>
  <c r="L81" i="11"/>
  <c r="L82" i="11"/>
  <c r="L83" i="11"/>
  <c r="L84" i="11"/>
  <c r="L86" i="11"/>
  <c r="L87" i="11"/>
  <c r="L88" i="11"/>
  <c r="L89" i="11"/>
  <c r="L90" i="11"/>
  <c r="L91" i="11"/>
  <c r="L92" i="11"/>
  <c r="L93" i="11"/>
  <c r="L94" i="11"/>
  <c r="L95" i="11"/>
  <c r="L97" i="11"/>
  <c r="L98" i="11"/>
  <c r="L99" i="11"/>
  <c r="L100" i="11"/>
  <c r="L101" i="11"/>
  <c r="L102" i="11"/>
  <c r="L103" i="11"/>
  <c r="L104" i="11"/>
  <c r="L105" i="11"/>
  <c r="L106" i="11"/>
  <c r="L109" i="11"/>
  <c r="L110" i="11"/>
  <c r="L111" i="11"/>
  <c r="L112" i="11"/>
  <c r="L113" i="11"/>
  <c r="L114" i="11"/>
  <c r="L115" i="11"/>
  <c r="L116" i="11"/>
  <c r="L117" i="11"/>
  <c r="L9" i="11"/>
  <c r="L20" i="6"/>
  <c r="H20" i="6" s="1"/>
  <c r="L21" i="6"/>
  <c r="H21" i="6" s="1"/>
  <c r="L22" i="6"/>
  <c r="H22" i="6" s="1"/>
  <c r="L23" i="6"/>
  <c r="H23" i="6" s="1"/>
  <c r="L24" i="6"/>
  <c r="H24" i="6" s="1"/>
  <c r="L25" i="6"/>
  <c r="H25" i="6" s="1"/>
  <c r="L26" i="6"/>
  <c r="L27" i="6"/>
  <c r="L28" i="6"/>
  <c r="L29" i="6"/>
  <c r="L31" i="6"/>
  <c r="L32" i="6"/>
  <c r="L33" i="6"/>
  <c r="L34" i="6"/>
  <c r="L35" i="6"/>
  <c r="L36" i="6"/>
  <c r="L37" i="6"/>
  <c r="L38" i="6"/>
  <c r="L39" i="6"/>
  <c r="L40" i="6"/>
  <c r="L42" i="6"/>
  <c r="H42" i="6" s="1"/>
  <c r="L43" i="6"/>
  <c r="H43" i="6" s="1"/>
  <c r="L44" i="6"/>
  <c r="H44" i="6" s="1"/>
  <c r="L45" i="6"/>
  <c r="H45" i="6" s="1"/>
  <c r="L46" i="6"/>
  <c r="H46" i="6" s="1"/>
  <c r="L47" i="6"/>
  <c r="L48" i="6"/>
  <c r="L49" i="6"/>
  <c r="L50" i="6"/>
  <c r="L51" i="6"/>
  <c r="L53" i="6"/>
  <c r="L54" i="6"/>
  <c r="L55" i="6"/>
  <c r="L56" i="6"/>
  <c r="L57" i="6"/>
  <c r="L58" i="6"/>
  <c r="L59" i="6"/>
  <c r="L60" i="6"/>
  <c r="L61" i="6"/>
  <c r="L62" i="6"/>
  <c r="L64" i="6"/>
  <c r="L65" i="6"/>
  <c r="L66" i="6"/>
  <c r="L67" i="6"/>
  <c r="L68" i="6"/>
  <c r="L69" i="6"/>
  <c r="L70" i="6"/>
  <c r="L71" i="6"/>
  <c r="L72" i="6"/>
  <c r="L73" i="6"/>
  <c r="L75" i="6"/>
  <c r="L76" i="6"/>
  <c r="L77" i="6"/>
  <c r="L78" i="6"/>
  <c r="L79" i="6"/>
  <c r="L80" i="6"/>
  <c r="L81" i="6"/>
  <c r="L82" i="6"/>
  <c r="L83" i="6"/>
  <c r="L84" i="6"/>
  <c r="L86" i="6"/>
  <c r="L87" i="6"/>
  <c r="L88" i="6"/>
  <c r="L89" i="6"/>
  <c r="L90" i="6"/>
  <c r="L91" i="6"/>
  <c r="L92" i="6"/>
  <c r="L93" i="6"/>
  <c r="L94" i="6"/>
  <c r="L95" i="6"/>
  <c r="L97" i="6"/>
  <c r="L98" i="6"/>
  <c r="L99" i="6"/>
  <c r="L100" i="6"/>
  <c r="L101" i="6"/>
  <c r="L102" i="6"/>
  <c r="L103" i="6"/>
  <c r="L104" i="6"/>
  <c r="L105" i="6"/>
  <c r="L106" i="6"/>
  <c r="L108" i="6"/>
  <c r="L109" i="6"/>
  <c r="L110" i="6"/>
  <c r="L111" i="6"/>
  <c r="L112" i="6"/>
  <c r="L113" i="6"/>
  <c r="L114" i="6"/>
  <c r="L115" i="6"/>
  <c r="L116" i="6"/>
  <c r="L117" i="6"/>
  <c r="L9" i="6"/>
  <c r="L11" i="6"/>
  <c r="H11" i="6" s="1"/>
  <c r="L12" i="6"/>
  <c r="H12" i="6" s="1"/>
  <c r="L13" i="6"/>
  <c r="H13" i="6" s="1"/>
  <c r="L14" i="6"/>
  <c r="H14" i="6" s="1"/>
  <c r="L15" i="6"/>
  <c r="H15" i="6" s="1"/>
  <c r="L16" i="6"/>
  <c r="H16" i="6" s="1"/>
  <c r="L17" i="6"/>
  <c r="H17" i="6" s="1"/>
  <c r="L18" i="6"/>
  <c r="H18" i="6" s="1"/>
  <c r="L10" i="6" l="1"/>
  <c r="G118" i="11" l="1"/>
  <c r="H117" i="11"/>
  <c r="J117" i="11" s="1"/>
  <c r="H116" i="11"/>
  <c r="J116" i="11" s="1"/>
  <c r="H115" i="11"/>
  <c r="J115" i="11" s="1"/>
  <c r="H114" i="11"/>
  <c r="J114" i="11" s="1"/>
  <c r="H113" i="11"/>
  <c r="J113" i="11" s="1"/>
  <c r="H112" i="11"/>
  <c r="J112" i="11" s="1"/>
  <c r="H111" i="11"/>
  <c r="J111" i="11" s="1"/>
  <c r="H110" i="11"/>
  <c r="J110" i="11" s="1"/>
  <c r="H109" i="11"/>
  <c r="J109" i="11" s="1"/>
  <c r="H108" i="11"/>
  <c r="B108" i="11"/>
  <c r="G107" i="11"/>
  <c r="H106" i="11"/>
  <c r="J106" i="11" s="1"/>
  <c r="H105" i="11"/>
  <c r="J105" i="11" s="1"/>
  <c r="H104" i="11"/>
  <c r="J104" i="11" s="1"/>
  <c r="H103" i="11"/>
  <c r="J103" i="11" s="1"/>
  <c r="H102" i="11"/>
  <c r="J102" i="11" s="1"/>
  <c r="H101" i="11"/>
  <c r="J101" i="11" s="1"/>
  <c r="H100" i="11"/>
  <c r="J100" i="11" s="1"/>
  <c r="H99" i="11"/>
  <c r="J99" i="11" s="1"/>
  <c r="H98" i="11"/>
  <c r="J98" i="11" s="1"/>
  <c r="H97" i="11"/>
  <c r="B97" i="11"/>
  <c r="G96" i="11"/>
  <c r="H95" i="11"/>
  <c r="J95" i="11" s="1"/>
  <c r="H94" i="11"/>
  <c r="J94" i="11" s="1"/>
  <c r="H93" i="11"/>
  <c r="J93" i="11" s="1"/>
  <c r="H92" i="11"/>
  <c r="J92" i="11" s="1"/>
  <c r="H91" i="11"/>
  <c r="J91" i="11" s="1"/>
  <c r="H90" i="11"/>
  <c r="J90" i="11" s="1"/>
  <c r="H89" i="11"/>
  <c r="J89" i="11" s="1"/>
  <c r="H88" i="11"/>
  <c r="J88" i="11" s="1"/>
  <c r="H87" i="11"/>
  <c r="J87" i="11" s="1"/>
  <c r="H86" i="11"/>
  <c r="B86" i="11"/>
  <c r="G85" i="11"/>
  <c r="H84" i="11"/>
  <c r="J84" i="11" s="1"/>
  <c r="H83" i="11"/>
  <c r="J83" i="11" s="1"/>
  <c r="H82" i="11"/>
  <c r="J82" i="11" s="1"/>
  <c r="H81" i="11"/>
  <c r="J81" i="11" s="1"/>
  <c r="H80" i="11"/>
  <c r="J80" i="11" s="1"/>
  <c r="H79" i="11"/>
  <c r="J79" i="11" s="1"/>
  <c r="H78" i="11"/>
  <c r="J78" i="11" s="1"/>
  <c r="H77" i="11"/>
  <c r="J77" i="11" s="1"/>
  <c r="H76" i="11"/>
  <c r="J76" i="11" s="1"/>
  <c r="H75" i="11"/>
  <c r="B75" i="11"/>
  <c r="G74" i="11"/>
  <c r="H73" i="11"/>
  <c r="J73" i="11" s="1"/>
  <c r="H72" i="11"/>
  <c r="J72" i="11" s="1"/>
  <c r="H71" i="11"/>
  <c r="J71" i="11" s="1"/>
  <c r="H70" i="11"/>
  <c r="J70" i="11" s="1"/>
  <c r="H69" i="11"/>
  <c r="J69" i="11" s="1"/>
  <c r="H68" i="11"/>
  <c r="J68" i="11" s="1"/>
  <c r="H67" i="11"/>
  <c r="J67" i="11" s="1"/>
  <c r="H66" i="11"/>
  <c r="J66" i="11" s="1"/>
  <c r="H65" i="11"/>
  <c r="J65" i="11" s="1"/>
  <c r="H64" i="11"/>
  <c r="B64" i="11"/>
  <c r="G63" i="11"/>
  <c r="H62" i="11"/>
  <c r="J62" i="11" s="1"/>
  <c r="H61" i="11"/>
  <c r="J61" i="11" s="1"/>
  <c r="H60" i="11"/>
  <c r="J60" i="11" s="1"/>
  <c r="H59" i="11"/>
  <c r="J59" i="11" s="1"/>
  <c r="H58" i="11"/>
  <c r="J58" i="11" s="1"/>
  <c r="H57" i="11"/>
  <c r="J57" i="11" s="1"/>
  <c r="H56" i="11"/>
  <c r="J56" i="11" s="1"/>
  <c r="H55" i="11"/>
  <c r="J55" i="11" s="1"/>
  <c r="H54" i="11"/>
  <c r="J54" i="11" s="1"/>
  <c r="H53" i="11"/>
  <c r="B53" i="11"/>
  <c r="G52" i="11"/>
  <c r="H51" i="11"/>
  <c r="J51" i="11" s="1"/>
  <c r="H50" i="11"/>
  <c r="J50" i="11" s="1"/>
  <c r="H49" i="11"/>
  <c r="J49" i="11" s="1"/>
  <c r="H48" i="11"/>
  <c r="J48" i="11" s="1"/>
  <c r="H47" i="11"/>
  <c r="J47" i="11" s="1"/>
  <c r="H46" i="11"/>
  <c r="J46" i="11" s="1"/>
  <c r="H45" i="11"/>
  <c r="J45" i="11" s="1"/>
  <c r="H44" i="11"/>
  <c r="J44" i="11" s="1"/>
  <c r="H43" i="11"/>
  <c r="J43" i="11" s="1"/>
  <c r="H42" i="11"/>
  <c r="B42" i="11"/>
  <c r="G41" i="11"/>
  <c r="H40" i="11"/>
  <c r="J40" i="11" s="1"/>
  <c r="H39" i="11"/>
  <c r="J39" i="11" s="1"/>
  <c r="H38" i="11"/>
  <c r="J38" i="11" s="1"/>
  <c r="H37" i="11"/>
  <c r="J37" i="11" s="1"/>
  <c r="H36" i="11"/>
  <c r="J36" i="11" s="1"/>
  <c r="H35" i="11"/>
  <c r="J35" i="11" s="1"/>
  <c r="H34" i="11"/>
  <c r="J34" i="11" s="1"/>
  <c r="H33" i="11"/>
  <c r="J33" i="11" s="1"/>
  <c r="H32" i="11"/>
  <c r="J32" i="11" s="1"/>
  <c r="H31" i="11"/>
  <c r="B31" i="11"/>
  <c r="G30" i="11"/>
  <c r="H29" i="11"/>
  <c r="J29" i="11" s="1"/>
  <c r="H28" i="11"/>
  <c r="J28" i="11" s="1"/>
  <c r="H27" i="11"/>
  <c r="J27" i="11" s="1"/>
  <c r="H26" i="11"/>
  <c r="J26" i="11" s="1"/>
  <c r="H25" i="11"/>
  <c r="J25" i="11" s="1"/>
  <c r="H24" i="11"/>
  <c r="J24" i="11" s="1"/>
  <c r="H23" i="11"/>
  <c r="J23" i="11" s="1"/>
  <c r="H22" i="11"/>
  <c r="J22" i="11" s="1"/>
  <c r="H21" i="11"/>
  <c r="J21" i="11" s="1"/>
  <c r="H20" i="11"/>
  <c r="B20" i="11"/>
  <c r="H18" i="11"/>
  <c r="J18" i="11" s="1"/>
  <c r="H17" i="11"/>
  <c r="J17" i="11" s="1"/>
  <c r="H16" i="11"/>
  <c r="J16" i="11" s="1"/>
  <c r="H15" i="11"/>
  <c r="J15" i="11" s="1"/>
  <c r="H14" i="11"/>
  <c r="J14" i="11" s="1"/>
  <c r="H13" i="11"/>
  <c r="J13" i="11" s="1"/>
  <c r="H12" i="11"/>
  <c r="J12" i="11" s="1"/>
  <c r="H11" i="11"/>
  <c r="J11" i="11" s="1"/>
  <c r="H10" i="11"/>
  <c r="J10" i="11" s="1"/>
  <c r="H9" i="11"/>
  <c r="B9" i="11"/>
  <c r="D6" i="11"/>
  <c r="G5" i="11"/>
  <c r="D5" i="11"/>
  <c r="D4" i="11"/>
  <c r="D3" i="11"/>
  <c r="D2" i="11"/>
  <c r="H19" i="11" l="1"/>
  <c r="J5" i="11"/>
  <c r="J5" i="12"/>
  <c r="H74" i="11"/>
  <c r="J64" i="11"/>
  <c r="J74" i="11" s="1"/>
  <c r="H52" i="11"/>
  <c r="J42" i="11"/>
  <c r="J52" i="11" s="1"/>
  <c r="H63" i="11"/>
  <c r="J53" i="11"/>
  <c r="J63" i="11" s="1"/>
  <c r="J9" i="11"/>
  <c r="J19" i="11" s="1"/>
  <c r="H30" i="11"/>
  <c r="J20" i="11"/>
  <c r="J30" i="11" s="1"/>
  <c r="H41" i="11"/>
  <c r="J31" i="11"/>
  <c r="J41" i="11" s="1"/>
  <c r="H85" i="11"/>
  <c r="J75" i="11"/>
  <c r="J85" i="11" s="1"/>
  <c r="H96" i="11"/>
  <c r="J86" i="11"/>
  <c r="J96" i="11" s="1"/>
  <c r="H107" i="11"/>
  <c r="J97" i="11"/>
  <c r="J107" i="11" s="1"/>
  <c r="H118" i="11"/>
  <c r="J108" i="11"/>
  <c r="J118" i="11" s="1"/>
  <c r="G119" i="11"/>
  <c r="G19" i="6"/>
  <c r="D6" i="6"/>
  <c r="D3" i="6"/>
  <c r="J119" i="11" l="1"/>
  <c r="H9" i="12" s="1"/>
  <c r="J14" i="8"/>
  <c r="J9" i="8"/>
  <c r="E12" i="2" l="1"/>
  <c r="B12" i="2"/>
  <c r="F53" i="7"/>
  <c r="F54" i="7" s="1"/>
  <c r="G5" i="6" l="1"/>
  <c r="D5" i="6"/>
  <c r="H117" i="6"/>
  <c r="J117" i="6" s="1"/>
  <c r="H116" i="6"/>
  <c r="J116" i="6" s="1"/>
  <c r="H115" i="6"/>
  <c r="J115" i="6" s="1"/>
  <c r="H114" i="6"/>
  <c r="J114" i="6" s="1"/>
  <c r="H113" i="6"/>
  <c r="J113" i="6" s="1"/>
  <c r="H112" i="6"/>
  <c r="J112" i="6" s="1"/>
  <c r="H111" i="6"/>
  <c r="J111" i="6" s="1"/>
  <c r="H110" i="6"/>
  <c r="J110" i="6" s="1"/>
  <c r="H109" i="6"/>
  <c r="J109" i="6" s="1"/>
  <c r="H108" i="6"/>
  <c r="H106" i="6"/>
  <c r="J106" i="6" s="1"/>
  <c r="H105" i="6"/>
  <c r="J105" i="6" s="1"/>
  <c r="H104" i="6"/>
  <c r="J104" i="6" s="1"/>
  <c r="H103" i="6"/>
  <c r="J103" i="6" s="1"/>
  <c r="H102" i="6"/>
  <c r="J102" i="6" s="1"/>
  <c r="H101" i="6"/>
  <c r="J101" i="6" s="1"/>
  <c r="H100" i="6"/>
  <c r="J100" i="6" s="1"/>
  <c r="H99" i="6"/>
  <c r="H98" i="6"/>
  <c r="J98" i="6" s="1"/>
  <c r="H97" i="6"/>
  <c r="J97" i="6" s="1"/>
  <c r="H95" i="6"/>
  <c r="J95" i="6" s="1"/>
  <c r="H94" i="6"/>
  <c r="J94" i="6" s="1"/>
  <c r="H93" i="6"/>
  <c r="J93" i="6" s="1"/>
  <c r="H92" i="6"/>
  <c r="J92" i="6" s="1"/>
  <c r="H91" i="6"/>
  <c r="J91" i="6" s="1"/>
  <c r="H90" i="6"/>
  <c r="J90" i="6" s="1"/>
  <c r="H89" i="6"/>
  <c r="J89" i="6" s="1"/>
  <c r="H88" i="6"/>
  <c r="J88" i="6" s="1"/>
  <c r="H87" i="6"/>
  <c r="J87" i="6" s="1"/>
  <c r="H86" i="6"/>
  <c r="H84" i="6"/>
  <c r="J84" i="6" s="1"/>
  <c r="H83" i="6"/>
  <c r="J83" i="6" s="1"/>
  <c r="H82" i="6"/>
  <c r="J82" i="6" s="1"/>
  <c r="H81" i="6"/>
  <c r="J81" i="6" s="1"/>
  <c r="H80" i="6"/>
  <c r="J80" i="6" s="1"/>
  <c r="H79" i="6"/>
  <c r="J79" i="6" s="1"/>
  <c r="H78" i="6"/>
  <c r="J78" i="6" s="1"/>
  <c r="H77" i="6"/>
  <c r="H76" i="6"/>
  <c r="J76" i="6" s="1"/>
  <c r="H75" i="6"/>
  <c r="J75" i="6" s="1"/>
  <c r="H73" i="6"/>
  <c r="J73" i="6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6" i="6"/>
  <c r="H65" i="6"/>
  <c r="J65" i="6" s="1"/>
  <c r="H64" i="6"/>
  <c r="J64" i="6" s="1"/>
  <c r="H62" i="6"/>
  <c r="J62" i="6" s="1"/>
  <c r="H61" i="6"/>
  <c r="J61" i="6" s="1"/>
  <c r="H60" i="6"/>
  <c r="J60" i="6" s="1"/>
  <c r="H59" i="6"/>
  <c r="J59" i="6" s="1"/>
  <c r="H58" i="6"/>
  <c r="J58" i="6" s="1"/>
  <c r="H57" i="6"/>
  <c r="J57" i="6" s="1"/>
  <c r="H56" i="6"/>
  <c r="J56" i="6" s="1"/>
  <c r="H55" i="6"/>
  <c r="J55" i="6" s="1"/>
  <c r="H54" i="6"/>
  <c r="J54" i="6" s="1"/>
  <c r="H53" i="6"/>
  <c r="H51" i="6"/>
  <c r="J51" i="6" s="1"/>
  <c r="H50" i="6"/>
  <c r="J50" i="6" s="1"/>
  <c r="H49" i="6"/>
  <c r="J49" i="6" s="1"/>
  <c r="H48" i="6"/>
  <c r="J48" i="6" s="1"/>
  <c r="H47" i="6"/>
  <c r="J47" i="6" s="1"/>
  <c r="J46" i="6"/>
  <c r="J45" i="6"/>
  <c r="J43" i="6"/>
  <c r="J42" i="6"/>
  <c r="H40" i="6"/>
  <c r="J40" i="6" s="1"/>
  <c r="H39" i="6"/>
  <c r="J39" i="6" s="1"/>
  <c r="H38" i="6"/>
  <c r="J38" i="6" s="1"/>
  <c r="H37" i="6"/>
  <c r="J37" i="6" s="1"/>
  <c r="H36" i="6"/>
  <c r="J36" i="6" s="1"/>
  <c r="H35" i="6"/>
  <c r="J35" i="6" s="1"/>
  <c r="H34" i="6"/>
  <c r="J34" i="6" s="1"/>
  <c r="H33" i="6"/>
  <c r="J33" i="6" s="1"/>
  <c r="H32" i="6"/>
  <c r="J32" i="6" s="1"/>
  <c r="H31" i="6"/>
  <c r="J21" i="6"/>
  <c r="J22" i="6"/>
  <c r="J23" i="6"/>
  <c r="J24" i="6"/>
  <c r="J25" i="6"/>
  <c r="H26" i="6"/>
  <c r="J26" i="6" s="1"/>
  <c r="H27" i="6"/>
  <c r="J27" i="6" s="1"/>
  <c r="H28" i="6"/>
  <c r="J28" i="6" s="1"/>
  <c r="H29" i="6"/>
  <c r="J29" i="6" s="1"/>
  <c r="J11" i="6"/>
  <c r="J12" i="6"/>
  <c r="J13" i="6"/>
  <c r="J14" i="6"/>
  <c r="J15" i="6"/>
  <c r="J16" i="6"/>
  <c r="J17" i="6"/>
  <c r="J18" i="6"/>
  <c r="H9" i="6"/>
  <c r="J9" i="6" s="1"/>
  <c r="G52" i="6"/>
  <c r="G41" i="6"/>
  <c r="G30" i="6"/>
  <c r="G118" i="6"/>
  <c r="G107" i="6"/>
  <c r="G96" i="6"/>
  <c r="G85" i="6"/>
  <c r="B86" i="6"/>
  <c r="G74" i="6"/>
  <c r="G63" i="6"/>
  <c r="D4" i="6"/>
  <c r="B108" i="6"/>
  <c r="B97" i="6"/>
  <c r="B75" i="6"/>
  <c r="B64" i="6"/>
  <c r="B53" i="6"/>
  <c r="B42" i="6"/>
  <c r="B31" i="6"/>
  <c r="B20" i="6"/>
  <c r="B9" i="6"/>
  <c r="H10" i="6" l="1"/>
  <c r="J10" i="6" s="1"/>
  <c r="J19" i="6" s="1"/>
  <c r="G119" i="6"/>
  <c r="H85" i="6"/>
  <c r="J77" i="6"/>
  <c r="J85" i="6" s="1"/>
  <c r="H96" i="6"/>
  <c r="J86" i="6"/>
  <c r="J96" i="6" s="1"/>
  <c r="H107" i="6"/>
  <c r="J99" i="6"/>
  <c r="J107" i="6" s="1"/>
  <c r="H41" i="6"/>
  <c r="J31" i="6"/>
  <c r="J41" i="6" s="1"/>
  <c r="H52" i="6"/>
  <c r="J44" i="6"/>
  <c r="J52" i="6" s="1"/>
  <c r="J53" i="6"/>
  <c r="J63" i="6" s="1"/>
  <c r="H63" i="6"/>
  <c r="H74" i="6"/>
  <c r="J66" i="6"/>
  <c r="J74" i="6" s="1"/>
  <c r="H30" i="6"/>
  <c r="J20" i="6"/>
  <c r="J30" i="6" s="1"/>
  <c r="J108" i="6"/>
  <c r="J118" i="6" s="1"/>
  <c r="H118" i="6"/>
  <c r="J5" i="6"/>
  <c r="M6" i="7"/>
  <c r="C52" i="18" l="1"/>
  <c r="B52" i="18"/>
  <c r="C19" i="13"/>
  <c r="J11" i="13" s="1"/>
  <c r="C52" i="20"/>
  <c r="C49" i="20" s="1"/>
  <c r="B52" i="20"/>
  <c r="B49" i="20" s="1"/>
  <c r="J16" i="13"/>
  <c r="J15" i="13"/>
  <c r="J14" i="13"/>
  <c r="J13" i="13"/>
  <c r="J12" i="13"/>
  <c r="J10" i="13"/>
  <c r="J17" i="13"/>
  <c r="J9" i="13"/>
  <c r="J7" i="13"/>
  <c r="J8" i="13"/>
  <c r="J18" i="13"/>
  <c r="C36" i="12"/>
  <c r="D36" i="12" s="1"/>
  <c r="D37" i="12" s="1"/>
  <c r="E36" i="12" s="1"/>
  <c r="C29" i="12"/>
  <c r="D29" i="12" s="1"/>
  <c r="D30" i="12" s="1"/>
  <c r="J119" i="6"/>
  <c r="H8" i="12" s="1"/>
  <c r="H10" i="12" s="1"/>
  <c r="H19" i="6"/>
  <c r="B49" i="18" l="1"/>
  <c r="B55" i="18"/>
  <c r="M5" i="18" s="1"/>
  <c r="C55" i="18"/>
  <c r="M6" i="18" s="1"/>
  <c r="C49" i="18"/>
  <c r="C50" i="18" s="1"/>
  <c r="B55" i="20"/>
  <c r="C55" i="20"/>
  <c r="E29" i="12"/>
  <c r="F29" i="12"/>
  <c r="H29" i="12"/>
  <c r="G29" i="12"/>
  <c r="H36" i="12"/>
  <c r="F36" i="12"/>
  <c r="G36" i="12"/>
  <c r="I14" i="13"/>
  <c r="I9" i="13"/>
  <c r="I17" i="13"/>
  <c r="I8" i="13"/>
  <c r="I7" i="13"/>
  <c r="I18" i="13"/>
  <c r="I13" i="13"/>
  <c r="I15" i="13"/>
  <c r="I16" i="13"/>
  <c r="I11" i="13"/>
  <c r="I10" i="13"/>
  <c r="I12" i="13"/>
  <c r="C59" i="18" l="1"/>
  <c r="J28" i="18"/>
  <c r="J27" i="18"/>
  <c r="I22" i="18" s="1"/>
  <c r="G22" i="18"/>
  <c r="K22" i="18" s="1"/>
  <c r="B50" i="18"/>
  <c r="M6" i="20"/>
  <c r="C50" i="20"/>
  <c r="M5" i="20"/>
  <c r="M7" i="20" s="1"/>
  <c r="B50" i="20"/>
  <c r="H22" i="18"/>
  <c r="M7" i="18"/>
  <c r="I19" i="13"/>
  <c r="D20" i="13" s="1"/>
  <c r="J19" i="13"/>
  <c r="E20" i="13" s="1"/>
  <c r="E7" i="2"/>
  <c r="B7" i="2"/>
  <c r="I15" i="8"/>
  <c r="F25" i="8"/>
  <c r="F28" i="8" s="1"/>
  <c r="E25" i="8"/>
  <c r="E28" i="8" s="1"/>
  <c r="F24" i="8"/>
  <c r="F27" i="8" s="1"/>
  <c r="E24" i="8"/>
  <c r="E27" i="8" s="1"/>
  <c r="F23" i="8"/>
  <c r="E23" i="8"/>
  <c r="E11" i="2"/>
  <c r="B11" i="2"/>
  <c r="E10" i="2"/>
  <c r="E9" i="2"/>
  <c r="E8" i="2"/>
  <c r="B8" i="2"/>
  <c r="B59" i="18" l="1"/>
  <c r="H21" i="18" s="1"/>
  <c r="H23" i="18" s="1"/>
  <c r="I28" i="18"/>
  <c r="G21" i="18"/>
  <c r="K21" i="18" s="1"/>
  <c r="I27" i="18"/>
  <c r="I21" i="18" s="1"/>
  <c r="I23" i="18" s="1"/>
  <c r="I27" i="20"/>
  <c r="I21" i="20" s="1"/>
  <c r="G21" i="20"/>
  <c r="I28" i="20"/>
  <c r="B59" i="20"/>
  <c r="H21" i="20" s="1"/>
  <c r="G22" i="20"/>
  <c r="K22" i="20" s="1"/>
  <c r="J27" i="20"/>
  <c r="I22" i="20" s="1"/>
  <c r="C59" i="20"/>
  <c r="H22" i="20" s="1"/>
  <c r="J28" i="20"/>
  <c r="G23" i="18"/>
  <c r="P19" i="8"/>
  <c r="Q18" i="8"/>
  <c r="M18" i="8"/>
  <c r="N17" i="8"/>
  <c r="O16" i="8"/>
  <c r="P15" i="8"/>
  <c r="P13" i="8"/>
  <c r="Q12" i="8"/>
  <c r="M30" i="8" s="1"/>
  <c r="M12" i="8"/>
  <c r="N11" i="8"/>
  <c r="O10" i="8"/>
  <c r="P9" i="8"/>
  <c r="Q19" i="8"/>
  <c r="O17" i="8"/>
  <c r="Q13" i="8"/>
  <c r="N12" i="8"/>
  <c r="M9" i="8"/>
  <c r="M27" i="8" s="1"/>
  <c r="M15" i="8"/>
  <c r="L27" i="8" s="1"/>
  <c r="O19" i="8"/>
  <c r="P18" i="8"/>
  <c r="Q17" i="8"/>
  <c r="M17" i="8"/>
  <c r="N16" i="8"/>
  <c r="O15" i="8"/>
  <c r="O13" i="8"/>
  <c r="P12" i="8"/>
  <c r="Q11" i="8"/>
  <c r="M11" i="8"/>
  <c r="N10" i="8"/>
  <c r="O9" i="8"/>
  <c r="N18" i="8"/>
  <c r="Q15" i="8"/>
  <c r="O11" i="8"/>
  <c r="Q9" i="8"/>
  <c r="N19" i="8"/>
  <c r="O18" i="8"/>
  <c r="P17" i="8"/>
  <c r="Q16" i="8"/>
  <c r="M16" i="8"/>
  <c r="N15" i="8"/>
  <c r="N13" i="8"/>
  <c r="O12" i="8"/>
  <c r="P11" i="8"/>
  <c r="Q10" i="8"/>
  <c r="M10" i="8"/>
  <c r="N9" i="8"/>
  <c r="M19" i="8"/>
  <c r="P16" i="8"/>
  <c r="M13" i="8"/>
  <c r="P10" i="8"/>
  <c r="L28" i="8"/>
  <c r="L30" i="8"/>
  <c r="L29" i="8"/>
  <c r="M28" i="8"/>
  <c r="B9" i="2"/>
  <c r="B10" i="2"/>
  <c r="F19" i="8"/>
  <c r="I10" i="8"/>
  <c r="B23" i="8"/>
  <c r="C23" i="8"/>
  <c r="C25" i="8"/>
  <c r="C28" i="8" s="1"/>
  <c r="C24" i="8"/>
  <c r="C27" i="8" s="1"/>
  <c r="B24" i="8"/>
  <c r="B27" i="8" s="1"/>
  <c r="B25" i="8"/>
  <c r="B28" i="8" s="1"/>
  <c r="H23" i="20" l="1"/>
  <c r="I23" i="20"/>
  <c r="G23" i="20"/>
  <c r="K21" i="20"/>
  <c r="M29" i="8"/>
  <c r="W19" i="8"/>
  <c r="J30" i="8"/>
  <c r="L31" i="8"/>
  <c r="M31" i="8"/>
  <c r="E14" i="2"/>
  <c r="K27" i="7"/>
  <c r="C9" i="8"/>
  <c r="T9" i="8" s="1"/>
  <c r="F10" i="8"/>
  <c r="W10" i="8" s="1"/>
  <c r="E11" i="8"/>
  <c r="V11" i="8" s="1"/>
  <c r="G9" i="8"/>
  <c r="X9" i="8" s="1"/>
  <c r="D12" i="8"/>
  <c r="U12" i="8" s="1"/>
  <c r="C13" i="8"/>
  <c r="T13" i="8" s="1"/>
  <c r="D9" i="8"/>
  <c r="U9" i="8" s="1"/>
  <c r="C10" i="8"/>
  <c r="T10" i="8" s="1"/>
  <c r="G10" i="8"/>
  <c r="X10" i="8" s="1"/>
  <c r="F11" i="8"/>
  <c r="W11" i="8" s="1"/>
  <c r="E12" i="8"/>
  <c r="V12" i="8" s="1"/>
  <c r="D13" i="8"/>
  <c r="U13" i="8" s="1"/>
  <c r="E17" i="8"/>
  <c r="V17" i="8" s="1"/>
  <c r="G19" i="8"/>
  <c r="X19" i="8" s="1"/>
  <c r="E9" i="8"/>
  <c r="V9" i="8" s="1"/>
  <c r="D10" i="8"/>
  <c r="U10" i="8" s="1"/>
  <c r="C11" i="8"/>
  <c r="T11" i="8" s="1"/>
  <c r="G11" i="8"/>
  <c r="X11" i="8" s="1"/>
  <c r="F12" i="8"/>
  <c r="W12" i="8" s="1"/>
  <c r="C15" i="8"/>
  <c r="T15" i="8" s="1"/>
  <c r="D18" i="8"/>
  <c r="U18" i="8" s="1"/>
  <c r="F16" i="8"/>
  <c r="W16" i="8" s="1"/>
  <c r="F9" i="8"/>
  <c r="W9" i="8" s="1"/>
  <c r="E10" i="8"/>
  <c r="V10" i="8" s="1"/>
  <c r="D11" i="8"/>
  <c r="U11" i="8" s="1"/>
  <c r="C12" i="8"/>
  <c r="T12" i="8" s="1"/>
  <c r="G12" i="8"/>
  <c r="X12" i="8" s="1"/>
  <c r="G15" i="8"/>
  <c r="X15" i="8" s="1"/>
  <c r="C19" i="8"/>
  <c r="T19" i="8" s="1"/>
  <c r="E13" i="8"/>
  <c r="V13" i="8" s="1"/>
  <c r="D15" i="8"/>
  <c r="U15" i="8" s="1"/>
  <c r="C16" i="8"/>
  <c r="T16" i="8" s="1"/>
  <c r="G16" i="8"/>
  <c r="X16" i="8" s="1"/>
  <c r="F17" i="8"/>
  <c r="W17" i="8" s="1"/>
  <c r="E18" i="8"/>
  <c r="V18" i="8" s="1"/>
  <c r="D19" i="8"/>
  <c r="U19" i="8" s="1"/>
  <c r="F13" i="8"/>
  <c r="W13" i="8" s="1"/>
  <c r="E15" i="8"/>
  <c r="V15" i="8" s="1"/>
  <c r="D16" i="8"/>
  <c r="I28" i="8" s="1"/>
  <c r="C17" i="8"/>
  <c r="T17" i="8" s="1"/>
  <c r="G17" i="8"/>
  <c r="X17" i="8" s="1"/>
  <c r="F18" i="8"/>
  <c r="W18" i="8" s="1"/>
  <c r="E19" i="8"/>
  <c r="I31" i="8" s="1"/>
  <c r="G13" i="8"/>
  <c r="X13" i="8" s="1"/>
  <c r="F15" i="8"/>
  <c r="W15" i="8" s="1"/>
  <c r="E16" i="8"/>
  <c r="V16" i="8" s="1"/>
  <c r="D17" i="8"/>
  <c r="U17" i="8" s="1"/>
  <c r="C18" i="8"/>
  <c r="T18" i="8" s="1"/>
  <c r="G18" i="8"/>
  <c r="X18" i="8" s="1"/>
  <c r="J29" i="8"/>
  <c r="G53" i="7"/>
  <c r="H53" i="7" s="1"/>
  <c r="I53" i="7" s="1"/>
  <c r="G52" i="7"/>
  <c r="H52" i="7" s="1"/>
  <c r="I52" i="7" s="1"/>
  <c r="G51" i="7"/>
  <c r="H51" i="7" s="1"/>
  <c r="I51" i="7" s="1"/>
  <c r="G50" i="7"/>
  <c r="H50" i="7" s="1"/>
  <c r="I50" i="7" s="1"/>
  <c r="G49" i="7"/>
  <c r="H49" i="7" s="1"/>
  <c r="I49" i="7" s="1"/>
  <c r="G48" i="7"/>
  <c r="H48" i="7" s="1"/>
  <c r="I48" i="7" s="1"/>
  <c r="G47" i="7"/>
  <c r="H47" i="7" s="1"/>
  <c r="I47" i="7" s="1"/>
  <c r="G46" i="7"/>
  <c r="H46" i="7" s="1"/>
  <c r="I46" i="7" s="1"/>
  <c r="G45" i="7"/>
  <c r="H45" i="7" s="1"/>
  <c r="I45" i="7" s="1"/>
  <c r="G44" i="7"/>
  <c r="H44" i="7" s="1"/>
  <c r="I44" i="7" s="1"/>
  <c r="G43" i="7"/>
  <c r="H43" i="7" s="1"/>
  <c r="I43" i="7" s="1"/>
  <c r="G42" i="7"/>
  <c r="H42" i="7" s="1"/>
  <c r="I42" i="7" s="1"/>
  <c r="G41" i="7"/>
  <c r="H41" i="7" s="1"/>
  <c r="I41" i="7" s="1"/>
  <c r="G40" i="7"/>
  <c r="H40" i="7" s="1"/>
  <c r="I40" i="7" s="1"/>
  <c r="G39" i="7"/>
  <c r="H39" i="7" s="1"/>
  <c r="I39" i="7" s="1"/>
  <c r="G38" i="7"/>
  <c r="H38" i="7" s="1"/>
  <c r="I38" i="7" s="1"/>
  <c r="G36" i="7"/>
  <c r="H36" i="7" s="1"/>
  <c r="I36" i="7" s="1"/>
  <c r="G35" i="7"/>
  <c r="H35" i="7" s="1"/>
  <c r="I35" i="7" s="1"/>
  <c r="G34" i="7"/>
  <c r="H34" i="7" s="1"/>
  <c r="I34" i="7" s="1"/>
  <c r="J27" i="8" l="1"/>
  <c r="I30" i="8"/>
  <c r="I27" i="8"/>
  <c r="I29" i="8"/>
  <c r="J28" i="8"/>
  <c r="U16" i="8"/>
  <c r="V19" i="8"/>
  <c r="M32" i="8"/>
  <c r="J31" i="8"/>
  <c r="G54" i="7"/>
  <c r="H54" i="7" s="1"/>
  <c r="I54" i="7"/>
  <c r="I32" i="8" l="1"/>
  <c r="J10" i="8" s="1"/>
  <c r="J32" i="8"/>
  <c r="E15" i="2"/>
  <c r="K28" i="7"/>
  <c r="E16" i="2"/>
  <c r="K29" i="7"/>
  <c r="D30" i="7" l="1"/>
  <c r="B17" i="2" s="1"/>
  <c r="D28" i="7"/>
  <c r="B14" i="2"/>
  <c r="D27" i="7"/>
  <c r="B15" i="2"/>
  <c r="D29" i="7" l="1"/>
  <c r="B16" i="2"/>
  <c r="L32" i="8" l="1"/>
  <c r="J15" i="8"/>
  <c r="K30" i="7" l="1"/>
  <c r="E17" i="2" s="1"/>
</calcChain>
</file>

<file path=xl/sharedStrings.xml><?xml version="1.0" encoding="utf-8"?>
<sst xmlns="http://schemas.openxmlformats.org/spreadsheetml/2006/main" count="620" uniqueCount="336">
  <si>
    <t>Věk</t>
  </si>
  <si>
    <t>Výška v cm</t>
  </si>
  <si>
    <t>I (=&lt;80)</t>
  </si>
  <si>
    <t>IIa (81 až 105)</t>
  </si>
  <si>
    <t>IIb (106 až 130)</t>
  </si>
  <si>
    <t>IIIa (131 až 160)</t>
  </si>
  <si>
    <t>IIIb (161 až 200)</t>
  </si>
  <si>
    <t>IVa (201 až 250)</t>
  </si>
  <si>
    <t>IVb (251 až 300)</t>
  </si>
  <si>
    <t>V (301 a více)</t>
  </si>
  <si>
    <t>Ženy:</t>
  </si>
  <si>
    <t>Muži:</t>
  </si>
  <si>
    <t>Věk (pro přepočet)</t>
  </si>
  <si>
    <t>Hmotnost (kg)</t>
  </si>
  <si>
    <t>Výška (cm)</t>
  </si>
  <si>
    <t>Česká populace*:</t>
  </si>
  <si>
    <t>* Průměr české populace v roce 2002 (data z ÚZIS). Průměrováno pro věk 45 let.</t>
  </si>
  <si>
    <t>Povrch těla:</t>
  </si>
  <si>
    <t>BM 8 hod. ŽENA</t>
  </si>
  <si>
    <t>BM 8 hod. MUŽ</t>
  </si>
  <si>
    <t>Věk (roky)</t>
  </si>
  <si>
    <t>50 kg</t>
  </si>
  <si>
    <t>HR =</t>
  </si>
  <si>
    <t xml:space="preserve"> ženy</t>
  </si>
  <si>
    <t xml:space="preserve"> muži</t>
  </si>
  <si>
    <t>Celkový průměrný energetický výdej brutto</t>
  </si>
  <si>
    <t>Vstupní udaje</t>
  </si>
  <si>
    <t>Časový snímek pracovní směny</t>
  </si>
  <si>
    <t>Firma:</t>
  </si>
  <si>
    <t>Profese:</t>
  </si>
  <si>
    <t>Datum:</t>
  </si>
  <si>
    <t>Směna [min]:</t>
  </si>
  <si>
    <t>Přestávka [min]:</t>
  </si>
  <si>
    <t>Čistý čas směny [min]:</t>
  </si>
  <si>
    <t>Přístroj:</t>
  </si>
  <si>
    <t>Sledoval:</t>
  </si>
  <si>
    <t>Pracovník A</t>
  </si>
  <si>
    <t>Pracovník B</t>
  </si>
  <si>
    <t>Jméno:</t>
  </si>
  <si>
    <t>Iniciály:</t>
  </si>
  <si>
    <t>Pohlaví:</t>
  </si>
  <si>
    <t>Věk [roky]:</t>
  </si>
  <si>
    <t>Výška [cm]:</t>
  </si>
  <si>
    <t>Hmotnost [kg]:</t>
  </si>
  <si>
    <t>Rozpis pracovních operací</t>
  </si>
  <si>
    <t>čas/směna</t>
  </si>
  <si>
    <t xml:space="preserve">čas </t>
  </si>
  <si>
    <t>Poznámky</t>
  </si>
  <si>
    <t>[min]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</si>
  <si>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</si>
  <si>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</si>
  <si>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</si>
  <si>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</si>
  <si>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</si>
  <si>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</si>
  <si>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</si>
  <si>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</si>
  <si>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</si>
  <si>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</si>
  <si>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</si>
  <si>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</si>
  <si>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</si>
  <si>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</si>
  <si>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</si>
  <si>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</si>
  <si>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</si>
  <si>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</si>
  <si>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</si>
  <si>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</si>
  <si>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muž</t>
  </si>
  <si>
    <t>žena</t>
  </si>
  <si>
    <t>věk</t>
  </si>
  <si>
    <t>věk zaokr.</t>
  </si>
  <si>
    <t>hm. zaokr.</t>
  </si>
  <si>
    <t>kg</t>
  </si>
  <si>
    <t>Sloupec1</t>
  </si>
  <si>
    <t>A</t>
  </si>
  <si>
    <t>Pracovník A:</t>
  </si>
  <si>
    <t>Pracovník B:</t>
  </si>
  <si>
    <t>Srdeční frekvence</t>
  </si>
  <si>
    <t>Hmotnost v kg</t>
  </si>
  <si>
    <t>B</t>
  </si>
  <si>
    <t>Celk. energ. výdej brutto:</t>
  </si>
  <si>
    <t>Celkový energ. výdej brutto</t>
  </si>
  <si>
    <t>Pohlaví</t>
  </si>
  <si>
    <t>Somatometrie pracovníků:</t>
  </si>
  <si>
    <t>Iniciály</t>
  </si>
  <si>
    <t>-</t>
  </si>
  <si>
    <t>ø</t>
  </si>
  <si>
    <t>Expozice</t>
  </si>
  <si>
    <t>[roky]</t>
  </si>
  <si>
    <t>Výška</t>
  </si>
  <si>
    <t>[cm]</t>
  </si>
  <si>
    <t>Hmotnost</t>
  </si>
  <si>
    <t>[kg]</t>
  </si>
  <si>
    <t>Těl.   povrch</t>
  </si>
  <si>
    <r>
      <t>[m</t>
    </r>
    <r>
      <rPr>
        <b/>
        <vertAlign val="superscript"/>
        <sz val="10"/>
        <rFont val="Calibri"/>
        <family val="2"/>
        <charset val="238"/>
        <scheme val="minor"/>
      </rPr>
      <t>2</t>
    </r>
    <r>
      <rPr>
        <b/>
        <sz val="10"/>
        <rFont val="Calibri"/>
        <family val="2"/>
        <charset val="238"/>
        <scheme val="minor"/>
      </rPr>
      <t>]</t>
    </r>
  </si>
  <si>
    <t>[MJ]</t>
  </si>
  <si>
    <t>Expozice [roky]:</t>
  </si>
  <si>
    <t>Výsledné hodnoty srdeční frekvence:</t>
  </si>
  <si>
    <r>
      <t>(pulz.min</t>
    </r>
    <r>
      <rPr>
        <b/>
        <vertAlign val="superscript"/>
        <sz val="10"/>
        <rFont val="Calibri"/>
        <family val="2"/>
        <charset val="238"/>
        <scheme val="minor"/>
      </rPr>
      <t>-1</t>
    </r>
    <r>
      <rPr>
        <b/>
        <sz val="10"/>
        <rFont val="Calibri"/>
        <family val="2"/>
        <charset val="238"/>
        <scheme val="minor"/>
      </rPr>
      <t>)</t>
    </r>
  </si>
  <si>
    <t>Výsledné hodnoty energetického výdeje:</t>
  </si>
  <si>
    <t>Energetický výdej (netto)</t>
  </si>
  <si>
    <t>ø sm.</t>
  </si>
  <si>
    <t>ø celoroční</t>
  </si>
  <si>
    <t>Třída práce (EV brutto)</t>
  </si>
  <si>
    <r>
      <t>W/m</t>
    </r>
    <r>
      <rPr>
        <b/>
        <vertAlign val="superscript"/>
        <sz val="10"/>
        <rFont val="Calibri"/>
        <family val="2"/>
        <charset val="238"/>
        <scheme val="minor"/>
      </rPr>
      <t>2</t>
    </r>
  </si>
  <si>
    <t>(MJ)</t>
  </si>
  <si>
    <t>&lt;=80</t>
  </si>
  <si>
    <t>I</t>
  </si>
  <si>
    <t>IIa</t>
  </si>
  <si>
    <t>(81 až 105)</t>
  </si>
  <si>
    <t>IIb</t>
  </si>
  <si>
    <t>(106 až 130)</t>
  </si>
  <si>
    <t>IIIa</t>
  </si>
  <si>
    <t>(131 až 160)</t>
  </si>
  <si>
    <t>IIIb</t>
  </si>
  <si>
    <t>(161 až 200)</t>
  </si>
  <si>
    <t>IVa</t>
  </si>
  <si>
    <t>(201 až 250)</t>
  </si>
  <si>
    <t>IVb</t>
  </si>
  <si>
    <t>(251 až 300)</t>
  </si>
  <si>
    <t>V</t>
  </si>
  <si>
    <t xml:space="preserve"> &gt;301</t>
  </si>
  <si>
    <t>KONTROLA</t>
  </si>
  <si>
    <r>
      <t>Celkový průměrný energetický výdej brutto [W.m</t>
    </r>
    <r>
      <rPr>
        <b/>
        <vertAlign val="superscript"/>
        <sz val="10"/>
        <rFont val="Calibri"/>
        <family val="2"/>
        <charset val="238"/>
        <scheme val="minor"/>
      </rPr>
      <t>-2</t>
    </r>
    <r>
      <rPr>
        <b/>
        <sz val="10"/>
        <rFont val="Calibri"/>
        <family val="2"/>
        <charset val="238"/>
        <scheme val="minor"/>
      </rPr>
      <t xml:space="preserve">] - </t>
    </r>
    <r>
      <rPr>
        <b/>
        <sz val="10"/>
        <color rgb="FFFF0000"/>
        <rFont val="Calibri"/>
        <family val="2"/>
        <charset val="238"/>
        <scheme val="minor"/>
      </rPr>
      <t>pracovník A</t>
    </r>
  </si>
  <si>
    <r>
      <t>Celkový průměrný energetický výdej brutto [W.m</t>
    </r>
    <r>
      <rPr>
        <b/>
        <vertAlign val="superscript"/>
        <sz val="10"/>
        <rFont val="Calibri"/>
        <family val="2"/>
        <charset val="238"/>
        <scheme val="minor"/>
      </rPr>
      <t>-2</t>
    </r>
    <r>
      <rPr>
        <b/>
        <sz val="10"/>
        <rFont val="Calibri"/>
        <family val="2"/>
        <charset val="238"/>
        <scheme val="minor"/>
      </rPr>
      <t xml:space="preserve">] - </t>
    </r>
    <r>
      <rPr>
        <b/>
        <sz val="10"/>
        <color rgb="FFFF0000"/>
        <rFont val="Calibri"/>
        <family val="2"/>
        <charset val="238"/>
        <scheme val="minor"/>
      </rPr>
      <t>pracovník B</t>
    </r>
  </si>
  <si>
    <t>Průměrná kumulativní hmotnost ručně zvedaných břemen za směnu (kg)</t>
  </si>
  <si>
    <t>Činnost</t>
  </si>
  <si>
    <t>I.</t>
  </si>
  <si>
    <t>II.</t>
  </si>
  <si>
    <t>Čas videa</t>
  </si>
  <si>
    <t>Poč. zvednutí / video</t>
  </si>
  <si>
    <t>Expozice (min/směnu)</t>
  </si>
  <si>
    <t>III.</t>
  </si>
  <si>
    <t>IV.</t>
  </si>
  <si>
    <t>V.</t>
  </si>
  <si>
    <t>VI.</t>
  </si>
  <si>
    <t>VII.</t>
  </si>
  <si>
    <t>VIII.</t>
  </si>
  <si>
    <t>IX.</t>
  </si>
  <si>
    <t>X.</t>
  </si>
  <si>
    <t>Poč. zvednutí / směnu</t>
  </si>
  <si>
    <t>Kumulativní hmotnost (kg / směnu)</t>
  </si>
  <si>
    <t>Nářadí / nástroj / zařízení / břemeno</t>
  </si>
  <si>
    <t>Celkem</t>
  </si>
  <si>
    <t>Hmotnost břemene (kg)</t>
  </si>
  <si>
    <t>Celkem (Ø hodnoty hmotnosti břemen)</t>
  </si>
  <si>
    <t>Max. srdeční frekv.</t>
  </si>
  <si>
    <r>
      <t xml:space="preserve">Srd. frekv. </t>
    </r>
    <r>
      <rPr>
        <i/>
        <sz val="10"/>
        <rFont val="Calibri"/>
        <family val="2"/>
        <charset val="238"/>
      </rPr>
      <t>ø sm.</t>
    </r>
    <r>
      <rPr>
        <i/>
        <sz val="10"/>
        <rFont val="Calibri"/>
        <family val="2"/>
        <charset val="238"/>
        <scheme val="minor"/>
      </rPr>
      <t xml:space="preserve"> [min</t>
    </r>
    <r>
      <rPr>
        <i/>
        <vertAlign val="superscript"/>
        <sz val="10"/>
        <rFont val="Calibri"/>
        <family val="2"/>
        <charset val="238"/>
        <scheme val="minor"/>
      </rPr>
      <t>-1</t>
    </r>
    <r>
      <rPr>
        <i/>
        <sz val="10"/>
        <rFont val="Calibri"/>
        <family val="2"/>
        <charset val="238"/>
        <scheme val="minor"/>
      </rPr>
      <t>]:</t>
    </r>
  </si>
  <si>
    <r>
      <t>Srd. frekv. ø sm. [min</t>
    </r>
    <r>
      <rPr>
        <i/>
        <vertAlign val="superscript"/>
        <sz val="10"/>
        <rFont val="Calibri"/>
        <family val="2"/>
        <charset val="238"/>
        <scheme val="minor"/>
      </rPr>
      <t>-1</t>
    </r>
    <r>
      <rPr>
        <i/>
        <sz val="10"/>
        <rFont val="Calibri"/>
        <family val="2"/>
        <charset val="238"/>
        <scheme val="minor"/>
      </rPr>
      <t>]:</t>
    </r>
  </si>
  <si>
    <r>
      <t>Srd. frek. výchozí [min</t>
    </r>
    <r>
      <rPr>
        <i/>
        <vertAlign val="superscript"/>
        <sz val="10"/>
        <rFont val="Calibri"/>
        <family val="2"/>
        <charset val="238"/>
        <scheme val="minor"/>
      </rPr>
      <t>-1</t>
    </r>
    <r>
      <rPr>
        <i/>
        <sz val="10"/>
        <rFont val="Calibri"/>
        <family val="2"/>
        <charset val="238"/>
        <scheme val="minor"/>
      </rPr>
      <t>]:</t>
    </r>
  </si>
  <si>
    <r>
      <t>Srd. frekv. max [min</t>
    </r>
    <r>
      <rPr>
        <i/>
        <vertAlign val="superscript"/>
        <sz val="10"/>
        <rFont val="Calibri"/>
        <family val="2"/>
        <charset val="238"/>
        <scheme val="minor"/>
      </rPr>
      <t>-1</t>
    </r>
    <r>
      <rPr>
        <i/>
        <sz val="10"/>
        <rFont val="Calibri"/>
        <family val="2"/>
        <charset val="238"/>
        <scheme val="minor"/>
      </rPr>
      <t>]:</t>
    </r>
  </si>
  <si>
    <t>Čistý pracovní čas [min]:</t>
  </si>
  <si>
    <t>Jméno</t>
  </si>
  <si>
    <t>Průměr pracovník A+B</t>
  </si>
  <si>
    <r>
      <t xml:space="preserve">Kumulativní hmotnost ručně zvedaných břemen za směnu (kg) - </t>
    </r>
    <r>
      <rPr>
        <b/>
        <i/>
        <sz val="12"/>
        <color rgb="FFFF0000"/>
        <rFont val="Calibri"/>
        <family val="2"/>
        <charset val="238"/>
        <scheme val="minor"/>
      </rPr>
      <t>pracovník A</t>
    </r>
  </si>
  <si>
    <r>
      <t xml:space="preserve">Kumulativní hmotnost ručně zvedaných břemen za směnu (kg) - </t>
    </r>
    <r>
      <rPr>
        <b/>
        <i/>
        <sz val="12"/>
        <color rgb="FFFF0000"/>
        <rFont val="Calibri"/>
        <family val="2"/>
        <charset val="238"/>
        <scheme val="minor"/>
      </rPr>
      <t>pracovník B</t>
    </r>
  </si>
  <si>
    <r>
      <t xml:space="preserve">Kumulativní hmotnost ručně zvedaných břemen za směnu (kg) - </t>
    </r>
    <r>
      <rPr>
        <b/>
        <sz val="11"/>
        <color rgb="FFFF0000"/>
        <rFont val="Calibri"/>
        <family val="2"/>
        <charset val="238"/>
        <scheme val="minor"/>
      </rPr>
      <t>pracovník A</t>
    </r>
  </si>
  <si>
    <r>
      <t xml:space="preserve">Kumulativní hmotnost ručně zvedaných břemen za směnu (kg) - </t>
    </r>
    <r>
      <rPr>
        <b/>
        <sz val="11"/>
        <color rgb="FFFF0000"/>
        <rFont val="Calibri"/>
        <family val="2"/>
        <charset val="238"/>
        <scheme val="minor"/>
      </rPr>
      <t>pracovník B</t>
    </r>
  </si>
  <si>
    <t>Při občasném zvedání (&lt;30 min/8h)</t>
  </si>
  <si>
    <t>20 kg</t>
  </si>
  <si>
    <t>Při častém zvedání a přenášení</t>
  </si>
  <si>
    <t>15 kg</t>
  </si>
  <si>
    <t>Při práci vsedě</t>
  </si>
  <si>
    <t>3 kg</t>
  </si>
  <si>
    <t>Při občasném zvedání</t>
  </si>
  <si>
    <t>30 kg</t>
  </si>
  <si>
    <t>5 kg</t>
  </si>
  <si>
    <t>ŽENA</t>
  </si>
  <si>
    <t>MUŽ</t>
  </si>
  <si>
    <t>4 500 - 6 500</t>
  </si>
  <si>
    <t>7 000 - 10 000</t>
  </si>
  <si>
    <t>5 175 - 7 475</t>
  </si>
  <si>
    <t>8 050 - 11 500</t>
  </si>
  <si>
    <t>5 287,5 - 7 637,5</t>
  </si>
  <si>
    <t>8 225 - 11 750</t>
  </si>
  <si>
    <t>Celosměnová průměrná kumulativní hmotnost (kg)</t>
  </si>
  <si>
    <t>8 hod</t>
  </si>
  <si>
    <t>11 hod</t>
  </si>
  <si>
    <t>11,5 hod</t>
  </si>
  <si>
    <t>Čistý čas práce:</t>
  </si>
  <si>
    <t>Hygienické limity:</t>
  </si>
  <si>
    <t>Přepočet limitů kumulutivní hmotnosti</t>
  </si>
  <si>
    <t>Základ:</t>
  </si>
  <si>
    <t>Efektivní doba práce:</t>
  </si>
  <si>
    <t>Snížení/zvýšení:</t>
  </si>
  <si>
    <t>Přepočet limitů EV:</t>
  </si>
  <si>
    <t>Čas videa (s)</t>
  </si>
  <si>
    <r>
      <t xml:space="preserve">BM pro </t>
    </r>
    <r>
      <rPr>
        <b/>
        <sz val="10"/>
        <color rgb="FFFF0000"/>
        <rFont val="Calibri"/>
        <family val="2"/>
        <charset val="238"/>
        <scheme val="minor"/>
      </rPr>
      <t>X</t>
    </r>
    <r>
      <rPr>
        <b/>
        <sz val="10"/>
        <rFont val="Calibri"/>
        <family val="2"/>
        <charset val="238"/>
        <scheme val="minor"/>
      </rPr>
      <t xml:space="preserve"> hod směnu</t>
    </r>
  </si>
  <si>
    <t>Pracovní operace</t>
  </si>
  <si>
    <t>Trvání operace (min)</t>
  </si>
  <si>
    <t>Celkem:</t>
  </si>
  <si>
    <t>Označení Polaru</t>
  </si>
  <si>
    <t>Umístění Polaru</t>
  </si>
  <si>
    <t>Typ</t>
  </si>
  <si>
    <t>Datum provedené kalibrace</t>
  </si>
  <si>
    <t>Ostrava</t>
  </si>
  <si>
    <t>Sporttester POLAR RS800CX</t>
  </si>
  <si>
    <t>Celkový součet:</t>
  </si>
  <si>
    <t>W . m2</t>
  </si>
  <si>
    <t>Časové vážení činností</t>
  </si>
  <si>
    <t>Průměrně W . m2</t>
  </si>
  <si>
    <t>Datum kalibrace 2021 do 26.11.</t>
  </si>
  <si>
    <t>Označení Polaru/HP:</t>
  </si>
  <si>
    <t>2F</t>
  </si>
  <si>
    <t>Praha</t>
  </si>
  <si>
    <t>…</t>
  </si>
  <si>
    <t>Hrudní pás POLAR H10</t>
  </si>
  <si>
    <t>DATUM měření:</t>
  </si>
  <si>
    <t>Iniciály měřených:</t>
  </si>
  <si>
    <t>Věk:</t>
  </si>
  <si>
    <t>Výška v cm:</t>
  </si>
  <si>
    <t>Hmotnost v kg:</t>
  </si>
  <si>
    <t>Klidová SF:</t>
  </si>
  <si>
    <t>Průměrná SF:</t>
  </si>
  <si>
    <t>Max. SF:</t>
  </si>
  <si>
    <t>Delta SF</t>
  </si>
  <si>
    <t>BM - ženy (kJ) za 24hod</t>
  </si>
  <si>
    <t>BM - ženy (MJ)</t>
  </si>
  <si>
    <t>2D</t>
  </si>
  <si>
    <t>Hradec</t>
  </si>
  <si>
    <t>Plzeň</t>
  </si>
  <si>
    <t>minutový průměrný (kJ/min)</t>
  </si>
  <si>
    <t>ø minutový</t>
  </si>
  <si>
    <t>Kalibrace (kontrola) do:</t>
  </si>
  <si>
    <r>
      <t>SF</t>
    </r>
    <r>
      <rPr>
        <b/>
        <vertAlign val="subscript"/>
        <sz val="10"/>
        <rFont val="Calibri"/>
        <family val="2"/>
        <charset val="238"/>
      </rPr>
      <t>0</t>
    </r>
  </si>
  <si>
    <r>
      <t>SF</t>
    </r>
    <r>
      <rPr>
        <b/>
        <vertAlign val="subscript"/>
        <sz val="10"/>
        <rFont val="Calibri"/>
        <family val="2"/>
        <charset val="238"/>
      </rPr>
      <t>Ø</t>
    </r>
  </si>
  <si>
    <r>
      <t>SF</t>
    </r>
    <r>
      <rPr>
        <b/>
        <vertAlign val="subscript"/>
        <sz val="10"/>
        <rFont val="Calibri"/>
        <family val="2"/>
        <charset val="238"/>
      </rPr>
      <t>max</t>
    </r>
  </si>
  <si>
    <t>Nárust</t>
  </si>
  <si>
    <t>Ø směnový</t>
  </si>
  <si>
    <t>Ø minutový</t>
  </si>
  <si>
    <t>[kJ/min]</t>
  </si>
  <si>
    <t>Povrch těla (m2)</t>
  </si>
  <si>
    <t>EV brutto (W.m-2)</t>
  </si>
  <si>
    <t>Celkový průměrný energetický výdej brutto [W.m-2]</t>
  </si>
  <si>
    <t>Třída práce dle průměrné hodnoty EV</t>
  </si>
  <si>
    <t>BM - muži (MJ)</t>
  </si>
  <si>
    <t>BM - muži (kJ) za 24hod</t>
  </si>
  <si>
    <t>Somatometrie pracovnic:</t>
  </si>
  <si>
    <t>Pracovnice A</t>
  </si>
  <si>
    <t>Pracovnice B</t>
  </si>
  <si>
    <t>BM - muži (kJ.min)</t>
  </si>
  <si>
    <t>Délka směny</t>
  </si>
  <si>
    <t>Bazální metabolismus pro muže za X hod směnu</t>
  </si>
  <si>
    <t xml:space="preserve">EV netto (KJ) </t>
  </si>
  <si>
    <t>Celosměnnový EV brutto (W)</t>
  </si>
  <si>
    <t>Celosměnnový EV brutto (KJ.min-1)</t>
  </si>
  <si>
    <t>Celosměnnový EV brutto (MJ)</t>
  </si>
  <si>
    <t>Celosměnnový EV netto (MJ)</t>
  </si>
  <si>
    <t>ø směnový</t>
  </si>
  <si>
    <t>Celoroční průměrný (MJ) - 8 hod</t>
  </si>
  <si>
    <t>Celoroční průměrný (MJ) - 12 hod</t>
  </si>
  <si>
    <t>POZOR na délku směny!</t>
  </si>
  <si>
    <t>BM - ženy (kJ.min)</t>
  </si>
  <si>
    <t>Třída práce</t>
  </si>
  <si>
    <t>SNIŽUJEME</t>
  </si>
  <si>
    <t>NAVYŠUJEME</t>
  </si>
  <si>
    <t>LIMITY dle NV</t>
  </si>
  <si>
    <t>450-479min</t>
  </si>
  <si>
    <t>420-449min</t>
  </si>
  <si>
    <t>390-419min</t>
  </si>
  <si>
    <t>600-629min</t>
  </si>
  <si>
    <t>630-659min</t>
  </si>
  <si>
    <t>660-689min</t>
  </si>
  <si>
    <t xml:space="preserve">EV </t>
  </si>
  <si>
    <t>Jednotky</t>
  </si>
  <si>
    <t>Ženy</t>
  </si>
  <si>
    <t>limit 2.kat.</t>
  </si>
  <si>
    <t>Směnový průměrný</t>
  </si>
  <si>
    <t>MJ</t>
  </si>
  <si>
    <t>3,4 -  4,5</t>
  </si>
  <si>
    <t>3,32 -  4,39</t>
  </si>
  <si>
    <t>3,23 -  4,28</t>
  </si>
  <si>
    <t>3,15 -  4,16</t>
  </si>
  <si>
    <t>3,83 -  5,06</t>
  </si>
  <si>
    <t>3,91 -  5,18</t>
  </si>
  <si>
    <t>3,9 -  5,29</t>
  </si>
  <si>
    <t>Směnový přípustný</t>
  </si>
  <si>
    <t>Roční průměrný</t>
  </si>
  <si>
    <t>Minutový přípustný</t>
  </si>
  <si>
    <t xml:space="preserve">14,5 až 23,7 </t>
  </si>
  <si>
    <t>14,14 až 23,11</t>
  </si>
  <si>
    <t>13,78 až 22,52</t>
  </si>
  <si>
    <t>13,41 až 21,92</t>
  </si>
  <si>
    <t xml:space="preserve">16,31 až 26,66 </t>
  </si>
  <si>
    <t>16,68 až 27,26</t>
  </si>
  <si>
    <t>17,04 až 27,85</t>
  </si>
  <si>
    <t>w</t>
  </si>
  <si>
    <t>240 až 395</t>
  </si>
  <si>
    <t>234 až 385,1</t>
  </si>
  <si>
    <t>228 až 375,25</t>
  </si>
  <si>
    <t>222 až 365,38</t>
  </si>
  <si>
    <t>270 až 444,38</t>
  </si>
  <si>
    <t>276 až 454,25</t>
  </si>
  <si>
    <t>282 až 464,13</t>
  </si>
  <si>
    <t>kJ.min-1</t>
  </si>
  <si>
    <t>480 min</t>
  </si>
  <si>
    <t>Muži</t>
  </si>
  <si>
    <t xml:space="preserve">24,1 až 34,5 </t>
  </si>
  <si>
    <t>23,5 až 33,64</t>
  </si>
  <si>
    <t>22,9 až 32,78</t>
  </si>
  <si>
    <t xml:space="preserve">22,29 až 31,91 </t>
  </si>
  <si>
    <t>27,13 až 38,81</t>
  </si>
  <si>
    <t>27,72 až 39,68</t>
  </si>
  <si>
    <t>28,32 až 40,54</t>
  </si>
  <si>
    <t>400 až 575</t>
  </si>
  <si>
    <t>390 až 560,63</t>
  </si>
  <si>
    <t>380 až 546,25</t>
  </si>
  <si>
    <t>370 až 531,88</t>
  </si>
  <si>
    <t>450 až 646,88</t>
  </si>
  <si>
    <t>460 až 611,25</t>
  </si>
  <si>
    <t>470 až 675,63</t>
  </si>
  <si>
    <t>4,39 - 6,63</t>
  </si>
  <si>
    <t>4,5 - 6,8</t>
  </si>
  <si>
    <t>4,28 - 6,46</t>
  </si>
  <si>
    <t>4,16 - 6,29</t>
  </si>
  <si>
    <t>5,06 - 7,65</t>
  </si>
  <si>
    <t>5,18 - 7,82</t>
  </si>
  <si>
    <t>5,29 - 7,99</t>
  </si>
  <si>
    <t>nezkalibrované</t>
  </si>
  <si>
    <t xml:space="preserve">Přestávka na jídlo a oddych </t>
  </si>
  <si>
    <t>5,4 - 8,16</t>
  </si>
  <si>
    <t>690 min +</t>
  </si>
  <si>
    <t>28,92 až 41,4</t>
  </si>
  <si>
    <t>480 až 690</t>
  </si>
  <si>
    <t>4,08 - 5,4</t>
  </si>
  <si>
    <t>17,4 až 28,44</t>
  </si>
  <si>
    <t>288 až 474</t>
  </si>
  <si>
    <t>* Celoroční EV - přepočet na 235 odpracovaných 8hod směn.</t>
  </si>
  <si>
    <t>přepočet na 157 odpracovaných 12hod směn.</t>
  </si>
  <si>
    <r>
      <t>016AA</t>
    </r>
    <r>
      <rPr>
        <b/>
        <sz val="10"/>
        <rFont val="Calibri"/>
        <family val="2"/>
        <charset val="238"/>
        <scheme val="minor"/>
      </rPr>
      <t>034</t>
    </r>
  </si>
  <si>
    <r>
      <t>03B8F</t>
    </r>
    <r>
      <rPr>
        <b/>
        <sz val="10"/>
        <rFont val="Calibri"/>
        <family val="2"/>
        <charset val="238"/>
        <scheme val="minor"/>
      </rPr>
      <t>A3C</t>
    </r>
  </si>
  <si>
    <r>
      <t>016AD</t>
    </r>
    <r>
      <rPr>
        <b/>
        <sz val="10"/>
        <rFont val="Calibri"/>
        <family val="2"/>
        <charset val="238"/>
        <scheme val="minor"/>
      </rPr>
      <t>936</t>
    </r>
  </si>
  <si>
    <r>
      <t>016B7</t>
    </r>
    <r>
      <rPr>
        <b/>
        <sz val="10"/>
        <rFont val="Calibri"/>
        <family val="2"/>
        <charset val="238"/>
        <scheme val="minor"/>
      </rPr>
      <t>733</t>
    </r>
  </si>
  <si>
    <t xml:space="preserve">Polar Unite + HRM BELT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</si>
</sst>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dd/\ mm/\ yyyy"/>
    <numFmt numFmtId="167" formatCode="#,##0.0"/>
  </numFmts>
  <fonts count="4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b/>
      <i/>
      <sz val="12"/>
      <name val="Arial"/>
      <family val="2"/>
      <charset val="238"/>
    </font>
    <font>
      <sz val="10"/>
      <name val="Arial CE"/>
      <charset val="238"/>
    </font>
    <font>
      <b/>
      <sz val="10"/>
      <color rgb="FF0070C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i/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i/>
      <sz val="10"/>
      <name val="Calibri"/>
      <family val="2"/>
      <charset val="238"/>
      <scheme val="minor"/>
    </font>
    <font>
      <b/>
      <u/>
      <sz val="10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Arial"/>
      <family val="2"/>
      <charset val="238"/>
    </font>
    <font>
      <i/>
      <vertAlign val="superscript"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Arial"/>
      <family val="2"/>
      <charset val="238"/>
    </font>
    <font>
      <b/>
      <sz val="10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u/>
      <sz val="12"/>
      <color rgb="FFFF0000"/>
      <name val="Calibri"/>
      <family val="2"/>
      <charset val="238"/>
      <scheme val="minor"/>
    </font>
    <font>
      <b/>
      <vertAlign val="superscript"/>
      <sz val="10"/>
      <name val="Calibri"/>
      <family val="2"/>
      <charset val="238"/>
      <scheme val="minor"/>
    </font>
    <font>
      <b/>
      <sz val="10"/>
      <color rgb="FFC00000"/>
      <name val="Calibri"/>
      <family val="2"/>
      <charset val="238"/>
      <scheme val="minor"/>
    </font>
    <font>
      <i/>
      <sz val="10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b/>
      <sz val="10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10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</font>
    <font>
      <b/>
      <sz val="10"/>
      <color theme="1"/>
      <name val="Calibri"/>
      <family val="2"/>
      <charset val="238"/>
      <scheme val="minor"/>
    </font>
    <font>
      <sz val="10"/>
      <color theme="0"/>
      <name val="Calibri"/>
      <family val="2"/>
      <charset val="238"/>
    </font>
    <font>
      <b/>
      <sz val="10"/>
      <name val="Calibri"/>
      <family val="2"/>
      <charset val="238"/>
    </font>
    <font>
      <b/>
      <vertAlign val="subscript"/>
      <sz val="10"/>
      <name val="Calibri"/>
      <family val="2"/>
      <charset val="238"/>
    </font>
    <font>
      <b/>
      <sz val="9"/>
      <color rgb="FFFF0000"/>
      <name val="Arial"/>
      <family val="2"/>
      <charset val="238"/>
    </font>
    <font>
      <b/>
      <sz val="9"/>
      <color rgb="FFFF0000"/>
      <name val="Calibri"/>
      <family val="2"/>
      <charset val="238"/>
      <scheme val="minor"/>
    </font>
    <font>
      <sz val="10"/>
      <name val="Calibri"/>
      <family val="2"/>
      <charset val="238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5DC"/>
        <bgColor indexed="64"/>
      </patternFill>
    </fill>
    <fill>
      <patternFill patternType="solid">
        <fgColor rgb="FFCCFFCC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7">
    <xf numFmtId="0" fontId="0" fillId="0" borderId="0"/>
    <xf numFmtId="0" fontId="13" fillId="0" borderId="0"/>
    <xf numFmtId="0" fontId="5" fillId="0" borderId="0"/>
    <xf numFmtId="0" fontId="4" fillId="0" borderId="0"/>
    <xf numFmtId="0" fontId="10" fillId="0" borderId="0"/>
    <xf numFmtId="0" fontId="3" fillId="0" borderId="0"/>
    <xf numFmtId="0" fontId="2" fillId="0" borderId="0"/>
  </cellStyleXfs>
  <cellXfs count="518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" fontId="9" fillId="0" borderId="6" xfId="0" applyNumberFormat="1" applyFont="1" applyBorder="1" applyAlignment="1">
      <alignment horizontal="center"/>
    </xf>
    <xf numFmtId="0" fontId="6" fillId="2" borderId="12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14" fillId="10" borderId="15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0" xfId="0" applyFont="1" applyAlignment="1">
      <alignment horizontal="right"/>
    </xf>
    <xf numFmtId="0" fontId="17" fillId="0" borderId="0" xfId="1" applyFont="1"/>
    <xf numFmtId="0" fontId="17" fillId="0" borderId="0" xfId="1" applyFont="1" applyAlignment="1">
      <alignment horizontal="center"/>
    </xf>
    <xf numFmtId="2" fontId="17" fillId="0" borderId="0" xfId="1" applyNumberFormat="1" applyFont="1" applyAlignment="1">
      <alignment horizontal="right"/>
    </xf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right"/>
    </xf>
    <xf numFmtId="0" fontId="17" fillId="0" borderId="0" xfId="1" applyFont="1" applyAlignment="1">
      <alignment horizontal="right"/>
    </xf>
    <xf numFmtId="165" fontId="17" fillId="0" borderId="0" xfId="1" applyNumberFormat="1" applyFont="1" applyAlignment="1">
      <alignment horizontal="right"/>
    </xf>
    <xf numFmtId="0" fontId="18" fillId="0" borderId="0" xfId="1" applyFont="1" applyAlignment="1">
      <alignment horizontal="right"/>
    </xf>
    <xf numFmtId="0" fontId="19" fillId="0" borderId="0" xfId="1" applyFont="1" applyAlignment="1" applyProtection="1">
      <alignment horizontal="left"/>
      <protection locked="0"/>
    </xf>
    <xf numFmtId="14" fontId="19" fillId="0" borderId="0" xfId="1" applyNumberFormat="1" applyFont="1"/>
    <xf numFmtId="0" fontId="17" fillId="0" borderId="0" xfId="1" applyFont="1" applyAlignment="1">
      <alignment horizontal="centerContinuous"/>
    </xf>
    <xf numFmtId="2" fontId="17" fillId="0" borderId="0" xfId="1" applyNumberFormat="1" applyFont="1" applyAlignment="1">
      <alignment horizontal="centerContinuous"/>
    </xf>
    <xf numFmtId="2" fontId="18" fillId="0" borderId="0" xfId="1" applyNumberFormat="1" applyFont="1" applyAlignment="1">
      <alignment horizontal="right"/>
    </xf>
    <xf numFmtId="1" fontId="20" fillId="0" borderId="0" xfId="1" applyNumberFormat="1" applyFont="1" applyAlignment="1">
      <alignment horizontal="left"/>
    </xf>
    <xf numFmtId="0" fontId="17" fillId="0" borderId="19" xfId="1" applyFont="1" applyBorder="1"/>
    <xf numFmtId="0" fontId="18" fillId="0" borderId="19" xfId="1" applyFont="1" applyBorder="1" applyAlignment="1">
      <alignment horizontal="right"/>
    </xf>
    <xf numFmtId="0" fontId="19" fillId="0" borderId="19" xfId="1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2" fontId="17" fillId="0" borderId="19" xfId="1" applyNumberFormat="1" applyFont="1" applyBorder="1" applyAlignment="1">
      <alignment horizontal="right"/>
    </xf>
    <xf numFmtId="2" fontId="17" fillId="0" borderId="19" xfId="1" applyNumberFormat="1" applyFont="1" applyBorder="1" applyAlignment="1">
      <alignment horizontal="center"/>
    </xf>
    <xf numFmtId="164" fontId="17" fillId="0" borderId="19" xfId="1" applyNumberFormat="1" applyFont="1" applyBorder="1" applyAlignment="1">
      <alignment horizontal="right"/>
    </xf>
    <xf numFmtId="0" fontId="17" fillId="0" borderId="19" xfId="1" applyFont="1" applyBorder="1" applyAlignment="1">
      <alignment horizontal="right"/>
    </xf>
    <xf numFmtId="165" fontId="17" fillId="0" borderId="19" xfId="1" applyNumberFormat="1" applyFont="1" applyBorder="1" applyAlignment="1">
      <alignment horizontal="right"/>
    </xf>
    <xf numFmtId="0" fontId="19" fillId="0" borderId="0" xfId="1" applyFont="1" applyAlignment="1">
      <alignment horizontal="center"/>
    </xf>
    <xf numFmtId="164" fontId="17" fillId="0" borderId="20" xfId="1" applyNumberFormat="1" applyFont="1" applyBorder="1" applyAlignment="1">
      <alignment horizontal="center"/>
    </xf>
    <xf numFmtId="0" fontId="19" fillId="0" borderId="0" xfId="1" applyFont="1"/>
    <xf numFmtId="0" fontId="18" fillId="0" borderId="0" xfId="1" applyFont="1"/>
    <xf numFmtId="2" fontId="18" fillId="9" borderId="0" xfId="1" applyNumberFormat="1" applyFont="1" applyFill="1" applyAlignment="1" applyProtection="1">
      <alignment horizontal="left"/>
      <protection locked="0"/>
    </xf>
    <xf numFmtId="0" fontId="18" fillId="9" borderId="0" xfId="1" applyFont="1" applyFill="1" applyAlignment="1">
      <alignment horizontal="right"/>
    </xf>
    <xf numFmtId="164" fontId="17" fillId="0" borderId="21" xfId="1" applyNumberFormat="1" applyFont="1" applyBorder="1"/>
    <xf numFmtId="164" fontId="17" fillId="0" borderId="0" xfId="1" applyNumberFormat="1" applyFont="1"/>
    <xf numFmtId="2" fontId="20" fillId="4" borderId="24" xfId="1" applyNumberFormat="1" applyFont="1" applyFill="1" applyBorder="1" applyAlignment="1">
      <alignment horizontal="center"/>
    </xf>
    <xf numFmtId="0" fontId="20" fillId="4" borderId="25" xfId="1" applyFont="1" applyFill="1" applyBorder="1" applyAlignment="1">
      <alignment horizontal="center"/>
    </xf>
    <xf numFmtId="2" fontId="20" fillId="4" borderId="23" xfId="1" applyNumberFormat="1" applyFont="1" applyFill="1" applyBorder="1" applyAlignment="1">
      <alignment horizontal="centerContinuous"/>
    </xf>
    <xf numFmtId="0" fontId="17" fillId="0" borderId="47" xfId="1" applyFont="1" applyBorder="1"/>
    <xf numFmtId="2" fontId="18" fillId="4" borderId="9" xfId="1" applyNumberFormat="1" applyFont="1" applyFill="1" applyBorder="1" applyAlignment="1">
      <alignment horizontal="center"/>
    </xf>
    <xf numFmtId="0" fontId="18" fillId="4" borderId="29" xfId="1" applyFont="1" applyFill="1" applyBorder="1" applyAlignment="1">
      <alignment horizontal="center"/>
    </xf>
    <xf numFmtId="2" fontId="18" fillId="4" borderId="21" xfId="1" applyNumberFormat="1" applyFont="1" applyFill="1" applyBorder="1" applyAlignment="1">
      <alignment horizontal="centerContinuous"/>
    </xf>
    <xf numFmtId="0" fontId="20" fillId="0" borderId="32" xfId="1" applyFont="1" applyBorder="1" applyAlignment="1">
      <alignment horizontal="right"/>
    </xf>
    <xf numFmtId="1" fontId="17" fillId="0" borderId="3" xfId="1" applyNumberFormat="1" applyFont="1" applyBorder="1" applyAlignment="1" applyProtection="1">
      <alignment horizontal="center"/>
      <protection locked="0"/>
    </xf>
    <xf numFmtId="0" fontId="17" fillId="0" borderId="36" xfId="1" applyFont="1" applyBorder="1" applyAlignment="1" applyProtection="1">
      <alignment horizontal="center"/>
      <protection locked="0"/>
    </xf>
    <xf numFmtId="2" fontId="17" fillId="0" borderId="15" xfId="1" applyNumberFormat="1" applyFont="1" applyBorder="1" applyAlignment="1" applyProtection="1">
      <alignment horizontal="right"/>
      <protection locked="0"/>
    </xf>
    <xf numFmtId="0" fontId="16" fillId="0" borderId="12" xfId="1" applyFont="1" applyBorder="1"/>
    <xf numFmtId="1" fontId="20" fillId="0" borderId="1" xfId="1" applyNumberFormat="1" applyFont="1" applyBorder="1" applyAlignment="1">
      <alignment horizontal="center"/>
    </xf>
    <xf numFmtId="0" fontId="20" fillId="0" borderId="45" xfId="1" applyFont="1" applyBorder="1" applyAlignment="1">
      <alignment horizontal="center"/>
    </xf>
    <xf numFmtId="2" fontId="20" fillId="0" borderId="44" xfId="1" applyNumberFormat="1" applyFont="1" applyBorder="1" applyAlignment="1">
      <alignment horizontal="right"/>
    </xf>
    <xf numFmtId="49" fontId="17" fillId="0" borderId="0" xfId="1" applyNumberFormat="1" applyFont="1"/>
    <xf numFmtId="0" fontId="18" fillId="0" borderId="0" xfId="1" applyFont="1" applyAlignment="1" applyProtection="1">
      <alignment horizontal="left" vertical="center"/>
      <protection locked="0"/>
    </xf>
    <xf numFmtId="2" fontId="18" fillId="12" borderId="0" xfId="1" applyNumberFormat="1" applyFont="1" applyFill="1" applyAlignment="1" applyProtection="1">
      <alignment horizontal="left"/>
      <protection locked="0"/>
    </xf>
    <xf numFmtId="0" fontId="18" fillId="12" borderId="0" xfId="1" applyFont="1" applyFill="1" applyAlignment="1">
      <alignment horizontal="right"/>
    </xf>
    <xf numFmtId="0" fontId="18" fillId="0" borderId="0" xfId="1" applyFont="1" applyAlignment="1">
      <alignment horizontal="left" vertical="center"/>
    </xf>
    <xf numFmtId="166" fontId="19" fillId="0" borderId="0" xfId="1" applyNumberFormat="1" applyFont="1" applyAlignment="1" applyProtection="1">
      <alignment horizontal="left"/>
      <protection locked="0"/>
    </xf>
    <xf numFmtId="0" fontId="17" fillId="0" borderId="0" xfId="0" applyFont="1"/>
    <xf numFmtId="0" fontId="17" fillId="7" borderId="6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14" fillId="10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0" fontId="26" fillId="0" borderId="0" xfId="0" applyFont="1"/>
    <xf numFmtId="1" fontId="6" fillId="0" borderId="13" xfId="0" applyNumberFormat="1" applyFon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18" fillId="13" borderId="0" xfId="1" applyFont="1" applyFill="1" applyAlignment="1">
      <alignment horizontal="right"/>
    </xf>
    <xf numFmtId="1" fontId="18" fillId="13" borderId="0" xfId="1" applyNumberFormat="1" applyFont="1" applyFill="1" applyAlignment="1" applyProtection="1">
      <alignment horizontal="left"/>
      <protection locked="0"/>
    </xf>
    <xf numFmtId="2" fontId="18" fillId="10" borderId="0" xfId="1" applyNumberFormat="1" applyFont="1" applyFill="1" applyAlignment="1" applyProtection="1">
      <alignment horizontal="left"/>
      <protection locked="0"/>
    </xf>
    <xf numFmtId="0" fontId="18" fillId="10" borderId="0" xfId="1" applyFont="1" applyFill="1" applyAlignment="1">
      <alignment horizontal="right"/>
    </xf>
    <xf numFmtId="0" fontId="17" fillId="0" borderId="0" xfId="0" applyFont="1" applyAlignment="1">
      <alignment horizontal="center"/>
    </xf>
    <xf numFmtId="0" fontId="16" fillId="0" borderId="44" xfId="1" applyFont="1" applyBorder="1"/>
    <xf numFmtId="0" fontId="16" fillId="0" borderId="0" xfId="0" applyFont="1"/>
    <xf numFmtId="0" fontId="25" fillId="4" borderId="48" xfId="0" applyFont="1" applyFill="1" applyBorder="1" applyAlignment="1">
      <alignment horizontal="center" vertical="center"/>
    </xf>
    <xf numFmtId="1" fontId="28" fillId="5" borderId="38" xfId="0" applyNumberFormat="1" applyFont="1" applyFill="1" applyBorder="1" applyAlignment="1">
      <alignment horizontal="center" vertical="center"/>
    </xf>
    <xf numFmtId="0" fontId="25" fillId="4" borderId="5" xfId="0" applyFont="1" applyFill="1" applyBorder="1" applyAlignment="1">
      <alignment horizontal="center" vertical="center"/>
    </xf>
    <xf numFmtId="1" fontId="28" fillId="5" borderId="7" xfId="0" applyNumberFormat="1" applyFont="1" applyFill="1" applyBorder="1" applyAlignment="1">
      <alignment horizontal="center" vertical="center"/>
    </xf>
    <xf numFmtId="0" fontId="17" fillId="0" borderId="47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2" fontId="28" fillId="14" borderId="7" xfId="0" applyNumberFormat="1" applyFont="1" applyFill="1" applyBorder="1" applyAlignment="1">
      <alignment horizontal="center" vertical="center"/>
    </xf>
    <xf numFmtId="2" fontId="11" fillId="15" borderId="7" xfId="0" applyNumberFormat="1" applyFont="1" applyFill="1" applyBorder="1" applyAlignment="1">
      <alignment horizontal="center" vertical="center"/>
    </xf>
    <xf numFmtId="2" fontId="28" fillId="10" borderId="7" xfId="0" applyNumberFormat="1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 wrapText="1"/>
    </xf>
    <xf numFmtId="1" fontId="28" fillId="6" borderId="10" xfId="0" applyNumberFormat="1" applyFont="1" applyFill="1" applyBorder="1" applyAlignment="1">
      <alignment horizontal="center" vertical="center"/>
    </xf>
    <xf numFmtId="0" fontId="17" fillId="2" borderId="48" xfId="0" applyFont="1" applyFill="1" applyBorder="1" applyAlignment="1">
      <alignment horizontal="center" vertical="center"/>
    </xf>
    <xf numFmtId="0" fontId="17" fillId="2" borderId="37" xfId="0" applyFont="1" applyFill="1" applyBorder="1" applyAlignment="1">
      <alignment horizontal="center" vertical="center"/>
    </xf>
    <xf numFmtId="0" fontId="17" fillId="2" borderId="38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5" fillId="0" borderId="0" xfId="0" applyFont="1"/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0" fontId="17" fillId="0" borderId="0" xfId="0" applyNumberFormat="1" applyFont="1"/>
    <xf numFmtId="0" fontId="17" fillId="0" borderId="0" xfId="0" applyFont="1" applyAlignment="1">
      <alignment horizontal="right"/>
    </xf>
    <xf numFmtId="0" fontId="19" fillId="4" borderId="44" xfId="0" applyFont="1" applyFill="1" applyBorder="1" applyAlignment="1">
      <alignment horizontal="center" vertical="center"/>
    </xf>
    <xf numFmtId="0" fontId="19" fillId="4" borderId="44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167" fontId="17" fillId="0" borderId="53" xfId="0" applyNumberFormat="1" applyFont="1" applyBorder="1" applyAlignment="1">
      <alignment horizontal="center" vertical="center"/>
    </xf>
    <xf numFmtId="167" fontId="17" fillId="0" borderId="68" xfId="0" applyNumberFormat="1" applyFont="1" applyBorder="1" applyAlignment="1">
      <alignment horizontal="center" vertical="center"/>
    </xf>
    <xf numFmtId="167" fontId="17" fillId="0" borderId="61" xfId="0" applyNumberFormat="1" applyFont="1" applyBorder="1" applyAlignment="1">
      <alignment horizontal="center" vertical="center"/>
    </xf>
    <xf numFmtId="167" fontId="19" fillId="4" borderId="71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1" fontId="17" fillId="0" borderId="0" xfId="0" applyNumberFormat="1" applyFont="1"/>
    <xf numFmtId="164" fontId="17" fillId="0" borderId="24" xfId="0" applyNumberFormat="1" applyFont="1" applyBorder="1" applyAlignment="1">
      <alignment horizontal="center"/>
    </xf>
    <xf numFmtId="164" fontId="17" fillId="0" borderId="18" xfId="0" applyNumberFormat="1" applyFont="1" applyBorder="1" applyAlignment="1">
      <alignment horizontal="center"/>
    </xf>
    <xf numFmtId="164" fontId="17" fillId="0" borderId="9" xfId="0" applyNumberFormat="1" applyFont="1" applyBorder="1" applyAlignment="1">
      <alignment horizontal="center"/>
    </xf>
    <xf numFmtId="164" fontId="17" fillId="0" borderId="76" xfId="0" applyNumberFormat="1" applyFont="1" applyBorder="1" applyAlignment="1">
      <alignment horizontal="center"/>
    </xf>
    <xf numFmtId="167" fontId="19" fillId="4" borderId="69" xfId="0" applyNumberFormat="1" applyFont="1" applyFill="1" applyBorder="1" applyAlignment="1">
      <alignment horizontal="center" vertical="center"/>
    </xf>
    <xf numFmtId="167" fontId="31" fillId="13" borderId="44" xfId="0" applyNumberFormat="1" applyFont="1" applyFill="1" applyBorder="1" applyAlignment="1">
      <alignment horizontal="center" vertical="center"/>
    </xf>
    <xf numFmtId="3" fontId="31" fillId="13" borderId="13" xfId="0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left"/>
    </xf>
    <xf numFmtId="0" fontId="19" fillId="4" borderId="22" xfId="0" applyFont="1" applyFill="1" applyBorder="1" applyAlignment="1" applyProtection="1">
      <alignment horizontal="right"/>
      <protection locked="0"/>
    </xf>
    <xf numFmtId="0" fontId="17" fillId="0" borderId="24" xfId="0" applyFont="1" applyBorder="1" applyAlignment="1" applyProtection="1">
      <alignment horizontal="left" vertical="center"/>
      <protection locked="0"/>
    </xf>
    <xf numFmtId="0" fontId="19" fillId="4" borderId="23" xfId="0" applyFont="1" applyFill="1" applyBorder="1" applyAlignment="1" applyProtection="1">
      <alignment horizontal="right"/>
      <protection locked="0"/>
    </xf>
    <xf numFmtId="3" fontId="17" fillId="0" borderId="24" xfId="0" applyNumberFormat="1" applyFont="1" applyBorder="1" applyAlignment="1" applyProtection="1">
      <alignment horizontal="center" vertical="center"/>
      <protection locked="0"/>
    </xf>
    <xf numFmtId="0" fontId="19" fillId="4" borderId="47" xfId="0" applyFont="1" applyFill="1" applyBorder="1" applyAlignment="1" applyProtection="1">
      <alignment horizontal="right"/>
      <protection locked="0"/>
    </xf>
    <xf numFmtId="0" fontId="17" fillId="0" borderId="18" xfId="0" applyFont="1" applyBorder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right"/>
      <protection locked="0"/>
    </xf>
    <xf numFmtId="3" fontId="17" fillId="0" borderId="18" xfId="0" applyNumberFormat="1" applyFont="1" applyBorder="1" applyAlignment="1" applyProtection="1">
      <alignment horizontal="center" vertical="center"/>
      <protection locked="0"/>
    </xf>
    <xf numFmtId="3" fontId="17" fillId="0" borderId="0" xfId="0" applyNumberFormat="1" applyFont="1" applyAlignment="1" applyProtection="1">
      <alignment horizontal="center" vertical="center"/>
      <protection locked="0"/>
    </xf>
    <xf numFmtId="0" fontId="19" fillId="4" borderId="75" xfId="0" applyFont="1" applyFill="1" applyBorder="1" applyAlignment="1" applyProtection="1">
      <alignment horizontal="right"/>
      <protection locked="0"/>
    </xf>
    <xf numFmtId="0" fontId="17" fillId="0" borderId="9" xfId="0" applyFont="1" applyBorder="1" applyAlignment="1" applyProtection="1">
      <alignment horizontal="left" vertical="center"/>
      <protection locked="0"/>
    </xf>
    <xf numFmtId="0" fontId="19" fillId="4" borderId="18" xfId="0" applyFont="1" applyFill="1" applyBorder="1" applyAlignment="1" applyProtection="1">
      <alignment horizontal="right"/>
      <protection locked="0"/>
    </xf>
    <xf numFmtId="3" fontId="17" fillId="0" borderId="9" xfId="0" applyNumberFormat="1" applyFont="1" applyBorder="1" applyAlignment="1" applyProtection="1">
      <alignment horizontal="center" vertical="center"/>
      <protection locked="0"/>
    </xf>
    <xf numFmtId="3" fontId="17" fillId="0" borderId="21" xfId="0" applyNumberFormat="1" applyFont="1" applyBorder="1" applyAlignment="1" applyProtection="1">
      <alignment horizontal="center" vertical="center"/>
      <protection locked="0"/>
    </xf>
    <xf numFmtId="3" fontId="19" fillId="4" borderId="69" xfId="0" applyNumberFormat="1" applyFont="1" applyFill="1" applyBorder="1" applyAlignment="1" applyProtection="1">
      <alignment horizontal="center" vertical="center"/>
      <protection locked="0"/>
    </xf>
    <xf numFmtId="3" fontId="19" fillId="4" borderId="70" xfId="0" applyNumberFormat="1" applyFont="1" applyFill="1" applyBorder="1" applyAlignment="1" applyProtection="1">
      <alignment horizontal="center" vertical="center"/>
      <protection locked="0"/>
    </xf>
    <xf numFmtId="0" fontId="17" fillId="4" borderId="47" xfId="0" applyFont="1" applyFill="1" applyBorder="1" applyAlignment="1" applyProtection="1">
      <alignment horizontal="right"/>
      <protection locked="0"/>
    </xf>
    <xf numFmtId="0" fontId="17" fillId="4" borderId="75" xfId="0" applyFont="1" applyFill="1" applyBorder="1" applyAlignment="1" applyProtection="1">
      <alignment horizontal="right"/>
      <protection locked="0"/>
    </xf>
    <xf numFmtId="0" fontId="17" fillId="4" borderId="22" xfId="0" applyFont="1" applyFill="1" applyBorder="1" applyAlignment="1" applyProtection="1">
      <alignment horizontal="right"/>
      <protection locked="0"/>
    </xf>
    <xf numFmtId="3" fontId="17" fillId="0" borderId="23" xfId="0" applyNumberFormat="1" applyFont="1" applyBorder="1" applyAlignment="1" applyProtection="1">
      <alignment horizontal="center" vertical="center"/>
      <protection locked="0"/>
    </xf>
    <xf numFmtId="0" fontId="31" fillId="13" borderId="44" xfId="0" applyFont="1" applyFill="1" applyBorder="1" applyAlignment="1" applyProtection="1">
      <alignment horizontal="center" vertical="center"/>
      <protection locked="0"/>
    </xf>
    <xf numFmtId="4" fontId="17" fillId="0" borderId="23" xfId="0" applyNumberFormat="1" applyFont="1" applyBorder="1" applyAlignment="1" applyProtection="1">
      <alignment horizontal="center" vertical="center"/>
      <protection locked="0"/>
    </xf>
    <xf numFmtId="4" fontId="17" fillId="0" borderId="0" xfId="0" applyNumberFormat="1" applyFont="1" applyAlignment="1" applyProtection="1">
      <alignment horizontal="center" vertical="center"/>
      <protection locked="0"/>
    </xf>
    <xf numFmtId="4" fontId="17" fillId="0" borderId="21" xfId="0" applyNumberFormat="1" applyFont="1" applyBorder="1" applyAlignment="1" applyProtection="1">
      <alignment horizontal="center" vertical="center"/>
      <protection locked="0"/>
    </xf>
    <xf numFmtId="167" fontId="19" fillId="4" borderId="70" xfId="0" applyNumberFormat="1" applyFont="1" applyFill="1" applyBorder="1" applyAlignment="1" applyProtection="1">
      <alignment horizontal="center" vertical="center"/>
      <protection locked="0"/>
    </xf>
    <xf numFmtId="0" fontId="25" fillId="4" borderId="28" xfId="0" applyFont="1" applyFill="1" applyBorder="1" applyAlignment="1">
      <alignment horizontal="center" vertical="center"/>
    </xf>
    <xf numFmtId="0" fontId="25" fillId="4" borderId="51" xfId="0" applyFont="1" applyFill="1" applyBorder="1" applyAlignment="1">
      <alignment horizontal="center" vertical="center"/>
    </xf>
    <xf numFmtId="0" fontId="25" fillId="4" borderId="77" xfId="0" applyFont="1" applyFill="1" applyBorder="1" applyAlignment="1">
      <alignment horizontal="center" vertical="center"/>
    </xf>
    <xf numFmtId="1" fontId="28" fillId="5" borderId="61" xfId="0" applyNumberFormat="1" applyFont="1" applyFill="1" applyBorder="1" applyAlignment="1">
      <alignment horizontal="center" vertical="center"/>
    </xf>
    <xf numFmtId="1" fontId="28" fillId="5" borderId="10" xfId="0" applyNumberFormat="1" applyFont="1" applyFill="1" applyBorder="1" applyAlignment="1">
      <alignment horizontal="center" vertical="center"/>
    </xf>
    <xf numFmtId="0" fontId="18" fillId="12" borderId="19" xfId="1" applyFont="1" applyFill="1" applyBorder="1" applyAlignment="1">
      <alignment horizontal="right"/>
    </xf>
    <xf numFmtId="0" fontId="18" fillId="0" borderId="15" xfId="1" applyFont="1" applyBorder="1" applyAlignment="1">
      <alignment horizontal="right"/>
    </xf>
    <xf numFmtId="1" fontId="17" fillId="0" borderId="3" xfId="1" applyNumberFormat="1" applyFont="1" applyBorder="1" applyAlignment="1">
      <alignment horizontal="center"/>
    </xf>
    <xf numFmtId="0" fontId="19" fillId="0" borderId="0" xfId="0" applyFont="1"/>
    <xf numFmtId="0" fontId="19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" fontId="17" fillId="0" borderId="15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/>
    </xf>
    <xf numFmtId="2" fontId="17" fillId="0" borderId="50" xfId="0" applyNumberFormat="1" applyFont="1" applyBorder="1" applyAlignment="1">
      <alignment horizontal="center" vertical="center"/>
    </xf>
    <xf numFmtId="14" fontId="17" fillId="0" borderId="47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2" fontId="17" fillId="0" borderId="49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3" fontId="17" fillId="0" borderId="17" xfId="0" applyNumberFormat="1" applyFont="1" applyBorder="1" applyAlignment="1">
      <alignment horizontal="center" vertical="center"/>
    </xf>
    <xf numFmtId="3" fontId="17" fillId="0" borderId="59" xfId="0" applyNumberFormat="1" applyFont="1" applyBorder="1" applyAlignment="1">
      <alignment horizontal="center" vertical="center"/>
    </xf>
    <xf numFmtId="3" fontId="17" fillId="0" borderId="60" xfId="0" applyNumberFormat="1" applyFont="1" applyBorder="1" applyAlignment="1">
      <alignment horizontal="center" vertical="center"/>
    </xf>
    <xf numFmtId="3" fontId="17" fillId="0" borderId="30" xfId="0" applyNumberFormat="1" applyFont="1" applyBorder="1" applyAlignment="1">
      <alignment horizontal="center" vertical="center"/>
    </xf>
    <xf numFmtId="0" fontId="19" fillId="0" borderId="58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65" xfId="0" applyFont="1" applyBorder="1" applyAlignment="1">
      <alignment horizontal="center" vertical="center"/>
    </xf>
    <xf numFmtId="14" fontId="17" fillId="0" borderId="67" xfId="0" applyNumberFormat="1" applyFont="1" applyBorder="1" applyAlignment="1">
      <alignment horizontal="center" vertical="center"/>
    </xf>
    <xf numFmtId="2" fontId="17" fillId="0" borderId="59" xfId="0" applyNumberFormat="1" applyFont="1" applyBorder="1" applyAlignment="1">
      <alignment horizontal="center" vertical="center"/>
    </xf>
    <xf numFmtId="14" fontId="17" fillId="0" borderId="28" xfId="0" applyNumberFormat="1" applyFont="1" applyBorder="1" applyAlignment="1">
      <alignment horizontal="center" vertical="center"/>
    </xf>
    <xf numFmtId="2" fontId="17" fillId="0" borderId="30" xfId="0" applyNumberFormat="1" applyFont="1" applyBorder="1" applyAlignment="1">
      <alignment horizontal="center" vertical="center"/>
    </xf>
    <xf numFmtId="3" fontId="31" fillId="13" borderId="44" xfId="0" applyNumberFormat="1" applyFont="1" applyFill="1" applyBorder="1" applyAlignment="1">
      <alignment horizontal="center" vertical="center"/>
    </xf>
    <xf numFmtId="1" fontId="17" fillId="0" borderId="0" xfId="0" applyNumberFormat="1" applyFont="1" applyAlignment="1" applyProtection="1">
      <alignment horizontal="center"/>
      <protection locked="0"/>
    </xf>
    <xf numFmtId="0" fontId="17" fillId="0" borderId="15" xfId="1" applyFont="1" applyBorder="1"/>
    <xf numFmtId="0" fontId="19" fillId="0" borderId="15" xfId="1" applyFont="1" applyBorder="1" applyAlignment="1" applyProtection="1">
      <alignment horizontal="left"/>
      <protection locked="0"/>
    </xf>
    <xf numFmtId="0" fontId="17" fillId="0" borderId="15" xfId="1" applyFont="1" applyBorder="1" applyAlignment="1">
      <alignment horizontal="right"/>
    </xf>
    <xf numFmtId="0" fontId="17" fillId="0" borderId="15" xfId="1" applyFont="1" applyBorder="1" applyAlignment="1">
      <alignment horizontal="center"/>
    </xf>
    <xf numFmtId="2" fontId="17" fillId="0" borderId="15" xfId="1" applyNumberFormat="1" applyFont="1" applyBorder="1" applyAlignment="1">
      <alignment horizontal="right"/>
    </xf>
    <xf numFmtId="2" fontId="17" fillId="0" borderId="15" xfId="1" applyNumberFormat="1" applyFont="1" applyBorder="1" applyAlignment="1">
      <alignment horizontal="center"/>
    </xf>
    <xf numFmtId="3" fontId="22" fillId="0" borderId="16" xfId="0" applyNumberFormat="1" applyFont="1" applyBorder="1" applyAlignment="1">
      <alignment horizontal="center" vertical="center"/>
    </xf>
    <xf numFmtId="3" fontId="25" fillId="4" borderId="16" xfId="0" applyNumberFormat="1" applyFont="1" applyFill="1" applyBorder="1" applyAlignment="1">
      <alignment horizontal="center" vertical="center"/>
    </xf>
    <xf numFmtId="0" fontId="22" fillId="0" borderId="40" xfId="0" applyFont="1" applyBorder="1" applyAlignment="1">
      <alignment horizontal="left" vertical="center"/>
    </xf>
    <xf numFmtId="0" fontId="25" fillId="4" borderId="40" xfId="0" applyFont="1" applyFill="1" applyBorder="1" applyAlignment="1">
      <alignment horizontal="left" vertical="center"/>
    </xf>
    <xf numFmtId="0" fontId="22" fillId="0" borderId="0" xfId="0" applyFont="1"/>
    <xf numFmtId="0" fontId="25" fillId="0" borderId="0" xfId="0" applyFont="1"/>
    <xf numFmtId="0" fontId="35" fillId="10" borderId="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left" vertical="center"/>
    </xf>
    <xf numFmtId="0" fontId="22" fillId="10" borderId="0" xfId="0" applyFont="1" applyFill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6" fillId="13" borderId="6" xfId="0" applyFont="1" applyFill="1" applyBorder="1" applyAlignment="1">
      <alignment horizontal="center" vertical="center"/>
    </xf>
    <xf numFmtId="0" fontId="22" fillId="13" borderId="0" xfId="0" applyFont="1" applyFill="1" applyAlignment="1">
      <alignment horizontal="left" vertical="center"/>
    </xf>
    <xf numFmtId="0" fontId="22" fillId="13" borderId="0" xfId="0" applyFont="1" applyFill="1" applyAlignment="1">
      <alignment horizontal="center" vertical="center"/>
    </xf>
    <xf numFmtId="0" fontId="36" fillId="16" borderId="6" xfId="0" applyFont="1" applyFill="1" applyBorder="1" applyAlignment="1">
      <alignment horizontal="center" vertical="center"/>
    </xf>
    <xf numFmtId="0" fontId="36" fillId="17" borderId="6" xfId="0" applyFont="1" applyFill="1" applyBorder="1" applyAlignment="1">
      <alignment horizontal="center" vertical="center"/>
    </xf>
    <xf numFmtId="0" fontId="10" fillId="16" borderId="40" xfId="0" applyFont="1" applyFill="1" applyBorder="1" applyAlignment="1">
      <alignment horizontal="center"/>
    </xf>
    <xf numFmtId="0" fontId="10" fillId="16" borderId="6" xfId="0" applyFont="1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6" fillId="16" borderId="40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1" fontId="6" fillId="17" borderId="6" xfId="0" applyNumberFormat="1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0" fillId="16" borderId="40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2" fontId="6" fillId="16" borderId="40" xfId="0" applyNumberFormat="1" applyFont="1" applyFill="1" applyBorder="1" applyAlignment="1">
      <alignment horizontal="center"/>
    </xf>
    <xf numFmtId="2" fontId="6" fillId="17" borderId="6" xfId="0" applyNumberFormat="1" applyFont="1" applyFill="1" applyBorder="1" applyAlignment="1">
      <alignment horizontal="center"/>
    </xf>
    <xf numFmtId="2" fontId="6" fillId="16" borderId="6" xfId="0" applyNumberFormat="1" applyFont="1" applyFill="1" applyBorder="1" applyAlignment="1">
      <alignment horizontal="center"/>
    </xf>
    <xf numFmtId="1" fontId="17" fillId="0" borderId="0" xfId="0" applyNumberFormat="1" applyFont="1" applyAlignment="1" applyProtection="1">
      <alignment horizontal="center" vertical="center"/>
      <protection locked="0"/>
    </xf>
    <xf numFmtId="1" fontId="17" fillId="0" borderId="23" xfId="0" applyNumberFormat="1" applyFont="1" applyBorder="1" applyAlignment="1" applyProtection="1">
      <alignment horizontal="center" vertical="center"/>
      <protection locked="0"/>
    </xf>
    <xf numFmtId="1" fontId="17" fillId="0" borderId="21" xfId="0" applyNumberFormat="1" applyFont="1" applyBorder="1" applyAlignment="1" applyProtection="1">
      <alignment horizontal="center" vertical="center"/>
      <protection locked="0"/>
    </xf>
    <xf numFmtId="1" fontId="19" fillId="4" borderId="70" xfId="0" applyNumberFormat="1" applyFont="1" applyFill="1" applyBorder="1" applyAlignment="1" applyProtection="1">
      <alignment horizontal="center" vertical="center"/>
      <protection locked="0"/>
    </xf>
    <xf numFmtId="0" fontId="18" fillId="0" borderId="15" xfId="1" applyFont="1" applyBorder="1" applyAlignment="1">
      <alignment horizontal="left"/>
    </xf>
    <xf numFmtId="1" fontId="19" fillId="4" borderId="1" xfId="0" applyNumberFormat="1" applyFont="1" applyFill="1" applyBorder="1" applyAlignment="1">
      <alignment horizontal="center"/>
    </xf>
    <xf numFmtId="164" fontId="19" fillId="4" borderId="46" xfId="0" applyNumberFormat="1" applyFont="1" applyFill="1" applyBorder="1" applyAlignment="1">
      <alignment horizontal="center"/>
    </xf>
    <xf numFmtId="1" fontId="19" fillId="4" borderId="46" xfId="0" applyNumberFormat="1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center"/>
    </xf>
    <xf numFmtId="2" fontId="19" fillId="4" borderId="13" xfId="0" applyNumberFormat="1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3" fontId="19" fillId="4" borderId="46" xfId="0" applyNumberFormat="1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2" fontId="19" fillId="4" borderId="30" xfId="0" applyNumberFormat="1" applyFont="1" applyFill="1" applyBorder="1" applyAlignment="1">
      <alignment horizontal="center" vertical="center"/>
    </xf>
    <xf numFmtId="0" fontId="19" fillId="8" borderId="0" xfId="1" applyFont="1" applyFill="1" applyAlignment="1" applyProtection="1">
      <alignment horizontal="left"/>
      <protection locked="0"/>
    </xf>
    <xf numFmtId="0" fontId="17" fillId="8" borderId="0" xfId="1" applyFont="1" applyFill="1" applyAlignment="1" applyProtection="1">
      <alignment horizontal="left"/>
      <protection locked="0"/>
    </xf>
    <xf numFmtId="164" fontId="17" fillId="8" borderId="0" xfId="1" applyNumberFormat="1" applyFont="1" applyFill="1" applyAlignment="1" applyProtection="1">
      <alignment horizontal="left"/>
      <protection locked="0"/>
    </xf>
    <xf numFmtId="0" fontId="18" fillId="8" borderId="0" xfId="1" applyFont="1" applyFill="1" applyAlignment="1" applyProtection="1">
      <alignment horizontal="left"/>
      <protection locked="0"/>
    </xf>
    <xf numFmtId="0" fontId="18" fillId="8" borderId="15" xfId="1" applyFont="1" applyFill="1" applyBorder="1" applyAlignment="1" applyProtection="1">
      <alignment horizontal="left"/>
      <protection locked="0"/>
    </xf>
    <xf numFmtId="0" fontId="18" fillId="8" borderId="0" xfId="1" applyFont="1" applyFill="1" applyAlignment="1" applyProtection="1">
      <alignment horizontal="left" vertical="center"/>
      <protection locked="0"/>
    </xf>
    <xf numFmtId="0" fontId="18" fillId="8" borderId="19" xfId="1" applyFont="1" applyFill="1" applyBorder="1" applyAlignment="1" applyProtection="1">
      <alignment horizontal="left" vertical="center"/>
      <protection locked="0"/>
    </xf>
    <xf numFmtId="1" fontId="6" fillId="2" borderId="6" xfId="0" applyNumberFormat="1" applyFont="1" applyFill="1" applyBorder="1" applyAlignment="1">
      <alignment horizontal="center"/>
    </xf>
    <xf numFmtId="2" fontId="17" fillId="0" borderId="0" xfId="0" applyNumberFormat="1" applyFont="1"/>
    <xf numFmtId="0" fontId="17" fillId="0" borderId="0" xfId="0" applyFont="1" applyProtection="1">
      <protection locked="0"/>
    </xf>
    <xf numFmtId="0" fontId="17" fillId="0" borderId="48" xfId="0" applyFont="1" applyBorder="1"/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/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8" borderId="40" xfId="0" applyFont="1" applyFill="1" applyBorder="1" applyAlignment="1">
      <alignment horizontal="center" vertical="center" wrapText="1"/>
    </xf>
    <xf numFmtId="1" fontId="17" fillId="0" borderId="7" xfId="0" applyNumberFormat="1" applyFont="1" applyBorder="1" applyAlignment="1" applyProtection="1">
      <alignment horizontal="center" vertical="center" wrapText="1"/>
      <protection locked="0"/>
    </xf>
    <xf numFmtId="0" fontId="19" fillId="0" borderId="16" xfId="0" applyFont="1" applyBorder="1"/>
    <xf numFmtId="0" fontId="17" fillId="0" borderId="8" xfId="0" applyFont="1" applyBorder="1"/>
    <xf numFmtId="0" fontId="17" fillId="0" borderId="6" xfId="0" applyFont="1" applyBorder="1" applyAlignment="1">
      <alignment horizontal="left"/>
    </xf>
    <xf numFmtId="1" fontId="17" fillId="0" borderId="6" xfId="0" applyNumberFormat="1" applyFont="1" applyBorder="1" applyAlignment="1">
      <alignment horizontal="center"/>
    </xf>
    <xf numFmtId="0" fontId="19" fillId="8" borderId="79" xfId="0" applyFont="1" applyFill="1" applyBorder="1" applyAlignment="1">
      <alignment horizontal="center" vertical="center" wrapText="1"/>
    </xf>
    <xf numFmtId="1" fontId="17" fillId="0" borderId="40" xfId="0" applyNumberFormat="1" applyFont="1" applyBorder="1" applyAlignment="1" applyProtection="1">
      <alignment horizontal="center" vertical="center"/>
      <protection locked="0"/>
    </xf>
    <xf numFmtId="1" fontId="17" fillId="0" borderId="7" xfId="0" applyNumberFormat="1" applyFont="1" applyBorder="1" applyAlignment="1" applyProtection="1">
      <alignment horizontal="center" vertical="center"/>
      <protection locked="0"/>
    </xf>
    <xf numFmtId="1" fontId="17" fillId="0" borderId="36" xfId="0" applyNumberFormat="1" applyFont="1" applyBorder="1" applyAlignment="1" applyProtection="1">
      <alignment horizontal="center"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1" fontId="17" fillId="0" borderId="40" xfId="0" applyNumberFormat="1" applyFont="1" applyBorder="1" applyAlignment="1" applyProtection="1">
      <alignment horizontal="center" vertical="center" wrapText="1"/>
      <protection locked="0"/>
    </xf>
    <xf numFmtId="1" fontId="28" fillId="18" borderId="43" xfId="0" applyNumberFormat="1" applyFont="1" applyFill="1" applyBorder="1" applyAlignment="1">
      <alignment horizontal="center" vertical="center"/>
    </xf>
    <xf numFmtId="1" fontId="28" fillId="18" borderId="78" xfId="0" applyNumberFormat="1" applyFont="1" applyFill="1" applyBorder="1" applyAlignment="1">
      <alignment horizontal="center" vertical="center"/>
    </xf>
    <xf numFmtId="0" fontId="37" fillId="0" borderId="0" xfId="0" applyFont="1"/>
    <xf numFmtId="0" fontId="40" fillId="0" borderId="0" xfId="0" applyFont="1"/>
    <xf numFmtId="0" fontId="38" fillId="5" borderId="6" xfId="0" applyFont="1" applyFill="1" applyBorder="1" applyAlignment="1">
      <alignment horizontal="center" vertical="center" wrapText="1"/>
    </xf>
    <xf numFmtId="0" fontId="39" fillId="5" borderId="6" xfId="0" applyFont="1" applyFill="1" applyBorder="1" applyAlignment="1">
      <alignment horizontal="center" vertical="center" wrapText="1"/>
    </xf>
    <xf numFmtId="14" fontId="39" fillId="5" borderId="6" xfId="0" applyNumberFormat="1" applyFont="1" applyFill="1" applyBorder="1" applyAlignment="1">
      <alignment horizontal="center" vertical="center" wrapText="1"/>
    </xf>
    <xf numFmtId="0" fontId="38" fillId="4" borderId="6" xfId="0" applyFont="1" applyFill="1" applyBorder="1" applyAlignment="1">
      <alignment horizontal="center" vertical="center" wrapText="1"/>
    </xf>
    <xf numFmtId="0" fontId="18" fillId="0" borderId="0" xfId="1" applyFont="1" applyAlignment="1">
      <alignment horizontal="left"/>
    </xf>
    <xf numFmtId="0" fontId="42" fillId="5" borderId="6" xfId="0" applyFont="1" applyFill="1" applyBorder="1" applyAlignment="1">
      <alignment horizontal="center" vertical="center"/>
    </xf>
    <xf numFmtId="0" fontId="17" fillId="0" borderId="6" xfId="1" applyFont="1" applyBorder="1" applyAlignment="1">
      <alignment horizontal="center"/>
    </xf>
    <xf numFmtId="0" fontId="19" fillId="5" borderId="6" xfId="1" applyFont="1" applyFill="1" applyBorder="1" applyAlignment="1">
      <alignment horizontal="center"/>
    </xf>
    <xf numFmtId="0" fontId="41" fillId="5" borderId="0" xfId="0" applyFont="1" applyFill="1" applyAlignment="1">
      <alignment horizontal="center" vertical="center" wrapText="1"/>
    </xf>
    <xf numFmtId="14" fontId="43" fillId="5" borderId="0" xfId="0" applyNumberFormat="1" applyFont="1" applyFill="1" applyAlignment="1">
      <alignment horizontal="center" vertical="center" wrapText="1"/>
    </xf>
    <xf numFmtId="14" fontId="40" fillId="5" borderId="0" xfId="1" applyNumberFormat="1" applyFont="1" applyFill="1" applyAlignment="1">
      <alignment horizontal="center" vertical="center"/>
    </xf>
    <xf numFmtId="14" fontId="40" fillId="5" borderId="0" xfId="0" applyNumberFormat="1" applyFont="1" applyFill="1" applyAlignment="1">
      <alignment horizontal="center" vertical="center"/>
    </xf>
    <xf numFmtId="14" fontId="40" fillId="5" borderId="0" xfId="1" applyNumberFormat="1" applyFont="1" applyFill="1" applyAlignment="1">
      <alignment horizontal="center"/>
    </xf>
    <xf numFmtId="0" fontId="44" fillId="0" borderId="80" xfId="0" applyFont="1" applyBorder="1" applyAlignment="1">
      <alignment horizontal="center" vertical="center"/>
    </xf>
    <xf numFmtId="0" fontId="44" fillId="0" borderId="65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/>
    </xf>
    <xf numFmtId="3" fontId="19" fillId="4" borderId="2" xfId="0" applyNumberFormat="1" applyFont="1" applyFill="1" applyBorder="1" applyAlignment="1">
      <alignment horizontal="center" vertical="center"/>
    </xf>
    <xf numFmtId="0" fontId="17" fillId="0" borderId="6" xfId="0" applyFont="1" applyBorder="1"/>
    <xf numFmtId="0" fontId="17" fillId="0" borderId="37" xfId="0" applyFont="1" applyBorder="1"/>
    <xf numFmtId="0" fontId="17" fillId="0" borderId="38" xfId="0" applyFont="1" applyBorder="1"/>
    <xf numFmtId="0" fontId="17" fillId="0" borderId="7" xfId="0" applyFont="1" applyBorder="1"/>
    <xf numFmtId="0" fontId="19" fillId="18" borderId="11" xfId="0" applyFont="1" applyFill="1" applyBorder="1"/>
    <xf numFmtId="0" fontId="17" fillId="0" borderId="3" xfId="0" applyFont="1" applyBorder="1"/>
    <xf numFmtId="0" fontId="2" fillId="0" borderId="0" xfId="6"/>
    <xf numFmtId="2" fontId="17" fillId="0" borderId="11" xfId="0" applyNumberFormat="1" applyFont="1" applyBorder="1"/>
    <xf numFmtId="0" fontId="17" fillId="10" borderId="5" xfId="0" applyFont="1" applyFill="1" applyBorder="1"/>
    <xf numFmtId="0" fontId="17" fillId="10" borderId="6" xfId="0" applyFont="1" applyFill="1" applyBorder="1"/>
    <xf numFmtId="0" fontId="17" fillId="10" borderId="7" xfId="0" applyFont="1" applyFill="1" applyBorder="1"/>
    <xf numFmtId="0" fontId="17" fillId="10" borderId="0" xfId="0" applyFont="1" applyFill="1"/>
    <xf numFmtId="0" fontId="19" fillId="10" borderId="0" xfId="0" applyFont="1" applyFill="1"/>
    <xf numFmtId="0" fontId="19" fillId="9" borderId="0" xfId="0" applyFont="1" applyFill="1"/>
    <xf numFmtId="0" fontId="17" fillId="9" borderId="0" xfId="0" applyFont="1" applyFill="1"/>
    <xf numFmtId="3" fontId="17" fillId="0" borderId="4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19" borderId="6" xfId="0" applyFont="1" applyFill="1" applyBorder="1"/>
    <xf numFmtId="0" fontId="17" fillId="19" borderId="7" xfId="0" applyFont="1" applyFill="1" applyBorder="1"/>
    <xf numFmtId="0" fontId="17" fillId="8" borderId="5" xfId="0" applyFont="1" applyFill="1" applyBorder="1"/>
    <xf numFmtId="2" fontId="17" fillId="8" borderId="6" xfId="0" applyNumberFormat="1" applyFont="1" applyFill="1" applyBorder="1"/>
    <xf numFmtId="1" fontId="17" fillId="8" borderId="6" xfId="0" applyNumberFormat="1" applyFont="1" applyFill="1" applyBorder="1"/>
    <xf numFmtId="1" fontId="17" fillId="8" borderId="7" xfId="0" applyNumberFormat="1" applyFont="1" applyFill="1" applyBorder="1"/>
    <xf numFmtId="0" fontId="1" fillId="2" borderId="0" xfId="6" applyFont="1" applyFill="1"/>
    <xf numFmtId="0" fontId="27" fillId="8" borderId="6" xfId="0" applyFont="1" applyFill="1" applyBorder="1"/>
    <xf numFmtId="0" fontId="27" fillId="8" borderId="7" xfId="0" applyFont="1" applyFill="1" applyBorder="1"/>
    <xf numFmtId="2" fontId="27" fillId="19" borderId="6" xfId="0" applyNumberFormat="1" applyFont="1" applyFill="1" applyBorder="1"/>
    <xf numFmtId="2" fontId="27" fillId="19" borderId="7" xfId="0" applyNumberFormat="1" applyFont="1" applyFill="1" applyBorder="1"/>
    <xf numFmtId="0" fontId="17" fillId="20" borderId="5" xfId="0" applyFont="1" applyFill="1" applyBorder="1"/>
    <xf numFmtId="2" fontId="17" fillId="20" borderId="6" xfId="0" applyNumberFormat="1" applyFont="1" applyFill="1" applyBorder="1"/>
    <xf numFmtId="0" fontId="17" fillId="20" borderId="0" xfId="0" applyFont="1" applyFill="1"/>
    <xf numFmtId="2" fontId="17" fillId="20" borderId="0" xfId="0" applyNumberFormat="1" applyFont="1" applyFill="1"/>
    <xf numFmtId="2" fontId="27" fillId="20" borderId="6" xfId="0" applyNumberFormat="1" applyFont="1" applyFill="1" applyBorder="1"/>
    <xf numFmtId="0" fontId="17" fillId="21" borderId="5" xfId="0" applyFont="1" applyFill="1" applyBorder="1"/>
    <xf numFmtId="2" fontId="17" fillId="21" borderId="6" xfId="0" applyNumberFormat="1" applyFont="1" applyFill="1" applyBorder="1"/>
    <xf numFmtId="2" fontId="17" fillId="21" borderId="7" xfId="0" applyNumberFormat="1" applyFont="1" applyFill="1" applyBorder="1"/>
    <xf numFmtId="2" fontId="27" fillId="21" borderId="6" xfId="0" applyNumberFormat="1" applyFont="1" applyFill="1" applyBorder="1"/>
    <xf numFmtId="4" fontId="19" fillId="4" borderId="61" xfId="0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11" borderId="6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9" fillId="11" borderId="1" xfId="0" applyFont="1" applyFill="1" applyBorder="1" applyAlignment="1">
      <alignment horizontal="center"/>
    </xf>
    <xf numFmtId="0" fontId="19" fillId="11" borderId="2" xfId="0" applyFont="1" applyFill="1" applyBorder="1" applyAlignment="1">
      <alignment horizontal="center"/>
    </xf>
    <xf numFmtId="0" fontId="19" fillId="10" borderId="83" xfId="0" applyFont="1" applyFill="1" applyBorder="1" applyAlignment="1">
      <alignment horizontal="center"/>
    </xf>
    <xf numFmtId="0" fontId="19" fillId="22" borderId="82" xfId="0" applyFont="1" applyFill="1" applyBorder="1" applyAlignment="1">
      <alignment horizontal="center"/>
    </xf>
    <xf numFmtId="0" fontId="19" fillId="22" borderId="1" xfId="0" applyFont="1" applyFill="1" applyBorder="1" applyAlignment="1">
      <alignment horizontal="center"/>
    </xf>
    <xf numFmtId="0" fontId="17" fillId="22" borderId="3" xfId="0" applyFont="1" applyFill="1" applyBorder="1" applyAlignment="1">
      <alignment horizontal="center"/>
    </xf>
    <xf numFmtId="0" fontId="17" fillId="22" borderId="6" xfId="0" applyFont="1" applyFill="1" applyBorder="1" applyAlignment="1">
      <alignment horizontal="center"/>
    </xf>
    <xf numFmtId="0" fontId="17" fillId="22" borderId="11" xfId="0" applyFont="1" applyFill="1" applyBorder="1" applyAlignment="1">
      <alignment horizontal="center"/>
    </xf>
    <xf numFmtId="0" fontId="19" fillId="9" borderId="83" xfId="0" applyFont="1" applyFill="1" applyBorder="1" applyAlignment="1">
      <alignment horizontal="center"/>
    </xf>
    <xf numFmtId="0" fontId="46" fillId="0" borderId="22" xfId="0" applyFont="1" applyBorder="1"/>
    <xf numFmtId="0" fontId="47" fillId="0" borderId="23" xfId="0" applyFont="1" applyBorder="1"/>
    <xf numFmtId="2" fontId="46" fillId="0" borderId="23" xfId="0" applyNumberFormat="1" applyFont="1" applyBorder="1"/>
    <xf numFmtId="2" fontId="46" fillId="0" borderId="27" xfId="0" applyNumberFormat="1" applyFont="1" applyBorder="1"/>
    <xf numFmtId="0" fontId="46" fillId="0" borderId="28" xfId="0" applyFont="1" applyBorder="1"/>
    <xf numFmtId="0" fontId="47" fillId="0" borderId="21" xfId="0" applyFont="1" applyBorder="1"/>
    <xf numFmtId="2" fontId="46" fillId="0" borderId="21" xfId="0" applyNumberFormat="1" applyFont="1" applyBorder="1"/>
    <xf numFmtId="2" fontId="46" fillId="0" borderId="31" xfId="0" applyNumberFormat="1" applyFont="1" applyBorder="1"/>
    <xf numFmtId="0" fontId="17" fillId="0" borderId="67" xfId="0" applyFont="1" applyBorder="1" applyAlignment="1">
      <alignment horizontal="left"/>
    </xf>
    <xf numFmtId="0" fontId="17" fillId="0" borderId="86" xfId="0" applyFont="1" applyBorder="1" applyAlignment="1">
      <alignment horizontal="left"/>
    </xf>
    <xf numFmtId="0" fontId="17" fillId="0" borderId="87" xfId="0" applyFont="1" applyBorder="1" applyAlignment="1">
      <alignment horizontal="left"/>
    </xf>
    <xf numFmtId="0" fontId="17" fillId="9" borderId="36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17" fillId="9" borderId="43" xfId="0" applyFont="1" applyFill="1" applyBorder="1" applyAlignment="1">
      <alignment horizontal="center"/>
    </xf>
    <xf numFmtId="0" fontId="17" fillId="9" borderId="37" xfId="0" applyFont="1" applyFill="1" applyBorder="1" applyAlignment="1">
      <alignment horizontal="center"/>
    </xf>
    <xf numFmtId="0" fontId="17" fillId="9" borderId="38" xfId="0" applyFont="1" applyFill="1" applyBorder="1" applyAlignment="1">
      <alignment horizontal="center"/>
    </xf>
    <xf numFmtId="0" fontId="17" fillId="10" borderId="37" xfId="0" applyFont="1" applyFill="1" applyBorder="1" applyAlignment="1">
      <alignment horizontal="center"/>
    </xf>
    <xf numFmtId="0" fontId="17" fillId="10" borderId="38" xfId="0" applyFont="1" applyFill="1" applyBorder="1" applyAlignment="1">
      <alignment horizontal="center"/>
    </xf>
    <xf numFmtId="0" fontId="17" fillId="10" borderId="36" xfId="0" applyFont="1" applyFill="1" applyBorder="1" applyAlignment="1">
      <alignment horizontal="center"/>
    </xf>
    <xf numFmtId="0" fontId="17" fillId="10" borderId="40" xfId="0" applyFont="1" applyFill="1" applyBorder="1" applyAlignment="1">
      <alignment horizontal="center"/>
    </xf>
    <xf numFmtId="0" fontId="17" fillId="10" borderId="43" xfId="0" applyFont="1" applyFill="1" applyBorder="1" applyAlignment="1">
      <alignment horizontal="center"/>
    </xf>
    <xf numFmtId="14" fontId="48" fillId="5" borderId="0" xfId="0" applyNumberFormat="1" applyFont="1" applyFill="1" applyAlignment="1">
      <alignment horizontal="center" vertical="center" wrapText="1"/>
    </xf>
    <xf numFmtId="0" fontId="18" fillId="0" borderId="0" xfId="0" applyFont="1"/>
    <xf numFmtId="0" fontId="16" fillId="0" borderId="44" xfId="1" applyFont="1" applyBorder="1" applyAlignment="1">
      <alignment horizontal="center"/>
    </xf>
    <xf numFmtId="164" fontId="17" fillId="0" borderId="46" xfId="1" applyNumberFormat="1" applyFont="1" applyBorder="1" applyAlignment="1">
      <alignment horizontal="center"/>
    </xf>
    <xf numFmtId="164" fontId="17" fillId="0" borderId="13" xfId="1" applyNumberFormat="1" applyFont="1" applyBorder="1" applyAlignment="1">
      <alignment horizontal="center"/>
    </xf>
    <xf numFmtId="0" fontId="18" fillId="12" borderId="0" xfId="1" applyFont="1" applyFill="1" applyAlignment="1">
      <alignment horizontal="left"/>
    </xf>
    <xf numFmtId="0" fontId="18" fillId="9" borderId="0" xfId="1" applyFont="1" applyFill="1" applyAlignment="1">
      <alignment horizontal="left"/>
    </xf>
    <xf numFmtId="0" fontId="18" fillId="10" borderId="0" xfId="1" applyFont="1" applyFill="1" applyAlignment="1">
      <alignment horizontal="left"/>
    </xf>
    <xf numFmtId="0" fontId="22" fillId="0" borderId="16" xfId="1" applyFont="1" applyBorder="1" applyAlignment="1" applyProtection="1">
      <alignment horizontal="left" vertical="center" wrapText="1"/>
      <protection locked="0"/>
    </xf>
    <xf numFmtId="0" fontId="22" fillId="0" borderId="39" xfId="1" applyFont="1" applyBorder="1" applyAlignment="1" applyProtection="1">
      <alignment horizontal="left" vertical="center" wrapText="1"/>
      <protection locked="0"/>
    </xf>
    <xf numFmtId="0" fontId="22" fillId="0" borderId="40" xfId="1" applyFont="1" applyBorder="1" applyAlignment="1" applyProtection="1">
      <alignment horizontal="left" vertical="center" wrapText="1"/>
      <protection locked="0"/>
    </xf>
    <xf numFmtId="164" fontId="17" fillId="0" borderId="6" xfId="1" applyNumberFormat="1" applyFont="1" applyBorder="1" applyAlignment="1" applyProtection="1">
      <alignment horizontal="center"/>
      <protection locked="0"/>
    </xf>
    <xf numFmtId="164" fontId="17" fillId="0" borderId="7" xfId="1" applyNumberFormat="1" applyFont="1" applyBorder="1" applyAlignment="1" applyProtection="1">
      <alignment horizontal="center"/>
      <protection locked="0"/>
    </xf>
    <xf numFmtId="0" fontId="22" fillId="0" borderId="41" xfId="1" applyFont="1" applyBorder="1" applyAlignment="1" applyProtection="1">
      <alignment horizontal="left" vertical="center" wrapText="1"/>
      <protection locked="0"/>
    </xf>
    <xf numFmtId="0" fontId="22" fillId="0" borderId="42" xfId="1" applyFont="1" applyBorder="1" applyAlignment="1" applyProtection="1">
      <alignment horizontal="left" vertical="center" wrapText="1"/>
      <protection locked="0"/>
    </xf>
    <xf numFmtId="0" fontId="22" fillId="0" borderId="43" xfId="1" applyFont="1" applyBorder="1" applyAlignment="1" applyProtection="1">
      <alignment horizontal="left" vertical="center" wrapText="1"/>
      <protection locked="0"/>
    </xf>
    <xf numFmtId="164" fontId="17" fillId="0" borderId="11" xfId="1" applyNumberFormat="1" applyFont="1" applyBorder="1" applyAlignment="1" applyProtection="1">
      <alignment horizontal="center"/>
      <protection locked="0"/>
    </xf>
    <xf numFmtId="164" fontId="17" fillId="0" borderId="10" xfId="1" applyNumberFormat="1" applyFont="1" applyBorder="1" applyAlignment="1" applyProtection="1">
      <alignment horizontal="center"/>
      <protection locked="0"/>
    </xf>
    <xf numFmtId="164" fontId="17" fillId="0" borderId="37" xfId="1" applyNumberFormat="1" applyFont="1" applyBorder="1" applyAlignment="1" applyProtection="1">
      <alignment horizontal="center"/>
      <protection locked="0"/>
    </xf>
    <xf numFmtId="164" fontId="17" fillId="0" borderId="38" xfId="1" applyNumberFormat="1" applyFont="1" applyBorder="1" applyAlignment="1" applyProtection="1">
      <alignment horizontal="center"/>
      <protection locked="0"/>
    </xf>
    <xf numFmtId="0" fontId="22" fillId="0" borderId="33" xfId="1" applyFont="1" applyBorder="1" applyAlignment="1" applyProtection="1">
      <alignment vertical="center" wrapText="1"/>
      <protection locked="0"/>
    </xf>
    <xf numFmtId="0" fontId="0" fillId="0" borderId="34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20" fillId="4" borderId="22" xfId="1" applyFont="1" applyFill="1" applyBorder="1" applyAlignment="1">
      <alignment horizontal="center"/>
    </xf>
    <xf numFmtId="0" fontId="20" fillId="4" borderId="28" xfId="1" applyFont="1" applyFill="1" applyBorder="1" applyAlignment="1">
      <alignment horizontal="center"/>
    </xf>
    <xf numFmtId="0" fontId="20" fillId="4" borderId="23" xfId="1" applyFont="1" applyFill="1" applyBorder="1" applyAlignment="1">
      <alignment horizontal="left" vertical="center"/>
    </xf>
    <xf numFmtId="0" fontId="20" fillId="4" borderId="21" xfId="1" applyFont="1" applyFill="1" applyBorder="1" applyAlignment="1">
      <alignment horizontal="left" vertical="center"/>
    </xf>
    <xf numFmtId="164" fontId="20" fillId="4" borderId="26" xfId="1" applyNumberFormat="1" applyFont="1" applyFill="1" applyBorder="1" applyAlignment="1">
      <alignment horizontal="center" vertical="center"/>
    </xf>
    <xf numFmtId="164" fontId="20" fillId="4" borderId="27" xfId="1" applyNumberFormat="1" applyFont="1" applyFill="1" applyBorder="1" applyAlignment="1">
      <alignment horizontal="center" vertical="center"/>
    </xf>
    <xf numFmtId="164" fontId="20" fillId="4" borderId="30" xfId="1" applyNumberFormat="1" applyFont="1" applyFill="1" applyBorder="1" applyAlignment="1">
      <alignment horizontal="center" vertical="center"/>
    </xf>
    <xf numFmtId="164" fontId="20" fillId="4" borderId="31" xfId="1" applyNumberFormat="1" applyFont="1" applyFill="1" applyBorder="1" applyAlignment="1">
      <alignment horizontal="center" vertical="center"/>
    </xf>
    <xf numFmtId="0" fontId="18" fillId="0" borderId="0" xfId="1" applyFont="1" applyAlignment="1">
      <alignment horizontal="left"/>
    </xf>
    <xf numFmtId="0" fontId="18" fillId="12" borderId="0" xfId="1" applyFont="1" applyFill="1" applyAlignment="1">
      <alignment horizontal="left" vertical="center"/>
    </xf>
    <xf numFmtId="0" fontId="18" fillId="13" borderId="0" xfId="1" applyFont="1" applyFill="1" applyAlignment="1">
      <alignment horizontal="left"/>
    </xf>
    <xf numFmtId="0" fontId="18" fillId="12" borderId="19" xfId="1" applyFont="1" applyFill="1" applyBorder="1" applyAlignment="1">
      <alignment horizontal="left" vertical="center"/>
    </xf>
    <xf numFmtId="0" fontId="16" fillId="8" borderId="0" xfId="1" applyFont="1" applyFill="1" applyAlignment="1">
      <alignment horizontal="center" vertical="center"/>
    </xf>
    <xf numFmtId="0" fontId="21" fillId="0" borderId="0" xfId="1" applyFont="1" applyAlignment="1">
      <alignment horizontal="left"/>
    </xf>
    <xf numFmtId="0" fontId="16" fillId="8" borderId="0" xfId="0" applyFont="1" applyFill="1" applyAlignment="1">
      <alignment horizontal="center" vertical="center"/>
    </xf>
    <xf numFmtId="0" fontId="28" fillId="0" borderId="34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18" borderId="41" xfId="0" applyFont="1" applyFill="1" applyBorder="1" applyAlignment="1">
      <alignment horizontal="center" vertical="center"/>
    </xf>
    <xf numFmtId="0" fontId="28" fillId="18" borderId="78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9" fillId="0" borderId="2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4" borderId="12" xfId="0" applyFont="1" applyFill="1" applyBorder="1" applyAlignment="1">
      <alignment horizontal="center"/>
    </xf>
    <xf numFmtId="0" fontId="19" fillId="4" borderId="45" xfId="0" applyFont="1" applyFill="1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84" xfId="0" applyFont="1" applyBorder="1" applyAlignment="1">
      <alignment horizontal="center" vertical="center"/>
    </xf>
    <xf numFmtId="0" fontId="19" fillId="0" borderId="75" xfId="0" applyFont="1" applyBorder="1" applyAlignment="1">
      <alignment horizontal="center" vertical="center"/>
    </xf>
    <xf numFmtId="0" fontId="19" fillId="0" borderId="9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7" fillId="10" borderId="48" xfId="0" applyFont="1" applyFill="1" applyBorder="1" applyAlignment="1">
      <alignment horizontal="center"/>
    </xf>
    <xf numFmtId="0" fontId="17" fillId="10" borderId="37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9" fillId="18" borderId="41" xfId="0" applyFont="1" applyFill="1" applyBorder="1" applyAlignment="1">
      <alignment horizontal="center"/>
    </xf>
    <xf numFmtId="0" fontId="19" fillId="18" borderId="78" xfId="0" applyFont="1" applyFill="1" applyBorder="1" applyAlignment="1">
      <alignment horizontal="center"/>
    </xf>
    <xf numFmtId="0" fontId="19" fillId="0" borderId="85" xfId="0" applyFont="1" applyBorder="1" applyAlignment="1">
      <alignment horizontal="center" wrapText="1"/>
    </xf>
    <xf numFmtId="0" fontId="19" fillId="0" borderId="70" xfId="0" applyFont="1" applyBorder="1" applyAlignment="1">
      <alignment horizontal="center" wrapText="1"/>
    </xf>
    <xf numFmtId="0" fontId="19" fillId="0" borderId="72" xfId="0" applyFont="1" applyBorder="1" applyAlignment="1">
      <alignment horizontal="center" wrapText="1"/>
    </xf>
    <xf numFmtId="0" fontId="19" fillId="18" borderId="81" xfId="0" applyFont="1" applyFill="1" applyBorder="1" applyAlignment="1">
      <alignment horizontal="left"/>
    </xf>
    <xf numFmtId="0" fontId="19" fillId="18" borderId="42" xfId="0" applyFont="1" applyFill="1" applyBorder="1" applyAlignment="1">
      <alignment horizontal="left"/>
    </xf>
    <xf numFmtId="0" fontId="19" fillId="18" borderId="43" xfId="0" applyFont="1" applyFill="1" applyBorder="1" applyAlignment="1">
      <alignment horizontal="left"/>
    </xf>
    <xf numFmtId="0" fontId="19" fillId="5" borderId="22" xfId="0" applyFont="1" applyFill="1" applyBorder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28" xfId="0" applyFont="1" applyFill="1" applyBorder="1" applyAlignment="1">
      <alignment horizontal="center" vertical="center"/>
    </xf>
    <xf numFmtId="0" fontId="19" fillId="5" borderId="21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0" borderId="6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4" borderId="66" xfId="0" applyFont="1" applyFill="1" applyBorder="1" applyAlignment="1">
      <alignment horizontal="center" vertical="center"/>
    </xf>
    <xf numFmtId="0" fontId="19" fillId="4" borderId="63" xfId="0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9" fillId="22" borderId="12" xfId="0" applyFont="1" applyFill="1" applyBorder="1" applyAlignment="1">
      <alignment horizontal="center"/>
    </xf>
    <xf numFmtId="0" fontId="19" fillId="22" borderId="44" xfId="0" applyFont="1" applyFill="1" applyBorder="1" applyAlignment="1">
      <alignment horizontal="center"/>
    </xf>
    <xf numFmtId="0" fontId="19" fillId="22" borderId="13" xfId="0" applyFont="1" applyFill="1" applyBorder="1" applyAlignment="1">
      <alignment horizontal="center"/>
    </xf>
    <xf numFmtId="0" fontId="17" fillId="0" borderId="77" xfId="0" applyFont="1" applyBorder="1" applyAlignment="1">
      <alignment horizontal="left"/>
    </xf>
    <xf numFmtId="0" fontId="17" fillId="0" borderId="39" xfId="0" applyFont="1" applyBorder="1" applyAlignment="1">
      <alignment horizontal="left"/>
    </xf>
    <xf numFmtId="0" fontId="17" fillId="0" borderId="40" xfId="0" applyFont="1" applyBorder="1" applyAlignment="1">
      <alignment horizontal="left"/>
    </xf>
    <xf numFmtId="0" fontId="19" fillId="0" borderId="89" xfId="0" applyFont="1" applyBorder="1" applyAlignment="1">
      <alignment horizontal="center" wrapText="1"/>
    </xf>
    <xf numFmtId="0" fontId="19" fillId="0" borderId="80" xfId="0" applyFont="1" applyBorder="1" applyAlignment="1">
      <alignment horizontal="center" wrapText="1"/>
    </xf>
    <xf numFmtId="0" fontId="17" fillId="0" borderId="59" xfId="0" applyFont="1" applyBorder="1" applyAlignment="1">
      <alignment horizontal="center"/>
    </xf>
    <xf numFmtId="0" fontId="17" fillId="0" borderId="88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79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9" fillId="10" borderId="12" xfId="0" applyFont="1" applyFill="1" applyBorder="1" applyAlignment="1">
      <alignment horizontal="center"/>
    </xf>
    <xf numFmtId="0" fontId="19" fillId="10" borderId="44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19" fillId="11" borderId="12" xfId="0" applyFont="1" applyFill="1" applyBorder="1" applyAlignment="1">
      <alignment horizontal="center"/>
    </xf>
    <xf numFmtId="0" fontId="19" fillId="11" borderId="44" xfId="0" applyFont="1" applyFill="1" applyBorder="1" applyAlignment="1">
      <alignment horizontal="center"/>
    </xf>
    <xf numFmtId="0" fontId="19" fillId="11" borderId="13" xfId="0" applyFont="1" applyFill="1" applyBorder="1" applyAlignment="1">
      <alignment horizontal="center"/>
    </xf>
    <xf numFmtId="0" fontId="17" fillId="9" borderId="48" xfId="0" applyFont="1" applyFill="1" applyBorder="1" applyAlignment="1">
      <alignment horizontal="center"/>
    </xf>
    <xf numFmtId="0" fontId="17" fillId="9" borderId="37" xfId="0" applyFont="1" applyFill="1" applyBorder="1" applyAlignment="1">
      <alignment horizontal="center"/>
    </xf>
    <xf numFmtId="0" fontId="19" fillId="9" borderId="12" xfId="0" applyFont="1" applyFill="1" applyBorder="1" applyAlignment="1">
      <alignment horizontal="center"/>
    </xf>
    <xf numFmtId="0" fontId="19" fillId="9" borderId="44" xfId="0" applyFont="1" applyFill="1" applyBorder="1" applyAlignment="1">
      <alignment horizontal="center"/>
    </xf>
    <xf numFmtId="0" fontId="19" fillId="9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8" fillId="7" borderId="6" xfId="0" applyFont="1" applyFill="1" applyBorder="1" applyAlignment="1">
      <alignment horizontal="left"/>
    </xf>
    <xf numFmtId="0" fontId="12" fillId="8" borderId="0" xfId="0" applyFont="1" applyFill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left"/>
    </xf>
    <xf numFmtId="0" fontId="31" fillId="13" borderId="73" xfId="0" applyFont="1" applyFill="1" applyBorder="1" applyAlignment="1" applyProtection="1">
      <alignment horizontal="left" vertical="center"/>
      <protection locked="0"/>
    </xf>
    <xf numFmtId="0" fontId="31" fillId="13" borderId="74" xfId="0" applyFont="1" applyFill="1" applyBorder="1" applyAlignment="1" applyProtection="1">
      <alignment horizontal="left" vertical="center"/>
      <protection locked="0"/>
    </xf>
    <xf numFmtId="0" fontId="19" fillId="4" borderId="54" xfId="0" applyFont="1" applyFill="1" applyBorder="1" applyAlignment="1" applyProtection="1">
      <alignment horizontal="left" vertical="center"/>
      <protection locked="0"/>
    </xf>
    <xf numFmtId="0" fontId="19" fillId="4" borderId="70" xfId="0" applyFont="1" applyFill="1" applyBorder="1" applyAlignment="1" applyProtection="1">
      <alignment horizontal="left" vertical="center"/>
      <protection locked="0"/>
    </xf>
    <xf numFmtId="0" fontId="19" fillId="4" borderId="19" xfId="0" applyFont="1" applyFill="1" applyBorder="1" applyAlignment="1" applyProtection="1">
      <alignment horizontal="left" vertical="center"/>
      <protection locked="0"/>
    </xf>
    <xf numFmtId="0" fontId="19" fillId="4" borderId="72" xfId="0" applyFont="1" applyFill="1" applyBorder="1" applyAlignment="1" applyProtection="1">
      <alignment horizontal="left" vertical="center"/>
      <protection locked="0"/>
    </xf>
    <xf numFmtId="0" fontId="19" fillId="4" borderId="12" xfId="0" applyFont="1" applyFill="1" applyBorder="1" applyAlignment="1">
      <alignment horizontal="center" vertical="center"/>
    </xf>
    <xf numFmtId="0" fontId="19" fillId="4" borderId="45" xfId="0" applyFont="1" applyFill="1" applyBorder="1" applyAlignment="1">
      <alignment horizontal="center" vertical="center"/>
    </xf>
    <xf numFmtId="0" fontId="19" fillId="4" borderId="46" xfId="0" applyFont="1" applyFill="1" applyBorder="1" applyAlignment="1">
      <alignment horizontal="center" vertical="center" wrapText="1"/>
    </xf>
    <xf numFmtId="0" fontId="19" fillId="4" borderId="4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6" fillId="8" borderId="40" xfId="0" applyFont="1" applyFill="1" applyBorder="1" applyAlignment="1">
      <alignment horizontal="left"/>
    </xf>
    <xf numFmtId="0" fontId="35" fillId="8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5" fillId="10" borderId="0" xfId="0" applyFont="1" applyFill="1" applyAlignment="1">
      <alignment horizontal="center" vertical="center"/>
    </xf>
    <xf numFmtId="0" fontId="35" fillId="8" borderId="6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center"/>
    </xf>
    <xf numFmtId="0" fontId="6" fillId="16" borderId="40" xfId="0" applyFon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6" fillId="17" borderId="6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14" fontId="17" fillId="0" borderId="6" xfId="1" applyNumberFormat="1" applyFont="1" applyBorder="1" applyAlignment="1">
      <alignment horizontal="center"/>
    </xf>
    <xf numFmtId="0" fontId="17" fillId="0" borderId="0" xfId="1" applyFont="1" applyBorder="1" applyAlignment="1">
      <alignment horizontal="center"/>
    </xf>
    <xf numFmtId="0" fontId="39" fillId="5" borderId="0" xfId="0" applyFont="1" applyFill="1" applyBorder="1" applyAlignment="1">
      <alignment horizontal="center" vertical="center" wrapText="1"/>
    </xf>
    <xf numFmtId="14" fontId="17" fillId="0" borderId="0" xfId="1" applyNumberFormat="1" applyFont="1" applyBorder="1" applyAlignment="1">
      <alignment horizontal="center"/>
    </xf>
    <xf numFmtId="0" fontId="17" fillId="0" borderId="0" xfId="1" applyFont="1" applyBorder="1"/>
  </cellXfs>
  <cellStyles count="7">
    <cellStyle name="Normální" xfId="0" builtinId="0"/>
    <cellStyle name="Normální 2" xfId="1" xr:uid="{00000000-0005-0000-0000-000001000000}"/>
    <cellStyle name="Normální 2 2" xfId="4" xr:uid="{00000000-0005-0000-0000-000002000000}"/>
    <cellStyle name="Normální 3" xfId="2" xr:uid="{00000000-0005-0000-0000-000003000000}"/>
    <cellStyle name="Normální 4" xfId="3" xr:uid="{00000000-0005-0000-0000-000004000000}"/>
    <cellStyle name="Normální 5" xfId="5" xr:uid="{00000000-0005-0000-0000-000005000000}"/>
    <cellStyle name="Normální 5 2" xfId="6" xr:uid="{00000000-0005-0000-0000-000006000000}"/>
  </cellStyles>
  <dxfs count="7">
    <dxf>
      <font>
        <color theme="4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5D9F1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CCFF"/>
      <color rgb="FFCCFFCC"/>
      <color rgb="FFFDE9D9"/>
      <color rgb="FFFFE5FF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363899</xdr:colOff>
      <xdr:row>1</xdr:row>
      <xdr:rowOff>13186</xdr:rowOff>
    </xdr:from>
    <xdr:to>
      <xdr:col>13</xdr:col>
      <xdr:colOff>1459</xdr:colOff>
      <xdr:row>4</xdr:row>
      <xdr:rowOff>41031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5888399" y="363706"/>
          <a:ext cx="993919" cy="580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246821</xdr:colOff>
      <xdr:row>1</xdr:row>
      <xdr:rowOff>38101</xdr:rowOff>
    </xdr:from>
    <xdr:to>
      <xdr:col>4</xdr:col>
      <xdr:colOff>1290430</xdr:colOff>
      <xdr:row>4</xdr:row>
      <xdr:rowOff>126494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5481430" y="236884"/>
          <a:ext cx="1043609" cy="605227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13253</xdr:rowOff>
    </xdr:from>
    <xdr:to>
      <xdr:col>2</xdr:col>
      <xdr:colOff>1152940</xdr:colOff>
      <xdr:row>28</xdr:row>
      <xdr:rowOff>50666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804453"/>
          <a:ext cx="3770243" cy="1084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114298</xdr:colOff>
      <xdr:row>0</xdr:row>
      <xdr:rowOff>114300</xdr:rowOff>
    </xdr:from>
    <xdr:to>
      <xdr:col>1</xdr:col>
      <xdr:colOff>749050</xdr:colOff>
      <xdr:row>3</xdr:row>
      <xdr:rowOff>123824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114298" y="114300"/>
          <a:ext cx="1006227" cy="533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16</xdr:row>
      <xdr:rowOff>15240</xdr:rowOff>
    </xdr:from>
    <xdr:to>
      <xdr:col>19</xdr:col>
      <xdr:colOff>32339</xdr:colOff>
      <xdr:row>36</xdr:row>
      <xdr:rowOff>38100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1B3DCC57-AA3A-46D7-BF9E-80F4548F7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3154680"/>
          <a:ext cx="5587319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</xdr:colOff>
      <xdr:row>16</xdr:row>
      <xdr:rowOff>17145</xdr:rowOff>
    </xdr:from>
    <xdr:to>
      <xdr:col>19</xdr:col>
      <xdr:colOff>34244</xdr:colOff>
      <xdr:row>36</xdr:row>
      <xdr:rowOff>40005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090F63F-F279-4E4C-A76C-74073142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7165" y="3156585"/>
          <a:ext cx="5587319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1</xdr:col>
      <xdr:colOff>445737</xdr:colOff>
      <xdr:row>3</xdr:row>
      <xdr:rowOff>135975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0" b="28800"/>
        <a:stretch/>
      </xdr:blipFill>
      <xdr:spPr>
        <a:xfrm>
          <a:off x="66675" y="47625"/>
          <a:ext cx="1120280" cy="6522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ulka2" displayName="Tabulka2" ref="A32:A34" totalsRowShown="0" headerRowDxfId="6">
  <autoFilter ref="A32:A34" xr:uid="{00000000-0009-0000-0100-000002000000}"/>
  <sortState xmlns:xlrd2="http://schemas.microsoft.com/office/spreadsheetml/2017/richdata2" ref="A33:A34">
    <sortCondition sortBy="cellColor" ref="A32:A34" dxfId="5"/>
  </sortState>
  <tableColumns count="1">
    <tableColumn id="1" xr3:uid="{00000000-0010-0000-0000-000001000000}" name="Sloupec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G14" sqref="G14"/>
    </sheetView>
  </sheetViews>
  <sheetFormatPr defaultRowHeight="13.2" x14ac:dyDescent="0.25"/>
  <cols>
    <col min="1" max="1" width="16.5546875" bestFit="1" customWidth="1"/>
  </cols>
  <sheetData>
    <row r="1" spans="1:6" ht="13.8" x14ac:dyDescent="0.25">
      <c r="A1" s="3" t="s">
        <v>2</v>
      </c>
      <c r="E1" s="3" t="s">
        <v>109</v>
      </c>
      <c r="F1" s="10" t="s">
        <v>108</v>
      </c>
    </row>
    <row r="2" spans="1:6" ht="13.8" x14ac:dyDescent="0.25">
      <c r="A2" s="3" t="s">
        <v>3</v>
      </c>
      <c r="E2" s="3" t="s">
        <v>110</v>
      </c>
      <c r="F2" s="10" t="s">
        <v>111</v>
      </c>
    </row>
    <row r="3" spans="1:6" ht="13.8" x14ac:dyDescent="0.25">
      <c r="A3" s="3" t="s">
        <v>4</v>
      </c>
      <c r="E3" s="3" t="s">
        <v>112</v>
      </c>
      <c r="F3" s="10" t="s">
        <v>113</v>
      </c>
    </row>
    <row r="4" spans="1:6" ht="13.8" x14ac:dyDescent="0.25">
      <c r="A4" s="3" t="s">
        <v>5</v>
      </c>
      <c r="E4" s="3" t="s">
        <v>114</v>
      </c>
      <c r="F4" s="10" t="s">
        <v>115</v>
      </c>
    </row>
    <row r="5" spans="1:6" ht="13.8" x14ac:dyDescent="0.25">
      <c r="A5" s="3" t="s">
        <v>6</v>
      </c>
      <c r="E5" s="3" t="s">
        <v>116</v>
      </c>
      <c r="F5" s="10" t="s">
        <v>117</v>
      </c>
    </row>
    <row r="6" spans="1:6" ht="13.8" x14ac:dyDescent="0.25">
      <c r="A6" s="3" t="s">
        <v>7</v>
      </c>
      <c r="E6" s="3" t="s">
        <v>118</v>
      </c>
      <c r="F6" s="10" t="s">
        <v>119</v>
      </c>
    </row>
    <row r="7" spans="1:6" ht="13.8" x14ac:dyDescent="0.25">
      <c r="A7" s="3" t="s">
        <v>8</v>
      </c>
      <c r="E7" s="3" t="s">
        <v>120</v>
      </c>
      <c r="F7" s="10" t="s">
        <v>121</v>
      </c>
    </row>
    <row r="8" spans="1:6" ht="13.8" x14ac:dyDescent="0.25">
      <c r="A8" s="3" t="s">
        <v>9</v>
      </c>
      <c r="E8" s="3" t="s">
        <v>122</v>
      </c>
      <c r="F8" s="10" t="s">
        <v>123</v>
      </c>
    </row>
  </sheetData>
  <phoneticPr fontId="7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J37"/>
  <sheetViews>
    <sheetView topLeftCell="A10" workbookViewId="0">
      <selection activeCell="K37" sqref="K37"/>
    </sheetView>
  </sheetViews>
  <sheetFormatPr defaultRowHeight="13.2" x14ac:dyDescent="0.25"/>
  <cols>
    <col min="2" max="2" width="11.6640625" customWidth="1"/>
    <col min="3" max="3" width="17.5546875" customWidth="1"/>
    <col min="4" max="8" width="14.44140625" customWidth="1"/>
  </cols>
  <sheetData>
    <row r="1" spans="1:10" ht="15.6" x14ac:dyDescent="0.25">
      <c r="A1" s="407" t="s">
        <v>127</v>
      </c>
      <c r="B1" s="407"/>
      <c r="C1" s="407"/>
      <c r="D1" s="407"/>
      <c r="E1" s="407"/>
      <c r="F1" s="407"/>
      <c r="G1" s="407"/>
      <c r="H1" s="407"/>
      <c r="I1" s="407"/>
      <c r="J1" s="407"/>
    </row>
    <row r="2" spans="1:10" ht="13.8" x14ac:dyDescent="0.3">
      <c r="A2" s="17"/>
      <c r="B2" s="17"/>
      <c r="C2" s="24" t="s">
        <v>28</v>
      </c>
      <c r="D2" s="129">
        <f>'Časový snímek A+B'!D3</f>
        <v>0</v>
      </c>
      <c r="E2" s="22"/>
      <c r="F2" s="18"/>
      <c r="G2" s="18"/>
      <c r="H2" s="18"/>
      <c r="I2" s="19"/>
      <c r="J2" s="20"/>
    </row>
    <row r="3" spans="1:10" ht="13.8" x14ac:dyDescent="0.3">
      <c r="A3" s="17"/>
      <c r="B3" s="17"/>
      <c r="C3" s="24" t="s">
        <v>29</v>
      </c>
      <c r="D3" s="129">
        <f>'Časový snímek A+B'!D4</f>
        <v>0</v>
      </c>
      <c r="E3" s="22"/>
      <c r="F3" s="18"/>
      <c r="G3" s="18"/>
      <c r="H3" s="18"/>
      <c r="I3" s="19"/>
      <c r="J3" s="20"/>
    </row>
    <row r="4" spans="1:10" ht="13.8" x14ac:dyDescent="0.3">
      <c r="A4" s="17"/>
      <c r="B4" s="17"/>
      <c r="C4" s="24" t="s">
        <v>30</v>
      </c>
      <c r="D4" s="68">
        <f>'Časový snímek A+B'!D5</f>
        <v>0</v>
      </c>
      <c r="E4" s="26"/>
      <c r="F4" s="18"/>
      <c r="G4" s="27"/>
      <c r="H4" s="18"/>
      <c r="I4" s="28"/>
      <c r="J4" s="20"/>
    </row>
    <row r="5" spans="1:10" ht="13.8" x14ac:dyDescent="0.3">
      <c r="A5" s="17"/>
      <c r="B5" s="17"/>
      <c r="C5" s="24" t="s">
        <v>31</v>
      </c>
      <c r="D5" s="129">
        <f>'Časový snímek A+B'!D6</f>
        <v>480</v>
      </c>
      <c r="E5" s="17"/>
      <c r="F5" s="24" t="s">
        <v>32</v>
      </c>
      <c r="G5" s="129">
        <f>'Časový snímek A+B'!J6</f>
        <v>30</v>
      </c>
      <c r="H5" s="18"/>
      <c r="I5" s="29" t="s">
        <v>33</v>
      </c>
      <c r="J5" s="30">
        <f>D5-G5</f>
        <v>450</v>
      </c>
    </row>
    <row r="6" spans="1:10" ht="13.8" x14ac:dyDescent="0.3">
      <c r="A6" s="195"/>
      <c r="B6" s="195"/>
      <c r="C6" s="161" t="s">
        <v>35</v>
      </c>
      <c r="D6" s="196">
        <f>'Časový snímek A+B'!D8</f>
        <v>0</v>
      </c>
      <c r="E6" s="197"/>
      <c r="F6" s="198"/>
      <c r="G6" s="198"/>
      <c r="H6" s="198"/>
      <c r="I6" s="199"/>
      <c r="J6" s="200"/>
    </row>
    <row r="8" spans="1:10" ht="24.75" customHeight="1" x14ac:dyDescent="0.25">
      <c r="A8" s="501" t="s">
        <v>158</v>
      </c>
      <c r="B8" s="501"/>
      <c r="C8" s="501"/>
      <c r="D8" s="501"/>
      <c r="E8" s="501"/>
      <c r="F8" s="501"/>
      <c r="G8" s="502"/>
      <c r="H8" s="201">
        <f>'Břemena 1A'!J119</f>
        <v>0</v>
      </c>
      <c r="I8" s="203" t="s">
        <v>74</v>
      </c>
    </row>
    <row r="9" spans="1:10" ht="24.75" customHeight="1" x14ac:dyDescent="0.25">
      <c r="A9" s="501" t="s">
        <v>159</v>
      </c>
      <c r="B9" s="501"/>
      <c r="C9" s="501"/>
      <c r="D9" s="501"/>
      <c r="E9" s="501"/>
      <c r="F9" s="501"/>
      <c r="G9" s="502"/>
      <c r="H9" s="201">
        <f>'Břemena 1B'!J119</f>
        <v>0</v>
      </c>
      <c r="I9" s="203" t="s">
        <v>74</v>
      </c>
    </row>
    <row r="10" spans="1:10" ht="24.75" customHeight="1" x14ac:dyDescent="0.25">
      <c r="A10" s="503" t="s">
        <v>127</v>
      </c>
      <c r="B10" s="503"/>
      <c r="C10" s="503"/>
      <c r="D10" s="503"/>
      <c r="E10" s="503"/>
      <c r="F10" s="503"/>
      <c r="G10" s="504"/>
      <c r="H10" s="202">
        <f>AVERAGE(H8,H9)</f>
        <v>0</v>
      </c>
      <c r="I10" s="204" t="s">
        <v>74</v>
      </c>
    </row>
    <row r="12" spans="1:10" ht="14.4" x14ac:dyDescent="0.3">
      <c r="A12" s="206" t="s">
        <v>182</v>
      </c>
    </row>
    <row r="13" spans="1:10" ht="14.4" x14ac:dyDescent="0.25">
      <c r="A13" s="505" t="s">
        <v>169</v>
      </c>
      <c r="B13" s="213" t="s">
        <v>160</v>
      </c>
      <c r="C13" s="213"/>
      <c r="D13" s="213"/>
      <c r="E13" s="214" t="s">
        <v>161</v>
      </c>
    </row>
    <row r="14" spans="1:10" ht="14.4" x14ac:dyDescent="0.25">
      <c r="A14" s="505"/>
      <c r="B14" s="213" t="s">
        <v>162</v>
      </c>
      <c r="C14" s="213"/>
      <c r="D14" s="213"/>
      <c r="E14" s="214" t="s">
        <v>163</v>
      </c>
    </row>
    <row r="15" spans="1:10" ht="14.4" x14ac:dyDescent="0.25">
      <c r="A15" s="505"/>
      <c r="B15" s="213" t="s">
        <v>164</v>
      </c>
      <c r="C15" s="213"/>
      <c r="D15" s="213"/>
      <c r="E15" s="214" t="s">
        <v>165</v>
      </c>
    </row>
    <row r="16" spans="1:10" ht="14.4" x14ac:dyDescent="0.3">
      <c r="A16" s="205"/>
      <c r="B16" s="205"/>
      <c r="C16" s="205"/>
      <c r="D16" s="205"/>
      <c r="E16" s="205"/>
    </row>
    <row r="17" spans="1:9" ht="14.4" x14ac:dyDescent="0.25">
      <c r="A17" s="506" t="s">
        <v>170</v>
      </c>
      <c r="B17" s="209" t="s">
        <v>166</v>
      </c>
      <c r="C17" s="209"/>
      <c r="D17" s="209"/>
      <c r="E17" s="210" t="s">
        <v>21</v>
      </c>
    </row>
    <row r="18" spans="1:9" ht="14.4" x14ac:dyDescent="0.25">
      <c r="A18" s="506"/>
      <c r="B18" s="209" t="s">
        <v>162</v>
      </c>
      <c r="C18" s="209"/>
      <c r="D18" s="209"/>
      <c r="E18" s="210" t="s">
        <v>167</v>
      </c>
    </row>
    <row r="19" spans="1:9" ht="14.4" x14ac:dyDescent="0.25">
      <c r="A19" s="506"/>
      <c r="B19" s="209" t="s">
        <v>164</v>
      </c>
      <c r="C19" s="209"/>
      <c r="D19" s="209"/>
      <c r="E19" s="210" t="s">
        <v>168</v>
      </c>
    </row>
    <row r="22" spans="1:9" ht="14.4" x14ac:dyDescent="0.3">
      <c r="A22" s="508" t="s">
        <v>181</v>
      </c>
      <c r="B22" s="508"/>
      <c r="C22" s="500" t="s">
        <v>178</v>
      </c>
      <c r="D22" s="500"/>
      <c r="E22" s="500" t="s">
        <v>179</v>
      </c>
      <c r="F22" s="500"/>
      <c r="G22" s="500" t="s">
        <v>180</v>
      </c>
      <c r="H22" s="500"/>
      <c r="I22" s="205"/>
    </row>
    <row r="23" spans="1:9" ht="14.4" x14ac:dyDescent="0.3">
      <c r="A23" s="508" t="s">
        <v>40</v>
      </c>
      <c r="B23" s="508"/>
      <c r="C23" s="211" t="s">
        <v>169</v>
      </c>
      <c r="D23" s="207" t="s">
        <v>170</v>
      </c>
      <c r="E23" s="211" t="s">
        <v>169</v>
      </c>
      <c r="F23" s="207" t="s">
        <v>170</v>
      </c>
      <c r="G23" s="211" t="s">
        <v>169</v>
      </c>
      <c r="H23" s="207" t="s">
        <v>170</v>
      </c>
      <c r="I23" s="205"/>
    </row>
    <row r="24" spans="1:9" ht="90.75" customHeight="1" x14ac:dyDescent="0.3">
      <c r="A24" s="507" t="s">
        <v>177</v>
      </c>
      <c r="B24" s="507"/>
      <c r="C24" s="212" t="s">
        <v>171</v>
      </c>
      <c r="D24" s="208" t="s">
        <v>172</v>
      </c>
      <c r="E24" s="212" t="s">
        <v>173</v>
      </c>
      <c r="F24" s="215" t="s">
        <v>174</v>
      </c>
      <c r="G24" s="216" t="s">
        <v>175</v>
      </c>
      <c r="H24" s="208" t="s">
        <v>176</v>
      </c>
      <c r="I24" s="205"/>
    </row>
    <row r="27" spans="1:9" x14ac:dyDescent="0.25">
      <c r="A27" s="497" t="s">
        <v>183</v>
      </c>
      <c r="B27" s="498"/>
      <c r="C27" s="498"/>
      <c r="D27" s="499"/>
      <c r="E27" s="509" t="s">
        <v>69</v>
      </c>
      <c r="F27" s="510"/>
      <c r="G27" s="511" t="s">
        <v>70</v>
      </c>
      <c r="H27" s="511"/>
    </row>
    <row r="28" spans="1:9" x14ac:dyDescent="0.25">
      <c r="A28" s="497" t="s">
        <v>184</v>
      </c>
      <c r="B28" s="498"/>
      <c r="C28" s="498"/>
      <c r="D28" s="499"/>
      <c r="E28" s="217">
        <v>7000</v>
      </c>
      <c r="F28" s="218">
        <v>10000</v>
      </c>
      <c r="G28" s="219">
        <v>4500</v>
      </c>
      <c r="H28" s="219">
        <v>6500</v>
      </c>
    </row>
    <row r="29" spans="1:9" x14ac:dyDescent="0.25">
      <c r="A29" s="497" t="s">
        <v>185</v>
      </c>
      <c r="B29" s="499"/>
      <c r="C29" s="251">
        <f>'Časový snímek A+B'!M6</f>
        <v>450</v>
      </c>
      <c r="D29" s="223">
        <f>C29/60</f>
        <v>7.5</v>
      </c>
      <c r="E29" s="220">
        <f>((E28/100)*$D$30)+E28</f>
        <v>6825</v>
      </c>
      <c r="F29" s="221">
        <f>((F28/100)*$D$30)+F28</f>
        <v>9750</v>
      </c>
      <c r="G29" s="222">
        <f>((G28/100)*$D$30)+G28</f>
        <v>4387.5</v>
      </c>
      <c r="H29" s="222">
        <f>((H28/100)*$D$30)+H28</f>
        <v>6337.5</v>
      </c>
    </row>
    <row r="30" spans="1:9" x14ac:dyDescent="0.25">
      <c r="A30" s="512" t="s">
        <v>186</v>
      </c>
      <c r="B30" s="512"/>
      <c r="C30" s="512"/>
      <c r="D30" s="223">
        <f>(D29-8)*5</f>
        <v>-2.5</v>
      </c>
    </row>
    <row r="34" spans="1:8" x14ac:dyDescent="0.25">
      <c r="A34" s="512" t="s">
        <v>187</v>
      </c>
      <c r="B34" s="512"/>
      <c r="C34" s="512"/>
      <c r="D34" s="512"/>
      <c r="E34" s="509" t="s">
        <v>69</v>
      </c>
      <c r="F34" s="510"/>
      <c r="G34" s="511" t="s">
        <v>70</v>
      </c>
      <c r="H34" s="511"/>
    </row>
    <row r="35" spans="1:8" x14ac:dyDescent="0.25">
      <c r="A35" s="512" t="s">
        <v>184</v>
      </c>
      <c r="B35" s="512"/>
      <c r="C35" s="512"/>
      <c r="D35" s="512"/>
      <c r="E35" s="225">
        <v>4.5</v>
      </c>
      <c r="F35" s="226">
        <v>6.8</v>
      </c>
      <c r="G35" s="219">
        <v>3.4</v>
      </c>
      <c r="H35" s="219">
        <v>4.5</v>
      </c>
    </row>
    <row r="36" spans="1:8" x14ac:dyDescent="0.25">
      <c r="A36" s="512" t="s">
        <v>185</v>
      </c>
      <c r="B36" s="512"/>
      <c r="C36" s="251">
        <f>'Časový snímek A+B'!M6</f>
        <v>450</v>
      </c>
      <c r="D36" s="224">
        <f>C36/60</f>
        <v>7.5</v>
      </c>
      <c r="E36" s="227">
        <f>((E35/100)*$D$37)+E35</f>
        <v>4.3875000000000002</v>
      </c>
      <c r="F36" s="229">
        <f>((F35/100)*$D$37)+F35</f>
        <v>6.63</v>
      </c>
      <c r="G36" s="228">
        <f>((G35/100)*$D$37)+G35</f>
        <v>3.3149999999999999</v>
      </c>
      <c r="H36" s="228">
        <f>((H35/100)*$D$37)+H35</f>
        <v>4.3875000000000002</v>
      </c>
    </row>
    <row r="37" spans="1:8" x14ac:dyDescent="0.25">
      <c r="A37" s="497" t="s">
        <v>186</v>
      </c>
      <c r="B37" s="498"/>
      <c r="C37" s="499"/>
      <c r="D37" s="224">
        <f>(D36-8)*5</f>
        <v>-2.5</v>
      </c>
    </row>
  </sheetData>
  <mergeCells count="24">
    <mergeCell ref="A29:B29"/>
    <mergeCell ref="G34:H34"/>
    <mergeCell ref="A37:C37"/>
    <mergeCell ref="A34:D34"/>
    <mergeCell ref="A35:D35"/>
    <mergeCell ref="A36:B36"/>
    <mergeCell ref="E34:F34"/>
    <mergeCell ref="A30:C30"/>
    <mergeCell ref="A28:D28"/>
    <mergeCell ref="C22:D22"/>
    <mergeCell ref="E22:F22"/>
    <mergeCell ref="G22:H22"/>
    <mergeCell ref="A1:J1"/>
    <mergeCell ref="A8:G8"/>
    <mergeCell ref="A9:G9"/>
    <mergeCell ref="A10:G10"/>
    <mergeCell ref="A13:A15"/>
    <mergeCell ref="A17:A19"/>
    <mergeCell ref="A24:B24"/>
    <mergeCell ref="A22:B22"/>
    <mergeCell ref="A23:B23"/>
    <mergeCell ref="E27:F27"/>
    <mergeCell ref="G27:H27"/>
    <mergeCell ref="A27:D27"/>
  </mergeCells>
  <pageMargins left="0.7" right="0.7" top="0.78740157499999996" bottom="0.78740157499999996" header="0.3" footer="0.3"/>
  <ignoredErrors>
    <ignoredError sqref="D4 D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72"/>
  <sheetViews>
    <sheetView showGridLines="0" tabSelected="1" topLeftCell="A16" zoomScaleNormal="100" workbookViewId="0">
      <selection activeCell="Q45" sqref="Q45"/>
    </sheetView>
  </sheetViews>
  <sheetFormatPr defaultColWidth="9.109375" defaultRowHeight="13.8" x14ac:dyDescent="0.3"/>
  <cols>
    <col min="1" max="1" width="0.5546875" style="17" customWidth="1"/>
    <col min="2" max="2" width="4.33203125" style="17" customWidth="1"/>
    <col min="3" max="3" width="17.33203125" style="17" customWidth="1"/>
    <col min="4" max="4" width="12.88671875" style="17" customWidth="1"/>
    <col min="5" max="5" width="13.5546875" style="17" customWidth="1"/>
    <col min="6" max="6" width="10.5546875" style="18" customWidth="1"/>
    <col min="7" max="7" width="10.5546875" style="17" hidden="1" customWidth="1"/>
    <col min="8" max="8" width="11.6640625" style="17" hidden="1" customWidth="1"/>
    <col min="9" max="9" width="9.6640625" style="22" hidden="1" customWidth="1"/>
    <col min="10" max="10" width="10.88671875" style="18" customWidth="1"/>
    <col min="11" max="11" width="11.6640625" style="17" customWidth="1"/>
    <col min="12" max="12" width="9.6640625" style="22" customWidth="1"/>
    <col min="13" max="13" width="10.109375" style="22" customWidth="1"/>
    <col min="14" max="14" width="9.109375" style="17"/>
    <col min="15" max="15" width="12.21875" style="17" customWidth="1"/>
    <col min="16" max="16" width="9.109375" style="17"/>
    <col min="17" max="18" width="24.109375" style="17" customWidth="1"/>
    <col min="19" max="19" width="18.109375" style="17" customWidth="1"/>
    <col min="20" max="20" width="16.6640625" style="17" customWidth="1"/>
    <col min="21" max="16384" width="9.109375" style="17"/>
  </cols>
  <sheetData>
    <row r="1" spans="2:20" ht="27.6" customHeight="1" x14ac:dyDescent="0.3">
      <c r="B1" s="405" t="s">
        <v>27</v>
      </c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</row>
    <row r="2" spans="2:20" ht="16.5" customHeight="1" x14ac:dyDescent="0.3">
      <c r="G2" s="18"/>
      <c r="H2" s="18"/>
      <c r="I2" s="19"/>
      <c r="J2" s="20"/>
      <c r="K2" s="21"/>
      <c r="M2" s="23"/>
    </row>
    <row r="3" spans="2:20" x14ac:dyDescent="0.3">
      <c r="C3" s="24" t="s">
        <v>28</v>
      </c>
      <c r="D3" s="25"/>
      <c r="E3" s="22"/>
      <c r="G3" s="18"/>
      <c r="H3" s="18"/>
      <c r="I3" s="19"/>
      <c r="J3" s="20"/>
      <c r="K3" s="21"/>
      <c r="M3" s="23"/>
    </row>
    <row r="4" spans="2:20" x14ac:dyDescent="0.3">
      <c r="C4" s="24" t="s">
        <v>29</v>
      </c>
      <c r="D4" s="25"/>
      <c r="E4" s="22"/>
      <c r="G4" s="18"/>
      <c r="H4" s="18"/>
      <c r="I4" s="19"/>
      <c r="J4" s="20"/>
      <c r="K4" s="21"/>
      <c r="M4" s="23"/>
    </row>
    <row r="5" spans="2:20" x14ac:dyDescent="0.3">
      <c r="C5" s="24" t="s">
        <v>30</v>
      </c>
      <c r="D5" s="68"/>
      <c r="E5" s="26"/>
      <c r="G5" s="27"/>
      <c r="H5" s="27"/>
      <c r="I5" s="28"/>
      <c r="J5" s="20"/>
      <c r="K5" s="21"/>
      <c r="M5" s="23"/>
    </row>
    <row r="6" spans="2:20" x14ac:dyDescent="0.3">
      <c r="C6" s="24" t="s">
        <v>31</v>
      </c>
      <c r="D6" s="25">
        <v>480</v>
      </c>
      <c r="E6" s="22"/>
      <c r="F6" s="24" t="s">
        <v>32</v>
      </c>
      <c r="G6" s="18"/>
      <c r="H6" s="18"/>
      <c r="I6" s="17"/>
      <c r="J6" s="25">
        <v>30</v>
      </c>
      <c r="L6" s="29" t="s">
        <v>153</v>
      </c>
      <c r="M6" s="30">
        <f>D6-J6</f>
        <v>450</v>
      </c>
    </row>
    <row r="7" spans="2:20" x14ac:dyDescent="0.3">
      <c r="C7" s="24" t="s">
        <v>34</v>
      </c>
      <c r="D7" s="25"/>
      <c r="E7" s="22"/>
      <c r="G7" s="18"/>
      <c r="H7" s="18"/>
      <c r="I7" s="19"/>
      <c r="J7" s="20"/>
      <c r="K7" s="21"/>
      <c r="M7" s="23"/>
    </row>
    <row r="8" spans="2:20" x14ac:dyDescent="0.3">
      <c r="C8" s="24" t="s">
        <v>35</v>
      </c>
      <c r="D8" s="25"/>
      <c r="E8" s="22"/>
      <c r="G8" s="18"/>
      <c r="H8" s="18"/>
      <c r="I8" s="19"/>
      <c r="J8" s="20"/>
      <c r="K8" s="21"/>
      <c r="M8" s="23"/>
    </row>
    <row r="9" spans="2:20" ht="14.4" thickBot="1" x14ac:dyDescent="0.35">
      <c r="B9" s="31"/>
      <c r="C9" s="32"/>
      <c r="D9" s="32"/>
      <c r="E9" s="32"/>
      <c r="F9" s="33"/>
      <c r="G9" s="34"/>
      <c r="H9" s="34"/>
      <c r="I9" s="35"/>
      <c r="J9" s="36"/>
      <c r="K9" s="37"/>
      <c r="L9" s="38"/>
      <c r="M9" s="39"/>
    </row>
    <row r="10" spans="2:20" ht="9.75" customHeight="1" thickTop="1" x14ac:dyDescent="0.3">
      <c r="C10" s="24"/>
      <c r="D10" s="24"/>
      <c r="E10" s="24"/>
      <c r="F10" s="40"/>
      <c r="G10" s="18"/>
      <c r="H10" s="18"/>
      <c r="I10" s="19"/>
      <c r="J10" s="20"/>
      <c r="K10" s="41"/>
      <c r="M10" s="23"/>
    </row>
    <row r="11" spans="2:20" ht="26.25" customHeight="1" x14ac:dyDescent="0.3">
      <c r="B11" s="406" t="s">
        <v>36</v>
      </c>
      <c r="C11" s="406"/>
      <c r="D11" s="406"/>
      <c r="E11" s="24"/>
      <c r="F11" s="406" t="s">
        <v>37</v>
      </c>
      <c r="G11" s="406"/>
      <c r="H11" s="406"/>
      <c r="I11" s="406"/>
      <c r="J11" s="406"/>
      <c r="K11" s="406"/>
      <c r="M11" s="23"/>
      <c r="O11" s="279" t="s">
        <v>193</v>
      </c>
      <c r="P11" s="279" t="s">
        <v>194</v>
      </c>
      <c r="Q11" s="279" t="s">
        <v>195</v>
      </c>
      <c r="R11" s="279" t="s">
        <v>225</v>
      </c>
      <c r="S11" s="284" t="s">
        <v>196</v>
      </c>
      <c r="T11" s="284" t="s">
        <v>203</v>
      </c>
    </row>
    <row r="12" spans="2:20" ht="15" customHeight="1" x14ac:dyDescent="0.3">
      <c r="B12" s="401" t="s">
        <v>38</v>
      </c>
      <c r="C12" s="401"/>
      <c r="D12" s="244"/>
      <c r="E12" s="24"/>
      <c r="F12" s="401" t="s">
        <v>38</v>
      </c>
      <c r="G12" s="401"/>
      <c r="H12" s="401"/>
      <c r="I12" s="401"/>
      <c r="J12" s="401"/>
      <c r="K12" s="244"/>
      <c r="L12" s="42"/>
      <c r="M12" s="23"/>
      <c r="O12" s="276">
        <v>1</v>
      </c>
      <c r="P12" s="277" t="s">
        <v>197</v>
      </c>
      <c r="Q12" s="277" t="s">
        <v>198</v>
      </c>
      <c r="R12" s="278">
        <v>45967</v>
      </c>
      <c r="S12" s="285">
        <v>44522</v>
      </c>
      <c r="T12" s="286">
        <v>43972</v>
      </c>
    </row>
    <row r="13" spans="2:20" ht="15" customHeight="1" x14ac:dyDescent="0.3">
      <c r="B13" s="401" t="s">
        <v>39</v>
      </c>
      <c r="C13" s="401"/>
      <c r="D13" s="245"/>
      <c r="E13" s="24"/>
      <c r="F13" s="401" t="s">
        <v>39</v>
      </c>
      <c r="G13" s="401"/>
      <c r="H13" s="401"/>
      <c r="I13" s="401"/>
      <c r="J13" s="401"/>
      <c r="K13" s="245"/>
      <c r="L13" s="17"/>
      <c r="M13" s="23"/>
      <c r="O13" s="276">
        <v>2</v>
      </c>
      <c r="P13" s="277" t="s">
        <v>197</v>
      </c>
      <c r="Q13" s="277" t="s">
        <v>198</v>
      </c>
      <c r="R13" s="278">
        <v>45967</v>
      </c>
      <c r="S13" s="285">
        <v>44510</v>
      </c>
      <c r="T13" s="286">
        <v>43972</v>
      </c>
    </row>
    <row r="14" spans="2:20" ht="15" customHeight="1" x14ac:dyDescent="0.3">
      <c r="B14" s="401" t="s">
        <v>40</v>
      </c>
      <c r="C14" s="401"/>
      <c r="D14" s="245"/>
      <c r="E14" s="24"/>
      <c r="F14" s="401" t="s">
        <v>40</v>
      </c>
      <c r="G14" s="401"/>
      <c r="H14" s="401"/>
      <c r="I14" s="401"/>
      <c r="J14" s="401"/>
      <c r="K14" s="245"/>
      <c r="L14" s="17"/>
      <c r="M14" s="23"/>
      <c r="O14" s="276">
        <v>3</v>
      </c>
      <c r="P14" s="277" t="s">
        <v>197</v>
      </c>
      <c r="Q14" s="277" t="s">
        <v>198</v>
      </c>
      <c r="R14" s="278">
        <v>45967</v>
      </c>
      <c r="S14" s="285">
        <v>44522</v>
      </c>
      <c r="T14" s="286">
        <v>43796</v>
      </c>
    </row>
    <row r="15" spans="2:20" ht="15" customHeight="1" x14ac:dyDescent="0.3">
      <c r="B15" s="401" t="s">
        <v>98</v>
      </c>
      <c r="C15" s="401"/>
      <c r="D15" s="246"/>
      <c r="E15" s="24"/>
      <c r="F15" s="401" t="s">
        <v>98</v>
      </c>
      <c r="G15" s="401"/>
      <c r="H15" s="401"/>
      <c r="I15" s="401"/>
      <c r="J15" s="401"/>
      <c r="K15" s="246"/>
      <c r="L15" s="17"/>
      <c r="M15" s="23"/>
      <c r="O15" s="276">
        <v>4</v>
      </c>
      <c r="P15" s="277" t="s">
        <v>197</v>
      </c>
      <c r="Q15" s="277" t="s">
        <v>198</v>
      </c>
      <c r="R15" s="278">
        <v>45967</v>
      </c>
      <c r="S15" s="285">
        <v>44522</v>
      </c>
      <c r="T15" s="286">
        <v>43796</v>
      </c>
    </row>
    <row r="16" spans="2:20" ht="15" customHeight="1" x14ac:dyDescent="0.3">
      <c r="B16" s="401" t="s">
        <v>41</v>
      </c>
      <c r="C16" s="401"/>
      <c r="D16" s="247"/>
      <c r="E16" s="24"/>
      <c r="F16" s="401" t="s">
        <v>41</v>
      </c>
      <c r="G16" s="401"/>
      <c r="H16" s="401"/>
      <c r="I16" s="401"/>
      <c r="J16" s="401"/>
      <c r="K16" s="247"/>
      <c r="L16" s="43"/>
      <c r="M16" s="23"/>
      <c r="O16" s="276">
        <v>5</v>
      </c>
      <c r="P16" s="277" t="s">
        <v>197</v>
      </c>
      <c r="Q16" s="277" t="s">
        <v>198</v>
      </c>
      <c r="R16" s="278">
        <v>45606</v>
      </c>
      <c r="S16" s="370" t="s">
        <v>320</v>
      </c>
      <c r="T16" s="286">
        <v>43843</v>
      </c>
    </row>
    <row r="17" spans="2:20" ht="15" customHeight="1" x14ac:dyDescent="0.3">
      <c r="B17" s="401" t="s">
        <v>42</v>
      </c>
      <c r="C17" s="401"/>
      <c r="D17" s="247"/>
      <c r="E17" s="24"/>
      <c r="F17" s="401" t="s">
        <v>42</v>
      </c>
      <c r="G17" s="401"/>
      <c r="H17" s="401"/>
      <c r="I17" s="401"/>
      <c r="J17" s="401"/>
      <c r="K17" s="247"/>
      <c r="L17" s="43"/>
      <c r="M17" s="23"/>
      <c r="O17" s="276">
        <v>6</v>
      </c>
      <c r="P17" s="277" t="s">
        <v>197</v>
      </c>
      <c r="Q17" s="277" t="s">
        <v>198</v>
      </c>
      <c r="R17" s="278">
        <v>45967</v>
      </c>
      <c r="S17" s="285">
        <v>44522</v>
      </c>
      <c r="T17" s="286">
        <v>43843</v>
      </c>
    </row>
    <row r="18" spans="2:20" ht="15" customHeight="1" x14ac:dyDescent="0.3">
      <c r="B18" s="401" t="s">
        <v>43</v>
      </c>
      <c r="C18" s="401"/>
      <c r="D18" s="247"/>
      <c r="E18" s="24"/>
      <c r="F18" s="401" t="s">
        <v>43</v>
      </c>
      <c r="G18" s="401"/>
      <c r="H18" s="401"/>
      <c r="I18" s="401"/>
      <c r="J18" s="401"/>
      <c r="K18" s="247"/>
      <c r="L18" s="43"/>
      <c r="M18" s="23"/>
      <c r="O18" s="276">
        <v>7</v>
      </c>
      <c r="P18" s="277" t="s">
        <v>197</v>
      </c>
      <c r="Q18" s="277" t="s">
        <v>198</v>
      </c>
      <c r="R18" s="278">
        <v>45967</v>
      </c>
      <c r="S18" s="287">
        <v>44510</v>
      </c>
      <c r="T18" s="286">
        <v>43895</v>
      </c>
    </row>
    <row r="19" spans="2:20" ht="15" customHeight="1" x14ac:dyDescent="0.3">
      <c r="B19" s="280"/>
      <c r="C19" s="280"/>
      <c r="D19" s="247"/>
      <c r="E19" s="24"/>
      <c r="F19" s="280"/>
      <c r="G19" s="280"/>
      <c r="H19" s="280"/>
      <c r="I19" s="280"/>
      <c r="J19" s="280"/>
      <c r="K19" s="247"/>
      <c r="L19" s="43"/>
      <c r="M19" s="23"/>
      <c r="O19" s="276">
        <v>8</v>
      </c>
      <c r="P19" s="277" t="s">
        <v>197</v>
      </c>
      <c r="Q19" s="277" t="s">
        <v>198</v>
      </c>
      <c r="R19" s="278">
        <v>45967</v>
      </c>
      <c r="S19" s="287">
        <v>44510</v>
      </c>
      <c r="T19" s="286">
        <v>43895</v>
      </c>
    </row>
    <row r="20" spans="2:20" ht="15" customHeight="1" x14ac:dyDescent="0.3">
      <c r="B20" s="280"/>
      <c r="C20" s="280"/>
      <c r="D20" s="247"/>
      <c r="E20" s="24"/>
      <c r="F20" s="280"/>
      <c r="G20" s="280"/>
      <c r="H20" s="280"/>
      <c r="I20" s="280"/>
      <c r="J20" s="280"/>
      <c r="K20" s="247"/>
      <c r="L20" s="43"/>
      <c r="M20" s="23"/>
      <c r="O20" s="276" t="s">
        <v>205</v>
      </c>
      <c r="P20" s="277" t="s">
        <v>222</v>
      </c>
      <c r="Q20" s="277" t="s">
        <v>208</v>
      </c>
      <c r="R20" s="278">
        <v>45968</v>
      </c>
      <c r="S20" s="287">
        <v>45215</v>
      </c>
      <c r="T20" s="286" t="s">
        <v>207</v>
      </c>
    </row>
    <row r="21" spans="2:20" ht="15" customHeight="1" x14ac:dyDescent="0.3">
      <c r="B21" s="280"/>
      <c r="C21" s="280"/>
      <c r="D21" s="247"/>
      <c r="E21" s="24"/>
      <c r="F21" s="280"/>
      <c r="G21" s="280"/>
      <c r="H21" s="280"/>
      <c r="I21" s="280"/>
      <c r="J21" s="280"/>
      <c r="K21" s="247"/>
      <c r="L21" s="43"/>
      <c r="M21" s="23"/>
      <c r="O21" s="276">
        <v>23</v>
      </c>
      <c r="P21" s="277" t="s">
        <v>206</v>
      </c>
      <c r="Q21" s="277" t="s">
        <v>208</v>
      </c>
      <c r="R21" s="278">
        <v>45967</v>
      </c>
      <c r="S21" s="287">
        <v>45343</v>
      </c>
      <c r="T21" s="286" t="s">
        <v>207</v>
      </c>
    </row>
    <row r="22" spans="2:20" ht="15" customHeight="1" x14ac:dyDescent="0.3">
      <c r="B22" s="234" t="s">
        <v>204</v>
      </c>
      <c r="C22" s="234"/>
      <c r="D22" s="248"/>
      <c r="E22" s="161"/>
      <c r="F22" s="234" t="s">
        <v>204</v>
      </c>
      <c r="G22" s="234"/>
      <c r="H22" s="234"/>
      <c r="I22" s="234"/>
      <c r="J22" s="234"/>
      <c r="K22" s="248"/>
      <c r="L22" s="43"/>
      <c r="M22" s="23"/>
      <c r="O22" s="281">
        <v>24</v>
      </c>
      <c r="P22" s="277" t="s">
        <v>197</v>
      </c>
      <c r="Q22" s="277" t="s">
        <v>208</v>
      </c>
      <c r="R22" s="278">
        <v>45967</v>
      </c>
      <c r="S22" s="287">
        <v>45043</v>
      </c>
      <c r="T22" s="287" t="s">
        <v>207</v>
      </c>
    </row>
    <row r="23" spans="2:20" ht="15" x14ac:dyDescent="0.3">
      <c r="B23" s="402" t="s">
        <v>151</v>
      </c>
      <c r="C23" s="402"/>
      <c r="D23" s="249"/>
      <c r="E23" s="66"/>
      <c r="F23" s="402" t="s">
        <v>151</v>
      </c>
      <c r="G23" s="402"/>
      <c r="H23" s="402"/>
      <c r="I23" s="402"/>
      <c r="J23" s="402"/>
      <c r="K23" s="249"/>
      <c r="L23" s="43"/>
      <c r="M23" s="23"/>
      <c r="O23" s="276">
        <v>25</v>
      </c>
      <c r="P23" s="277" t="s">
        <v>221</v>
      </c>
      <c r="Q23" s="277" t="s">
        <v>208</v>
      </c>
      <c r="R23" s="278">
        <v>45968</v>
      </c>
      <c r="S23" s="287">
        <v>45043</v>
      </c>
      <c r="T23" s="286" t="s">
        <v>207</v>
      </c>
    </row>
    <row r="24" spans="2:20" ht="15" x14ac:dyDescent="0.3">
      <c r="B24" s="402" t="s">
        <v>149</v>
      </c>
      <c r="C24" s="402"/>
      <c r="D24" s="249"/>
      <c r="E24" s="66"/>
      <c r="F24" s="402" t="s">
        <v>150</v>
      </c>
      <c r="G24" s="402"/>
      <c r="H24" s="402"/>
      <c r="I24" s="402"/>
      <c r="J24" s="402"/>
      <c r="K24" s="249"/>
      <c r="L24" s="43"/>
      <c r="M24" s="23"/>
      <c r="O24" s="283" t="s">
        <v>220</v>
      </c>
      <c r="P24" s="282" t="s">
        <v>221</v>
      </c>
      <c r="Q24" s="277" t="s">
        <v>208</v>
      </c>
      <c r="R24" s="278">
        <v>45968</v>
      </c>
      <c r="S24" s="288">
        <v>45215</v>
      </c>
      <c r="T24" s="286" t="s">
        <v>207</v>
      </c>
    </row>
    <row r="25" spans="2:20" ht="15.6" thickBot="1" x14ac:dyDescent="0.35">
      <c r="B25" s="404" t="s">
        <v>152</v>
      </c>
      <c r="C25" s="404"/>
      <c r="D25" s="250"/>
      <c r="E25" s="160"/>
      <c r="F25" s="404" t="s">
        <v>152</v>
      </c>
      <c r="G25" s="404"/>
      <c r="H25" s="404"/>
      <c r="I25" s="404"/>
      <c r="J25" s="404"/>
      <c r="K25" s="250"/>
      <c r="L25" s="43"/>
      <c r="M25" s="23"/>
      <c r="O25" s="283">
        <v>21</v>
      </c>
      <c r="P25" s="282" t="s">
        <v>222</v>
      </c>
      <c r="Q25" s="277" t="s">
        <v>208</v>
      </c>
      <c r="R25" s="278">
        <v>45968</v>
      </c>
      <c r="S25" s="288">
        <v>45043</v>
      </c>
      <c r="T25" s="286" t="s">
        <v>207</v>
      </c>
    </row>
    <row r="26" spans="2:20" ht="14.4" thickTop="1" x14ac:dyDescent="0.3">
      <c r="B26" s="67"/>
      <c r="C26" s="67"/>
      <c r="D26" s="64"/>
      <c r="E26" s="24"/>
      <c r="F26" s="67"/>
      <c r="G26" s="67"/>
      <c r="H26" s="67"/>
      <c r="I26" s="67"/>
      <c r="J26" s="67"/>
      <c r="K26" s="64"/>
      <c r="L26" s="43"/>
      <c r="M26" s="23"/>
      <c r="O26" s="283">
        <v>20</v>
      </c>
      <c r="P26" s="282"/>
      <c r="Q26" s="277" t="s">
        <v>208</v>
      </c>
      <c r="R26" s="278">
        <v>45967</v>
      </c>
      <c r="S26" s="288">
        <v>45043</v>
      </c>
      <c r="T26" s="287" t="s">
        <v>207</v>
      </c>
    </row>
    <row r="27" spans="2:20" hidden="1" x14ac:dyDescent="0.3">
      <c r="B27" s="375" t="s">
        <v>17</v>
      </c>
      <c r="C27" s="375"/>
      <c r="D27" s="65" t="e">
        <f>#REF!</f>
        <v>#REF!</v>
      </c>
      <c r="E27" s="66"/>
      <c r="F27" s="375" t="s">
        <v>17</v>
      </c>
      <c r="G27" s="375"/>
      <c r="H27" s="375"/>
      <c r="I27" s="375"/>
      <c r="J27" s="375"/>
      <c r="K27" s="65" t="e">
        <f>#REF!</f>
        <v>#REF!</v>
      </c>
      <c r="L27" s="43"/>
      <c r="M27" s="23"/>
    </row>
    <row r="28" spans="2:20" hidden="1" x14ac:dyDescent="0.3">
      <c r="B28" s="376" t="s">
        <v>18</v>
      </c>
      <c r="C28" s="376"/>
      <c r="D28" s="44" t="e">
        <f>#REF!</f>
        <v>#REF!</v>
      </c>
      <c r="E28" s="45"/>
      <c r="F28" s="376" t="s">
        <v>18</v>
      </c>
      <c r="G28" s="376"/>
      <c r="H28" s="376"/>
      <c r="I28" s="376"/>
      <c r="J28" s="376"/>
      <c r="K28" s="44" t="e">
        <f>#REF!</f>
        <v>#REF!</v>
      </c>
      <c r="L28" s="43"/>
      <c r="M28" s="23"/>
    </row>
    <row r="29" spans="2:20" hidden="1" x14ac:dyDescent="0.3">
      <c r="B29" s="377" t="s">
        <v>19</v>
      </c>
      <c r="C29" s="377"/>
      <c r="D29" s="83" t="e">
        <f>#REF!</f>
        <v>#REF!</v>
      </c>
      <c r="E29" s="84"/>
      <c r="F29" s="377" t="s">
        <v>19</v>
      </c>
      <c r="G29" s="377"/>
      <c r="H29" s="377"/>
      <c r="I29" s="377"/>
      <c r="J29" s="377"/>
      <c r="K29" s="83" t="e">
        <f>#REF!</f>
        <v>#REF!</v>
      </c>
      <c r="L29" s="43"/>
      <c r="M29" s="23"/>
    </row>
    <row r="30" spans="2:20" hidden="1" x14ac:dyDescent="0.3">
      <c r="B30" s="403" t="s">
        <v>82</v>
      </c>
      <c r="C30" s="403"/>
      <c r="D30" s="82" t="e">
        <f>#REF!</f>
        <v>#REF!</v>
      </c>
      <c r="E30" s="81"/>
      <c r="F30" s="403" t="s">
        <v>82</v>
      </c>
      <c r="G30" s="403"/>
      <c r="H30" s="403"/>
      <c r="I30" s="403"/>
      <c r="J30" s="403"/>
      <c r="K30" s="82" t="e">
        <f>#REF!</f>
        <v>#REF!</v>
      </c>
      <c r="L30" s="43"/>
      <c r="M30" s="23"/>
    </row>
    <row r="31" spans="2:20" ht="23.25" customHeight="1" thickBot="1" x14ac:dyDescent="0.35">
      <c r="G31" s="18"/>
      <c r="H31" s="18"/>
      <c r="I31" s="19"/>
      <c r="J31" s="20"/>
      <c r="K31" s="46"/>
      <c r="L31" s="47"/>
      <c r="M31" s="23"/>
      <c r="O31" s="282" t="s">
        <v>331</v>
      </c>
      <c r="P31" s="277" t="s">
        <v>221</v>
      </c>
      <c r="Q31" s="282" t="s">
        <v>335</v>
      </c>
      <c r="R31" s="513">
        <v>45931</v>
      </c>
    </row>
    <row r="32" spans="2:20" ht="15" customHeight="1" x14ac:dyDescent="0.3">
      <c r="B32" s="393"/>
      <c r="C32" s="395" t="s">
        <v>44</v>
      </c>
      <c r="D32" s="395"/>
      <c r="E32" s="395"/>
      <c r="F32" s="48" t="s">
        <v>45</v>
      </c>
      <c r="G32" s="49"/>
      <c r="H32" s="49"/>
      <c r="I32" s="50" t="s">
        <v>46</v>
      </c>
      <c r="J32" s="397" t="s">
        <v>47</v>
      </c>
      <c r="K32" s="398"/>
      <c r="L32" s="51"/>
      <c r="M32" s="17"/>
      <c r="O32" s="282" t="s">
        <v>332</v>
      </c>
      <c r="P32" s="277" t="s">
        <v>221</v>
      </c>
      <c r="Q32" s="282" t="s">
        <v>335</v>
      </c>
      <c r="R32" s="513">
        <v>45931</v>
      </c>
    </row>
    <row r="33" spans="1:18" ht="15" customHeight="1" thickBot="1" x14ac:dyDescent="0.35">
      <c r="B33" s="394"/>
      <c r="C33" s="396"/>
      <c r="D33" s="396"/>
      <c r="E33" s="396"/>
      <c r="F33" s="52" t="s">
        <v>48</v>
      </c>
      <c r="G33" s="53"/>
      <c r="H33" s="53"/>
      <c r="I33" s="54" t="s">
        <v>48</v>
      </c>
      <c r="J33" s="399"/>
      <c r="K33" s="400"/>
      <c r="L33" s="17"/>
      <c r="M33" s="17"/>
      <c r="O33" s="282" t="s">
        <v>333</v>
      </c>
      <c r="P33" s="277" t="s">
        <v>221</v>
      </c>
      <c r="Q33" s="282" t="s">
        <v>335</v>
      </c>
      <c r="R33" s="513">
        <v>45931</v>
      </c>
    </row>
    <row r="34" spans="1:18" ht="15" customHeight="1" x14ac:dyDescent="0.3">
      <c r="B34" s="55" t="s">
        <v>49</v>
      </c>
      <c r="C34" s="390"/>
      <c r="D34" s="391"/>
      <c r="E34" s="392"/>
      <c r="F34" s="56"/>
      <c r="G34" s="57">
        <f>F34</f>
        <v>0</v>
      </c>
      <c r="H34" s="57">
        <f t="shared" ref="H34:H49" si="0">PRODUCT(G34,1/60)</f>
        <v>0</v>
      </c>
      <c r="I34" s="58">
        <f t="shared" ref="I34:I49" si="1">ROUND(H34,2)</f>
        <v>0</v>
      </c>
      <c r="J34" s="388"/>
      <c r="K34" s="389"/>
      <c r="L34" s="17"/>
      <c r="M34" s="17"/>
      <c r="O34" s="282" t="s">
        <v>334</v>
      </c>
      <c r="P34" s="277" t="s">
        <v>221</v>
      </c>
      <c r="Q34" s="282" t="s">
        <v>335</v>
      </c>
      <c r="R34" s="513">
        <v>45931</v>
      </c>
    </row>
    <row r="35" spans="1:18" ht="15" customHeight="1" x14ac:dyDescent="0.3">
      <c r="B35" s="55" t="s">
        <v>50</v>
      </c>
      <c r="C35" s="378"/>
      <c r="D35" s="379"/>
      <c r="E35" s="380"/>
      <c r="F35" s="56"/>
      <c r="G35" s="57">
        <f>F35</f>
        <v>0</v>
      </c>
      <c r="H35" s="57">
        <f t="shared" si="0"/>
        <v>0</v>
      </c>
      <c r="I35" s="58">
        <f t="shared" si="1"/>
        <v>0</v>
      </c>
      <c r="J35" s="381"/>
      <c r="K35" s="382"/>
      <c r="L35" s="17"/>
      <c r="M35" s="17"/>
    </row>
    <row r="36" spans="1:18" ht="15" customHeight="1" x14ac:dyDescent="0.3">
      <c r="A36" s="17">
        <v>3</v>
      </c>
      <c r="B36" s="55" t="s">
        <v>51</v>
      </c>
      <c r="C36" s="378"/>
      <c r="D36" s="379"/>
      <c r="E36" s="380"/>
      <c r="F36" s="56"/>
      <c r="G36" s="57">
        <f>F36</f>
        <v>0</v>
      </c>
      <c r="H36" s="57">
        <f t="shared" si="0"/>
        <v>0</v>
      </c>
      <c r="I36" s="58">
        <f t="shared" si="1"/>
        <v>0</v>
      </c>
      <c r="J36" s="381"/>
      <c r="K36" s="382"/>
      <c r="L36" s="17"/>
      <c r="M36" s="17"/>
      <c r="O36" s="514"/>
      <c r="P36" s="515"/>
      <c r="Q36" s="514"/>
      <c r="R36" s="516"/>
    </row>
    <row r="37" spans="1:18" ht="15" customHeight="1" x14ac:dyDescent="0.3">
      <c r="B37" s="55" t="s">
        <v>52</v>
      </c>
      <c r="C37" s="378"/>
      <c r="D37" s="379"/>
      <c r="E37" s="380"/>
      <c r="F37" s="56"/>
      <c r="G37" s="57"/>
      <c r="H37" s="57"/>
      <c r="I37" s="58"/>
      <c r="J37" s="381"/>
      <c r="K37" s="382"/>
      <c r="L37" s="17"/>
      <c r="M37" s="17"/>
      <c r="O37" s="517"/>
      <c r="P37" s="517"/>
      <c r="Q37" s="517"/>
      <c r="R37" s="517"/>
    </row>
    <row r="38" spans="1:18" ht="15" customHeight="1" x14ac:dyDescent="0.3">
      <c r="B38" s="55" t="s">
        <v>53</v>
      </c>
      <c r="C38" s="378"/>
      <c r="D38" s="379"/>
      <c r="E38" s="380"/>
      <c r="F38" s="56"/>
      <c r="G38" s="57">
        <f t="shared" ref="G38:G53" si="2">F38</f>
        <v>0</v>
      </c>
      <c r="H38" s="57">
        <f t="shared" si="0"/>
        <v>0</v>
      </c>
      <c r="I38" s="58">
        <f t="shared" si="1"/>
        <v>0</v>
      </c>
      <c r="J38" s="381"/>
      <c r="K38" s="382"/>
      <c r="L38" s="17"/>
      <c r="M38" s="17"/>
    </row>
    <row r="39" spans="1:18" ht="15" customHeight="1" x14ac:dyDescent="0.3">
      <c r="B39" s="55" t="s">
        <v>54</v>
      </c>
      <c r="C39" s="378"/>
      <c r="D39" s="379"/>
      <c r="E39" s="380"/>
      <c r="F39" s="56"/>
      <c r="G39" s="57">
        <f t="shared" si="2"/>
        <v>0</v>
      </c>
      <c r="H39" s="57">
        <f t="shared" si="0"/>
        <v>0</v>
      </c>
      <c r="I39" s="58">
        <f t="shared" si="1"/>
        <v>0</v>
      </c>
      <c r="J39" s="381"/>
      <c r="K39" s="382"/>
      <c r="L39" s="17"/>
      <c r="M39" s="17"/>
    </row>
    <row r="40" spans="1:18" ht="15" customHeight="1" x14ac:dyDescent="0.3">
      <c r="B40" s="55" t="s">
        <v>55</v>
      </c>
      <c r="C40" s="378"/>
      <c r="D40" s="379"/>
      <c r="E40" s="380"/>
      <c r="F40" s="56"/>
      <c r="G40" s="57">
        <f t="shared" si="2"/>
        <v>0</v>
      </c>
      <c r="H40" s="57">
        <f t="shared" si="0"/>
        <v>0</v>
      </c>
      <c r="I40" s="58">
        <f t="shared" si="1"/>
        <v>0</v>
      </c>
      <c r="J40" s="381"/>
      <c r="K40" s="382"/>
      <c r="L40" s="17"/>
      <c r="M40" s="17"/>
    </row>
    <row r="41" spans="1:18" ht="15" customHeight="1" x14ac:dyDescent="0.3">
      <c r="B41" s="55" t="s">
        <v>56</v>
      </c>
      <c r="C41" s="378"/>
      <c r="D41" s="379"/>
      <c r="E41" s="380"/>
      <c r="F41" s="56"/>
      <c r="G41" s="57">
        <f t="shared" si="2"/>
        <v>0</v>
      </c>
      <c r="H41" s="57">
        <f t="shared" si="0"/>
        <v>0</v>
      </c>
      <c r="I41" s="58">
        <f t="shared" si="1"/>
        <v>0</v>
      </c>
      <c r="J41" s="381"/>
      <c r="K41" s="382"/>
      <c r="L41" s="17"/>
      <c r="M41" s="17"/>
    </row>
    <row r="42" spans="1:18" ht="15" customHeight="1" x14ac:dyDescent="0.3">
      <c r="B42" s="55" t="s">
        <v>57</v>
      </c>
      <c r="C42" s="378"/>
      <c r="D42" s="379"/>
      <c r="E42" s="380"/>
      <c r="F42" s="56"/>
      <c r="G42" s="57">
        <f t="shared" si="2"/>
        <v>0</v>
      </c>
      <c r="H42" s="57">
        <f t="shared" si="0"/>
        <v>0</v>
      </c>
      <c r="I42" s="58">
        <f t="shared" si="1"/>
        <v>0</v>
      </c>
      <c r="J42" s="381"/>
      <c r="K42" s="382"/>
      <c r="L42" s="17"/>
      <c r="M42" s="17"/>
    </row>
    <row r="43" spans="1:18" ht="15" customHeight="1" x14ac:dyDescent="0.3">
      <c r="B43" s="55" t="s">
        <v>58</v>
      </c>
      <c r="C43" s="378"/>
      <c r="D43" s="379"/>
      <c r="E43" s="380"/>
      <c r="F43" s="56"/>
      <c r="G43" s="57">
        <f t="shared" si="2"/>
        <v>0</v>
      </c>
      <c r="H43" s="57">
        <f t="shared" si="0"/>
        <v>0</v>
      </c>
      <c r="I43" s="58">
        <f t="shared" si="1"/>
        <v>0</v>
      </c>
      <c r="J43" s="381"/>
      <c r="K43" s="382"/>
      <c r="L43" s="17"/>
      <c r="M43" s="17"/>
    </row>
    <row r="44" spans="1:18" ht="15" customHeight="1" x14ac:dyDescent="0.3">
      <c r="B44" s="55" t="s">
        <v>59</v>
      </c>
      <c r="C44" s="378"/>
      <c r="D44" s="379"/>
      <c r="E44" s="380"/>
      <c r="F44" s="56"/>
      <c r="G44" s="57">
        <f t="shared" si="2"/>
        <v>0</v>
      </c>
      <c r="H44" s="57">
        <f t="shared" si="0"/>
        <v>0</v>
      </c>
      <c r="I44" s="58">
        <f t="shared" si="1"/>
        <v>0</v>
      </c>
      <c r="J44" s="381"/>
      <c r="K44" s="382"/>
      <c r="L44" s="17"/>
      <c r="M44" s="17"/>
    </row>
    <row r="45" spans="1:18" ht="15" customHeight="1" x14ac:dyDescent="0.3">
      <c r="B45" s="55" t="s">
        <v>60</v>
      </c>
      <c r="C45" s="378"/>
      <c r="D45" s="379"/>
      <c r="E45" s="380"/>
      <c r="F45" s="56"/>
      <c r="G45" s="57">
        <f t="shared" si="2"/>
        <v>0</v>
      </c>
      <c r="H45" s="57">
        <f t="shared" si="0"/>
        <v>0</v>
      </c>
      <c r="I45" s="58">
        <f t="shared" si="1"/>
        <v>0</v>
      </c>
      <c r="J45" s="381"/>
      <c r="K45" s="382"/>
      <c r="L45" s="17"/>
      <c r="M45" s="17"/>
    </row>
    <row r="46" spans="1:18" ht="15" customHeight="1" x14ac:dyDescent="0.3">
      <c r="B46" s="55" t="s">
        <v>61</v>
      </c>
      <c r="C46" s="378"/>
      <c r="D46" s="379"/>
      <c r="E46" s="380"/>
      <c r="F46" s="56"/>
      <c r="G46" s="57">
        <f t="shared" si="2"/>
        <v>0</v>
      </c>
      <c r="H46" s="57">
        <f t="shared" si="0"/>
        <v>0</v>
      </c>
      <c r="I46" s="58">
        <f t="shared" si="1"/>
        <v>0</v>
      </c>
      <c r="J46" s="381"/>
      <c r="K46" s="382"/>
      <c r="L46" s="17"/>
      <c r="M46" s="17"/>
    </row>
    <row r="47" spans="1:18" ht="15" customHeight="1" x14ac:dyDescent="0.3">
      <c r="B47" s="55" t="s">
        <v>62</v>
      </c>
      <c r="C47" s="378"/>
      <c r="D47" s="379"/>
      <c r="E47" s="380"/>
      <c r="F47" s="56"/>
      <c r="G47" s="57">
        <f t="shared" si="2"/>
        <v>0</v>
      </c>
      <c r="H47" s="57">
        <f t="shared" si="0"/>
        <v>0</v>
      </c>
      <c r="I47" s="58">
        <f t="shared" si="1"/>
        <v>0</v>
      </c>
      <c r="J47" s="381"/>
      <c r="K47" s="382"/>
      <c r="L47" s="17"/>
      <c r="M47" s="17"/>
    </row>
    <row r="48" spans="1:18" ht="15" customHeight="1" x14ac:dyDescent="0.3">
      <c r="B48" s="55" t="s">
        <v>63</v>
      </c>
      <c r="C48" s="378"/>
      <c r="D48" s="379"/>
      <c r="E48" s="380"/>
      <c r="F48" s="56"/>
      <c r="G48" s="57">
        <f t="shared" si="2"/>
        <v>0</v>
      </c>
      <c r="H48" s="57">
        <f t="shared" si="0"/>
        <v>0</v>
      </c>
      <c r="I48" s="58">
        <f t="shared" si="1"/>
        <v>0</v>
      </c>
      <c r="J48" s="381"/>
      <c r="K48" s="382"/>
      <c r="L48" s="17"/>
      <c r="M48" s="17"/>
    </row>
    <row r="49" spans="2:13" ht="15" customHeight="1" x14ac:dyDescent="0.3">
      <c r="B49" s="55" t="s">
        <v>64</v>
      </c>
      <c r="C49" s="378"/>
      <c r="D49" s="379"/>
      <c r="E49" s="380"/>
      <c r="F49" s="56"/>
      <c r="G49" s="57">
        <f t="shared" si="2"/>
        <v>0</v>
      </c>
      <c r="H49" s="57">
        <f t="shared" si="0"/>
        <v>0</v>
      </c>
      <c r="I49" s="58">
        <f t="shared" si="1"/>
        <v>0</v>
      </c>
      <c r="J49" s="381"/>
      <c r="K49" s="382"/>
      <c r="L49" s="17"/>
      <c r="M49" s="17"/>
    </row>
    <row r="50" spans="2:13" ht="15" customHeight="1" x14ac:dyDescent="0.3">
      <c r="B50" s="55" t="s">
        <v>65</v>
      </c>
      <c r="C50" s="378"/>
      <c r="D50" s="379"/>
      <c r="E50" s="380"/>
      <c r="F50" s="56"/>
      <c r="G50" s="57">
        <f t="shared" si="2"/>
        <v>0</v>
      </c>
      <c r="H50" s="57">
        <f>PRODUCT(G50,1/60)</f>
        <v>0</v>
      </c>
      <c r="I50" s="58">
        <f>ROUND(H50,2)</f>
        <v>0</v>
      </c>
      <c r="J50" s="381"/>
      <c r="K50" s="382"/>
      <c r="L50" s="17"/>
      <c r="M50" s="17"/>
    </row>
    <row r="51" spans="2:13" ht="15" customHeight="1" x14ac:dyDescent="0.3">
      <c r="B51" s="55" t="s">
        <v>66</v>
      </c>
      <c r="C51" s="378"/>
      <c r="D51" s="379"/>
      <c r="E51" s="380"/>
      <c r="F51" s="56"/>
      <c r="G51" s="57">
        <f t="shared" si="2"/>
        <v>0</v>
      </c>
      <c r="H51" s="57">
        <f>PRODUCT(G51,1/60)</f>
        <v>0</v>
      </c>
      <c r="I51" s="58">
        <f>ROUND(H51,2)</f>
        <v>0</v>
      </c>
      <c r="J51" s="381"/>
      <c r="K51" s="382"/>
      <c r="L51" s="17"/>
      <c r="M51" s="17"/>
    </row>
    <row r="52" spans="2:13" ht="15" customHeight="1" x14ac:dyDescent="0.3">
      <c r="B52" s="55" t="s">
        <v>67</v>
      </c>
      <c r="C52" s="378"/>
      <c r="D52" s="379"/>
      <c r="E52" s="380"/>
      <c r="F52" s="56"/>
      <c r="G52" s="57">
        <f t="shared" si="2"/>
        <v>0</v>
      </c>
      <c r="H52" s="57">
        <f>PRODUCT(G52,1/60)</f>
        <v>0</v>
      </c>
      <c r="I52" s="58">
        <f>ROUND(H52,2)</f>
        <v>0</v>
      </c>
      <c r="J52" s="381"/>
      <c r="K52" s="382"/>
      <c r="L52" s="17"/>
      <c r="M52" s="17"/>
    </row>
    <row r="53" spans="2:13" ht="15" customHeight="1" thickBot="1" x14ac:dyDescent="0.35">
      <c r="B53" s="55" t="s">
        <v>68</v>
      </c>
      <c r="C53" s="383" t="s">
        <v>321</v>
      </c>
      <c r="D53" s="384"/>
      <c r="E53" s="385"/>
      <c r="F53" s="162">
        <f>J6</f>
        <v>30</v>
      </c>
      <c r="G53" s="57">
        <f t="shared" si="2"/>
        <v>30</v>
      </c>
      <c r="H53" s="57">
        <f>PRODUCT(G53,1/60)</f>
        <v>0.5</v>
      </c>
      <c r="I53" s="58">
        <f>ROUND(H53,2)</f>
        <v>0.5</v>
      </c>
      <c r="J53" s="386"/>
      <c r="K53" s="387"/>
      <c r="L53" s="17"/>
      <c r="M53" s="17"/>
    </row>
    <row r="54" spans="2:13" ht="20.100000000000001" customHeight="1" thickBot="1" x14ac:dyDescent="0.35">
      <c r="B54" s="59"/>
      <c r="C54" s="372" t="s">
        <v>199</v>
      </c>
      <c r="D54" s="372"/>
      <c r="E54" s="86"/>
      <c r="F54" s="60">
        <f>SUM(F34:F53)</f>
        <v>30</v>
      </c>
      <c r="G54" s="61">
        <f>SUM(G34:G53)</f>
        <v>30</v>
      </c>
      <c r="H54" s="61">
        <f>PRODUCT(G54,1/60)</f>
        <v>0.5</v>
      </c>
      <c r="I54" s="62">
        <f>SUM(I34:I53)</f>
        <v>0.5</v>
      </c>
      <c r="J54" s="373"/>
      <c r="K54" s="374"/>
      <c r="L54" s="17"/>
      <c r="M54" s="17"/>
    </row>
    <row r="72" spans="2:14" x14ac:dyDescent="0.3">
      <c r="B72" s="63"/>
      <c r="N72" s="22"/>
    </row>
  </sheetData>
  <mergeCells count="76">
    <mergeCell ref="B1:M1"/>
    <mergeCell ref="B11:D11"/>
    <mergeCell ref="F11:K11"/>
    <mergeCell ref="B12:C12"/>
    <mergeCell ref="F12:J12"/>
    <mergeCell ref="B16:C16"/>
    <mergeCell ref="F16:J16"/>
    <mergeCell ref="B17:C17"/>
    <mergeCell ref="F17:J17"/>
    <mergeCell ref="B13:C13"/>
    <mergeCell ref="F13:J13"/>
    <mergeCell ref="B14:C14"/>
    <mergeCell ref="F14:J14"/>
    <mergeCell ref="B15:C15"/>
    <mergeCell ref="F15:J15"/>
    <mergeCell ref="B32:B33"/>
    <mergeCell ref="C32:E33"/>
    <mergeCell ref="J32:K33"/>
    <mergeCell ref="B18:C18"/>
    <mergeCell ref="F18:J18"/>
    <mergeCell ref="B23:C23"/>
    <mergeCell ref="F23:J23"/>
    <mergeCell ref="B30:C30"/>
    <mergeCell ref="F30:J30"/>
    <mergeCell ref="B25:C25"/>
    <mergeCell ref="F25:J25"/>
    <mergeCell ref="B24:C24"/>
    <mergeCell ref="F24:J24"/>
    <mergeCell ref="C36:E36"/>
    <mergeCell ref="J36:K36"/>
    <mergeCell ref="C37:E37"/>
    <mergeCell ref="J37:K37"/>
    <mergeCell ref="J34:K34"/>
    <mergeCell ref="C35:E35"/>
    <mergeCell ref="J35:K35"/>
    <mergeCell ref="C34:E34"/>
    <mergeCell ref="C40:E40"/>
    <mergeCell ref="J40:K40"/>
    <mergeCell ref="C41:E41"/>
    <mergeCell ref="J41:K41"/>
    <mergeCell ref="C38:E38"/>
    <mergeCell ref="J38:K38"/>
    <mergeCell ref="C39:E39"/>
    <mergeCell ref="J39:K39"/>
    <mergeCell ref="C44:E44"/>
    <mergeCell ref="J44:K44"/>
    <mergeCell ref="C45:E45"/>
    <mergeCell ref="J45:K45"/>
    <mergeCell ref="C42:E42"/>
    <mergeCell ref="J42:K42"/>
    <mergeCell ref="C43:E43"/>
    <mergeCell ref="J43:K43"/>
    <mergeCell ref="C48:E48"/>
    <mergeCell ref="J48:K48"/>
    <mergeCell ref="C49:E49"/>
    <mergeCell ref="J49:K49"/>
    <mergeCell ref="C46:E46"/>
    <mergeCell ref="J46:K46"/>
    <mergeCell ref="C47:E47"/>
    <mergeCell ref="J47:K47"/>
    <mergeCell ref="C54:D54"/>
    <mergeCell ref="J54:K54"/>
    <mergeCell ref="B27:C27"/>
    <mergeCell ref="B28:C28"/>
    <mergeCell ref="B29:C29"/>
    <mergeCell ref="F27:J27"/>
    <mergeCell ref="F28:J28"/>
    <mergeCell ref="F29:J29"/>
    <mergeCell ref="C52:E52"/>
    <mergeCell ref="J52:K52"/>
    <mergeCell ref="C53:E53"/>
    <mergeCell ref="J53:K53"/>
    <mergeCell ref="C50:E50"/>
    <mergeCell ref="J50:K50"/>
    <mergeCell ref="C51:E51"/>
    <mergeCell ref="J51:K51"/>
  </mergeCells>
  <dataValidations count="2">
    <dataValidation showInputMessage="1" showErrorMessage="1" error="Nesprávný formát" sqref="K15" xr:uid="{00000000-0002-0000-0100-000000000000}"/>
    <dataValidation type="list" allowBlank="1" showInputMessage="1" showErrorMessage="1" sqref="D22 K22" xr:uid="{00000000-0002-0000-0100-000001000000}">
      <formula1>$O$12:$O$25</formula1>
    </dataValidation>
  </dataValidations>
  <pageMargins left="0.59055118110236227" right="0.59055118110236227" top="0.56000000000000005" bottom="0.61" header="0.35" footer="0.51181102362204722"/>
  <pageSetup paperSize="9" scale="90" orientation="portrait" r:id="rId1"/>
  <headerFooter alignWithMargins="0"/>
  <ignoredErrors>
    <ignoredError sqref="D27:D30 K27:K29 K30 F53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'Vztah mezi metab. produkcí  (2)'!$A$33:$A$34</xm:f>
          </x14:formula1>
          <xm:sqref>D14</xm:sqref>
        </x14:dataValidation>
        <x14:dataValidation type="list" showInputMessage="1" showErrorMessage="1" error="Nesprávný formát" xr:uid="{00000000-0002-0000-0100-000003000000}">
          <x14:formula1>
            <xm:f>'Vztah mezi metab. produkcí  (2)'!$A$33:$A$34</xm:f>
          </x14:formula1>
          <xm:sqref>K14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2">
    <tabColor indexed="40"/>
  </sheetPr>
  <dimension ref="A1:F30"/>
  <sheetViews>
    <sheetView showGridLines="0" zoomScaleNormal="100" workbookViewId="0">
      <selection activeCell="E7" sqref="E7"/>
    </sheetView>
  </sheetViews>
  <sheetFormatPr defaultColWidth="8.88671875" defaultRowHeight="13.8" x14ac:dyDescent="0.3"/>
  <cols>
    <col min="1" max="1" width="19" style="69" customWidth="1"/>
    <col min="2" max="3" width="19.109375" style="69" customWidth="1"/>
    <col min="4" max="5" width="19" style="69" customWidth="1"/>
    <col min="6" max="6" width="17.33203125" style="69" customWidth="1"/>
    <col min="7" max="7" width="16.44140625" style="69" bestFit="1" customWidth="1"/>
    <col min="8" max="16384" width="8.88671875" style="69"/>
  </cols>
  <sheetData>
    <row r="1" spans="1:6" ht="26.4" customHeight="1" x14ac:dyDescent="0.3">
      <c r="A1" s="407" t="s">
        <v>26</v>
      </c>
      <c r="B1" s="407"/>
      <c r="C1" s="407"/>
      <c r="D1" s="407"/>
      <c r="E1" s="407"/>
      <c r="F1" s="87"/>
    </row>
    <row r="6" spans="1:6" ht="20.100000000000001" customHeight="1" thickBot="1" x14ac:dyDescent="0.35">
      <c r="A6" s="72" t="s">
        <v>77</v>
      </c>
      <c r="D6" s="73" t="s">
        <v>78</v>
      </c>
    </row>
    <row r="7" spans="1:6" ht="20.100000000000001" customHeight="1" x14ac:dyDescent="0.3">
      <c r="A7" s="156" t="s">
        <v>84</v>
      </c>
      <c r="B7" s="89">
        <f>'Časový snímek A+B'!D14</f>
        <v>0</v>
      </c>
      <c r="D7" s="88" t="s">
        <v>84</v>
      </c>
      <c r="E7" s="89">
        <f>'Časový snímek A+B'!K14</f>
        <v>0</v>
      </c>
    </row>
    <row r="8" spans="1:6" ht="20.100000000000001" customHeight="1" x14ac:dyDescent="0.3">
      <c r="A8" s="157" t="s">
        <v>0</v>
      </c>
      <c r="B8" s="91">
        <f>'Časový snímek A+B'!D16</f>
        <v>0</v>
      </c>
      <c r="D8" s="90" t="s">
        <v>0</v>
      </c>
      <c r="E8" s="91">
        <f>'Časový snímek A+B'!K16</f>
        <v>0</v>
      </c>
    </row>
    <row r="9" spans="1:6" ht="20.100000000000001" customHeight="1" x14ac:dyDescent="0.3">
      <c r="A9" s="157" t="s">
        <v>80</v>
      </c>
      <c r="B9" s="91">
        <f>'Časový snímek A+B'!D18</f>
        <v>0</v>
      </c>
      <c r="D9" s="90" t="s">
        <v>80</v>
      </c>
      <c r="E9" s="91">
        <f>'Časový snímek A+B'!K18</f>
        <v>0</v>
      </c>
    </row>
    <row r="10" spans="1:6" ht="20.100000000000001" customHeight="1" x14ac:dyDescent="0.3">
      <c r="A10" s="157" t="s">
        <v>1</v>
      </c>
      <c r="B10" s="91">
        <f>'Časový snímek A+B'!D17</f>
        <v>0</v>
      </c>
      <c r="D10" s="90" t="s">
        <v>1</v>
      </c>
      <c r="E10" s="91">
        <f>'Časový snímek A+B'!K17</f>
        <v>0</v>
      </c>
    </row>
    <row r="11" spans="1:6" ht="20.100000000000001" customHeight="1" x14ac:dyDescent="0.3">
      <c r="A11" s="157" t="s">
        <v>79</v>
      </c>
      <c r="B11" s="91">
        <f>'Časový snímek A+B'!D23</f>
        <v>0</v>
      </c>
      <c r="D11" s="90" t="s">
        <v>79</v>
      </c>
      <c r="E11" s="91">
        <f>'Časový snímek A+B'!K23</f>
        <v>0</v>
      </c>
    </row>
    <row r="12" spans="1:6" ht="20.100000000000001" customHeight="1" thickBot="1" x14ac:dyDescent="0.35">
      <c r="A12" s="155" t="s">
        <v>148</v>
      </c>
      <c r="B12" s="158">
        <f>'Časový snímek A+B'!D25</f>
        <v>0</v>
      </c>
      <c r="D12" s="155" t="s">
        <v>148</v>
      </c>
      <c r="E12" s="159">
        <f>'Časový snímek A+B'!K25</f>
        <v>0</v>
      </c>
    </row>
    <row r="13" spans="1:6" ht="24" customHeight="1" x14ac:dyDescent="0.3">
      <c r="A13" s="92"/>
      <c r="B13" s="93"/>
      <c r="D13" s="92"/>
      <c r="E13" s="93"/>
    </row>
    <row r="14" spans="1:6" ht="30.6" customHeight="1" x14ac:dyDescent="0.3">
      <c r="A14" s="90" t="s">
        <v>17</v>
      </c>
      <c r="B14" s="94" t="e">
        <f>#REF!</f>
        <v>#REF!</v>
      </c>
      <c r="D14" s="90" t="s">
        <v>17</v>
      </c>
      <c r="E14" s="94" t="e">
        <f>#REF!</f>
        <v>#REF!</v>
      </c>
    </row>
    <row r="15" spans="1:6" ht="30.6" customHeight="1" x14ac:dyDescent="0.3">
      <c r="A15" s="90" t="s">
        <v>18</v>
      </c>
      <c r="B15" s="95" t="e">
        <f>#REF!</f>
        <v>#REF!</v>
      </c>
      <c r="D15" s="90" t="s">
        <v>18</v>
      </c>
      <c r="E15" s="95" t="e">
        <f>#REF!</f>
        <v>#REF!</v>
      </c>
    </row>
    <row r="16" spans="1:6" ht="30.6" customHeight="1" x14ac:dyDescent="0.3">
      <c r="A16" s="90" t="s">
        <v>19</v>
      </c>
      <c r="B16" s="96" t="e">
        <f>#REF!</f>
        <v>#REF!</v>
      </c>
      <c r="D16" s="90" t="s">
        <v>19</v>
      </c>
      <c r="E16" s="96" t="e">
        <f>#REF!</f>
        <v>#REF!</v>
      </c>
    </row>
    <row r="17" spans="1:5" ht="30.6" customHeight="1" thickBot="1" x14ac:dyDescent="0.35">
      <c r="A17" s="97" t="s">
        <v>83</v>
      </c>
      <c r="B17" s="98" t="e">
        <f>'Časový snímek A+B'!D30</f>
        <v>#REF!</v>
      </c>
      <c r="D17" s="97" t="s">
        <v>83</v>
      </c>
      <c r="E17" s="98" t="e">
        <f>'Časový snímek A+B'!K30</f>
        <v>#REF!</v>
      </c>
    </row>
    <row r="20" spans="1:5" ht="14.4" thickBot="1" x14ac:dyDescent="0.35"/>
    <row r="21" spans="1:5" ht="19.95" customHeight="1" x14ac:dyDescent="0.3">
      <c r="A21" s="99" t="s">
        <v>15</v>
      </c>
      <c r="B21" s="100" t="s">
        <v>14</v>
      </c>
      <c r="C21" s="100" t="s">
        <v>13</v>
      </c>
      <c r="D21" s="101" t="s">
        <v>12</v>
      </c>
    </row>
    <row r="22" spans="1:5" ht="19.95" customHeight="1" x14ac:dyDescent="0.3">
      <c r="A22" s="102" t="s">
        <v>11</v>
      </c>
      <c r="B22" s="70">
        <v>178</v>
      </c>
      <c r="C22" s="70">
        <v>88</v>
      </c>
      <c r="D22" s="103">
        <v>45</v>
      </c>
    </row>
    <row r="23" spans="1:5" ht="19.95" customHeight="1" thickBot="1" x14ac:dyDescent="0.35">
      <c r="A23" s="104" t="s">
        <v>10</v>
      </c>
      <c r="B23" s="105">
        <v>165</v>
      </c>
      <c r="C23" s="105">
        <v>71</v>
      </c>
      <c r="D23" s="106">
        <v>45</v>
      </c>
    </row>
    <row r="24" spans="1:5" ht="19.95" customHeight="1" x14ac:dyDescent="0.3">
      <c r="A24" s="71" t="s">
        <v>16</v>
      </c>
    </row>
    <row r="25" spans="1:5" ht="19.95" customHeight="1" x14ac:dyDescent="0.3"/>
    <row r="26" spans="1:5" ht="24" customHeight="1" x14ac:dyDescent="0.3"/>
    <row r="27" spans="1:5" ht="29.4" customHeight="1" x14ac:dyDescent="0.3"/>
    <row r="28" spans="1:5" ht="29.4" customHeight="1" x14ac:dyDescent="0.3"/>
    <row r="29" spans="1:5" ht="29.4" customHeight="1" x14ac:dyDescent="0.3"/>
    <row r="30" spans="1:5" ht="29.4" customHeight="1" x14ac:dyDescent="0.3"/>
  </sheetData>
  <mergeCells count="1">
    <mergeCell ref="A1:E1"/>
  </mergeCells>
  <phoneticPr fontId="7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2:J20"/>
  <sheetViews>
    <sheetView workbookViewId="0">
      <selection activeCell="D40" sqref="D40"/>
    </sheetView>
  </sheetViews>
  <sheetFormatPr defaultRowHeight="13.2" x14ac:dyDescent="0.25"/>
  <cols>
    <col min="1" max="1" width="5.5546875" customWidth="1"/>
    <col min="2" max="2" width="27.88671875" customWidth="1"/>
    <col min="3" max="3" width="10.44140625" customWidth="1"/>
    <col min="4" max="5" width="15" customWidth="1"/>
    <col min="8" max="8" width="16.44140625" customWidth="1"/>
    <col min="9" max="10" width="16.44140625" style="274" hidden="1" customWidth="1"/>
    <col min="11" max="11" width="16.44140625" customWidth="1"/>
  </cols>
  <sheetData>
    <row r="2" spans="1:10" ht="15.6" x14ac:dyDescent="0.3">
      <c r="A2" s="69"/>
      <c r="B2" s="412" t="s">
        <v>201</v>
      </c>
      <c r="C2" s="412"/>
      <c r="D2" s="412"/>
      <c r="E2" s="412"/>
      <c r="F2" s="412"/>
      <c r="G2" s="412"/>
    </row>
    <row r="3" spans="1:10" ht="13.8" x14ac:dyDescent="0.3">
      <c r="A3" s="69"/>
      <c r="B3" s="69"/>
      <c r="C3" s="69"/>
      <c r="D3" s="69"/>
      <c r="E3" s="69"/>
    </row>
    <row r="4" spans="1:10" ht="14.4" thickBot="1" x14ac:dyDescent="0.35">
      <c r="A4" s="69"/>
      <c r="B4" s="69"/>
      <c r="C4" s="253"/>
      <c r="D4" s="69"/>
      <c r="E4" s="69"/>
    </row>
    <row r="5" spans="1:10" ht="15.6" x14ac:dyDescent="0.3">
      <c r="A5" s="254"/>
      <c r="B5" s="255"/>
      <c r="C5" s="256"/>
      <c r="D5" s="408" t="s">
        <v>200</v>
      </c>
      <c r="E5" s="409"/>
    </row>
    <row r="6" spans="1:10" ht="41.4" x14ac:dyDescent="0.3">
      <c r="A6" s="257"/>
      <c r="B6" s="258" t="s">
        <v>190</v>
      </c>
      <c r="C6" s="259" t="s">
        <v>191</v>
      </c>
      <c r="D6" s="260" t="s">
        <v>36</v>
      </c>
      <c r="E6" s="266" t="s">
        <v>37</v>
      </c>
      <c r="I6" s="10"/>
      <c r="J6" s="10"/>
    </row>
    <row r="7" spans="1:10" ht="13.8" x14ac:dyDescent="0.3">
      <c r="A7" s="257" t="s">
        <v>49</v>
      </c>
      <c r="B7" s="264">
        <f>'Časový snímek A+B'!C34</f>
        <v>0</v>
      </c>
      <c r="C7" s="265">
        <f>'Časový snímek A+B'!F34</f>
        <v>0</v>
      </c>
      <c r="D7" s="267"/>
      <c r="E7" s="268"/>
      <c r="I7" s="10">
        <f>C7/$C$19*D7</f>
        <v>0</v>
      </c>
      <c r="J7" s="10">
        <f>C7/$C$19*E7</f>
        <v>0</v>
      </c>
    </row>
    <row r="8" spans="1:10" ht="13.8" x14ac:dyDescent="0.3">
      <c r="A8" s="257" t="s">
        <v>50</v>
      </c>
      <c r="B8" s="264">
        <f>'Časový snímek A+B'!C35</f>
        <v>0</v>
      </c>
      <c r="C8" s="265">
        <f>'Časový snímek A+B'!F35</f>
        <v>0</v>
      </c>
      <c r="D8" s="267"/>
      <c r="E8" s="268"/>
      <c r="I8" s="10">
        <f t="shared" ref="I8:I18" si="0">C8/$C$19*D8</f>
        <v>0</v>
      </c>
      <c r="J8" s="10">
        <f t="shared" ref="J8:J18" si="1">C8/$C$19*E8</f>
        <v>0</v>
      </c>
    </row>
    <row r="9" spans="1:10" ht="13.8" x14ac:dyDescent="0.3">
      <c r="A9" s="257" t="s">
        <v>51</v>
      </c>
      <c r="B9" s="264">
        <f>'Časový snímek A+B'!C36</f>
        <v>0</v>
      </c>
      <c r="C9" s="265">
        <f>'Časový snímek A+B'!F36</f>
        <v>0</v>
      </c>
      <c r="D9" s="267"/>
      <c r="E9" s="268"/>
      <c r="I9" s="10">
        <f t="shared" si="0"/>
        <v>0</v>
      </c>
      <c r="J9" s="10">
        <f>C9/$C$19*E9</f>
        <v>0</v>
      </c>
    </row>
    <row r="10" spans="1:10" ht="13.8" x14ac:dyDescent="0.3">
      <c r="A10" s="257" t="s">
        <v>52</v>
      </c>
      <c r="B10" s="264">
        <f>'Časový snímek A+B'!C37</f>
        <v>0</v>
      </c>
      <c r="C10" s="265">
        <f>'Časový snímek A+B'!F37</f>
        <v>0</v>
      </c>
      <c r="D10" s="267"/>
      <c r="E10" s="268"/>
      <c r="I10" s="10">
        <f t="shared" si="0"/>
        <v>0</v>
      </c>
      <c r="J10" s="10">
        <f t="shared" si="1"/>
        <v>0</v>
      </c>
    </row>
    <row r="11" spans="1:10" ht="13.8" x14ac:dyDescent="0.3">
      <c r="A11" s="257" t="s">
        <v>53</v>
      </c>
      <c r="B11" s="264">
        <f>'Časový snímek A+B'!C38</f>
        <v>0</v>
      </c>
      <c r="C11" s="265">
        <f>'Časový snímek A+B'!F38</f>
        <v>0</v>
      </c>
      <c r="D11" s="267"/>
      <c r="E11" s="268"/>
      <c r="I11" s="10">
        <f t="shared" si="0"/>
        <v>0</v>
      </c>
      <c r="J11" s="10">
        <f t="shared" si="1"/>
        <v>0</v>
      </c>
    </row>
    <row r="12" spans="1:10" ht="13.8" x14ac:dyDescent="0.3">
      <c r="A12" s="257" t="s">
        <v>54</v>
      </c>
      <c r="B12" s="264">
        <f>'Časový snímek A+B'!C39</f>
        <v>0</v>
      </c>
      <c r="C12" s="265">
        <f>'Časový snímek A+B'!F39</f>
        <v>0</v>
      </c>
      <c r="D12" s="269"/>
      <c r="E12" s="270"/>
      <c r="I12" s="10">
        <f t="shared" si="0"/>
        <v>0</v>
      </c>
      <c r="J12" s="10">
        <f t="shared" si="1"/>
        <v>0</v>
      </c>
    </row>
    <row r="13" spans="1:10" ht="13.8" x14ac:dyDescent="0.3">
      <c r="A13" s="257" t="s">
        <v>55</v>
      </c>
      <c r="B13" s="264">
        <f>'Časový snímek A+B'!C40</f>
        <v>0</v>
      </c>
      <c r="C13" s="265">
        <f>'Časový snímek A+B'!F40</f>
        <v>0</v>
      </c>
      <c r="D13" s="271"/>
      <c r="E13" s="261"/>
      <c r="I13" s="10">
        <f t="shared" si="0"/>
        <v>0</v>
      </c>
      <c r="J13" s="10">
        <f t="shared" si="1"/>
        <v>0</v>
      </c>
    </row>
    <row r="14" spans="1:10" ht="13.8" x14ac:dyDescent="0.3">
      <c r="A14" s="257" t="s">
        <v>56</v>
      </c>
      <c r="B14" s="264">
        <f>'Časový snímek A+B'!C41</f>
        <v>0</v>
      </c>
      <c r="C14" s="265">
        <f>'Časový snímek A+B'!F41</f>
        <v>0</v>
      </c>
      <c r="D14" s="271"/>
      <c r="E14" s="261"/>
      <c r="I14" s="10">
        <f t="shared" si="0"/>
        <v>0</v>
      </c>
      <c r="J14" s="10">
        <f t="shared" si="1"/>
        <v>0</v>
      </c>
    </row>
    <row r="15" spans="1:10" ht="13.8" x14ac:dyDescent="0.3">
      <c r="A15" s="257" t="s">
        <v>57</v>
      </c>
      <c r="B15" s="264">
        <f>'Časový snímek A+B'!C42</f>
        <v>0</v>
      </c>
      <c r="C15" s="265">
        <f>'Časový snímek A+B'!F42</f>
        <v>0</v>
      </c>
      <c r="D15" s="271"/>
      <c r="E15" s="261"/>
      <c r="I15" s="10">
        <f t="shared" si="0"/>
        <v>0</v>
      </c>
      <c r="J15" s="10">
        <f t="shared" si="1"/>
        <v>0</v>
      </c>
    </row>
    <row r="16" spans="1:10" ht="13.8" x14ac:dyDescent="0.3">
      <c r="A16" s="257" t="s">
        <v>58</v>
      </c>
      <c r="B16" s="264">
        <f>'Časový snímek A+B'!C43</f>
        <v>0</v>
      </c>
      <c r="C16" s="265">
        <f>'Časový snímek A+B'!F43</f>
        <v>0</v>
      </c>
      <c r="D16" s="271"/>
      <c r="E16" s="261"/>
      <c r="I16" s="10">
        <f t="shared" si="0"/>
        <v>0</v>
      </c>
      <c r="J16" s="10">
        <f t="shared" si="1"/>
        <v>0</v>
      </c>
    </row>
    <row r="17" spans="1:10" ht="13.8" x14ac:dyDescent="0.3">
      <c r="A17" s="257" t="s">
        <v>59</v>
      </c>
      <c r="B17" s="264">
        <f>'Časový snímek A+B'!C44</f>
        <v>0</v>
      </c>
      <c r="C17" s="265">
        <f>'Časový snímek A+B'!F44</f>
        <v>0</v>
      </c>
      <c r="D17" s="271"/>
      <c r="E17" s="261"/>
      <c r="I17" s="10">
        <f t="shared" si="0"/>
        <v>0</v>
      </c>
      <c r="J17" s="10">
        <f t="shared" si="1"/>
        <v>0</v>
      </c>
    </row>
    <row r="18" spans="1:10" ht="13.8" x14ac:dyDescent="0.3">
      <c r="A18" s="257" t="s">
        <v>60</v>
      </c>
      <c r="B18" s="264">
        <f>'Časový snímek A+B'!C45</f>
        <v>0</v>
      </c>
      <c r="C18" s="265">
        <f>'Časový snímek A+B'!F45</f>
        <v>0</v>
      </c>
      <c r="D18" s="271"/>
      <c r="E18" s="261"/>
      <c r="I18" s="10">
        <f t="shared" si="0"/>
        <v>0</v>
      </c>
      <c r="J18" s="10">
        <f t="shared" si="1"/>
        <v>0</v>
      </c>
    </row>
    <row r="19" spans="1:10" ht="13.8" x14ac:dyDescent="0.3">
      <c r="A19" s="257"/>
      <c r="B19" s="262" t="s">
        <v>192</v>
      </c>
      <c r="C19" s="265">
        <f>'Časový snímek A+B'!M6</f>
        <v>450</v>
      </c>
      <c r="D19" s="271"/>
      <c r="E19" s="261"/>
      <c r="I19" s="10">
        <f>SUM(I7:I18)</f>
        <v>0</v>
      </c>
      <c r="J19" s="10">
        <f>SUM(J7:J18)</f>
        <v>0</v>
      </c>
    </row>
    <row r="20" spans="1:10" ht="16.2" thickBot="1" x14ac:dyDescent="0.35">
      <c r="A20" s="263"/>
      <c r="B20" s="410" t="s">
        <v>202</v>
      </c>
      <c r="C20" s="411"/>
      <c r="D20" s="272">
        <f>ROUND(I19,0)</f>
        <v>0</v>
      </c>
      <c r="E20" s="273">
        <f>ROUND(J19,0)</f>
        <v>0</v>
      </c>
    </row>
  </sheetData>
  <mergeCells count="3">
    <mergeCell ref="D5:E5"/>
    <mergeCell ref="B20:C20"/>
    <mergeCell ref="B2:G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W59"/>
  <sheetViews>
    <sheetView topLeftCell="E7" zoomScaleNormal="100" workbookViewId="0">
      <selection activeCell="U18" sqref="U18"/>
    </sheetView>
  </sheetViews>
  <sheetFormatPr defaultColWidth="8.88671875" defaultRowHeight="13.8" x14ac:dyDescent="0.3"/>
  <cols>
    <col min="1" max="1" width="18.6640625" style="69" customWidth="1"/>
    <col min="2" max="4" width="9.5546875" style="69" customWidth="1"/>
    <col min="5" max="11" width="9.44140625" style="69" customWidth="1"/>
    <col min="12" max="12" width="9.109375" style="69" customWidth="1"/>
    <col min="13" max="13" width="9.44140625" style="69" customWidth="1"/>
    <col min="14" max="14" width="10.109375" style="69" customWidth="1"/>
    <col min="15" max="15" width="8.88671875" style="69" customWidth="1"/>
    <col min="16" max="16" width="9.44140625" style="69" customWidth="1"/>
    <col min="17" max="17" width="10.5546875" style="69" customWidth="1"/>
    <col min="18" max="18" width="11" style="69" customWidth="1"/>
    <col min="19" max="24" width="12.5546875" style="69" customWidth="1"/>
    <col min="25" max="16384" width="8.88671875" style="69"/>
  </cols>
  <sheetData>
    <row r="1" spans="5:23" s="304" customFormat="1" ht="14.4" thickBot="1" x14ac:dyDescent="0.35">
      <c r="E1" s="305" t="s">
        <v>85</v>
      </c>
    </row>
    <row r="2" spans="5:23" ht="13.2" customHeight="1" x14ac:dyDescent="0.3">
      <c r="F2" s="421" t="s">
        <v>86</v>
      </c>
      <c r="G2" s="424" t="s">
        <v>84</v>
      </c>
      <c r="H2" s="424" t="s">
        <v>0</v>
      </c>
      <c r="I2" s="413" t="s">
        <v>89</v>
      </c>
      <c r="J2" s="424" t="s">
        <v>91</v>
      </c>
      <c r="K2" s="413" t="s">
        <v>93</v>
      </c>
      <c r="L2" s="413" t="s">
        <v>95</v>
      </c>
      <c r="M2" s="415" t="s">
        <v>189</v>
      </c>
    </row>
    <row r="3" spans="5:23" ht="17.399999999999999" customHeight="1" x14ac:dyDescent="0.3">
      <c r="F3" s="422"/>
      <c r="G3" s="425"/>
      <c r="H3" s="427"/>
      <c r="I3" s="414"/>
      <c r="J3" s="427"/>
      <c r="K3" s="414"/>
      <c r="L3" s="414"/>
      <c r="M3" s="416"/>
    </row>
    <row r="4" spans="5:23" ht="17.399999999999999" customHeight="1" thickBot="1" x14ac:dyDescent="0.35">
      <c r="F4" s="423"/>
      <c r="G4" s="426"/>
      <c r="H4" s="164" t="s">
        <v>90</v>
      </c>
      <c r="I4" s="165" t="s">
        <v>90</v>
      </c>
      <c r="J4" s="166" t="s">
        <v>92</v>
      </c>
      <c r="K4" s="165" t="s">
        <v>94</v>
      </c>
      <c r="L4" s="166" t="s">
        <v>96</v>
      </c>
      <c r="M4" s="167" t="s">
        <v>97</v>
      </c>
    </row>
    <row r="5" spans="5:23" ht="17.399999999999999" customHeight="1" thickTop="1" x14ac:dyDescent="0.3">
      <c r="F5" s="168">
        <f>'Časový snímek A+B'!D13</f>
        <v>0</v>
      </c>
      <c r="G5" s="169">
        <f>'Časový snímek A+B'!D14</f>
        <v>0</v>
      </c>
      <c r="H5" s="170">
        <f>'Časový snímek A+B'!D16</f>
        <v>0</v>
      </c>
      <c r="I5" s="171">
        <f>'Časový snímek A+B'!D15</f>
        <v>0</v>
      </c>
      <c r="J5" s="170">
        <f>'Časový snímek A+B'!D17</f>
        <v>0</v>
      </c>
      <c r="K5" s="172">
        <f>'Časový snímek A+B'!D18</f>
        <v>0</v>
      </c>
      <c r="L5" s="173">
        <f>B40</f>
        <v>0</v>
      </c>
      <c r="M5" s="174">
        <f>B55</f>
        <v>8.6934220312500005E-2</v>
      </c>
    </row>
    <row r="6" spans="5:23" ht="17.399999999999999" customHeight="1" thickBot="1" x14ac:dyDescent="0.35">
      <c r="F6" s="175">
        <f>'Časový snímek A+B'!K13</f>
        <v>0</v>
      </c>
      <c r="G6" s="176">
        <f>'Časový snímek A+B'!K14</f>
        <v>0</v>
      </c>
      <c r="H6" s="177">
        <f>'Časový snímek A+B'!K16</f>
        <v>0</v>
      </c>
      <c r="I6" s="178">
        <f>'Časový snímek A+B'!K15</f>
        <v>0</v>
      </c>
      <c r="J6" s="177">
        <f>'Časový snímek A+B'!K17</f>
        <v>0</v>
      </c>
      <c r="K6" s="179">
        <f>'Časový snímek A+B'!K18</f>
        <v>0</v>
      </c>
      <c r="L6" s="173">
        <f>C40</f>
        <v>0</v>
      </c>
      <c r="M6" s="180">
        <f>C55</f>
        <v>8.6934220312500005E-2</v>
      </c>
    </row>
    <row r="7" spans="5:23" ht="17.399999999999999" customHeight="1" thickBot="1" x14ac:dyDescent="0.35">
      <c r="F7" s="417" t="s">
        <v>88</v>
      </c>
      <c r="G7" s="418"/>
      <c r="H7" s="235">
        <f>ROUND(AVERAGE(H5:H6),0)</f>
        <v>0</v>
      </c>
      <c r="I7" s="236">
        <f>AVERAGE(I5:I6)</f>
        <v>0</v>
      </c>
      <c r="J7" s="237">
        <f>AVERAGE(J5:J6)</f>
        <v>0</v>
      </c>
      <c r="K7" s="235">
        <f>AVERAGE(K5:K6)</f>
        <v>0</v>
      </c>
      <c r="L7" s="238">
        <f>AVERAGE(L5:L6)</f>
        <v>0</v>
      </c>
      <c r="M7" s="239">
        <f>AVERAGE(M5:M6)</f>
        <v>8.6934220312500005E-2</v>
      </c>
    </row>
    <row r="8" spans="5:23" ht="14.4" thickBot="1" x14ac:dyDescent="0.35">
      <c r="Q8" s="454" t="s">
        <v>256</v>
      </c>
      <c r="R8" s="455"/>
      <c r="S8" s="456"/>
      <c r="T8" s="471" t="s">
        <v>257</v>
      </c>
      <c r="U8" s="472"/>
      <c r="V8" s="472"/>
      <c r="W8" s="473"/>
    </row>
    <row r="9" spans="5:23" ht="14.4" thickBot="1" x14ac:dyDescent="0.35">
      <c r="F9" s="163" t="s">
        <v>99</v>
      </c>
      <c r="L9" s="468" t="s">
        <v>258</v>
      </c>
      <c r="M9" s="469"/>
      <c r="N9" s="469"/>
      <c r="O9" s="470"/>
      <c r="P9" s="342" t="s">
        <v>297</v>
      </c>
      <c r="Q9" s="343" t="s">
        <v>259</v>
      </c>
      <c r="R9" s="344" t="s">
        <v>260</v>
      </c>
      <c r="S9" s="344" t="s">
        <v>261</v>
      </c>
      <c r="T9" s="340" t="s">
        <v>262</v>
      </c>
      <c r="U9" s="340" t="s">
        <v>263</v>
      </c>
      <c r="V9" s="341" t="s">
        <v>264</v>
      </c>
      <c r="W9" s="341" t="s">
        <v>323</v>
      </c>
    </row>
    <row r="10" spans="5:23" ht="15.6" thickBot="1" x14ac:dyDescent="0.35">
      <c r="F10" s="419" t="s">
        <v>154</v>
      </c>
      <c r="G10" s="289" t="s">
        <v>226</v>
      </c>
      <c r="H10" s="289" t="s">
        <v>227</v>
      </c>
      <c r="I10" s="289" t="s">
        <v>228</v>
      </c>
      <c r="J10" s="291" t="s">
        <v>229</v>
      </c>
      <c r="K10"/>
      <c r="L10" s="431" t="s">
        <v>265</v>
      </c>
      <c r="M10" s="432"/>
      <c r="N10" s="365" t="s">
        <v>266</v>
      </c>
      <c r="O10" s="366" t="s">
        <v>298</v>
      </c>
      <c r="P10" s="367" t="s">
        <v>268</v>
      </c>
      <c r="Q10" s="345" t="s">
        <v>268</v>
      </c>
      <c r="R10" s="345" t="s">
        <v>268</v>
      </c>
      <c r="S10" s="345" t="s">
        <v>268</v>
      </c>
      <c r="T10" s="338" t="s">
        <v>268</v>
      </c>
      <c r="U10" s="338" t="s">
        <v>268</v>
      </c>
      <c r="V10" s="339" t="s">
        <v>268</v>
      </c>
      <c r="W10" s="339" t="s">
        <v>268</v>
      </c>
    </row>
    <row r="11" spans="5:23" ht="16.2" thickTop="1" thickBot="1" x14ac:dyDescent="0.35">
      <c r="F11" s="420"/>
      <c r="G11" s="428" t="s">
        <v>100</v>
      </c>
      <c r="H11" s="429"/>
      <c r="I11" s="429"/>
      <c r="J11" s="430"/>
      <c r="K11"/>
      <c r="L11" s="433" t="s">
        <v>269</v>
      </c>
      <c r="M11" s="434"/>
      <c r="N11" s="309" t="s">
        <v>270</v>
      </c>
      <c r="O11" s="310">
        <v>6.8</v>
      </c>
      <c r="P11" s="368" t="s">
        <v>314</v>
      </c>
      <c r="Q11" s="346" t="s">
        <v>313</v>
      </c>
      <c r="R11" s="346" t="s">
        <v>315</v>
      </c>
      <c r="S11" s="346" t="s">
        <v>316</v>
      </c>
      <c r="T11" s="334" t="s">
        <v>317</v>
      </c>
      <c r="U11" s="334" t="s">
        <v>318</v>
      </c>
      <c r="V11" s="335" t="s">
        <v>319</v>
      </c>
      <c r="W11" s="335" t="s">
        <v>322</v>
      </c>
    </row>
    <row r="12" spans="5:23" ht="14.4" thickTop="1" x14ac:dyDescent="0.3">
      <c r="F12" s="181">
        <f>'Časový snímek A+B'!D13</f>
        <v>0</v>
      </c>
      <c r="G12" s="182">
        <f>'Časový snímek A+B'!D23</f>
        <v>0</v>
      </c>
      <c r="H12" s="183">
        <f>'Časový snímek A+B'!D24</f>
        <v>0</v>
      </c>
      <c r="I12" s="182">
        <f>'Časový snímek A+B'!D25</f>
        <v>0</v>
      </c>
      <c r="J12" s="184">
        <f>H12-G12</f>
        <v>0</v>
      </c>
      <c r="K12"/>
      <c r="L12" s="433" t="s">
        <v>278</v>
      </c>
      <c r="M12" s="434"/>
      <c r="N12" s="309" t="s">
        <v>270</v>
      </c>
      <c r="O12" s="310">
        <v>8</v>
      </c>
      <c r="P12" s="368"/>
      <c r="Q12" s="346"/>
      <c r="R12" s="346"/>
      <c r="S12" s="346"/>
      <c r="T12" s="334"/>
      <c r="U12" s="334"/>
      <c r="V12" s="335"/>
      <c r="W12" s="335"/>
    </row>
    <row r="13" spans="5:23" ht="14.4" thickBot="1" x14ac:dyDescent="0.35">
      <c r="F13" s="92">
        <f>'Časový snímek A+B'!K13</f>
        <v>0</v>
      </c>
      <c r="G13" s="185">
        <f>'Časový snímek A+B'!K23</f>
        <v>0</v>
      </c>
      <c r="H13" s="185">
        <f>'Časový snímek A+B'!K24</f>
        <v>0</v>
      </c>
      <c r="I13" s="185">
        <f>'Časový snímek A+B'!K25</f>
        <v>0</v>
      </c>
      <c r="J13" s="308">
        <f>H13-G13</f>
        <v>0</v>
      </c>
      <c r="K13"/>
      <c r="L13" s="433" t="s">
        <v>279</v>
      </c>
      <c r="M13" s="434"/>
      <c r="N13" s="309" t="s">
        <v>270</v>
      </c>
      <c r="O13" s="310">
        <v>1600</v>
      </c>
      <c r="P13" s="368"/>
      <c r="Q13" s="346"/>
      <c r="R13" s="346"/>
      <c r="S13" s="346"/>
      <c r="T13" s="334"/>
      <c r="U13" s="334"/>
      <c r="V13" s="335"/>
      <c r="W13" s="335"/>
    </row>
    <row r="14" spans="5:23" ht="14.4" thickBot="1" x14ac:dyDescent="0.35">
      <c r="F14" s="240" t="s">
        <v>88</v>
      </c>
      <c r="G14" s="241">
        <f>AVERAGE(G12:G13)</f>
        <v>0</v>
      </c>
      <c r="H14" s="241">
        <f>AVERAGE(H12:H13)</f>
        <v>0</v>
      </c>
      <c r="I14" s="241" t="s">
        <v>87</v>
      </c>
      <c r="J14" s="292">
        <f>AVERAGE(J12:J13)</f>
        <v>0</v>
      </c>
      <c r="K14"/>
      <c r="L14" s="433" t="s">
        <v>280</v>
      </c>
      <c r="M14" s="434"/>
      <c r="N14" s="309" t="s">
        <v>296</v>
      </c>
      <c r="O14" s="310">
        <v>34.5</v>
      </c>
      <c r="P14" s="368" t="s">
        <v>299</v>
      </c>
      <c r="Q14" s="346" t="s">
        <v>300</v>
      </c>
      <c r="R14" s="346" t="s">
        <v>301</v>
      </c>
      <c r="S14" s="346" t="s">
        <v>302</v>
      </c>
      <c r="T14" s="334" t="s">
        <v>303</v>
      </c>
      <c r="U14" s="334" t="s">
        <v>304</v>
      </c>
      <c r="V14" s="335" t="s">
        <v>305</v>
      </c>
      <c r="W14" s="335" t="s">
        <v>324</v>
      </c>
    </row>
    <row r="15" spans="5:23" ht="14.4" thickBot="1" x14ac:dyDescent="0.35">
      <c r="L15" s="466"/>
      <c r="M15" s="467"/>
      <c r="N15" s="332" t="s">
        <v>288</v>
      </c>
      <c r="O15" s="333">
        <v>575</v>
      </c>
      <c r="P15" s="369" t="s">
        <v>306</v>
      </c>
      <c r="Q15" s="347" t="s">
        <v>307</v>
      </c>
      <c r="R15" s="347" t="s">
        <v>308</v>
      </c>
      <c r="S15" s="347" t="s">
        <v>309</v>
      </c>
      <c r="T15" s="336" t="s">
        <v>310</v>
      </c>
      <c r="U15" s="336" t="s">
        <v>311</v>
      </c>
      <c r="V15" s="337" t="s">
        <v>312</v>
      </c>
      <c r="W15" s="337" t="s">
        <v>325</v>
      </c>
    </row>
    <row r="16" spans="5:23" ht="14.4" thickBot="1" x14ac:dyDescent="0.35">
      <c r="F16" s="163" t="s">
        <v>101</v>
      </c>
    </row>
    <row r="17" spans="6:13" ht="13.95" customHeight="1" x14ac:dyDescent="0.3">
      <c r="F17" s="443" t="s">
        <v>102</v>
      </c>
      <c r="G17" s="444"/>
      <c r="H17" s="444"/>
      <c r="I17" s="445"/>
      <c r="J17" s="449" t="s">
        <v>105</v>
      </c>
    </row>
    <row r="18" spans="6:13" ht="14.4" thickBot="1" x14ac:dyDescent="0.35">
      <c r="F18" s="446"/>
      <c r="G18" s="447"/>
      <c r="H18" s="447"/>
      <c r="I18" s="448"/>
      <c r="J18" s="450"/>
    </row>
    <row r="19" spans="6:13" ht="14.4" thickBot="1" x14ac:dyDescent="0.35">
      <c r="F19" s="419" t="s">
        <v>154</v>
      </c>
      <c r="G19" s="290" t="s">
        <v>230</v>
      </c>
      <c r="H19" s="290" t="s">
        <v>231</v>
      </c>
      <c r="I19" s="290" t="s">
        <v>104</v>
      </c>
      <c r="J19" s="186" t="s">
        <v>103</v>
      </c>
    </row>
    <row r="20" spans="6:13" ht="16.2" thickTop="1" thickBot="1" x14ac:dyDescent="0.35">
      <c r="F20" s="420"/>
      <c r="G20" s="187" t="s">
        <v>107</v>
      </c>
      <c r="H20" s="187" t="s">
        <v>232</v>
      </c>
      <c r="I20" s="187" t="s">
        <v>107</v>
      </c>
      <c r="J20" s="188" t="s">
        <v>106</v>
      </c>
    </row>
    <row r="21" spans="6:13" ht="14.4" thickTop="1" x14ac:dyDescent="0.3">
      <c r="F21" s="189">
        <f>F5</f>
        <v>0</v>
      </c>
      <c r="G21" s="190">
        <f>B50</f>
        <v>-8.6934220312500005E-2</v>
      </c>
      <c r="H21" s="190">
        <f>B59</f>
        <v>-0.19318715625000002</v>
      </c>
      <c r="I21" s="190">
        <f>I27</f>
        <v>-20.429541773437499</v>
      </c>
      <c r="J21" s="451" t="str">
        <f>J33</f>
        <v>I</v>
      </c>
      <c r="K21" s="275">
        <f>G21*235</f>
        <v>-20.429541773437499</v>
      </c>
      <c r="L21" s="252"/>
    </row>
    <row r="22" spans="6:13" ht="15" customHeight="1" thickBot="1" x14ac:dyDescent="0.35">
      <c r="F22" s="191">
        <f>F6</f>
        <v>0</v>
      </c>
      <c r="G22" s="192">
        <f>C50</f>
        <v>-8.6934220312500005E-2</v>
      </c>
      <c r="H22" s="192">
        <f>C59</f>
        <v>-0.19318715625000002</v>
      </c>
      <c r="I22" s="192">
        <f>J27</f>
        <v>-20.429541773437499</v>
      </c>
      <c r="J22" s="452"/>
      <c r="K22" s="275">
        <f>G22*235</f>
        <v>-20.429541773437499</v>
      </c>
      <c r="L22" s="252"/>
    </row>
    <row r="23" spans="6:13" ht="15" customHeight="1" thickBot="1" x14ac:dyDescent="0.35">
      <c r="F23" s="242" t="s">
        <v>88</v>
      </c>
      <c r="G23" s="243">
        <f>AVERAGE(G21:G22)</f>
        <v>-8.6934220312500005E-2</v>
      </c>
      <c r="H23" s="243">
        <f>AVERAGE(H21:H22)</f>
        <v>-0.19318715625000002</v>
      </c>
      <c r="I23" s="331">
        <f>AVERAGE(I21:I22)</f>
        <v>-20.429541773437499</v>
      </c>
      <c r="J23" s="453"/>
    </row>
    <row r="24" spans="6:13" x14ac:dyDescent="0.3">
      <c r="F24" s="371" t="s">
        <v>329</v>
      </c>
    </row>
    <row r="25" spans="6:13" x14ac:dyDescent="0.3">
      <c r="G25" s="69" t="s">
        <v>330</v>
      </c>
    </row>
    <row r="26" spans="6:13" ht="14.4" thickBot="1" x14ac:dyDescent="0.35">
      <c r="F26" s="69" t="s">
        <v>253</v>
      </c>
      <c r="I26" s="85" t="s">
        <v>76</v>
      </c>
      <c r="J26" s="85" t="s">
        <v>81</v>
      </c>
    </row>
    <row r="27" spans="6:13" x14ac:dyDescent="0.3">
      <c r="F27" s="349" t="s">
        <v>251</v>
      </c>
      <c r="G27" s="350"/>
      <c r="H27" s="350"/>
      <c r="I27" s="351">
        <f>B50*235</f>
        <v>-20.429541773437499</v>
      </c>
      <c r="J27" s="352">
        <f>C50*235</f>
        <v>-20.429541773437499</v>
      </c>
    </row>
    <row r="28" spans="6:13" ht="14.4" thickBot="1" x14ac:dyDescent="0.35">
      <c r="F28" s="353" t="s">
        <v>252</v>
      </c>
      <c r="G28" s="354"/>
      <c r="H28" s="354"/>
      <c r="I28" s="355">
        <f>B50*156.66</f>
        <v>-13.619114954156251</v>
      </c>
      <c r="J28" s="356">
        <f>C50*156.66</f>
        <v>-13.619114954156251</v>
      </c>
    </row>
    <row r="29" spans="6:13" ht="14.4" thickBot="1" x14ac:dyDescent="0.35"/>
    <row r="30" spans="6:13" ht="27" customHeight="1" thickBot="1" x14ac:dyDescent="0.35">
      <c r="F30" s="437" t="s">
        <v>235</v>
      </c>
      <c r="G30" s="438"/>
      <c r="H30" s="438"/>
      <c r="I30" s="439"/>
      <c r="J30" s="460" t="s">
        <v>236</v>
      </c>
      <c r="K30" s="461"/>
      <c r="L30"/>
      <c r="M30"/>
    </row>
    <row r="31" spans="6:13" ht="14.4" thickTop="1" x14ac:dyDescent="0.3">
      <c r="F31" s="357" t="s">
        <v>36</v>
      </c>
      <c r="G31" s="358"/>
      <c r="H31" s="359"/>
      <c r="I31" s="298">
        <f>B45</f>
        <v>-255</v>
      </c>
      <c r="J31" s="462" t="str">
        <f>IF(B45&lt;=80, "I",
  IF(B45&lt;=105, "IIa",
  IF(B45&lt;=130, "IIb",
  IF(B45&lt;=160, "IIIa",
  IF(B45&lt;=200, "IIIb",
  IF(B45&lt;=250, "IVa",
  IF(B45&lt;=300, "IVb",
  IF(B45&lt;=350, "V", "Neznámá"))))))))</f>
        <v>I</v>
      </c>
      <c r="K31" s="463"/>
      <c r="L31"/>
      <c r="M31"/>
    </row>
    <row r="32" spans="6:13" x14ac:dyDescent="0.3">
      <c r="F32" s="457" t="s">
        <v>37</v>
      </c>
      <c r="G32" s="458"/>
      <c r="H32" s="459"/>
      <c r="I32" s="293">
        <f>C45</f>
        <v>-255</v>
      </c>
      <c r="J32" s="464" t="str">
        <f>IF(C45&lt;=80, "I",  IF(C45&lt;=105, "IIa",  IF(C45&lt;=130, "IIb",  IF(C45&lt;=160, "IIIa",  IF(C45&lt;=200, "IIIb",  IF(C45&lt;=250, "IVa",  IF(C45&lt;=300, "IVb",  IF(C45&lt;=350, "V", "Neznámá"))))))))</f>
        <v>I</v>
      </c>
      <c r="K32" s="465"/>
      <c r="L32"/>
      <c r="M32"/>
    </row>
    <row r="33" spans="1:13" ht="14.4" thickBot="1" x14ac:dyDescent="0.35">
      <c r="F33" s="440" t="s">
        <v>155</v>
      </c>
      <c r="G33" s="441"/>
      <c r="H33" s="442"/>
      <c r="I33" s="297">
        <f>AVERAGE(I31:I32)</f>
        <v>-255</v>
      </c>
      <c r="J33" s="435" t="str">
        <f>IF(I33&lt;=80, "I",
  IF(I33&lt;=105, "IIa",
  IF(I33&lt;=130, "IIb",
  IF(I33&lt;=160, "IIIa",
  IF(I33&lt;=200, "IIIb",
  IF(I33&lt;=250, "IVa",
  IF(I33&lt;=300, "IVb",
  IF(I33&lt;=350, "V", "Neznámá"))))))))</f>
        <v>I</v>
      </c>
      <c r="K33" s="436"/>
      <c r="L33"/>
      <c r="M33"/>
    </row>
    <row r="34" spans="1:13" x14ac:dyDescent="0.3">
      <c r="A34" s="254" t="s">
        <v>209</v>
      </c>
      <c r="B34" s="294">
        <f>'Časový snímek A+B'!D5</f>
        <v>0</v>
      </c>
      <c r="C34" s="295">
        <f>'Časový snímek A+B'!D5</f>
        <v>0</v>
      </c>
    </row>
    <row r="35" spans="1:13" x14ac:dyDescent="0.3">
      <c r="A35" s="301" t="s">
        <v>210</v>
      </c>
      <c r="B35" s="302">
        <f>'Časový snímek A+B'!D13</f>
        <v>0</v>
      </c>
      <c r="C35" s="303">
        <f>'Časový snímek A+B'!K13</f>
        <v>0</v>
      </c>
      <c r="D35" s="304"/>
    </row>
    <row r="36" spans="1:13" x14ac:dyDescent="0.3">
      <c r="A36" s="257"/>
      <c r="B36" s="293"/>
      <c r="C36" s="296"/>
    </row>
    <row r="37" spans="1:13" x14ac:dyDescent="0.3">
      <c r="A37" s="257" t="s">
        <v>211</v>
      </c>
      <c r="B37" s="311">
        <f>'Časový snímek A+B'!D16</f>
        <v>0</v>
      </c>
      <c r="C37" s="312">
        <f>'Časový snímek A+B'!K16</f>
        <v>0</v>
      </c>
    </row>
    <row r="38" spans="1:13" x14ac:dyDescent="0.3">
      <c r="A38" s="257" t="s">
        <v>212</v>
      </c>
      <c r="B38" s="311">
        <f>'Časový snímek A+B'!D17</f>
        <v>0</v>
      </c>
      <c r="C38" s="312">
        <f>'Časový snímek A+B'!K17</f>
        <v>0</v>
      </c>
    </row>
    <row r="39" spans="1:13" x14ac:dyDescent="0.3">
      <c r="A39" s="257" t="s">
        <v>213</v>
      </c>
      <c r="B39" s="311">
        <f>'Časový snímek A+B'!D18</f>
        <v>0</v>
      </c>
      <c r="C39" s="312">
        <f>'Časový snímek A+B'!K18</f>
        <v>0</v>
      </c>
    </row>
    <row r="40" spans="1:13" x14ac:dyDescent="0.3">
      <c r="A40" s="257" t="s">
        <v>233</v>
      </c>
      <c r="B40" s="320">
        <f>(B39)^0.425*(B38)^0.725*0.007184</f>
        <v>0</v>
      </c>
      <c r="C40" s="321">
        <f>(C39)^0.425*(C38)^0.725*0.007184</f>
        <v>0</v>
      </c>
      <c r="D40" s="69" t="str">
        <f>L2</f>
        <v>Těl.   povrch</v>
      </c>
    </row>
    <row r="41" spans="1:13" x14ac:dyDescent="0.3">
      <c r="A41" s="257" t="s">
        <v>214</v>
      </c>
      <c r="B41" s="311">
        <f>'Časový snímek A+B'!D23</f>
        <v>0</v>
      </c>
      <c r="C41" s="312">
        <f>'Časový snímek A+B'!K23</f>
        <v>0</v>
      </c>
    </row>
    <row r="42" spans="1:13" x14ac:dyDescent="0.3">
      <c r="A42" s="257" t="s">
        <v>215</v>
      </c>
      <c r="B42" s="311">
        <f>'Časový snímek A+B'!D24</f>
        <v>0</v>
      </c>
      <c r="C42" s="312">
        <f>'Časový snímek A+B'!K24</f>
        <v>0</v>
      </c>
    </row>
    <row r="43" spans="1:13" x14ac:dyDescent="0.3">
      <c r="A43" s="257" t="s">
        <v>216</v>
      </c>
      <c r="B43" s="311">
        <f>'Časový snímek A+B'!D25</f>
        <v>0</v>
      </c>
      <c r="C43" s="312">
        <f>'Časový snímek A+B'!K25</f>
        <v>0</v>
      </c>
    </row>
    <row r="44" spans="1:13" x14ac:dyDescent="0.3">
      <c r="A44" s="257" t="s">
        <v>217</v>
      </c>
      <c r="B44" s="311">
        <f>B42-B41</f>
        <v>0</v>
      </c>
      <c r="C44" s="312">
        <f>C42-C41</f>
        <v>0</v>
      </c>
    </row>
    <row r="45" spans="1:13" x14ac:dyDescent="0.3">
      <c r="A45" s="313" t="s">
        <v>234</v>
      </c>
      <c r="B45" s="318">
        <f>4*B42-255</f>
        <v>-255</v>
      </c>
      <c r="C45" s="319">
        <f>4*C42-255</f>
        <v>-255</v>
      </c>
      <c r="D45" s="69" t="s">
        <v>255</v>
      </c>
    </row>
    <row r="46" spans="1:13" x14ac:dyDescent="0.3">
      <c r="A46" s="313" t="s">
        <v>245</v>
      </c>
      <c r="B46" s="314">
        <f>B45*16.666</f>
        <v>-4249.83</v>
      </c>
      <c r="C46" s="314">
        <f>C45*16.666</f>
        <v>-4249.83</v>
      </c>
    </row>
    <row r="47" spans="1:13" x14ac:dyDescent="0.3">
      <c r="A47" s="327" t="s">
        <v>246</v>
      </c>
      <c r="B47" s="328">
        <f>B45*B40</f>
        <v>0</v>
      </c>
      <c r="C47" s="329">
        <f>C45*C40</f>
        <v>0</v>
      </c>
    </row>
    <row r="48" spans="1:13" x14ac:dyDescent="0.3">
      <c r="A48" s="327" t="s">
        <v>247</v>
      </c>
      <c r="B48" s="328">
        <f>B47*0.06</f>
        <v>0</v>
      </c>
      <c r="C48" s="328">
        <f>C47*0.06</f>
        <v>0</v>
      </c>
    </row>
    <row r="49" spans="1:4" x14ac:dyDescent="0.3">
      <c r="A49" s="327" t="s">
        <v>248</v>
      </c>
      <c r="B49" s="328">
        <f>B48*B52*0.001</f>
        <v>0</v>
      </c>
      <c r="C49" s="328">
        <f>C48*C52*0.001</f>
        <v>0</v>
      </c>
    </row>
    <row r="50" spans="1:4" ht="14.4" x14ac:dyDescent="0.3">
      <c r="A50" s="327" t="s">
        <v>249</v>
      </c>
      <c r="B50" s="330">
        <f>B49-B55</f>
        <v>-8.6934220312500005E-2</v>
      </c>
      <c r="C50" s="330">
        <f>C49-C55</f>
        <v>-8.6934220312500005E-2</v>
      </c>
      <c r="D50" s="317" t="s">
        <v>250</v>
      </c>
    </row>
    <row r="52" spans="1:4" x14ac:dyDescent="0.3">
      <c r="A52" s="313" t="s">
        <v>243</v>
      </c>
      <c r="B52" s="315">
        <f>'Časový snímek A+B'!M6</f>
        <v>450</v>
      </c>
      <c r="C52" s="316">
        <f>'Časový snímek A+B'!M6</f>
        <v>450</v>
      </c>
    </row>
    <row r="53" spans="1:4" x14ac:dyDescent="0.3">
      <c r="A53" s="322" t="s">
        <v>238</v>
      </c>
      <c r="B53" s="323">
        <f>(66.473+(13.7516*B39)+(5.0033*B38)-(6.755*B37))*4.185</f>
        <v>278.189505</v>
      </c>
      <c r="C53" s="323">
        <f>(66.473+(13.7516*C39)+(5.0033*C38)-(6.755*C37))*4.185</f>
        <v>278.189505</v>
      </c>
    </row>
    <row r="54" spans="1:4" x14ac:dyDescent="0.3">
      <c r="A54" s="324" t="s">
        <v>242</v>
      </c>
      <c r="B54" s="325">
        <f>B53/1440</f>
        <v>0.19318715624999999</v>
      </c>
      <c r="C54" s="325">
        <f>C53/1440</f>
        <v>0.19318715624999999</v>
      </c>
    </row>
    <row r="55" spans="1:4" x14ac:dyDescent="0.3">
      <c r="A55" s="322" t="s">
        <v>237</v>
      </c>
      <c r="B55" s="326">
        <f>B53*B52/1440*0.001</f>
        <v>8.6934220312500005E-2</v>
      </c>
      <c r="C55" s="326">
        <f>C53*C52/1440*0.001</f>
        <v>8.6934220312500005E-2</v>
      </c>
      <c r="D55" s="69" t="s">
        <v>244</v>
      </c>
    </row>
    <row r="59" spans="1:4" ht="15" thickBot="1" x14ac:dyDescent="0.35">
      <c r="A59" s="263" t="s">
        <v>223</v>
      </c>
      <c r="B59" s="300">
        <f>(B50/B52)*1000</f>
        <v>-0.19318715625000002</v>
      </c>
      <c r="C59" s="300">
        <f>(C50/C52)*1000</f>
        <v>-0.19318715625000002</v>
      </c>
      <c r="D59" s="299" t="s">
        <v>224</v>
      </c>
    </row>
  </sheetData>
  <sheetProtection sheet="1" objects="1" scenarios="1"/>
  <mergeCells count="31">
    <mergeCell ref="T8:W8"/>
    <mergeCell ref="Q8:S8"/>
    <mergeCell ref="F32:H32"/>
    <mergeCell ref="J30:K30"/>
    <mergeCell ref="J31:K31"/>
    <mergeCell ref="J32:K32"/>
    <mergeCell ref="L12:M12"/>
    <mergeCell ref="L13:M13"/>
    <mergeCell ref="L14:M14"/>
    <mergeCell ref="L15:M15"/>
    <mergeCell ref="L9:O9"/>
    <mergeCell ref="J33:K33"/>
    <mergeCell ref="F30:I30"/>
    <mergeCell ref="F33:H33"/>
    <mergeCell ref="F17:I18"/>
    <mergeCell ref="J17:J18"/>
    <mergeCell ref="F19:F20"/>
    <mergeCell ref="J21:J23"/>
    <mergeCell ref="L2:L3"/>
    <mergeCell ref="M2:M3"/>
    <mergeCell ref="F7:G7"/>
    <mergeCell ref="F10:F11"/>
    <mergeCell ref="F2:F4"/>
    <mergeCell ref="G2:G4"/>
    <mergeCell ref="H2:H3"/>
    <mergeCell ref="I2:I3"/>
    <mergeCell ref="J2:J3"/>
    <mergeCell ref="G11:J11"/>
    <mergeCell ref="K2:K3"/>
    <mergeCell ref="L10:M10"/>
    <mergeCell ref="L11:M1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W59"/>
  <sheetViews>
    <sheetView topLeftCell="E7" zoomScaleNormal="100" workbookViewId="0">
      <selection activeCell="K25" sqref="K25"/>
    </sheetView>
  </sheetViews>
  <sheetFormatPr defaultColWidth="8.88671875" defaultRowHeight="13.8" x14ac:dyDescent="0.3"/>
  <cols>
    <col min="1" max="1" width="18.6640625" style="69" customWidth="1"/>
    <col min="2" max="4" width="9.5546875" style="69" customWidth="1"/>
    <col min="5" max="11" width="9.44140625" style="69" customWidth="1"/>
    <col min="12" max="12" width="9.109375" style="69" customWidth="1"/>
    <col min="13" max="13" width="9.44140625" style="69" customWidth="1"/>
    <col min="14" max="14" width="10.109375" style="69" customWidth="1"/>
    <col min="15" max="15" width="8.88671875" style="69" customWidth="1"/>
    <col min="16" max="16" width="9.44140625" style="69" customWidth="1"/>
    <col min="17" max="17" width="10.5546875" style="69" customWidth="1"/>
    <col min="18" max="18" width="11" style="69" customWidth="1"/>
    <col min="19" max="24" width="12.5546875" style="69" customWidth="1"/>
    <col min="25" max="25" width="8.88671875" style="69" customWidth="1"/>
    <col min="26" max="16384" width="8.88671875" style="69"/>
  </cols>
  <sheetData>
    <row r="1" spans="5:23" s="307" customFormat="1" ht="14.4" thickBot="1" x14ac:dyDescent="0.35">
      <c r="E1" s="306" t="s">
        <v>239</v>
      </c>
    </row>
    <row r="2" spans="5:23" ht="13.2" customHeight="1" x14ac:dyDescent="0.3">
      <c r="F2" s="421" t="s">
        <v>86</v>
      </c>
      <c r="G2" s="424" t="s">
        <v>84</v>
      </c>
      <c r="H2" s="424" t="s">
        <v>0</v>
      </c>
      <c r="I2" s="413" t="s">
        <v>89</v>
      </c>
      <c r="J2" s="424" t="s">
        <v>91</v>
      </c>
      <c r="K2" s="413" t="s">
        <v>93</v>
      </c>
      <c r="L2" s="413" t="s">
        <v>95</v>
      </c>
      <c r="M2" s="415" t="s">
        <v>189</v>
      </c>
    </row>
    <row r="3" spans="5:23" ht="17.399999999999999" customHeight="1" x14ac:dyDescent="0.3">
      <c r="F3" s="422"/>
      <c r="G3" s="425"/>
      <c r="H3" s="427"/>
      <c r="I3" s="414"/>
      <c r="J3" s="427"/>
      <c r="K3" s="414"/>
      <c r="L3" s="414"/>
      <c r="M3" s="416"/>
    </row>
    <row r="4" spans="5:23" ht="17.399999999999999" customHeight="1" thickBot="1" x14ac:dyDescent="0.35">
      <c r="F4" s="423"/>
      <c r="G4" s="426"/>
      <c r="H4" s="164" t="s">
        <v>90</v>
      </c>
      <c r="I4" s="165" t="s">
        <v>90</v>
      </c>
      <c r="J4" s="166" t="s">
        <v>92</v>
      </c>
      <c r="K4" s="165" t="s">
        <v>94</v>
      </c>
      <c r="L4" s="166" t="s">
        <v>96</v>
      </c>
      <c r="M4" s="167" t="s">
        <v>97</v>
      </c>
    </row>
    <row r="5" spans="5:23" ht="17.399999999999999" customHeight="1" thickTop="1" x14ac:dyDescent="0.3">
      <c r="F5" s="168">
        <f>'Časový snímek A+B'!D13</f>
        <v>0</v>
      </c>
      <c r="G5" s="169">
        <f>'Časový snímek A+B'!D14</f>
        <v>0</v>
      </c>
      <c r="H5" s="170">
        <f>'Časový snímek A+B'!D16</f>
        <v>0</v>
      </c>
      <c r="I5" s="171">
        <f>'Časový snímek A+B'!D15</f>
        <v>0</v>
      </c>
      <c r="J5" s="170">
        <f>'Časový snímek A+B'!D17</f>
        <v>0</v>
      </c>
      <c r="K5" s="172">
        <f>'Časový snímek A+B'!D18</f>
        <v>0</v>
      </c>
      <c r="L5" s="173">
        <f>K5^0.425 * J5^0.725 * 0.007184</f>
        <v>0</v>
      </c>
      <c r="M5" s="174">
        <f>B55</f>
        <v>0.85674208359374993</v>
      </c>
    </row>
    <row r="6" spans="5:23" ht="17.399999999999999" customHeight="1" thickBot="1" x14ac:dyDescent="0.35">
      <c r="F6" s="175">
        <f>'Časový snímek A+B'!K13</f>
        <v>0</v>
      </c>
      <c r="G6" s="176">
        <f>'Časový snímek A+B'!K14</f>
        <v>0</v>
      </c>
      <c r="H6" s="177">
        <f>'Časový snímek A+B'!K16</f>
        <v>0</v>
      </c>
      <c r="I6" s="178">
        <f>'Časový snímek A+B'!K15</f>
        <v>0</v>
      </c>
      <c r="J6" s="177">
        <f>'Časový snímek A+B'!K17</f>
        <v>0</v>
      </c>
      <c r="K6" s="179">
        <f>'Časový snímek A+B'!K18</f>
        <v>0</v>
      </c>
      <c r="L6" s="173">
        <f>K6^0.425 * J6^0.725 * 0.007184</f>
        <v>0</v>
      </c>
      <c r="M6" s="180">
        <f>C55</f>
        <v>0.85674208359374993</v>
      </c>
    </row>
    <row r="7" spans="5:23" ht="17.399999999999999" customHeight="1" thickBot="1" x14ac:dyDescent="0.35">
      <c r="F7" s="417" t="s">
        <v>88</v>
      </c>
      <c r="G7" s="418"/>
      <c r="H7" s="235">
        <f>ROUND(AVERAGE(H5:H6),0)</f>
        <v>0</v>
      </c>
      <c r="I7" s="236">
        <f t="shared" ref="I7:J7" si="0">AVERAGE(I5:I6)</f>
        <v>0</v>
      </c>
      <c r="J7" s="237">
        <f t="shared" si="0"/>
        <v>0</v>
      </c>
      <c r="K7" s="235">
        <f>AVERAGE(K5:K6)</f>
        <v>0</v>
      </c>
      <c r="L7" s="238">
        <f t="shared" ref="L7:M7" si="1">AVERAGE(L5:L6)</f>
        <v>0</v>
      </c>
      <c r="M7" s="239">
        <f t="shared" si="1"/>
        <v>0.85674208359374993</v>
      </c>
    </row>
    <row r="8" spans="5:23" ht="14.4" thickBot="1" x14ac:dyDescent="0.35">
      <c r="Q8" s="454" t="s">
        <v>256</v>
      </c>
      <c r="R8" s="455"/>
      <c r="S8" s="456"/>
      <c r="T8" s="471" t="s">
        <v>257</v>
      </c>
      <c r="U8" s="472"/>
      <c r="V8" s="472"/>
      <c r="W8" s="473"/>
    </row>
    <row r="9" spans="5:23" ht="14.4" thickBot="1" x14ac:dyDescent="0.35">
      <c r="F9" s="163" t="s">
        <v>99</v>
      </c>
      <c r="L9" s="476" t="s">
        <v>258</v>
      </c>
      <c r="M9" s="477"/>
      <c r="N9" s="477"/>
      <c r="O9" s="478"/>
      <c r="P9" s="348" t="s">
        <v>297</v>
      </c>
      <c r="Q9" s="343" t="s">
        <v>259</v>
      </c>
      <c r="R9" s="344" t="s">
        <v>260</v>
      </c>
      <c r="S9" s="344" t="s">
        <v>261</v>
      </c>
      <c r="T9" s="340" t="s">
        <v>262</v>
      </c>
      <c r="U9" s="340" t="s">
        <v>263</v>
      </c>
      <c r="V9" s="341" t="s">
        <v>264</v>
      </c>
      <c r="W9" s="341" t="s">
        <v>323</v>
      </c>
    </row>
    <row r="10" spans="5:23" ht="15.6" thickBot="1" x14ac:dyDescent="0.35">
      <c r="F10" s="419" t="s">
        <v>154</v>
      </c>
      <c r="G10" s="289" t="s">
        <v>226</v>
      </c>
      <c r="H10" s="289" t="s">
        <v>227</v>
      </c>
      <c r="I10" s="289" t="s">
        <v>228</v>
      </c>
      <c r="J10" s="291" t="s">
        <v>229</v>
      </c>
      <c r="K10"/>
      <c r="L10" s="474" t="s">
        <v>265</v>
      </c>
      <c r="M10" s="475"/>
      <c r="N10" s="363" t="s">
        <v>266</v>
      </c>
      <c r="O10" s="364" t="s">
        <v>267</v>
      </c>
      <c r="P10" s="360" t="s">
        <v>268</v>
      </c>
      <c r="Q10" s="345" t="s">
        <v>268</v>
      </c>
      <c r="R10" s="345" t="s">
        <v>268</v>
      </c>
      <c r="S10" s="345" t="s">
        <v>268</v>
      </c>
      <c r="T10" s="338" t="s">
        <v>268</v>
      </c>
      <c r="U10" s="338" t="s">
        <v>268</v>
      </c>
      <c r="V10" s="339" t="s">
        <v>268</v>
      </c>
      <c r="W10" s="339" t="s">
        <v>268</v>
      </c>
    </row>
    <row r="11" spans="5:23" ht="16.2" thickTop="1" thickBot="1" x14ac:dyDescent="0.35">
      <c r="F11" s="420"/>
      <c r="G11" s="428" t="s">
        <v>100</v>
      </c>
      <c r="H11" s="429"/>
      <c r="I11" s="429"/>
      <c r="J11" s="430"/>
      <c r="K11"/>
      <c r="L11" s="433" t="s">
        <v>269</v>
      </c>
      <c r="M11" s="434"/>
      <c r="N11" s="309" t="s">
        <v>270</v>
      </c>
      <c r="O11" s="310">
        <v>4.5</v>
      </c>
      <c r="P11" s="361" t="s">
        <v>271</v>
      </c>
      <c r="Q11" s="346" t="s">
        <v>272</v>
      </c>
      <c r="R11" s="346" t="s">
        <v>273</v>
      </c>
      <c r="S11" s="346" t="s">
        <v>274</v>
      </c>
      <c r="T11" s="334" t="s">
        <v>275</v>
      </c>
      <c r="U11" s="334" t="s">
        <v>276</v>
      </c>
      <c r="V11" s="335" t="s">
        <v>277</v>
      </c>
      <c r="W11" s="335" t="s">
        <v>326</v>
      </c>
    </row>
    <row r="12" spans="5:23" ht="14.4" thickTop="1" x14ac:dyDescent="0.3">
      <c r="F12" s="181">
        <f>'Časový snímek A+B'!D13</f>
        <v>0</v>
      </c>
      <c r="G12" s="182">
        <f>'Časový snímek A+B'!D23</f>
        <v>0</v>
      </c>
      <c r="H12" s="183">
        <f>'Časový snímek A+B'!D24</f>
        <v>0</v>
      </c>
      <c r="I12" s="182">
        <f>'Časový snímek A+B'!D25</f>
        <v>0</v>
      </c>
      <c r="J12" s="184">
        <f>H12-G12</f>
        <v>0</v>
      </c>
      <c r="K12"/>
      <c r="L12" s="433" t="s">
        <v>278</v>
      </c>
      <c r="M12" s="434"/>
      <c r="N12" s="309" t="s">
        <v>270</v>
      </c>
      <c r="O12" s="310">
        <v>5.4</v>
      </c>
      <c r="P12" s="361"/>
      <c r="Q12" s="346"/>
      <c r="R12" s="346"/>
      <c r="S12" s="346"/>
      <c r="T12" s="334"/>
      <c r="U12" s="334"/>
      <c r="V12" s="335"/>
      <c r="W12" s="335"/>
    </row>
    <row r="13" spans="5:23" ht="14.4" thickBot="1" x14ac:dyDescent="0.35">
      <c r="F13" s="92">
        <f>'Časový snímek A+B'!K13</f>
        <v>0</v>
      </c>
      <c r="G13" s="185">
        <f>'Časový snímek A+B'!K23</f>
        <v>0</v>
      </c>
      <c r="H13" s="185">
        <f>'Časový snímek A+B'!K24</f>
        <v>0</v>
      </c>
      <c r="I13" s="185">
        <f>'Časový snímek A+B'!K25</f>
        <v>0</v>
      </c>
      <c r="J13" s="308">
        <f>H13-G13</f>
        <v>0</v>
      </c>
      <c r="K13"/>
      <c r="L13" s="433" t="s">
        <v>279</v>
      </c>
      <c r="M13" s="434"/>
      <c r="N13" s="309" t="s">
        <v>270</v>
      </c>
      <c r="O13" s="310">
        <v>1060</v>
      </c>
      <c r="P13" s="361"/>
      <c r="Q13" s="346"/>
      <c r="R13" s="346"/>
      <c r="S13" s="346"/>
      <c r="T13" s="334"/>
      <c r="U13" s="334"/>
      <c r="V13" s="335"/>
      <c r="W13" s="335"/>
    </row>
    <row r="14" spans="5:23" ht="14.4" thickBot="1" x14ac:dyDescent="0.35">
      <c r="F14" s="240" t="s">
        <v>88</v>
      </c>
      <c r="G14" s="241">
        <f>AVERAGE(G12:G13)</f>
        <v>0</v>
      </c>
      <c r="H14" s="241">
        <f t="shared" ref="H14" si="2">AVERAGE(H12:H13)</f>
        <v>0</v>
      </c>
      <c r="I14" s="241" t="s">
        <v>87</v>
      </c>
      <c r="J14" s="292">
        <f>AVERAGE(J12:J13)</f>
        <v>0</v>
      </c>
      <c r="K14"/>
      <c r="L14" s="433" t="s">
        <v>280</v>
      </c>
      <c r="M14" s="434"/>
      <c r="N14" s="309" t="s">
        <v>296</v>
      </c>
      <c r="O14" s="310">
        <v>23.7</v>
      </c>
      <c r="P14" s="361" t="s">
        <v>281</v>
      </c>
      <c r="Q14" s="346" t="s">
        <v>282</v>
      </c>
      <c r="R14" s="346" t="s">
        <v>283</v>
      </c>
      <c r="S14" s="346" t="s">
        <v>284</v>
      </c>
      <c r="T14" s="334" t="s">
        <v>285</v>
      </c>
      <c r="U14" s="334" t="s">
        <v>286</v>
      </c>
      <c r="V14" s="335" t="s">
        <v>287</v>
      </c>
      <c r="W14" s="335" t="s">
        <v>327</v>
      </c>
    </row>
    <row r="15" spans="5:23" ht="14.4" thickBot="1" x14ac:dyDescent="0.35">
      <c r="L15" s="466"/>
      <c r="M15" s="467"/>
      <c r="N15" s="332" t="s">
        <v>288</v>
      </c>
      <c r="O15" s="333">
        <v>395</v>
      </c>
      <c r="P15" s="362" t="s">
        <v>289</v>
      </c>
      <c r="Q15" s="347" t="s">
        <v>290</v>
      </c>
      <c r="R15" s="347" t="s">
        <v>291</v>
      </c>
      <c r="S15" s="347" t="s">
        <v>292</v>
      </c>
      <c r="T15" s="336" t="s">
        <v>293</v>
      </c>
      <c r="U15" s="336" t="s">
        <v>294</v>
      </c>
      <c r="V15" s="337" t="s">
        <v>295</v>
      </c>
      <c r="W15" s="337" t="s">
        <v>328</v>
      </c>
    </row>
    <row r="16" spans="5:23" ht="14.4" thickBot="1" x14ac:dyDescent="0.35">
      <c r="F16" s="163" t="s">
        <v>101</v>
      </c>
    </row>
    <row r="17" spans="6:13" ht="13.95" customHeight="1" x14ac:dyDescent="0.3">
      <c r="F17" s="443" t="s">
        <v>102</v>
      </c>
      <c r="G17" s="444"/>
      <c r="H17" s="444"/>
      <c r="I17" s="445"/>
      <c r="J17" s="449" t="s">
        <v>105</v>
      </c>
    </row>
    <row r="18" spans="6:13" ht="14.4" thickBot="1" x14ac:dyDescent="0.35">
      <c r="F18" s="446"/>
      <c r="G18" s="447"/>
      <c r="H18" s="447"/>
      <c r="I18" s="448"/>
      <c r="J18" s="450"/>
    </row>
    <row r="19" spans="6:13" ht="14.4" thickBot="1" x14ac:dyDescent="0.35">
      <c r="F19" s="419" t="s">
        <v>154</v>
      </c>
      <c r="G19" s="290" t="s">
        <v>230</v>
      </c>
      <c r="H19" s="290" t="s">
        <v>231</v>
      </c>
      <c r="I19" s="290" t="s">
        <v>104</v>
      </c>
      <c r="J19" s="186" t="s">
        <v>103</v>
      </c>
    </row>
    <row r="20" spans="6:13" ht="16.2" thickTop="1" thickBot="1" x14ac:dyDescent="0.35">
      <c r="F20" s="420"/>
      <c r="G20" s="187" t="s">
        <v>107</v>
      </c>
      <c r="H20" s="187" t="s">
        <v>232</v>
      </c>
      <c r="I20" s="187" t="s">
        <v>107</v>
      </c>
      <c r="J20" s="188" t="s">
        <v>106</v>
      </c>
    </row>
    <row r="21" spans="6:13" ht="14.4" thickTop="1" x14ac:dyDescent="0.3">
      <c r="F21" s="189">
        <f>F5</f>
        <v>0</v>
      </c>
      <c r="G21" s="190">
        <f>B50</f>
        <v>-0.85674208359374993</v>
      </c>
      <c r="H21" s="190">
        <f>B59</f>
        <v>-1.9038712968749998</v>
      </c>
      <c r="I21" s="190">
        <f>I27</f>
        <v>-201.33438964453123</v>
      </c>
      <c r="J21" s="451" t="str">
        <f>J33</f>
        <v>I</v>
      </c>
      <c r="K21" s="275">
        <f>G21*235</f>
        <v>-201.33438964453123</v>
      </c>
      <c r="L21" s="252"/>
    </row>
    <row r="22" spans="6:13" ht="15" customHeight="1" thickBot="1" x14ac:dyDescent="0.35">
      <c r="F22" s="191">
        <f>F6</f>
        <v>0</v>
      </c>
      <c r="G22" s="192">
        <f>C50</f>
        <v>-0.85674208359374993</v>
      </c>
      <c r="H22" s="192">
        <f>C59</f>
        <v>-1.9038712968749998</v>
      </c>
      <c r="I22" s="192">
        <f>J27</f>
        <v>-201.33438964453123</v>
      </c>
      <c r="J22" s="452"/>
      <c r="K22" s="275">
        <f>G22*235</f>
        <v>-201.33438964453123</v>
      </c>
      <c r="L22" s="252"/>
    </row>
    <row r="23" spans="6:13" ht="15" customHeight="1" thickBot="1" x14ac:dyDescent="0.35">
      <c r="F23" s="242" t="s">
        <v>88</v>
      </c>
      <c r="G23" s="243">
        <f>AVERAGE(G21:G22)</f>
        <v>-0.85674208359374993</v>
      </c>
      <c r="H23" s="243">
        <f>AVERAGE(H21:H22)</f>
        <v>-1.9038712968749998</v>
      </c>
      <c r="I23" s="331">
        <f>AVERAGE(I21:I22)</f>
        <v>-201.33438964453123</v>
      </c>
      <c r="J23" s="453"/>
    </row>
    <row r="24" spans="6:13" x14ac:dyDescent="0.3">
      <c r="F24" s="371" t="s">
        <v>329</v>
      </c>
    </row>
    <row r="25" spans="6:13" x14ac:dyDescent="0.3">
      <c r="G25" s="69" t="s">
        <v>330</v>
      </c>
    </row>
    <row r="26" spans="6:13" ht="14.4" thickBot="1" x14ac:dyDescent="0.35">
      <c r="F26" s="69" t="s">
        <v>253</v>
      </c>
      <c r="I26" s="85" t="s">
        <v>76</v>
      </c>
      <c r="J26" s="85" t="s">
        <v>81</v>
      </c>
    </row>
    <row r="27" spans="6:13" x14ac:dyDescent="0.3">
      <c r="F27" s="349" t="s">
        <v>251</v>
      </c>
      <c r="G27" s="350"/>
      <c r="H27" s="350"/>
      <c r="I27" s="351">
        <f>B50*235</f>
        <v>-201.33438964453123</v>
      </c>
      <c r="J27" s="352">
        <f>C50*235</f>
        <v>-201.33438964453123</v>
      </c>
    </row>
    <row r="28" spans="6:13" ht="14.4" thickBot="1" x14ac:dyDescent="0.35">
      <c r="F28" s="353" t="s">
        <v>252</v>
      </c>
      <c r="G28" s="354"/>
      <c r="H28" s="354"/>
      <c r="I28" s="355">
        <f>B50*156.66</f>
        <v>-134.21721481579686</v>
      </c>
      <c r="J28" s="356">
        <f>C50*156.66</f>
        <v>-134.21721481579686</v>
      </c>
    </row>
    <row r="29" spans="6:13" ht="14.4" thickBot="1" x14ac:dyDescent="0.35"/>
    <row r="30" spans="6:13" ht="27" customHeight="1" thickBot="1" x14ac:dyDescent="0.35">
      <c r="F30" s="437" t="s">
        <v>235</v>
      </c>
      <c r="G30" s="438"/>
      <c r="H30" s="438"/>
      <c r="I30" s="439"/>
      <c r="J30" s="460" t="s">
        <v>236</v>
      </c>
      <c r="K30" s="461"/>
      <c r="L30"/>
      <c r="M30"/>
    </row>
    <row r="31" spans="6:13" ht="14.4" thickTop="1" x14ac:dyDescent="0.3">
      <c r="F31" s="357" t="s">
        <v>240</v>
      </c>
      <c r="G31" s="358"/>
      <c r="H31" s="359"/>
      <c r="I31" s="298">
        <f>B45</f>
        <v>-255</v>
      </c>
      <c r="J31" s="462" t="str">
        <f>IF(B45&lt;=80, "I",
  IF(B45&lt;=105, "IIa",
  IF(B45&lt;=130, "IIb",
  IF(B45&lt;=160, "IIIa",
  IF(B45&lt;=200, "IIIb",
  IF(B45&lt;=250, "IVa",
  IF(B45&lt;=300, "IVb",
  IF(B45&lt;=350, "V", "Neznámá"))))))))</f>
        <v>I</v>
      </c>
      <c r="K31" s="463"/>
      <c r="L31"/>
      <c r="M31"/>
    </row>
    <row r="32" spans="6:13" x14ac:dyDescent="0.3">
      <c r="F32" s="457" t="s">
        <v>241</v>
      </c>
      <c r="G32" s="458"/>
      <c r="H32" s="459"/>
      <c r="I32" s="293">
        <f>C45</f>
        <v>-255</v>
      </c>
      <c r="J32" s="464" t="str">
        <f>IF(C45&lt;=80, "I",  IF(C45&lt;=105, "IIa",  IF(C46&lt;=130, "IIb",  IF(C45&lt;=160, "IIIa",  IF(C45&lt;=200, "IIIb",  IF(C45&lt;=250, "IVa",  IF(C45&lt;=300, "IVb",  IF(C45&lt;=350, "V", "Neznámá"))))))))</f>
        <v>I</v>
      </c>
      <c r="K32" s="465"/>
      <c r="L32"/>
      <c r="M32"/>
    </row>
    <row r="33" spans="1:13" ht="14.4" thickBot="1" x14ac:dyDescent="0.35">
      <c r="F33" s="440" t="s">
        <v>155</v>
      </c>
      <c r="G33" s="441"/>
      <c r="H33" s="442"/>
      <c r="I33" s="297">
        <f>AVERAGE(I31:I32)</f>
        <v>-255</v>
      </c>
      <c r="J33" s="435" t="str">
        <f>IF(I33&lt;=80, "I",
  IF(I33&lt;=105, "IIa",
  IF(I33&lt;=130, "IIb",
  IF(I33&lt;=160, "IIIa",
  IF(I33&lt;=200, "IIIb",
  IF(I33&lt;=250, "IVa",
  IF(I33&lt;=300, "IVb",
  IF(I33&lt;=350, "V", "Neznámá"))))))))</f>
        <v>I</v>
      </c>
      <c r="K33" s="436"/>
      <c r="L33"/>
      <c r="M33"/>
    </row>
    <row r="34" spans="1:13" x14ac:dyDescent="0.3">
      <c r="A34" s="254" t="s">
        <v>209</v>
      </c>
      <c r="B34" s="294">
        <f>'Časový snímek A+B'!D5</f>
        <v>0</v>
      </c>
      <c r="C34" s="295">
        <f>'Časový snímek A+B'!D5</f>
        <v>0</v>
      </c>
    </row>
    <row r="35" spans="1:13" x14ac:dyDescent="0.3">
      <c r="A35" s="301" t="s">
        <v>210</v>
      </c>
      <c r="B35" s="302">
        <f>'Časový snímek A+B'!D13</f>
        <v>0</v>
      </c>
      <c r="C35" s="303">
        <f>'Časový snímek A+B'!K13</f>
        <v>0</v>
      </c>
      <c r="D35" s="304"/>
    </row>
    <row r="36" spans="1:13" x14ac:dyDescent="0.3">
      <c r="A36" s="257"/>
      <c r="B36" s="293"/>
      <c r="C36" s="296"/>
    </row>
    <row r="37" spans="1:13" x14ac:dyDescent="0.3">
      <c r="A37" s="257" t="s">
        <v>211</v>
      </c>
      <c r="B37" s="311">
        <f>'Časový snímek A+B'!D16</f>
        <v>0</v>
      </c>
      <c r="C37" s="312">
        <f>'Časový snímek A+B'!K16</f>
        <v>0</v>
      </c>
    </row>
    <row r="38" spans="1:13" x14ac:dyDescent="0.3">
      <c r="A38" s="257" t="s">
        <v>212</v>
      </c>
      <c r="B38" s="311">
        <f>'Časový snímek A+B'!D17</f>
        <v>0</v>
      </c>
      <c r="C38" s="312">
        <f>'Časový snímek A+B'!K17</f>
        <v>0</v>
      </c>
    </row>
    <row r="39" spans="1:13" x14ac:dyDescent="0.3">
      <c r="A39" s="257" t="s">
        <v>213</v>
      </c>
      <c r="B39" s="311">
        <f>'Časový snímek A+B'!D18</f>
        <v>0</v>
      </c>
      <c r="C39" s="312">
        <f>'Časový snímek A+B'!K18</f>
        <v>0</v>
      </c>
    </row>
    <row r="40" spans="1:13" x14ac:dyDescent="0.3">
      <c r="A40" s="257" t="s">
        <v>233</v>
      </c>
      <c r="B40" s="320">
        <f>(B39)^0.425*(B38)^0.725*0.007184</f>
        <v>0</v>
      </c>
      <c r="C40" s="321">
        <f>(C39)^0.425*(C38)^0.725*0.007184</f>
        <v>0</v>
      </c>
      <c r="D40" s="69" t="str">
        <f>L2</f>
        <v>Těl.   povrch</v>
      </c>
    </row>
    <row r="41" spans="1:13" x14ac:dyDescent="0.3">
      <c r="A41" s="257" t="s">
        <v>214</v>
      </c>
      <c r="B41" s="311">
        <f>'Časový snímek A+B'!D23</f>
        <v>0</v>
      </c>
      <c r="C41" s="312">
        <f>'Časový snímek A+B'!K23</f>
        <v>0</v>
      </c>
    </row>
    <row r="42" spans="1:13" x14ac:dyDescent="0.3">
      <c r="A42" s="257" t="s">
        <v>215</v>
      </c>
      <c r="B42" s="311">
        <f>'Časový snímek A+B'!D24</f>
        <v>0</v>
      </c>
      <c r="C42" s="312">
        <f>'Časový snímek A+B'!K24</f>
        <v>0</v>
      </c>
    </row>
    <row r="43" spans="1:13" x14ac:dyDescent="0.3">
      <c r="A43" s="257" t="s">
        <v>216</v>
      </c>
      <c r="B43" s="311">
        <f>'Časový snímek A+B'!D25</f>
        <v>0</v>
      </c>
      <c r="C43" s="312">
        <f>'Časový snímek A+B'!K25</f>
        <v>0</v>
      </c>
    </row>
    <row r="44" spans="1:13" x14ac:dyDescent="0.3">
      <c r="A44" s="257" t="s">
        <v>217</v>
      </c>
      <c r="B44" s="311">
        <f>B42-B41</f>
        <v>0</v>
      </c>
      <c r="C44" s="312">
        <f>C42-C41</f>
        <v>0</v>
      </c>
    </row>
    <row r="45" spans="1:13" x14ac:dyDescent="0.3">
      <c r="A45" s="313" t="s">
        <v>234</v>
      </c>
      <c r="B45" s="318">
        <f>4*B42-255</f>
        <v>-255</v>
      </c>
      <c r="C45" s="319">
        <f>4*C42-255</f>
        <v>-255</v>
      </c>
      <c r="D45" s="69" t="s">
        <v>255</v>
      </c>
    </row>
    <row r="46" spans="1:13" x14ac:dyDescent="0.3">
      <c r="A46" s="313" t="s">
        <v>245</v>
      </c>
      <c r="B46" s="314">
        <f>B45*16.666</f>
        <v>-4249.83</v>
      </c>
      <c r="C46" s="314">
        <f>C45*16.666</f>
        <v>-4249.83</v>
      </c>
    </row>
    <row r="47" spans="1:13" x14ac:dyDescent="0.3">
      <c r="A47" s="327" t="s">
        <v>246</v>
      </c>
      <c r="B47" s="328">
        <f>B45*B40</f>
        <v>0</v>
      </c>
      <c r="C47" s="329">
        <f>C45*C40</f>
        <v>0</v>
      </c>
    </row>
    <row r="48" spans="1:13" x14ac:dyDescent="0.3">
      <c r="A48" s="327" t="s">
        <v>247</v>
      </c>
      <c r="B48" s="328">
        <f>B47*0.06</f>
        <v>0</v>
      </c>
      <c r="C48" s="328">
        <f>C47*0.06</f>
        <v>0</v>
      </c>
    </row>
    <row r="49" spans="1:4" x14ac:dyDescent="0.3">
      <c r="A49" s="327" t="s">
        <v>248</v>
      </c>
      <c r="B49" s="328">
        <f>B48*B52*0.001</f>
        <v>0</v>
      </c>
      <c r="C49" s="328">
        <f>C48*C52*0.001</f>
        <v>0</v>
      </c>
    </row>
    <row r="50" spans="1:4" ht="14.4" x14ac:dyDescent="0.3">
      <c r="A50" s="327" t="s">
        <v>249</v>
      </c>
      <c r="B50" s="330">
        <f>B49-B55</f>
        <v>-0.85674208359374993</v>
      </c>
      <c r="C50" s="330">
        <f>C49-C55</f>
        <v>-0.85674208359374993</v>
      </c>
      <c r="D50" s="317" t="s">
        <v>250</v>
      </c>
    </row>
    <row r="52" spans="1:4" x14ac:dyDescent="0.3">
      <c r="A52" s="313" t="s">
        <v>243</v>
      </c>
      <c r="B52" s="315">
        <f>'Časový snímek A+B'!M6</f>
        <v>450</v>
      </c>
      <c r="C52" s="316">
        <f>'Časový snímek A+B'!M6</f>
        <v>450</v>
      </c>
    </row>
    <row r="53" spans="1:4" x14ac:dyDescent="0.3">
      <c r="A53" s="322" t="s">
        <v>218</v>
      </c>
      <c r="B53" s="323">
        <f>(655.0955+(9.5634*B39)+(1.8496*B38)-(4.6756*B37))*4.185</f>
        <v>2741.5746675</v>
      </c>
      <c r="C53" s="323">
        <f>(655.0955+(9.5634*C39)+(1.8496*C38)-(4.6756*C37))*4.185</f>
        <v>2741.5746675</v>
      </c>
    </row>
    <row r="54" spans="1:4" x14ac:dyDescent="0.3">
      <c r="A54" s="324" t="s">
        <v>254</v>
      </c>
      <c r="B54" s="325">
        <f>B53/1440</f>
        <v>1.903871296875</v>
      </c>
      <c r="C54" s="325">
        <f>C53/1440</f>
        <v>1.903871296875</v>
      </c>
    </row>
    <row r="55" spans="1:4" x14ac:dyDescent="0.3">
      <c r="A55" s="322" t="s">
        <v>219</v>
      </c>
      <c r="B55" s="326">
        <f>B53*B52/1440*0.001</f>
        <v>0.85674208359374993</v>
      </c>
      <c r="C55" s="326">
        <f>C53*C52/1440*0.001</f>
        <v>0.85674208359374993</v>
      </c>
      <c r="D55" s="69" t="s">
        <v>244</v>
      </c>
    </row>
    <row r="59" spans="1:4" ht="15" thickBot="1" x14ac:dyDescent="0.35">
      <c r="A59" s="263" t="s">
        <v>223</v>
      </c>
      <c r="B59" s="300">
        <f>(B50/B52)*1000</f>
        <v>-1.9038712968749998</v>
      </c>
      <c r="C59" s="300">
        <f>(C50/C52)*1000</f>
        <v>-1.9038712968749998</v>
      </c>
      <c r="D59" s="299" t="s">
        <v>224</v>
      </c>
    </row>
  </sheetData>
  <sheetProtection sheet="1" objects="1" scenarios="1"/>
  <mergeCells count="31">
    <mergeCell ref="T8:W8"/>
    <mergeCell ref="Q8:S8"/>
    <mergeCell ref="L10:M10"/>
    <mergeCell ref="L9:O9"/>
    <mergeCell ref="J33:K33"/>
    <mergeCell ref="J32:K32"/>
    <mergeCell ref="L14:M14"/>
    <mergeCell ref="L15:M15"/>
    <mergeCell ref="F33:H33"/>
    <mergeCell ref="F32:H32"/>
    <mergeCell ref="L11:M11"/>
    <mergeCell ref="L12:M12"/>
    <mergeCell ref="J2:J3"/>
    <mergeCell ref="K2:K3"/>
    <mergeCell ref="F30:I30"/>
    <mergeCell ref="J30:K30"/>
    <mergeCell ref="J31:K31"/>
    <mergeCell ref="F17:I18"/>
    <mergeCell ref="J17:J18"/>
    <mergeCell ref="F19:F20"/>
    <mergeCell ref="J21:J23"/>
    <mergeCell ref="L2:L3"/>
    <mergeCell ref="G11:J11"/>
    <mergeCell ref="L13:M13"/>
    <mergeCell ref="M2:M3"/>
    <mergeCell ref="F7:G7"/>
    <mergeCell ref="F10:F11"/>
    <mergeCell ref="F2:F4"/>
    <mergeCell ref="G2:G4"/>
    <mergeCell ref="H2:H3"/>
    <mergeCell ref="I2:I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2:X34"/>
  <sheetViews>
    <sheetView zoomScale="110" zoomScaleNormal="110" workbookViewId="0">
      <selection activeCell="J9" sqref="J9"/>
    </sheetView>
  </sheetViews>
  <sheetFormatPr defaultRowHeight="13.2" x14ac:dyDescent="0.25"/>
  <cols>
    <col min="1" max="1" width="10.6640625" customWidth="1"/>
    <col min="7" max="7" width="9.109375" customWidth="1"/>
    <col min="9" max="9" width="11.6640625" bestFit="1" customWidth="1"/>
  </cols>
  <sheetData>
    <row r="2" spans="2:24" ht="18" customHeight="1" x14ac:dyDescent="0.3">
      <c r="C2" s="481" t="s">
        <v>25</v>
      </c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</row>
    <row r="5" spans="2:24" ht="33" customHeight="1" x14ac:dyDescent="0.25">
      <c r="B5" s="482" t="s">
        <v>125</v>
      </c>
      <c r="C5" s="482"/>
      <c r="D5" s="482"/>
      <c r="E5" s="482"/>
      <c r="F5" s="482"/>
      <c r="G5" s="482"/>
      <c r="L5" s="482" t="s">
        <v>126</v>
      </c>
      <c r="M5" s="482"/>
      <c r="N5" s="482"/>
      <c r="O5" s="482"/>
      <c r="P5" s="482"/>
      <c r="Q5" s="482"/>
    </row>
    <row r="6" spans="2:24" ht="18.75" customHeight="1" x14ac:dyDescent="0.25">
      <c r="B6" s="483" t="s">
        <v>20</v>
      </c>
      <c r="C6" s="485" t="s">
        <v>13</v>
      </c>
      <c r="D6" s="485"/>
      <c r="E6" s="485"/>
      <c r="F6" s="485"/>
      <c r="G6" s="485"/>
      <c r="L6" s="483" t="s">
        <v>20</v>
      </c>
      <c r="M6" s="485" t="s">
        <v>13</v>
      </c>
      <c r="N6" s="485"/>
      <c r="O6" s="485"/>
      <c r="P6" s="485"/>
      <c r="Q6" s="485"/>
    </row>
    <row r="7" spans="2:24" ht="25.5" customHeight="1" x14ac:dyDescent="0.25">
      <c r="B7" s="484"/>
      <c r="C7" s="8">
        <v>50</v>
      </c>
      <c r="D7" s="8">
        <v>60</v>
      </c>
      <c r="E7" s="8">
        <v>70</v>
      </c>
      <c r="F7" s="8">
        <v>80</v>
      </c>
      <c r="G7" s="8">
        <v>90</v>
      </c>
      <c r="L7" s="484"/>
      <c r="M7" s="8">
        <v>50</v>
      </c>
      <c r="N7" s="8">
        <v>60</v>
      </c>
      <c r="O7" s="8">
        <v>70</v>
      </c>
      <c r="P7" s="8">
        <v>80</v>
      </c>
      <c r="Q7" s="8">
        <v>90</v>
      </c>
      <c r="T7" s="479" t="s">
        <v>124</v>
      </c>
      <c r="U7" s="479"/>
      <c r="V7" s="479"/>
      <c r="W7" s="479"/>
      <c r="X7" s="479"/>
    </row>
    <row r="8" spans="2:24" ht="14.4" thickBot="1" x14ac:dyDescent="0.3">
      <c r="B8" s="486" t="s">
        <v>23</v>
      </c>
      <c r="C8" s="486"/>
      <c r="D8" s="486"/>
      <c r="E8" s="486"/>
      <c r="F8" s="486"/>
      <c r="G8" s="486"/>
      <c r="I8" s="78" t="s">
        <v>36</v>
      </c>
      <c r="L8" s="486" t="s">
        <v>23</v>
      </c>
      <c r="M8" s="486"/>
      <c r="N8" s="486"/>
      <c r="O8" s="486"/>
      <c r="P8" s="486"/>
      <c r="Q8" s="486"/>
      <c r="T8" s="107"/>
      <c r="U8" s="107"/>
      <c r="V8" s="107"/>
      <c r="W8" s="107"/>
      <c r="X8" s="107"/>
    </row>
    <row r="9" spans="2:24" ht="14.4" thickBot="1" x14ac:dyDescent="0.3">
      <c r="B9" s="7">
        <v>20</v>
      </c>
      <c r="C9" s="4">
        <f>(2.9*J9)-150</f>
        <v>-150</v>
      </c>
      <c r="D9" s="4">
        <f>(3.4*J9)-181</f>
        <v>-181</v>
      </c>
      <c r="E9" s="4">
        <f>(3.8*J9)-210</f>
        <v>-210</v>
      </c>
      <c r="F9" s="4">
        <f>(4.2*J9)-237</f>
        <v>-237</v>
      </c>
      <c r="G9" s="4">
        <f>(4.5*J9)-263</f>
        <v>-263</v>
      </c>
      <c r="I9" s="5" t="s">
        <v>22</v>
      </c>
      <c r="J9" s="6">
        <f>'Časový snímek A+B'!D24</f>
        <v>0</v>
      </c>
      <c r="L9" s="7">
        <v>20</v>
      </c>
      <c r="M9" s="4">
        <f>(2.9*J14)-150</f>
        <v>-150</v>
      </c>
      <c r="N9" s="4">
        <f>(3.4*J14)-181</f>
        <v>-181</v>
      </c>
      <c r="O9" s="4">
        <f>(3.8*J14)-210</f>
        <v>-210</v>
      </c>
      <c r="P9" s="4">
        <f>(4.2*J14)-237</f>
        <v>-237</v>
      </c>
      <c r="Q9" s="4">
        <f>(4.5*J14)-263</f>
        <v>-263</v>
      </c>
      <c r="T9" s="108">
        <f>M9-C9</f>
        <v>0</v>
      </c>
      <c r="U9" s="108">
        <f t="shared" ref="U9:X9" si="0">N9-D9</f>
        <v>0</v>
      </c>
      <c r="V9" s="108">
        <f t="shared" si="0"/>
        <v>0</v>
      </c>
      <c r="W9" s="108">
        <f t="shared" si="0"/>
        <v>0</v>
      </c>
      <c r="X9" s="108">
        <f t="shared" si="0"/>
        <v>0</v>
      </c>
    </row>
    <row r="10" spans="2:24" ht="14.4" thickBot="1" x14ac:dyDescent="0.3">
      <c r="B10" s="7">
        <v>30</v>
      </c>
      <c r="C10" s="4">
        <f>(2.8*J9)-143</f>
        <v>-143</v>
      </c>
      <c r="D10" s="4">
        <f>(3.3*J9)-173</f>
        <v>-173</v>
      </c>
      <c r="E10" s="4">
        <f>(3.7*J9)-201</f>
        <v>-201</v>
      </c>
      <c r="F10" s="4">
        <f>(4*J9)-228</f>
        <v>-228</v>
      </c>
      <c r="G10" s="4">
        <f>(4.4*J9)-254</f>
        <v>-254</v>
      </c>
      <c r="H10" s="16"/>
      <c r="I10" s="15">
        <f>'Časový snímek A+B'!D14</f>
        <v>0</v>
      </c>
      <c r="J10" s="79" t="b">
        <f>IF('Časový snímek A+B'!D14="žena",'Vztah mezi metab. produkcí  (2)'!J32,IF('Časový snímek A+B'!D14="muž",'Vztah mezi metab. produkcí  (2)'!I32))</f>
        <v>0</v>
      </c>
      <c r="L10" s="7">
        <v>30</v>
      </c>
      <c r="M10" s="4">
        <f>(2.8*J14)-143</f>
        <v>-143</v>
      </c>
      <c r="N10" s="4">
        <f>(3.3*J14)-173</f>
        <v>-173</v>
      </c>
      <c r="O10" s="4">
        <f>(3.7*J14)-201</f>
        <v>-201</v>
      </c>
      <c r="P10" s="4">
        <f>(4*J14)-228</f>
        <v>-228</v>
      </c>
      <c r="Q10" s="4">
        <f>(4.4*J14)-254</f>
        <v>-254</v>
      </c>
      <c r="T10" s="108">
        <f t="shared" ref="T10:T13" si="1">M10-C10</f>
        <v>0</v>
      </c>
      <c r="U10" s="108">
        <f t="shared" ref="U10:U13" si="2">N10-D10</f>
        <v>0</v>
      </c>
      <c r="V10" s="108">
        <f t="shared" ref="V10:V13" si="3">O10-E10</f>
        <v>0</v>
      </c>
      <c r="W10" s="108">
        <f t="shared" ref="W10:W13" si="4">P10-F10</f>
        <v>0</v>
      </c>
      <c r="X10" s="108">
        <f t="shared" ref="X10:X13" si="5">Q10-G10</f>
        <v>0</v>
      </c>
    </row>
    <row r="11" spans="2:24" ht="13.8" x14ac:dyDescent="0.25">
      <c r="B11" s="7">
        <v>40</v>
      </c>
      <c r="C11" s="4">
        <f>(2.7*J9)-136</f>
        <v>-136</v>
      </c>
      <c r="D11" s="4">
        <f>(3.1*J9)-165</f>
        <v>-165</v>
      </c>
      <c r="E11" s="4">
        <f>(3.5*J9)-192</f>
        <v>-192</v>
      </c>
      <c r="F11" s="4">
        <f>(3.9*J9)-218</f>
        <v>-218</v>
      </c>
      <c r="G11" s="4">
        <f>(4.3*J9)-244</f>
        <v>-244</v>
      </c>
      <c r="L11" s="7">
        <v>40</v>
      </c>
      <c r="M11" s="4">
        <f>(2.7*J14)-136</f>
        <v>-136</v>
      </c>
      <c r="N11" s="4">
        <f>(3.1*J14)-165</f>
        <v>-165</v>
      </c>
      <c r="O11" s="4">
        <f>(3.5*J14)-192</f>
        <v>-192</v>
      </c>
      <c r="P11" s="4">
        <f>(3.9*J14)-218</f>
        <v>-218</v>
      </c>
      <c r="Q11" s="4">
        <f>(4.3*J14)-244</f>
        <v>-244</v>
      </c>
      <c r="T11" s="108">
        <f t="shared" si="1"/>
        <v>0</v>
      </c>
      <c r="U11" s="108">
        <f t="shared" si="2"/>
        <v>0</v>
      </c>
      <c r="V11" s="108">
        <f t="shared" si="3"/>
        <v>0</v>
      </c>
      <c r="W11" s="108">
        <f t="shared" si="4"/>
        <v>0</v>
      </c>
      <c r="X11" s="108">
        <f t="shared" si="5"/>
        <v>0</v>
      </c>
    </row>
    <row r="12" spans="2:24" ht="13.8" x14ac:dyDescent="0.25">
      <c r="B12" s="7">
        <v>50</v>
      </c>
      <c r="C12" s="4">
        <f>(2.6*J9)-127</f>
        <v>-127</v>
      </c>
      <c r="D12" s="4">
        <f>(3*J9)-155</f>
        <v>-155</v>
      </c>
      <c r="E12" s="4">
        <f>(3.4*J9)-182</f>
        <v>-182</v>
      </c>
      <c r="F12" s="4">
        <f>(3.7*J9)-207</f>
        <v>-207</v>
      </c>
      <c r="G12" s="4">
        <f>(4.1*J9)-232</f>
        <v>-232</v>
      </c>
      <c r="L12" s="7">
        <v>50</v>
      </c>
      <c r="M12" s="4">
        <f>(2.6*J14)-127</f>
        <v>-127</v>
      </c>
      <c r="N12" s="4">
        <f>(3*J14)-155</f>
        <v>-155</v>
      </c>
      <c r="O12" s="4">
        <f>(3.4*J14)-182</f>
        <v>-182</v>
      </c>
      <c r="P12" s="4">
        <f>(3.7*J14)-207</f>
        <v>-207</v>
      </c>
      <c r="Q12" s="4">
        <f>(4.1*J14)-232</f>
        <v>-232</v>
      </c>
      <c r="T12" s="108">
        <f t="shared" si="1"/>
        <v>0</v>
      </c>
      <c r="U12" s="108">
        <f t="shared" si="2"/>
        <v>0</v>
      </c>
      <c r="V12" s="108">
        <f t="shared" si="3"/>
        <v>0</v>
      </c>
      <c r="W12" s="108">
        <f t="shared" si="4"/>
        <v>0</v>
      </c>
      <c r="X12" s="108">
        <f t="shared" si="5"/>
        <v>0</v>
      </c>
    </row>
    <row r="13" spans="2:24" ht="14.4" thickBot="1" x14ac:dyDescent="0.3">
      <c r="B13" s="7">
        <v>60</v>
      </c>
      <c r="C13" s="4">
        <f>(2.5*J9)-117</f>
        <v>-117</v>
      </c>
      <c r="D13" s="4">
        <f>(2.9*J9)-145</f>
        <v>-145</v>
      </c>
      <c r="E13" s="4">
        <f>(3.2*J9)-170</f>
        <v>-170</v>
      </c>
      <c r="F13" s="4">
        <f>(3.6*J9)-195</f>
        <v>-195</v>
      </c>
      <c r="G13" s="4">
        <f>(3.9*J9)-219</f>
        <v>-219</v>
      </c>
      <c r="I13" s="78" t="s">
        <v>37</v>
      </c>
      <c r="L13" s="7">
        <v>60</v>
      </c>
      <c r="M13" s="4">
        <f>(2.5*J14)-117</f>
        <v>-117</v>
      </c>
      <c r="N13" s="4">
        <f>(2.9*J14)-145</f>
        <v>-145</v>
      </c>
      <c r="O13" s="4">
        <f>(3.2*J14)-170</f>
        <v>-170</v>
      </c>
      <c r="P13" s="4">
        <f>(3.6*J14)-195</f>
        <v>-195</v>
      </c>
      <c r="Q13" s="4">
        <f>(3.9*J14)-219</f>
        <v>-219</v>
      </c>
      <c r="T13" s="108">
        <f t="shared" si="1"/>
        <v>0</v>
      </c>
      <c r="U13" s="108">
        <f t="shared" si="2"/>
        <v>0</v>
      </c>
      <c r="V13" s="108">
        <f t="shared" si="3"/>
        <v>0</v>
      </c>
      <c r="W13" s="108">
        <f t="shared" si="4"/>
        <v>0</v>
      </c>
      <c r="X13" s="108">
        <f t="shared" si="5"/>
        <v>0</v>
      </c>
    </row>
    <row r="14" spans="2:24" ht="14.4" thickBot="1" x14ac:dyDescent="0.3">
      <c r="B14" s="480" t="s">
        <v>24</v>
      </c>
      <c r="C14" s="480"/>
      <c r="D14" s="480"/>
      <c r="E14" s="480"/>
      <c r="F14" s="480"/>
      <c r="G14" s="480"/>
      <c r="I14" s="5" t="s">
        <v>22</v>
      </c>
      <c r="J14" s="6">
        <f>'Časový snímek A+B'!K24</f>
        <v>0</v>
      </c>
      <c r="L14" s="480" t="s">
        <v>24</v>
      </c>
      <c r="M14" s="480"/>
      <c r="N14" s="480"/>
      <c r="O14" s="480"/>
      <c r="P14" s="480"/>
      <c r="Q14" s="480"/>
      <c r="T14" s="109"/>
      <c r="U14" s="109"/>
      <c r="V14" s="109"/>
      <c r="W14" s="109"/>
      <c r="X14" s="109"/>
    </row>
    <row r="15" spans="2:24" ht="14.4" thickBot="1" x14ac:dyDescent="0.3">
      <c r="B15" s="7">
        <v>20</v>
      </c>
      <c r="C15" s="4">
        <f>(3.7*J9)-201</f>
        <v>-201</v>
      </c>
      <c r="D15" s="4">
        <f>(4.2*J9)-238</f>
        <v>-238</v>
      </c>
      <c r="E15" s="4">
        <f>(4.7*J9)-273</f>
        <v>-273</v>
      </c>
      <c r="F15" s="4">
        <f>(5.2*J9)-307</f>
        <v>-307</v>
      </c>
      <c r="G15" s="4">
        <f>(5.6*J9)-339</f>
        <v>-339</v>
      </c>
      <c r="I15" s="15">
        <f>'Časový snímek A+B'!K14</f>
        <v>0</v>
      </c>
      <c r="J15" s="79" t="b">
        <f>IF('Časový snímek A+B'!K14="žena",'Vztah mezi metab. produkcí  (2)'!M32,IF('Časový snímek A+B'!K14="muž",'Vztah mezi metab. produkcí  (2)'!L32))</f>
        <v>0</v>
      </c>
      <c r="L15" s="7">
        <v>20</v>
      </c>
      <c r="M15" s="4">
        <f>(3.7*J14)-201</f>
        <v>-201</v>
      </c>
      <c r="N15" s="4">
        <f>(4.2*J14)-238</f>
        <v>-238</v>
      </c>
      <c r="O15" s="4">
        <f>(4.7*J14)-273</f>
        <v>-273</v>
      </c>
      <c r="P15" s="4">
        <f>(5.2*J14)-307</f>
        <v>-307</v>
      </c>
      <c r="Q15" s="4">
        <f>(5.6*J14)-339</f>
        <v>-339</v>
      </c>
      <c r="T15" s="108">
        <f>M15-C15</f>
        <v>0</v>
      </c>
      <c r="U15" s="108">
        <f t="shared" ref="U15:X19" si="6">N15-D15</f>
        <v>0</v>
      </c>
      <c r="V15" s="108">
        <f t="shared" si="6"/>
        <v>0</v>
      </c>
      <c r="W15" s="108">
        <f t="shared" si="6"/>
        <v>0</v>
      </c>
      <c r="X15" s="108">
        <f t="shared" si="6"/>
        <v>0</v>
      </c>
    </row>
    <row r="16" spans="2:24" ht="13.8" x14ac:dyDescent="0.25">
      <c r="B16" s="7">
        <v>30</v>
      </c>
      <c r="C16" s="4">
        <f>(3.6*J9)-197</f>
        <v>-197</v>
      </c>
      <c r="D16" s="4">
        <f>(4.1*J9)-233</f>
        <v>-233</v>
      </c>
      <c r="E16" s="4">
        <f>(4.6*J9)-268</f>
        <v>-268</v>
      </c>
      <c r="F16" s="4">
        <f>(5.1*J9)-301</f>
        <v>-301</v>
      </c>
      <c r="G16" s="4">
        <f>(5.5*J9)-333</f>
        <v>-333</v>
      </c>
      <c r="L16" s="7">
        <v>30</v>
      </c>
      <c r="M16" s="4">
        <f>(3.6*J14)-197</f>
        <v>-197</v>
      </c>
      <c r="N16" s="4">
        <f>(4.1*J14)-233</f>
        <v>-233</v>
      </c>
      <c r="O16" s="4">
        <f>(4.6*J14)-268</f>
        <v>-268</v>
      </c>
      <c r="P16" s="4">
        <f>(5.1*J14)-301</f>
        <v>-301</v>
      </c>
      <c r="Q16" s="4">
        <f>(5.5*J14)-333</f>
        <v>-333</v>
      </c>
      <c r="T16" s="108">
        <f t="shared" ref="T16:T19" si="7">M16-C16</f>
        <v>0</v>
      </c>
      <c r="U16" s="108">
        <f t="shared" si="6"/>
        <v>0</v>
      </c>
      <c r="V16" s="108">
        <f t="shared" si="6"/>
        <v>0</v>
      </c>
      <c r="W16" s="108">
        <f t="shared" si="6"/>
        <v>0</v>
      </c>
      <c r="X16" s="108">
        <f t="shared" si="6"/>
        <v>0</v>
      </c>
    </row>
    <row r="17" spans="1:24" ht="13.8" x14ac:dyDescent="0.25">
      <c r="B17" s="7">
        <v>40</v>
      </c>
      <c r="C17" s="4">
        <f>(3.5*J9)-192</f>
        <v>-192</v>
      </c>
      <c r="D17" s="4">
        <f>(4*J9)-228</f>
        <v>-228</v>
      </c>
      <c r="E17" s="4">
        <f>(4.5*J9)-262</f>
        <v>-262</v>
      </c>
      <c r="F17" s="4">
        <f>(5*J9)-295</f>
        <v>-295</v>
      </c>
      <c r="G17" s="4">
        <f>(5.4*J9)-326</f>
        <v>-326</v>
      </c>
      <c r="L17" s="7">
        <v>40</v>
      </c>
      <c r="M17" s="4">
        <f>(3.5*J14)-192</f>
        <v>-192</v>
      </c>
      <c r="N17" s="4">
        <f>(4*J14)-228</f>
        <v>-228</v>
      </c>
      <c r="O17" s="4">
        <f>(4.5*J14)-262</f>
        <v>-262</v>
      </c>
      <c r="P17" s="4">
        <f>(5*J14)-295</f>
        <v>-295</v>
      </c>
      <c r="Q17" s="4">
        <f>(5.4*J14)-326</f>
        <v>-326</v>
      </c>
      <c r="T17" s="108">
        <f t="shared" si="7"/>
        <v>0</v>
      </c>
      <c r="U17" s="108">
        <f t="shared" si="6"/>
        <v>0</v>
      </c>
      <c r="V17" s="108">
        <f t="shared" si="6"/>
        <v>0</v>
      </c>
      <c r="W17" s="108">
        <f t="shared" si="6"/>
        <v>0</v>
      </c>
      <c r="X17" s="108">
        <f t="shared" si="6"/>
        <v>0</v>
      </c>
    </row>
    <row r="18" spans="1:24" ht="13.8" x14ac:dyDescent="0.25">
      <c r="B18" s="7">
        <v>50</v>
      </c>
      <c r="C18" s="4">
        <f>(3.4*J9)-186</f>
        <v>-186</v>
      </c>
      <c r="D18" s="4">
        <f>(4*J9)-222</f>
        <v>-222</v>
      </c>
      <c r="E18" s="4">
        <f>(4.4*J9)-256</f>
        <v>-256</v>
      </c>
      <c r="F18" s="4">
        <f>(4.9*J9)-288</f>
        <v>-288</v>
      </c>
      <c r="G18" s="4">
        <f>(5.3*J9)-319</f>
        <v>-319</v>
      </c>
      <c r="L18" s="7">
        <v>50</v>
      </c>
      <c r="M18" s="4">
        <f>(3.4*J14)-186</f>
        <v>-186</v>
      </c>
      <c r="N18" s="4">
        <f>(4*J14)-222</f>
        <v>-222</v>
      </c>
      <c r="O18" s="4">
        <f>(4.4*J14)-256</f>
        <v>-256</v>
      </c>
      <c r="P18" s="4">
        <f>(4.9*J14)-288</f>
        <v>-288</v>
      </c>
      <c r="Q18" s="4">
        <f>(5.3*J14)-319</f>
        <v>-319</v>
      </c>
      <c r="T18" s="108">
        <f t="shared" si="7"/>
        <v>0</v>
      </c>
      <c r="U18" s="108">
        <f t="shared" si="6"/>
        <v>0</v>
      </c>
      <c r="V18" s="108">
        <f t="shared" si="6"/>
        <v>0</v>
      </c>
      <c r="W18" s="108">
        <f t="shared" si="6"/>
        <v>0</v>
      </c>
      <c r="X18" s="108">
        <f t="shared" si="6"/>
        <v>0</v>
      </c>
    </row>
    <row r="19" spans="1:24" ht="13.8" x14ac:dyDescent="0.25">
      <c r="B19" s="7">
        <v>60</v>
      </c>
      <c r="C19" s="4">
        <f>(3.4*J9)-180</f>
        <v>-180</v>
      </c>
      <c r="D19" s="4">
        <f>(3.9*J9)-215</f>
        <v>-215</v>
      </c>
      <c r="E19" s="4">
        <f>(4.5*J9)-249</f>
        <v>-249</v>
      </c>
      <c r="F19" s="4">
        <f>(4.8*J9)-280</f>
        <v>-280</v>
      </c>
      <c r="G19" s="4">
        <f>(5.2*J9)-311</f>
        <v>-311</v>
      </c>
      <c r="L19" s="7">
        <v>60</v>
      </c>
      <c r="M19" s="4">
        <f>(3.4*J14)-180</f>
        <v>-180</v>
      </c>
      <c r="N19" s="4">
        <f>(3.9*J14)-215</f>
        <v>-215</v>
      </c>
      <c r="O19" s="4">
        <f>(4.5*J14)-249</f>
        <v>-249</v>
      </c>
      <c r="P19" s="4">
        <f>(4.8*J14)-280</f>
        <v>-280</v>
      </c>
      <c r="Q19" s="4">
        <f>(5.2*J14)-311</f>
        <v>-311</v>
      </c>
      <c r="T19" s="108">
        <f t="shared" si="7"/>
        <v>0</v>
      </c>
      <c r="U19" s="108">
        <f t="shared" si="6"/>
        <v>0</v>
      </c>
      <c r="V19" s="108">
        <f t="shared" si="6"/>
        <v>0</v>
      </c>
      <c r="W19" s="108">
        <f t="shared" si="6"/>
        <v>0</v>
      </c>
      <c r="X19" s="108">
        <f>Q19-G19</f>
        <v>0</v>
      </c>
    </row>
    <row r="22" spans="1:24" x14ac:dyDescent="0.25">
      <c r="B22" t="s">
        <v>36</v>
      </c>
      <c r="E22" s="10" t="s">
        <v>37</v>
      </c>
    </row>
    <row r="23" spans="1:24" x14ac:dyDescent="0.25">
      <c r="B23" s="11">
        <f>'Časový snímek A+B'!D14</f>
        <v>0</v>
      </c>
      <c r="C23" s="12">
        <f>'Časový snímek A+B'!D14</f>
        <v>0</v>
      </c>
      <c r="E23" s="11">
        <f>'Časový snímek A+B'!K14</f>
        <v>0</v>
      </c>
      <c r="F23" s="12">
        <f>'Časový snímek A+B'!K14</f>
        <v>0</v>
      </c>
    </row>
    <row r="24" spans="1:24" x14ac:dyDescent="0.25">
      <c r="A24" s="10" t="s">
        <v>74</v>
      </c>
      <c r="B24" s="2">
        <f>'Časový snímek A+B'!D18</f>
        <v>0</v>
      </c>
      <c r="C24" s="2">
        <f>'Časový snímek A+B'!D18</f>
        <v>0</v>
      </c>
      <c r="E24" s="2">
        <f>'Časový snímek A+B'!K18</f>
        <v>0</v>
      </c>
      <c r="F24" s="2">
        <f>'Časový snímek A+B'!K18</f>
        <v>0</v>
      </c>
    </row>
    <row r="25" spans="1:24" x14ac:dyDescent="0.25">
      <c r="A25" s="10" t="s">
        <v>71</v>
      </c>
      <c r="B25" s="2">
        <f>'Časový snímek A+B'!D16</f>
        <v>0</v>
      </c>
      <c r="C25" s="2">
        <f>'Časový snímek A+B'!D16</f>
        <v>0</v>
      </c>
      <c r="E25" s="2">
        <f>'Časový snímek A+B'!K16</f>
        <v>0</v>
      </c>
      <c r="F25" s="2">
        <f>'Časový snímek A+B'!K16</f>
        <v>0</v>
      </c>
    </row>
    <row r="26" spans="1:24" x14ac:dyDescent="0.25">
      <c r="B26" s="2"/>
      <c r="C26" s="2"/>
      <c r="E26" s="2"/>
      <c r="F26" s="2"/>
      <c r="I26" s="74" t="s">
        <v>76</v>
      </c>
      <c r="J26" s="74"/>
      <c r="L26" s="74" t="s">
        <v>81</v>
      </c>
      <c r="M26" s="74"/>
    </row>
    <row r="27" spans="1:24" x14ac:dyDescent="0.25">
      <c r="A27" s="9" t="s">
        <v>73</v>
      </c>
      <c r="B27" s="1">
        <f>IF(B24&gt;=85,90,IF(B24&gt;=75,80,IF(B24&gt;=65,70,IF(B24&gt;=55,60,IF(B24&gt;=45,50,IF(B24&lt;45,50))))))</f>
        <v>50</v>
      </c>
      <c r="C27" s="1">
        <f>IF(C24&gt;=85,90,IF(C24&gt;=75,80,IF(C24&gt;=65,70,IF(C24&gt;=55,60,IF(C24&gt;=45,50,IF(C24&lt;45,50))))))</f>
        <v>50</v>
      </c>
      <c r="E27" s="1">
        <f>IF(E24&gt;=85,90,IF(E24&gt;=75,80,IF(E24&gt;=65,70,IF(E24&gt;=55,60,IF(E24&gt;=45,50,IF(E24&lt;45,50))))))</f>
        <v>50</v>
      </c>
      <c r="F27" s="1">
        <f>IF(F24&gt;=85,90,IF(F24&gt;=75,80,IF(F24&gt;=65,70,IF(F24&gt;=55,60,IF(F24&gt;=45,50,IF(F24&lt;45,50))))))</f>
        <v>50</v>
      </c>
      <c r="I27" s="75">
        <f>IF(AND(B27=50,B28=20),(C15),IF(AND(B27=60,B28=20),(D15),IF(AND(B27=70,B28=20),(E15),IF(AND(B27=80,B28=20),(F15),IF(AND(B27=90,B28=20),(G15),0)))))</f>
        <v>-201</v>
      </c>
      <c r="J27" s="75">
        <f>IF(AND(C27=50,C28=20),(C9),IF(AND(C27=60,C28=20),(D9),IF(AND(C27=70,C28=20),(E9),IF(AND(C27=80,C28=20),(F9),IF(AND(C27=90,C28=20),(G9),0)))))</f>
        <v>-150</v>
      </c>
      <c r="L27" s="75">
        <f>IF(AND(E27=50,E28=20),(M15),IF(AND(E27=60,E28=20),(N15),IF(AND(E27=70,E28=20),(O15),IF(AND(E27=80,E28=20),(P15),IF(AND(E27=90,E28=20),(Q15),0)))))</f>
        <v>-201</v>
      </c>
      <c r="M27" s="75">
        <f>IF(AND(F27=50,F28=20),(M9),IF(AND(F27=60,F28=20),(N9),IF(AND(F27=70,F28=20),(O9),IF(AND(F27=80,F28=20),(P9),IF(AND(F27=90,F28=20),(Q9),0)))))</f>
        <v>-150</v>
      </c>
    </row>
    <row r="28" spans="1:24" x14ac:dyDescent="0.25">
      <c r="A28" s="9" t="s">
        <v>72</v>
      </c>
      <c r="B28" s="1">
        <f>IF(B25&lt;25,20,IF(B25&lt;35,30,IF(B25&lt;45,40,IF(B25&lt;55,50,IF(B25&lt;65,60,IF(B25&gt;=65,60))))))</f>
        <v>20</v>
      </c>
      <c r="C28" s="1">
        <f>IF(C25&lt;25,20,IF(C25&lt;35,30,IF(C25&lt;45,40,IF(C25&lt;55,50,IF(C25&lt;65,60,IF(C25&gt;=65,60))))))</f>
        <v>20</v>
      </c>
      <c r="E28" s="1">
        <f>IF(E25&lt;25,20,IF(E25&lt;35,30,IF(E25&lt;45,40,IF(E25&lt;55,50,IF(E25&lt;65,60,IF(E25&gt;=65,60))))))</f>
        <v>20</v>
      </c>
      <c r="F28" s="1">
        <f>IF(F25&lt;25,20,IF(F25&lt;35,30,IF(F25&lt;45,40,IF(F25&lt;55,50,IF(F25&lt;65,60,IF(F25&gt;=65,60))))))</f>
        <v>20</v>
      </c>
      <c r="I28" s="75">
        <f>IF(AND(B27=50,B28=30),(C16),IF(AND(B27=60,B28=30),(D16),IF(AND(B27=70,B28=30),(E16),IF(AND(B27=80,B28=30),(F16),IF(AND(B27=90,B28=30),(G16),0)))))</f>
        <v>0</v>
      </c>
      <c r="J28" s="75">
        <f>IF(AND(C27=50,C28=30),(C10),IF(AND(C27=60,C28=30),(D10),IF(AND(C27=70,C28=30),(E10),IF(AND(C27=80,C28=30),(F10),IF(AND(C27=90,C28=30),(G10),0)))))</f>
        <v>0</v>
      </c>
      <c r="L28" s="75">
        <f>IF(AND(E27=50,E28=30),(M16),IF(AND(E27=60,E28=30),(N16),IF(AND(E27=70,E28=30),(O16),IF(AND(E27=80,E28=30),(P16),IF(AND(E27=90,E28=30),(Q16),0)))))</f>
        <v>0</v>
      </c>
      <c r="M28" s="75">
        <f>IF(AND(F27=50,F28=30),(M10),IF(AND(F27=60,F28=30),(N10),IF(AND(F27=70,F28=30),(O10),IF(AND(F27=80,F28=30),(P10),IF(AND(F27=90,F28=30),(Q10),0)))))</f>
        <v>0</v>
      </c>
    </row>
    <row r="29" spans="1:24" x14ac:dyDescent="0.25">
      <c r="B29" s="2"/>
      <c r="C29" s="2"/>
      <c r="I29" s="75">
        <f>IF(AND(B27=50,B28=40),(C17),IF(AND(B27=60,B28=40),(D17),IF(AND(B27=70,B28=40),(E17),IF(AND(B27=80,B28=40),(F17),IF(AND(B27=90,B28=40),(G17),0)))))</f>
        <v>0</v>
      </c>
      <c r="J29" s="75">
        <f>IF(AND(C27=50,C28=40),(C11),IF(AND(C27=60,C28=40),(D11),IF(AND(C27=70,C28=40),(E11),IF(AND(C27=80,C28=40),(F11),IF(AND(C27=90,C28=40),(G11),0)))))</f>
        <v>0</v>
      </c>
      <c r="L29" s="75">
        <f>IF(AND(E27=50,E28=40),(M17),IF(AND(E27=60,E28=40),(N17),IF(AND(E27=70,E28=40),(O17),IF(AND(E27=80,E28=40),(P17),IF(AND(E27=90,E28=40),(Q17),0)))))</f>
        <v>0</v>
      </c>
      <c r="M29" s="75">
        <f>IF(AND(F27=50,F28=40),(M11),IF(AND(F27=60,F28=40),(N11),IF(AND(F27=70,F28=40),(O11),IF(AND(F27=80,F28=40),(P11),IF(AND(F27=90,F28=40),(Q11),0)))))</f>
        <v>0</v>
      </c>
    </row>
    <row r="30" spans="1:24" x14ac:dyDescent="0.25">
      <c r="I30" s="75">
        <f>IF(AND(B27=50,B28=50),(C18),IF(AND(B27=60,B28=50),(D18),IF(AND(B27=70,B28=50),(E18),IF(AND(B27=80,B28=50),(F18),IF(AND(B27=90,B28=50),(G18),0)))))</f>
        <v>0</v>
      </c>
      <c r="J30" s="75">
        <f>IF(AND(C27=50,C28=50),(C12),IF(AND(C27=60,C28=50),(D12),IF(AND(C27=70,C28=50),(E12),IF(AND(C27=80,C28=50),(F12),IF(AND(C27=90,C28=50),(G12),0)))))</f>
        <v>0</v>
      </c>
      <c r="L30" s="75">
        <f>IF(AND(E27=50,E28=50),(M18),IF(AND(E27=60,E28=50),(N18),IF(AND(E27=70,E28=50),(O18),IF(AND(E27=80,E28=50),(P18),IF(AND(E27=90,E28=50),(Q18),0)))))</f>
        <v>0</v>
      </c>
      <c r="M30" s="75">
        <f>IF(AND(F27=50,F28=50),(M12),IF(AND(F27=60,F28=50),(N12),IF(AND(F27=70,F28=50),(O12),IF(AND(F27=80,F28=50),(P12),IF(AND(F27=90,F28=50),(Q12),0)))))</f>
        <v>0</v>
      </c>
    </row>
    <row r="31" spans="1:24" ht="13.8" thickBot="1" x14ac:dyDescent="0.3">
      <c r="I31" s="80">
        <f>IF(AND(B27=50,B28=60),(C19),IF(AND(B27=60,B28=60),(D19),IF(AND(B27=70,B28=60),(E19),IF(AND(B27=80,B28=60),(F19),IF(AND(B27=90,B28=60),(G19),0)))))</f>
        <v>0</v>
      </c>
      <c r="J31" s="80">
        <f>IF(AND(C27=50,C28=60),(C13),IF(AND(C27=60,C28=60),(D13),IF(AND(C27=70,C28=60),(E13),IF(AND(C27=80,C28=60),(F13),IF(AND(C27=90,C28=60),(G13),0)))))</f>
        <v>0</v>
      </c>
      <c r="L31" s="80">
        <f>IF(AND(E27=50,E28=60),(M19),IF(AND(E27=60,E28=60),(N19),IF(AND(E27=70,E28=60),(O19),IF(AND(E27=80,E28=60),(P19),IF(AND(E27=90,E28=60),(Q19),0)))))</f>
        <v>0</v>
      </c>
      <c r="M31" s="80">
        <f>IF(AND(F27=50,F28=60),(M13),IF(AND(F27=60,F28=60),(N13),IF(AND(F27=70,F28=60),(O13),IF(AND(F27=80,F28=60),(P13),IF(AND(F27=90,F28=60),(Q13),0)))))</f>
        <v>0</v>
      </c>
    </row>
    <row r="32" spans="1:24" ht="13.8" thickTop="1" x14ac:dyDescent="0.25">
      <c r="A32" s="13" t="s">
        <v>75</v>
      </c>
      <c r="I32" s="76">
        <f>SUM(I27:I31)</f>
        <v>-201</v>
      </c>
      <c r="J32" s="77">
        <f>SUM(J27:J31)</f>
        <v>-150</v>
      </c>
      <c r="L32" s="76">
        <f>SUM(L27:L31)</f>
        <v>-201</v>
      </c>
      <c r="M32" s="77">
        <f>SUM(M27:M31)</f>
        <v>-150</v>
      </c>
    </row>
    <row r="33" spans="1:1" x14ac:dyDescent="0.25">
      <c r="A33" s="13" t="s">
        <v>69</v>
      </c>
    </row>
    <row r="34" spans="1:1" x14ac:dyDescent="0.25">
      <c r="A34" s="14" t="s">
        <v>70</v>
      </c>
    </row>
  </sheetData>
  <mergeCells count="12">
    <mergeCell ref="T7:X7"/>
    <mergeCell ref="B14:G14"/>
    <mergeCell ref="C2:U2"/>
    <mergeCell ref="B5:G5"/>
    <mergeCell ref="B6:B7"/>
    <mergeCell ref="C6:G6"/>
    <mergeCell ref="B8:G8"/>
    <mergeCell ref="L5:Q5"/>
    <mergeCell ref="L6:L7"/>
    <mergeCell ref="M6:Q6"/>
    <mergeCell ref="L8:Q8"/>
    <mergeCell ref="L14:Q14"/>
  </mergeCells>
  <phoneticPr fontId="23" type="noConversion"/>
  <conditionalFormatting sqref="I10">
    <cfRule type="containsText" dxfId="4" priority="4" operator="containsText" text="žena">
      <formula>NOT(ISERROR(SEARCH("žena",I10)))</formula>
    </cfRule>
  </conditionalFormatting>
  <conditionalFormatting sqref="I15">
    <cfRule type="containsText" dxfId="3" priority="2" operator="containsText" text="žena">
      <formula>NOT(ISERROR(SEARCH("žena",I15)))</formula>
    </cfRule>
    <cfRule type="containsText" dxfId="2" priority="3" operator="containsText" text="muž">
      <formula>NOT(ISERROR(SEARCH("muž",I15)))</formula>
    </cfRule>
  </conditionalFormatting>
  <conditionalFormatting sqref="I10:J10">
    <cfRule type="containsText" dxfId="1" priority="5" operator="containsText" text="muž">
      <formula>NOT(ISERROR(SEARCH("muž",I10)))</formula>
    </cfRule>
  </conditionalFormatting>
  <conditionalFormatting sqref="J15">
    <cfRule type="containsText" dxfId="0" priority="1" operator="containsText" text="muž">
      <formula>NOT(ISERROR(SEARCH("muž",J15)))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I28:I29" formula="1"/>
  </ignoredError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R119"/>
  <sheetViews>
    <sheetView zoomScaleNormal="100" workbookViewId="0">
      <pane ySplit="8" topLeftCell="A9" activePane="bottomLeft" state="frozen"/>
      <selection pane="bottomLeft" activeCell="D3" sqref="D3"/>
    </sheetView>
  </sheetViews>
  <sheetFormatPr defaultColWidth="11" defaultRowHeight="13.8" x14ac:dyDescent="0.3"/>
  <cols>
    <col min="1" max="1" width="4.109375" style="111" customWidth="1"/>
    <col min="2" max="2" width="24.33203125" style="69" customWidth="1"/>
    <col min="3" max="3" width="3.44140625" style="111" customWidth="1"/>
    <col min="4" max="4" width="24.33203125" style="69" customWidth="1"/>
    <col min="5" max="7" width="11.6640625" style="69" customWidth="1"/>
    <col min="8" max="8" width="11.6640625" style="85" customWidth="1"/>
    <col min="9" max="9" width="11.6640625" style="69" customWidth="1"/>
    <col min="10" max="10" width="11" style="69"/>
    <col min="11" max="11" width="8.44140625" style="69" customWidth="1"/>
    <col min="12" max="12" width="0.88671875" style="69" customWidth="1"/>
    <col min="13" max="13" width="11" style="69"/>
    <col min="14" max="14" width="14.6640625" style="69" customWidth="1"/>
    <col min="15" max="16384" width="11" style="69"/>
  </cols>
  <sheetData>
    <row r="1" spans="1:13" ht="21" customHeight="1" x14ac:dyDescent="0.3">
      <c r="A1" s="407" t="s">
        <v>156</v>
      </c>
      <c r="B1" s="407"/>
      <c r="C1" s="407"/>
      <c r="D1" s="407"/>
      <c r="E1" s="407"/>
      <c r="F1" s="407"/>
      <c r="G1" s="407"/>
      <c r="H1" s="407"/>
      <c r="I1" s="407"/>
      <c r="J1" s="407"/>
    </row>
    <row r="2" spans="1:13" s="17" customFormat="1" x14ac:dyDescent="0.3">
      <c r="C2" s="24" t="s">
        <v>28</v>
      </c>
      <c r="D2" s="129">
        <f>'Časový snímek A+B'!D3</f>
        <v>0</v>
      </c>
      <c r="E2" s="22"/>
      <c r="F2" s="18"/>
      <c r="G2" s="18"/>
      <c r="H2" s="18"/>
      <c r="I2" s="19"/>
      <c r="J2" s="20"/>
      <c r="K2" s="21"/>
      <c r="L2" s="22"/>
      <c r="M2" s="23"/>
    </row>
    <row r="3" spans="1:13" s="17" customFormat="1" x14ac:dyDescent="0.3">
      <c r="C3" s="24" t="s">
        <v>29</v>
      </c>
      <c r="D3" s="129">
        <f>'Časový snímek A+B'!D4</f>
        <v>0</v>
      </c>
      <c r="E3" s="22"/>
      <c r="F3" s="18"/>
      <c r="G3" s="18"/>
      <c r="H3" s="18"/>
      <c r="I3" s="19"/>
      <c r="J3" s="20"/>
      <c r="K3" s="21"/>
      <c r="L3" s="22"/>
      <c r="M3" s="23"/>
    </row>
    <row r="4" spans="1:13" s="17" customFormat="1" x14ac:dyDescent="0.3">
      <c r="C4" s="24" t="s">
        <v>30</v>
      </c>
      <c r="D4" s="68">
        <f>'Časový snímek A+B'!D5</f>
        <v>0</v>
      </c>
      <c r="E4" s="26"/>
      <c r="F4" s="18"/>
      <c r="G4" s="27"/>
      <c r="H4" s="18"/>
      <c r="I4" s="28"/>
      <c r="J4" s="20"/>
      <c r="K4" s="21"/>
      <c r="L4" s="22"/>
      <c r="M4" s="23"/>
    </row>
    <row r="5" spans="1:13" s="17" customFormat="1" x14ac:dyDescent="0.3">
      <c r="C5" s="24" t="s">
        <v>31</v>
      </c>
      <c r="D5" s="129">
        <f>'Časový snímek A+B'!D6</f>
        <v>480</v>
      </c>
      <c r="F5" s="24" t="s">
        <v>32</v>
      </c>
      <c r="G5" s="129">
        <f>'Časový snímek A+B'!J6</f>
        <v>30</v>
      </c>
      <c r="H5" s="18"/>
      <c r="I5" s="29" t="s">
        <v>33</v>
      </c>
      <c r="J5" s="30">
        <f>D5-G5</f>
        <v>450</v>
      </c>
    </row>
    <row r="6" spans="1:13" s="17" customFormat="1" x14ac:dyDescent="0.3">
      <c r="C6" s="24" t="s">
        <v>35</v>
      </c>
      <c r="D6" s="25">
        <f>'Časový snímek A+B'!D8</f>
        <v>0</v>
      </c>
      <c r="E6" s="22"/>
      <c r="F6" s="18"/>
      <c r="G6" s="18"/>
      <c r="H6" s="18"/>
      <c r="I6" s="19"/>
      <c r="J6" s="20"/>
      <c r="K6" s="21"/>
      <c r="L6" s="22"/>
      <c r="M6" s="23"/>
    </row>
    <row r="7" spans="1:13" ht="9.75" customHeight="1" thickBot="1" x14ac:dyDescent="0.35">
      <c r="A7" s="69"/>
      <c r="C7" s="69"/>
    </row>
    <row r="8" spans="1:13" ht="44.4" customHeight="1" thickBot="1" x14ac:dyDescent="0.35">
      <c r="A8" s="493" t="s">
        <v>128</v>
      </c>
      <c r="B8" s="494"/>
      <c r="C8" s="495" t="s">
        <v>144</v>
      </c>
      <c r="D8" s="496"/>
      <c r="E8" s="113" t="s">
        <v>188</v>
      </c>
      <c r="F8" s="114" t="s">
        <v>132</v>
      </c>
      <c r="G8" s="113" t="s">
        <v>133</v>
      </c>
      <c r="H8" s="114" t="s">
        <v>142</v>
      </c>
      <c r="I8" s="113" t="s">
        <v>146</v>
      </c>
      <c r="J8" s="115" t="s">
        <v>143</v>
      </c>
    </row>
    <row r="9" spans="1:13" x14ac:dyDescent="0.3">
      <c r="A9" s="130" t="s">
        <v>129</v>
      </c>
      <c r="B9" s="131">
        <f>'Časový snímek A+B'!$C$34</f>
        <v>0</v>
      </c>
      <c r="C9" s="132">
        <v>1</v>
      </c>
      <c r="D9" s="131"/>
      <c r="E9" s="230"/>
      <c r="F9" s="133"/>
      <c r="G9" s="194"/>
      <c r="H9" s="122">
        <f>L9</f>
        <v>0</v>
      </c>
      <c r="I9" s="151"/>
      <c r="J9" s="116">
        <f>I9*H9</f>
        <v>0</v>
      </c>
      <c r="L9" s="121">
        <f>IFERROR((G9*60)/E9*F9,0)</f>
        <v>0</v>
      </c>
      <c r="M9" s="121"/>
    </row>
    <row r="10" spans="1:13" x14ac:dyDescent="0.3">
      <c r="A10" s="134"/>
      <c r="B10" s="135"/>
      <c r="C10" s="136">
        <v>2</v>
      </c>
      <c r="D10" s="135"/>
      <c r="E10" s="230"/>
      <c r="F10" s="137"/>
      <c r="G10" s="194"/>
      <c r="H10" s="123">
        <f>L10</f>
        <v>0</v>
      </c>
      <c r="I10" s="152"/>
      <c r="J10" s="117">
        <f t="shared" ref="J10:J18" si="0">I10*H10</f>
        <v>0</v>
      </c>
      <c r="L10" s="121">
        <f>IFERROR((G10*60)/E10*F10,0)</f>
        <v>0</v>
      </c>
      <c r="M10" s="121"/>
    </row>
    <row r="11" spans="1:13" x14ac:dyDescent="0.3">
      <c r="A11" s="134"/>
      <c r="B11" s="135"/>
      <c r="C11" s="136">
        <v>3</v>
      </c>
      <c r="D11" s="135"/>
      <c r="E11" s="230"/>
      <c r="F11" s="137"/>
      <c r="G11" s="194"/>
      <c r="H11" s="123">
        <f t="shared" ref="H11:H25" si="1">L11</f>
        <v>0</v>
      </c>
      <c r="I11" s="152"/>
      <c r="J11" s="117">
        <f t="shared" si="0"/>
        <v>0</v>
      </c>
      <c r="L11" s="121">
        <f t="shared" ref="L11:L73" si="2">IFERROR((G11*60)/E11*F11,0)</f>
        <v>0</v>
      </c>
      <c r="M11" s="121"/>
    </row>
    <row r="12" spans="1:13" x14ac:dyDescent="0.3">
      <c r="A12" s="134"/>
      <c r="B12" s="135"/>
      <c r="C12" s="136">
        <v>4</v>
      </c>
      <c r="D12" s="135"/>
      <c r="E12" s="230"/>
      <c r="F12" s="137"/>
      <c r="G12" s="194"/>
      <c r="H12" s="123">
        <f t="shared" si="1"/>
        <v>0</v>
      </c>
      <c r="I12" s="152"/>
      <c r="J12" s="117">
        <f t="shared" si="0"/>
        <v>0</v>
      </c>
      <c r="L12" s="121">
        <f t="shared" si="2"/>
        <v>0</v>
      </c>
      <c r="M12" s="121"/>
    </row>
    <row r="13" spans="1:13" x14ac:dyDescent="0.3">
      <c r="A13" s="134"/>
      <c r="B13" s="135"/>
      <c r="C13" s="136">
        <v>5</v>
      </c>
      <c r="D13" s="135"/>
      <c r="E13" s="230"/>
      <c r="F13" s="137"/>
      <c r="G13" s="194"/>
      <c r="H13" s="123">
        <f t="shared" si="1"/>
        <v>0</v>
      </c>
      <c r="I13" s="152"/>
      <c r="J13" s="117">
        <f t="shared" si="0"/>
        <v>0</v>
      </c>
      <c r="L13" s="121">
        <f t="shared" si="2"/>
        <v>0</v>
      </c>
      <c r="M13" s="121"/>
    </row>
    <row r="14" spans="1:13" x14ac:dyDescent="0.3">
      <c r="A14" s="134"/>
      <c r="B14" s="135"/>
      <c r="C14" s="136">
        <v>6</v>
      </c>
      <c r="D14" s="135"/>
      <c r="E14" s="230"/>
      <c r="F14" s="137"/>
      <c r="G14" s="194"/>
      <c r="H14" s="123">
        <f t="shared" si="1"/>
        <v>0</v>
      </c>
      <c r="I14" s="152"/>
      <c r="J14" s="117">
        <f t="shared" si="0"/>
        <v>0</v>
      </c>
      <c r="L14" s="121">
        <f t="shared" si="2"/>
        <v>0</v>
      </c>
      <c r="M14" s="121"/>
    </row>
    <row r="15" spans="1:13" x14ac:dyDescent="0.3">
      <c r="A15" s="134"/>
      <c r="B15" s="135"/>
      <c r="C15" s="136">
        <v>7</v>
      </c>
      <c r="D15" s="135"/>
      <c r="E15" s="230"/>
      <c r="F15" s="137"/>
      <c r="G15" s="194"/>
      <c r="H15" s="123">
        <f t="shared" si="1"/>
        <v>0</v>
      </c>
      <c r="I15" s="152"/>
      <c r="J15" s="117">
        <f t="shared" si="0"/>
        <v>0</v>
      </c>
      <c r="L15" s="121">
        <f t="shared" si="2"/>
        <v>0</v>
      </c>
      <c r="M15" s="121"/>
    </row>
    <row r="16" spans="1:13" x14ac:dyDescent="0.3">
      <c r="A16" s="134"/>
      <c r="B16" s="135"/>
      <c r="C16" s="136">
        <v>8</v>
      </c>
      <c r="D16" s="135"/>
      <c r="E16" s="230"/>
      <c r="F16" s="137"/>
      <c r="G16" s="194"/>
      <c r="H16" s="123">
        <f t="shared" si="1"/>
        <v>0</v>
      </c>
      <c r="I16" s="152"/>
      <c r="J16" s="117">
        <f t="shared" si="0"/>
        <v>0</v>
      </c>
      <c r="L16" s="121">
        <f t="shared" si="2"/>
        <v>0</v>
      </c>
      <c r="M16" s="121"/>
    </row>
    <row r="17" spans="1:13" x14ac:dyDescent="0.3">
      <c r="A17" s="134"/>
      <c r="B17" s="135"/>
      <c r="C17" s="136">
        <v>9</v>
      </c>
      <c r="D17" s="135"/>
      <c r="E17" s="230"/>
      <c r="F17" s="137"/>
      <c r="G17" s="194"/>
      <c r="H17" s="123">
        <f t="shared" si="1"/>
        <v>0</v>
      </c>
      <c r="I17" s="152"/>
      <c r="J17" s="117">
        <f t="shared" si="0"/>
        <v>0</v>
      </c>
      <c r="L17" s="121">
        <f t="shared" si="2"/>
        <v>0</v>
      </c>
      <c r="M17" s="121"/>
    </row>
    <row r="18" spans="1:13" ht="14.4" thickBot="1" x14ac:dyDescent="0.35">
      <c r="A18" s="139"/>
      <c r="B18" s="140"/>
      <c r="C18" s="141">
        <v>10</v>
      </c>
      <c r="D18" s="140"/>
      <c r="E18" s="232"/>
      <c r="F18" s="142"/>
      <c r="G18" s="194"/>
      <c r="H18" s="123">
        <f t="shared" si="1"/>
        <v>0</v>
      </c>
      <c r="I18" s="153"/>
      <c r="J18" s="118">
        <f t="shared" si="0"/>
        <v>0</v>
      </c>
      <c r="L18" s="121">
        <f t="shared" si="2"/>
        <v>0</v>
      </c>
      <c r="M18" s="121"/>
    </row>
    <row r="19" spans="1:13" ht="14.4" thickBot="1" x14ac:dyDescent="0.35">
      <c r="A19" s="489" t="s">
        <v>145</v>
      </c>
      <c r="B19" s="490"/>
      <c r="C19" s="491"/>
      <c r="D19" s="492"/>
      <c r="E19" s="233"/>
      <c r="F19" s="144"/>
      <c r="G19" s="145">
        <f>'Časový snímek A+B'!F34</f>
        <v>0</v>
      </c>
      <c r="H19" s="126">
        <f>SUM(H9:H18)</f>
        <v>0</v>
      </c>
      <c r="I19" s="154"/>
      <c r="J19" s="119">
        <f>SUM(J9:J18)</f>
        <v>0</v>
      </c>
      <c r="L19" s="121"/>
    </row>
    <row r="20" spans="1:13" ht="14.4" thickTop="1" x14ac:dyDescent="0.3">
      <c r="A20" s="134" t="s">
        <v>130</v>
      </c>
      <c r="B20" s="135">
        <f>'Časový snímek A+B'!$C$35</f>
        <v>0</v>
      </c>
      <c r="C20" s="136">
        <v>1</v>
      </c>
      <c r="D20" s="135"/>
      <c r="E20" s="230"/>
      <c r="F20" s="137"/>
      <c r="G20" s="138"/>
      <c r="H20" s="123">
        <f t="shared" si="1"/>
        <v>0</v>
      </c>
      <c r="I20" s="151"/>
      <c r="J20" s="116">
        <f>I20*H20</f>
        <v>0</v>
      </c>
      <c r="L20" s="121">
        <f t="shared" si="2"/>
        <v>0</v>
      </c>
    </row>
    <row r="21" spans="1:13" x14ac:dyDescent="0.3">
      <c r="A21" s="146"/>
      <c r="B21" s="135"/>
      <c r="C21" s="136">
        <v>2</v>
      </c>
      <c r="D21" s="135"/>
      <c r="E21" s="230"/>
      <c r="F21" s="137"/>
      <c r="G21" s="138"/>
      <c r="H21" s="123">
        <f t="shared" si="1"/>
        <v>0</v>
      </c>
      <c r="I21" s="152"/>
      <c r="J21" s="117">
        <f t="shared" ref="J21:J29" si="3">I21*H21</f>
        <v>0</v>
      </c>
      <c r="L21" s="121">
        <f t="shared" si="2"/>
        <v>0</v>
      </c>
    </row>
    <row r="22" spans="1:13" x14ac:dyDescent="0.3">
      <c r="A22" s="146"/>
      <c r="B22" s="135"/>
      <c r="C22" s="136">
        <v>3</v>
      </c>
      <c r="D22" s="135"/>
      <c r="E22" s="230"/>
      <c r="F22" s="137"/>
      <c r="G22" s="138"/>
      <c r="H22" s="123">
        <f t="shared" si="1"/>
        <v>0</v>
      </c>
      <c r="I22" s="152"/>
      <c r="J22" s="117">
        <f t="shared" si="3"/>
        <v>0</v>
      </c>
      <c r="L22" s="121">
        <f t="shared" si="2"/>
        <v>0</v>
      </c>
    </row>
    <row r="23" spans="1:13" x14ac:dyDescent="0.3">
      <c r="A23" s="146"/>
      <c r="B23" s="135"/>
      <c r="C23" s="136">
        <v>4</v>
      </c>
      <c r="D23" s="135"/>
      <c r="E23" s="230"/>
      <c r="F23" s="137"/>
      <c r="G23" s="138"/>
      <c r="H23" s="123">
        <f t="shared" si="1"/>
        <v>0</v>
      </c>
      <c r="I23" s="152"/>
      <c r="J23" s="117">
        <f t="shared" si="3"/>
        <v>0</v>
      </c>
      <c r="L23" s="121">
        <f t="shared" si="2"/>
        <v>0</v>
      </c>
    </row>
    <row r="24" spans="1:13" x14ac:dyDescent="0.3">
      <c r="A24" s="146"/>
      <c r="B24" s="135"/>
      <c r="C24" s="136">
        <v>5</v>
      </c>
      <c r="D24" s="135"/>
      <c r="E24" s="230"/>
      <c r="F24" s="137"/>
      <c r="G24" s="138"/>
      <c r="H24" s="123">
        <f t="shared" si="1"/>
        <v>0</v>
      </c>
      <c r="I24" s="152"/>
      <c r="J24" s="117">
        <f t="shared" si="3"/>
        <v>0</v>
      </c>
      <c r="L24" s="121">
        <f t="shared" si="2"/>
        <v>0</v>
      </c>
    </row>
    <row r="25" spans="1:13" x14ac:dyDescent="0.3">
      <c r="A25" s="146"/>
      <c r="B25" s="135"/>
      <c r="C25" s="136">
        <v>6</v>
      </c>
      <c r="D25" s="135"/>
      <c r="E25" s="230"/>
      <c r="F25" s="137"/>
      <c r="G25" s="138"/>
      <c r="H25" s="123">
        <f t="shared" si="1"/>
        <v>0</v>
      </c>
      <c r="I25" s="152"/>
      <c r="J25" s="117">
        <f t="shared" si="3"/>
        <v>0</v>
      </c>
      <c r="L25" s="121">
        <f t="shared" si="2"/>
        <v>0</v>
      </c>
    </row>
    <row r="26" spans="1:13" x14ac:dyDescent="0.3">
      <c r="A26" s="146"/>
      <c r="B26" s="135"/>
      <c r="C26" s="136">
        <v>7</v>
      </c>
      <c r="D26" s="135"/>
      <c r="E26" s="230"/>
      <c r="F26" s="137"/>
      <c r="G26" s="138"/>
      <c r="H26" s="123">
        <f t="shared" ref="H26:H29" si="4">L26</f>
        <v>0</v>
      </c>
      <c r="I26" s="152"/>
      <c r="J26" s="117">
        <f t="shared" si="3"/>
        <v>0</v>
      </c>
      <c r="L26" s="121">
        <f t="shared" si="2"/>
        <v>0</v>
      </c>
    </row>
    <row r="27" spans="1:13" x14ac:dyDescent="0.3">
      <c r="A27" s="146"/>
      <c r="B27" s="135"/>
      <c r="C27" s="136">
        <v>8</v>
      </c>
      <c r="D27" s="135"/>
      <c r="E27" s="230"/>
      <c r="F27" s="137"/>
      <c r="G27" s="138"/>
      <c r="H27" s="123">
        <f t="shared" si="4"/>
        <v>0</v>
      </c>
      <c r="I27" s="152"/>
      <c r="J27" s="117">
        <f t="shared" si="3"/>
        <v>0</v>
      </c>
      <c r="L27" s="121">
        <f t="shared" si="2"/>
        <v>0</v>
      </c>
    </row>
    <row r="28" spans="1:13" x14ac:dyDescent="0.3">
      <c r="A28" s="146"/>
      <c r="B28" s="135"/>
      <c r="C28" s="136">
        <v>9</v>
      </c>
      <c r="D28" s="135"/>
      <c r="E28" s="230"/>
      <c r="F28" s="137"/>
      <c r="G28" s="138"/>
      <c r="H28" s="123">
        <f t="shared" si="4"/>
        <v>0</v>
      </c>
      <c r="I28" s="152"/>
      <c r="J28" s="117">
        <f t="shared" si="3"/>
        <v>0</v>
      </c>
      <c r="L28" s="121">
        <f t="shared" si="2"/>
        <v>0</v>
      </c>
    </row>
    <row r="29" spans="1:13" ht="14.4" thickBot="1" x14ac:dyDescent="0.35">
      <c r="A29" s="147"/>
      <c r="B29" s="140"/>
      <c r="C29" s="141">
        <v>10</v>
      </c>
      <c r="D29" s="140"/>
      <c r="E29" s="232"/>
      <c r="F29" s="142"/>
      <c r="G29" s="143"/>
      <c r="H29" s="124">
        <f t="shared" si="4"/>
        <v>0</v>
      </c>
      <c r="I29" s="153"/>
      <c r="J29" s="118">
        <f t="shared" si="3"/>
        <v>0</v>
      </c>
      <c r="L29" s="121">
        <f t="shared" si="2"/>
        <v>0</v>
      </c>
    </row>
    <row r="30" spans="1:13" ht="14.4" thickBot="1" x14ac:dyDescent="0.35">
      <c r="A30" s="489" t="s">
        <v>145</v>
      </c>
      <c r="B30" s="490"/>
      <c r="C30" s="491"/>
      <c r="D30" s="492"/>
      <c r="E30" s="233"/>
      <c r="F30" s="144"/>
      <c r="G30" s="145">
        <f>'Časový snímek A+B'!F35</f>
        <v>0</v>
      </c>
      <c r="H30" s="126">
        <f>SUM(H20:H29)</f>
        <v>0</v>
      </c>
      <c r="I30" s="154"/>
      <c r="J30" s="119">
        <f>SUM(J20:J29)</f>
        <v>0</v>
      </c>
      <c r="L30" s="121"/>
    </row>
    <row r="31" spans="1:13" ht="14.4" thickTop="1" x14ac:dyDescent="0.3">
      <c r="A31" s="148" t="s">
        <v>134</v>
      </c>
      <c r="B31" s="131">
        <f>'Časový snímek A+B'!$C$36</f>
        <v>0</v>
      </c>
      <c r="C31" s="132">
        <v>1</v>
      </c>
      <c r="D31" s="131"/>
      <c r="E31" s="231"/>
      <c r="F31" s="133"/>
      <c r="G31" s="149"/>
      <c r="H31" s="125">
        <f>L31</f>
        <v>0</v>
      </c>
      <c r="I31" s="151"/>
      <c r="J31" s="116">
        <f>I31*H31</f>
        <v>0</v>
      </c>
      <c r="L31" s="121">
        <f t="shared" si="2"/>
        <v>0</v>
      </c>
    </row>
    <row r="32" spans="1:13" x14ac:dyDescent="0.3">
      <c r="A32" s="146"/>
      <c r="B32" s="135"/>
      <c r="C32" s="136">
        <v>2</v>
      </c>
      <c r="D32" s="135"/>
      <c r="E32" s="230"/>
      <c r="F32" s="137"/>
      <c r="G32" s="138"/>
      <c r="H32" s="123">
        <f t="shared" ref="H32:H46" si="5">L32</f>
        <v>0</v>
      </c>
      <c r="I32" s="152"/>
      <c r="J32" s="117">
        <f t="shared" ref="J32:J40" si="6">I32*H32</f>
        <v>0</v>
      </c>
      <c r="L32" s="121">
        <f t="shared" si="2"/>
        <v>0</v>
      </c>
      <c r="M32" s="111"/>
    </row>
    <row r="33" spans="1:18" x14ac:dyDescent="0.3">
      <c r="A33" s="146"/>
      <c r="B33" s="135"/>
      <c r="C33" s="136">
        <v>3</v>
      </c>
      <c r="D33" s="135"/>
      <c r="E33" s="230"/>
      <c r="F33" s="137"/>
      <c r="G33" s="138"/>
      <c r="H33" s="123">
        <f t="shared" si="5"/>
        <v>0</v>
      </c>
      <c r="I33" s="152"/>
      <c r="J33" s="117">
        <f t="shared" si="6"/>
        <v>0</v>
      </c>
      <c r="L33" s="121">
        <f t="shared" si="2"/>
        <v>0</v>
      </c>
      <c r="M33" s="111"/>
      <c r="Q33" s="110"/>
      <c r="R33" s="110"/>
    </row>
    <row r="34" spans="1:18" x14ac:dyDescent="0.3">
      <c r="A34" s="146"/>
      <c r="B34" s="135"/>
      <c r="C34" s="136">
        <v>4</v>
      </c>
      <c r="D34" s="135"/>
      <c r="E34" s="230"/>
      <c r="F34" s="137"/>
      <c r="G34" s="138"/>
      <c r="H34" s="123">
        <f t="shared" si="5"/>
        <v>0</v>
      </c>
      <c r="I34" s="152"/>
      <c r="J34" s="117">
        <f t="shared" si="6"/>
        <v>0</v>
      </c>
      <c r="L34" s="121">
        <f t="shared" si="2"/>
        <v>0</v>
      </c>
      <c r="M34" s="111"/>
      <c r="Q34" s="110"/>
      <c r="R34" s="110"/>
    </row>
    <row r="35" spans="1:18" x14ac:dyDescent="0.3">
      <c r="A35" s="146"/>
      <c r="B35" s="135"/>
      <c r="C35" s="136">
        <v>5</v>
      </c>
      <c r="D35" s="135"/>
      <c r="E35" s="230"/>
      <c r="F35" s="137"/>
      <c r="G35" s="138"/>
      <c r="H35" s="123">
        <f t="shared" si="5"/>
        <v>0</v>
      </c>
      <c r="I35" s="152"/>
      <c r="J35" s="117">
        <f t="shared" si="6"/>
        <v>0</v>
      </c>
      <c r="L35" s="121">
        <f t="shared" si="2"/>
        <v>0</v>
      </c>
      <c r="M35" s="111"/>
      <c r="Q35" s="110"/>
      <c r="R35" s="110"/>
    </row>
    <row r="36" spans="1:18" x14ac:dyDescent="0.3">
      <c r="A36" s="146"/>
      <c r="B36" s="135"/>
      <c r="C36" s="136">
        <v>6</v>
      </c>
      <c r="D36" s="135"/>
      <c r="E36" s="230"/>
      <c r="F36" s="137"/>
      <c r="G36" s="138"/>
      <c r="H36" s="123">
        <f t="shared" si="5"/>
        <v>0</v>
      </c>
      <c r="I36" s="152"/>
      <c r="J36" s="117">
        <f t="shared" si="6"/>
        <v>0</v>
      </c>
      <c r="L36" s="121">
        <f t="shared" si="2"/>
        <v>0</v>
      </c>
      <c r="M36" s="111"/>
      <c r="Q36" s="110"/>
      <c r="R36" s="110"/>
    </row>
    <row r="37" spans="1:18" x14ac:dyDescent="0.3">
      <c r="A37" s="146"/>
      <c r="B37" s="135"/>
      <c r="C37" s="136">
        <v>7</v>
      </c>
      <c r="D37" s="135"/>
      <c r="E37" s="230"/>
      <c r="F37" s="137"/>
      <c r="G37" s="138"/>
      <c r="H37" s="123">
        <f t="shared" si="5"/>
        <v>0</v>
      </c>
      <c r="I37" s="152"/>
      <c r="J37" s="117">
        <f t="shared" si="6"/>
        <v>0</v>
      </c>
      <c r="L37" s="121">
        <f t="shared" si="2"/>
        <v>0</v>
      </c>
      <c r="M37" s="111"/>
      <c r="Q37" s="110"/>
      <c r="R37" s="110"/>
    </row>
    <row r="38" spans="1:18" x14ac:dyDescent="0.3">
      <c r="A38" s="146"/>
      <c r="B38" s="135"/>
      <c r="C38" s="136">
        <v>8</v>
      </c>
      <c r="D38" s="135"/>
      <c r="E38" s="230"/>
      <c r="F38" s="137"/>
      <c r="G38" s="138"/>
      <c r="H38" s="123">
        <f t="shared" si="5"/>
        <v>0</v>
      </c>
      <c r="I38" s="152"/>
      <c r="J38" s="117">
        <f t="shared" si="6"/>
        <v>0</v>
      </c>
      <c r="L38" s="121">
        <f t="shared" si="2"/>
        <v>0</v>
      </c>
      <c r="M38" s="111"/>
    </row>
    <row r="39" spans="1:18" x14ac:dyDescent="0.3">
      <c r="A39" s="146"/>
      <c r="B39" s="135"/>
      <c r="C39" s="136">
        <v>9</v>
      </c>
      <c r="D39" s="135"/>
      <c r="E39" s="230"/>
      <c r="F39" s="137"/>
      <c r="G39" s="138"/>
      <c r="H39" s="123">
        <f t="shared" si="5"/>
        <v>0</v>
      </c>
      <c r="I39" s="152"/>
      <c r="J39" s="117">
        <f t="shared" si="6"/>
        <v>0</v>
      </c>
      <c r="L39" s="121">
        <f t="shared" si="2"/>
        <v>0</v>
      </c>
    </row>
    <row r="40" spans="1:18" ht="14.4" thickBot="1" x14ac:dyDescent="0.35">
      <c r="A40" s="147"/>
      <c r="B40" s="140"/>
      <c r="C40" s="141">
        <v>10</v>
      </c>
      <c r="D40" s="140"/>
      <c r="E40" s="232"/>
      <c r="F40" s="142"/>
      <c r="G40" s="143"/>
      <c r="H40" s="124">
        <f t="shared" si="5"/>
        <v>0</v>
      </c>
      <c r="I40" s="153"/>
      <c r="J40" s="118">
        <f t="shared" si="6"/>
        <v>0</v>
      </c>
      <c r="L40" s="121">
        <f t="shared" si="2"/>
        <v>0</v>
      </c>
    </row>
    <row r="41" spans="1:18" ht="14.4" thickBot="1" x14ac:dyDescent="0.35">
      <c r="A41" s="489" t="s">
        <v>145</v>
      </c>
      <c r="B41" s="490"/>
      <c r="C41" s="491"/>
      <c r="D41" s="492"/>
      <c r="E41" s="233"/>
      <c r="F41" s="144"/>
      <c r="G41" s="145">
        <f>'Časový snímek A+B'!F36</f>
        <v>0</v>
      </c>
      <c r="H41" s="126">
        <f>SUM(H31:H40)</f>
        <v>0</v>
      </c>
      <c r="I41" s="154"/>
      <c r="J41" s="119">
        <f>SUM(J31:J40)</f>
        <v>0</v>
      </c>
      <c r="L41" s="121"/>
    </row>
    <row r="42" spans="1:18" ht="14.4" thickTop="1" x14ac:dyDescent="0.3">
      <c r="A42" s="130" t="s">
        <v>135</v>
      </c>
      <c r="B42" s="131">
        <f>'Časový snímek A+B'!$C$37</f>
        <v>0</v>
      </c>
      <c r="C42" s="132">
        <v>1</v>
      </c>
      <c r="D42" s="131"/>
      <c r="E42" s="231"/>
      <c r="F42" s="133"/>
      <c r="G42" s="149"/>
      <c r="H42" s="123">
        <f t="shared" si="5"/>
        <v>0</v>
      </c>
      <c r="I42" s="151"/>
      <c r="J42" s="116">
        <f>I42*H42</f>
        <v>0</v>
      </c>
      <c r="L42" s="121">
        <f t="shared" si="2"/>
        <v>0</v>
      </c>
    </row>
    <row r="43" spans="1:18" x14ac:dyDescent="0.3">
      <c r="A43" s="146"/>
      <c r="B43" s="135"/>
      <c r="C43" s="136">
        <v>2</v>
      </c>
      <c r="D43" s="135"/>
      <c r="E43" s="230"/>
      <c r="F43" s="137"/>
      <c r="G43" s="138"/>
      <c r="H43" s="123">
        <f t="shared" si="5"/>
        <v>0</v>
      </c>
      <c r="I43" s="152"/>
      <c r="J43" s="117">
        <f t="shared" ref="J43:J51" si="7">I43*H43</f>
        <v>0</v>
      </c>
      <c r="L43" s="121">
        <f t="shared" si="2"/>
        <v>0</v>
      </c>
    </row>
    <row r="44" spans="1:18" x14ac:dyDescent="0.3">
      <c r="A44" s="146"/>
      <c r="B44" s="135"/>
      <c r="C44" s="136">
        <v>3</v>
      </c>
      <c r="D44" s="135"/>
      <c r="E44" s="230"/>
      <c r="F44" s="137"/>
      <c r="G44" s="138"/>
      <c r="H44" s="123">
        <f t="shared" si="5"/>
        <v>0</v>
      </c>
      <c r="I44" s="152"/>
      <c r="J44" s="117">
        <f t="shared" si="7"/>
        <v>0</v>
      </c>
      <c r="L44" s="121">
        <f t="shared" si="2"/>
        <v>0</v>
      </c>
    </row>
    <row r="45" spans="1:18" x14ac:dyDescent="0.3">
      <c r="A45" s="146"/>
      <c r="B45" s="135"/>
      <c r="C45" s="136">
        <v>4</v>
      </c>
      <c r="D45" s="135"/>
      <c r="E45" s="230"/>
      <c r="F45" s="137"/>
      <c r="G45" s="138"/>
      <c r="H45" s="123">
        <f t="shared" si="5"/>
        <v>0</v>
      </c>
      <c r="I45" s="152"/>
      <c r="J45" s="117">
        <f t="shared" si="7"/>
        <v>0</v>
      </c>
      <c r="L45" s="121">
        <f t="shared" si="2"/>
        <v>0</v>
      </c>
    </row>
    <row r="46" spans="1:18" x14ac:dyDescent="0.3">
      <c r="A46" s="146"/>
      <c r="B46" s="135"/>
      <c r="C46" s="136">
        <v>5</v>
      </c>
      <c r="D46" s="135"/>
      <c r="E46" s="230"/>
      <c r="F46" s="137"/>
      <c r="G46" s="138"/>
      <c r="H46" s="123">
        <f t="shared" si="5"/>
        <v>0</v>
      </c>
      <c r="I46" s="152"/>
      <c r="J46" s="117">
        <f t="shared" si="7"/>
        <v>0</v>
      </c>
      <c r="L46" s="121">
        <f t="shared" si="2"/>
        <v>0</v>
      </c>
    </row>
    <row r="47" spans="1:18" x14ac:dyDescent="0.3">
      <c r="A47" s="146"/>
      <c r="B47" s="135"/>
      <c r="C47" s="136">
        <v>6</v>
      </c>
      <c r="D47" s="135"/>
      <c r="E47" s="230"/>
      <c r="F47" s="137"/>
      <c r="G47" s="138"/>
      <c r="H47" s="123">
        <f t="shared" ref="H47:H51" si="8">L47</f>
        <v>0</v>
      </c>
      <c r="I47" s="152"/>
      <c r="J47" s="117">
        <f t="shared" si="7"/>
        <v>0</v>
      </c>
      <c r="L47" s="121">
        <f t="shared" si="2"/>
        <v>0</v>
      </c>
    </row>
    <row r="48" spans="1:18" x14ac:dyDescent="0.3">
      <c r="A48" s="146"/>
      <c r="B48" s="135"/>
      <c r="C48" s="136">
        <v>7</v>
      </c>
      <c r="D48" s="135"/>
      <c r="E48" s="230"/>
      <c r="F48" s="137"/>
      <c r="G48" s="138"/>
      <c r="H48" s="123">
        <f t="shared" si="8"/>
        <v>0</v>
      </c>
      <c r="I48" s="152"/>
      <c r="J48" s="117">
        <f t="shared" si="7"/>
        <v>0</v>
      </c>
      <c r="L48" s="121">
        <f t="shared" si="2"/>
        <v>0</v>
      </c>
    </row>
    <row r="49" spans="1:12" x14ac:dyDescent="0.3">
      <c r="A49" s="146"/>
      <c r="B49" s="135"/>
      <c r="C49" s="136">
        <v>8</v>
      </c>
      <c r="D49" s="135"/>
      <c r="E49" s="230"/>
      <c r="F49" s="137"/>
      <c r="G49" s="138"/>
      <c r="H49" s="123">
        <f t="shared" si="8"/>
        <v>0</v>
      </c>
      <c r="I49" s="152"/>
      <c r="J49" s="117">
        <f t="shared" si="7"/>
        <v>0</v>
      </c>
      <c r="L49" s="121">
        <f t="shared" si="2"/>
        <v>0</v>
      </c>
    </row>
    <row r="50" spans="1:12" x14ac:dyDescent="0.3">
      <c r="A50" s="146"/>
      <c r="B50" s="135"/>
      <c r="C50" s="136">
        <v>9</v>
      </c>
      <c r="D50" s="135"/>
      <c r="E50" s="230"/>
      <c r="F50" s="137"/>
      <c r="G50" s="138"/>
      <c r="H50" s="123">
        <f t="shared" si="8"/>
        <v>0</v>
      </c>
      <c r="I50" s="152"/>
      <c r="J50" s="117">
        <f t="shared" si="7"/>
        <v>0</v>
      </c>
      <c r="L50" s="121">
        <f t="shared" si="2"/>
        <v>0</v>
      </c>
    </row>
    <row r="51" spans="1:12" ht="14.4" thickBot="1" x14ac:dyDescent="0.35">
      <c r="A51" s="147"/>
      <c r="B51" s="140"/>
      <c r="C51" s="141">
        <v>10</v>
      </c>
      <c r="D51" s="140"/>
      <c r="E51" s="232"/>
      <c r="F51" s="142"/>
      <c r="G51" s="143"/>
      <c r="H51" s="124">
        <f t="shared" si="8"/>
        <v>0</v>
      </c>
      <c r="I51" s="153"/>
      <c r="J51" s="118">
        <f t="shared" si="7"/>
        <v>0</v>
      </c>
      <c r="L51" s="121">
        <f t="shared" si="2"/>
        <v>0</v>
      </c>
    </row>
    <row r="52" spans="1:12" ht="14.4" thickBot="1" x14ac:dyDescent="0.35">
      <c r="A52" s="489" t="s">
        <v>145</v>
      </c>
      <c r="B52" s="490"/>
      <c r="C52" s="491"/>
      <c r="D52" s="492"/>
      <c r="E52" s="233"/>
      <c r="F52" s="144"/>
      <c r="G52" s="145">
        <f>'Časový snímek A+B'!F37</f>
        <v>0</v>
      </c>
      <c r="H52" s="126">
        <f>SUM(H42:H51)</f>
        <v>0</v>
      </c>
      <c r="I52" s="154"/>
      <c r="J52" s="119">
        <f>SUM(J42:J51)</f>
        <v>0</v>
      </c>
      <c r="L52" s="121"/>
    </row>
    <row r="53" spans="1:12" ht="14.4" thickTop="1" x14ac:dyDescent="0.3">
      <c r="A53" s="130" t="s">
        <v>136</v>
      </c>
      <c r="B53" s="131">
        <f>'Časový snímek A+B'!$C$38</f>
        <v>0</v>
      </c>
      <c r="C53" s="132">
        <v>1</v>
      </c>
      <c r="D53" s="131"/>
      <c r="E53" s="231"/>
      <c r="F53" s="133"/>
      <c r="G53" s="149"/>
      <c r="H53" s="125">
        <f>L53</f>
        <v>0</v>
      </c>
      <c r="I53" s="151"/>
      <c r="J53" s="116">
        <f>I53*H53</f>
        <v>0</v>
      </c>
      <c r="L53" s="121">
        <f t="shared" si="2"/>
        <v>0</v>
      </c>
    </row>
    <row r="54" spans="1:12" x14ac:dyDescent="0.3">
      <c r="A54" s="146"/>
      <c r="B54" s="135"/>
      <c r="C54" s="136">
        <v>2</v>
      </c>
      <c r="D54" s="135"/>
      <c r="E54" s="230"/>
      <c r="F54" s="137"/>
      <c r="G54" s="138"/>
      <c r="H54" s="123">
        <f t="shared" ref="H54:H62" si="9">L54</f>
        <v>0</v>
      </c>
      <c r="I54" s="152"/>
      <c r="J54" s="117">
        <f t="shared" ref="J54:J62" si="10">I54*H54</f>
        <v>0</v>
      </c>
      <c r="L54" s="121">
        <f t="shared" si="2"/>
        <v>0</v>
      </c>
    </row>
    <row r="55" spans="1:12" x14ac:dyDescent="0.3">
      <c r="A55" s="146"/>
      <c r="B55" s="135"/>
      <c r="C55" s="136">
        <v>3</v>
      </c>
      <c r="D55" s="135"/>
      <c r="E55" s="230"/>
      <c r="F55" s="137"/>
      <c r="G55" s="138"/>
      <c r="H55" s="123">
        <f t="shared" si="9"/>
        <v>0</v>
      </c>
      <c r="I55" s="152"/>
      <c r="J55" s="117">
        <f t="shared" si="10"/>
        <v>0</v>
      </c>
      <c r="L55" s="121">
        <f t="shared" si="2"/>
        <v>0</v>
      </c>
    </row>
    <row r="56" spans="1:12" x14ac:dyDescent="0.3">
      <c r="A56" s="146"/>
      <c r="B56" s="135"/>
      <c r="C56" s="136">
        <v>4</v>
      </c>
      <c r="D56" s="135"/>
      <c r="E56" s="230"/>
      <c r="F56" s="137"/>
      <c r="G56" s="138"/>
      <c r="H56" s="123">
        <f t="shared" si="9"/>
        <v>0</v>
      </c>
      <c r="I56" s="152"/>
      <c r="J56" s="117">
        <f t="shared" si="10"/>
        <v>0</v>
      </c>
      <c r="L56" s="121">
        <f t="shared" si="2"/>
        <v>0</v>
      </c>
    </row>
    <row r="57" spans="1:12" x14ac:dyDescent="0.3">
      <c r="A57" s="146"/>
      <c r="B57" s="135"/>
      <c r="C57" s="136">
        <v>5</v>
      </c>
      <c r="D57" s="135"/>
      <c r="E57" s="230"/>
      <c r="F57" s="137"/>
      <c r="G57" s="138"/>
      <c r="H57" s="123">
        <f t="shared" si="9"/>
        <v>0</v>
      </c>
      <c r="I57" s="152"/>
      <c r="J57" s="117">
        <f t="shared" si="10"/>
        <v>0</v>
      </c>
      <c r="L57" s="121">
        <f t="shared" si="2"/>
        <v>0</v>
      </c>
    </row>
    <row r="58" spans="1:12" x14ac:dyDescent="0.3">
      <c r="A58" s="146"/>
      <c r="B58" s="135"/>
      <c r="C58" s="136">
        <v>6</v>
      </c>
      <c r="D58" s="135"/>
      <c r="E58" s="230"/>
      <c r="F58" s="137"/>
      <c r="G58" s="138"/>
      <c r="H58" s="123">
        <f t="shared" si="9"/>
        <v>0</v>
      </c>
      <c r="I58" s="152"/>
      <c r="J58" s="117">
        <f t="shared" si="10"/>
        <v>0</v>
      </c>
      <c r="L58" s="121">
        <f t="shared" si="2"/>
        <v>0</v>
      </c>
    </row>
    <row r="59" spans="1:12" x14ac:dyDescent="0.3">
      <c r="A59" s="146"/>
      <c r="B59" s="135"/>
      <c r="C59" s="136">
        <v>7</v>
      </c>
      <c r="D59" s="135"/>
      <c r="E59" s="230"/>
      <c r="F59" s="137"/>
      <c r="G59" s="138"/>
      <c r="H59" s="123">
        <f t="shared" si="9"/>
        <v>0</v>
      </c>
      <c r="I59" s="152"/>
      <c r="J59" s="117">
        <f t="shared" si="10"/>
        <v>0</v>
      </c>
      <c r="L59" s="121">
        <f t="shared" si="2"/>
        <v>0</v>
      </c>
    </row>
    <row r="60" spans="1:12" x14ac:dyDescent="0.3">
      <c r="A60" s="146"/>
      <c r="B60" s="135"/>
      <c r="C60" s="136">
        <v>8</v>
      </c>
      <c r="D60" s="135"/>
      <c r="E60" s="230"/>
      <c r="F60" s="137"/>
      <c r="G60" s="138"/>
      <c r="H60" s="123">
        <f t="shared" si="9"/>
        <v>0</v>
      </c>
      <c r="I60" s="152"/>
      <c r="J60" s="117">
        <f t="shared" si="10"/>
        <v>0</v>
      </c>
      <c r="L60" s="121">
        <f t="shared" si="2"/>
        <v>0</v>
      </c>
    </row>
    <row r="61" spans="1:12" x14ac:dyDescent="0.3">
      <c r="A61" s="146"/>
      <c r="B61" s="135"/>
      <c r="C61" s="136">
        <v>9</v>
      </c>
      <c r="D61" s="135"/>
      <c r="E61" s="230"/>
      <c r="F61" s="137"/>
      <c r="G61" s="138"/>
      <c r="H61" s="123">
        <f t="shared" si="9"/>
        <v>0</v>
      </c>
      <c r="I61" s="152"/>
      <c r="J61" s="117">
        <f t="shared" si="10"/>
        <v>0</v>
      </c>
      <c r="L61" s="121">
        <f t="shared" si="2"/>
        <v>0</v>
      </c>
    </row>
    <row r="62" spans="1:12" ht="14.4" thickBot="1" x14ac:dyDescent="0.35">
      <c r="A62" s="147"/>
      <c r="B62" s="140"/>
      <c r="C62" s="141">
        <v>10</v>
      </c>
      <c r="D62" s="140"/>
      <c r="E62" s="232"/>
      <c r="F62" s="142"/>
      <c r="G62" s="143"/>
      <c r="H62" s="124">
        <f t="shared" si="9"/>
        <v>0</v>
      </c>
      <c r="I62" s="153"/>
      <c r="J62" s="118">
        <f t="shared" si="10"/>
        <v>0</v>
      </c>
      <c r="L62" s="121">
        <f t="shared" si="2"/>
        <v>0</v>
      </c>
    </row>
    <row r="63" spans="1:12" ht="14.4" thickBot="1" x14ac:dyDescent="0.35">
      <c r="A63" s="489" t="s">
        <v>145</v>
      </c>
      <c r="B63" s="490"/>
      <c r="C63" s="491"/>
      <c r="D63" s="492"/>
      <c r="E63" s="233"/>
      <c r="F63" s="144"/>
      <c r="G63" s="145">
        <f>SUM(G53:G62)</f>
        <v>0</v>
      </c>
      <c r="H63" s="126">
        <f>SUM(H53:H62)</f>
        <v>0</v>
      </c>
      <c r="I63" s="154"/>
      <c r="J63" s="119">
        <f>SUM(J53:J62)</f>
        <v>0</v>
      </c>
      <c r="L63" s="121"/>
    </row>
    <row r="64" spans="1:12" ht="14.4" thickTop="1" x14ac:dyDescent="0.3">
      <c r="A64" s="130" t="s">
        <v>137</v>
      </c>
      <c r="B64" s="131">
        <f>'Časový snímek A+B'!$C$39</f>
        <v>0</v>
      </c>
      <c r="C64" s="132">
        <v>1</v>
      </c>
      <c r="D64" s="131"/>
      <c r="E64" s="231"/>
      <c r="F64" s="133"/>
      <c r="G64" s="149"/>
      <c r="H64" s="125">
        <f>L64</f>
        <v>0</v>
      </c>
      <c r="I64" s="151"/>
      <c r="J64" s="116">
        <f>I64*H64</f>
        <v>0</v>
      </c>
      <c r="L64" s="121">
        <f t="shared" si="2"/>
        <v>0</v>
      </c>
    </row>
    <row r="65" spans="1:12" x14ac:dyDescent="0.3">
      <c r="A65" s="146"/>
      <c r="B65" s="135"/>
      <c r="C65" s="136">
        <v>2</v>
      </c>
      <c r="D65" s="135"/>
      <c r="E65" s="230"/>
      <c r="F65" s="137"/>
      <c r="G65" s="138"/>
      <c r="H65" s="123">
        <f t="shared" ref="H65:H73" si="11">L65</f>
        <v>0</v>
      </c>
      <c r="I65" s="152"/>
      <c r="J65" s="117">
        <f t="shared" ref="J65:J73" si="12">I65*H65</f>
        <v>0</v>
      </c>
      <c r="L65" s="121">
        <f t="shared" si="2"/>
        <v>0</v>
      </c>
    </row>
    <row r="66" spans="1:12" x14ac:dyDescent="0.3">
      <c r="A66" s="146"/>
      <c r="B66" s="135"/>
      <c r="C66" s="136">
        <v>3</v>
      </c>
      <c r="D66" s="135"/>
      <c r="E66" s="230"/>
      <c r="F66" s="137"/>
      <c r="G66" s="138"/>
      <c r="H66" s="123">
        <f t="shared" si="11"/>
        <v>0</v>
      </c>
      <c r="I66" s="152"/>
      <c r="J66" s="117">
        <f t="shared" si="12"/>
        <v>0</v>
      </c>
      <c r="L66" s="121">
        <f t="shared" si="2"/>
        <v>0</v>
      </c>
    </row>
    <row r="67" spans="1:12" x14ac:dyDescent="0.3">
      <c r="A67" s="146"/>
      <c r="B67" s="135"/>
      <c r="C67" s="136">
        <v>4</v>
      </c>
      <c r="D67" s="135"/>
      <c r="E67" s="230"/>
      <c r="F67" s="137"/>
      <c r="G67" s="138"/>
      <c r="H67" s="123">
        <f t="shared" si="11"/>
        <v>0</v>
      </c>
      <c r="I67" s="152"/>
      <c r="J67" s="117">
        <f t="shared" si="12"/>
        <v>0</v>
      </c>
      <c r="L67" s="121">
        <f t="shared" si="2"/>
        <v>0</v>
      </c>
    </row>
    <row r="68" spans="1:12" x14ac:dyDescent="0.3">
      <c r="A68" s="146"/>
      <c r="B68" s="135"/>
      <c r="C68" s="136">
        <v>5</v>
      </c>
      <c r="D68" s="135"/>
      <c r="E68" s="230"/>
      <c r="F68" s="137"/>
      <c r="G68" s="138"/>
      <c r="H68" s="123">
        <f t="shared" si="11"/>
        <v>0</v>
      </c>
      <c r="I68" s="152"/>
      <c r="J68" s="117">
        <f t="shared" si="12"/>
        <v>0</v>
      </c>
      <c r="L68" s="121">
        <f t="shared" si="2"/>
        <v>0</v>
      </c>
    </row>
    <row r="69" spans="1:12" x14ac:dyDescent="0.3">
      <c r="A69" s="146"/>
      <c r="B69" s="135"/>
      <c r="C69" s="136">
        <v>6</v>
      </c>
      <c r="D69" s="135"/>
      <c r="E69" s="230"/>
      <c r="F69" s="137"/>
      <c r="G69" s="138"/>
      <c r="H69" s="123">
        <f t="shared" si="11"/>
        <v>0</v>
      </c>
      <c r="I69" s="152"/>
      <c r="J69" s="117">
        <f t="shared" si="12"/>
        <v>0</v>
      </c>
      <c r="L69" s="121">
        <f t="shared" si="2"/>
        <v>0</v>
      </c>
    </row>
    <row r="70" spans="1:12" x14ac:dyDescent="0.3">
      <c r="A70" s="146"/>
      <c r="B70" s="135"/>
      <c r="C70" s="136">
        <v>7</v>
      </c>
      <c r="D70" s="135"/>
      <c r="E70" s="230"/>
      <c r="F70" s="137"/>
      <c r="G70" s="138"/>
      <c r="H70" s="123">
        <f t="shared" si="11"/>
        <v>0</v>
      </c>
      <c r="I70" s="152"/>
      <c r="J70" s="117">
        <f t="shared" si="12"/>
        <v>0</v>
      </c>
      <c r="L70" s="121">
        <f t="shared" si="2"/>
        <v>0</v>
      </c>
    </row>
    <row r="71" spans="1:12" x14ac:dyDescent="0.3">
      <c r="A71" s="146"/>
      <c r="B71" s="135"/>
      <c r="C71" s="136">
        <v>8</v>
      </c>
      <c r="D71" s="135"/>
      <c r="E71" s="230"/>
      <c r="F71" s="137"/>
      <c r="G71" s="138"/>
      <c r="H71" s="123">
        <f t="shared" si="11"/>
        <v>0</v>
      </c>
      <c r="I71" s="152"/>
      <c r="J71" s="117">
        <f t="shared" si="12"/>
        <v>0</v>
      </c>
      <c r="L71" s="121">
        <f t="shared" si="2"/>
        <v>0</v>
      </c>
    </row>
    <row r="72" spans="1:12" x14ac:dyDescent="0.3">
      <c r="A72" s="146"/>
      <c r="B72" s="135"/>
      <c r="C72" s="136">
        <v>9</v>
      </c>
      <c r="D72" s="135"/>
      <c r="E72" s="230"/>
      <c r="F72" s="137"/>
      <c r="G72" s="138"/>
      <c r="H72" s="123">
        <f t="shared" si="11"/>
        <v>0</v>
      </c>
      <c r="I72" s="152"/>
      <c r="J72" s="117">
        <f t="shared" si="12"/>
        <v>0</v>
      </c>
      <c r="L72" s="121">
        <f t="shared" si="2"/>
        <v>0</v>
      </c>
    </row>
    <row r="73" spans="1:12" ht="14.4" thickBot="1" x14ac:dyDescent="0.35">
      <c r="A73" s="147"/>
      <c r="B73" s="140"/>
      <c r="C73" s="141">
        <v>10</v>
      </c>
      <c r="D73" s="140"/>
      <c r="E73" s="232"/>
      <c r="F73" s="142"/>
      <c r="G73" s="143"/>
      <c r="H73" s="124">
        <f t="shared" si="11"/>
        <v>0</v>
      </c>
      <c r="I73" s="153"/>
      <c r="J73" s="118">
        <f t="shared" si="12"/>
        <v>0</v>
      </c>
      <c r="L73" s="121">
        <f t="shared" si="2"/>
        <v>0</v>
      </c>
    </row>
    <row r="74" spans="1:12" ht="14.4" thickBot="1" x14ac:dyDescent="0.35">
      <c r="A74" s="489" t="s">
        <v>145</v>
      </c>
      <c r="B74" s="490"/>
      <c r="C74" s="491"/>
      <c r="D74" s="492"/>
      <c r="E74" s="233"/>
      <c r="F74" s="144"/>
      <c r="G74" s="145">
        <f>SUM(G64:G73)</f>
        <v>0</v>
      </c>
      <c r="H74" s="126">
        <f>SUM(H64:H73)</f>
        <v>0</v>
      </c>
      <c r="I74" s="154"/>
      <c r="J74" s="119">
        <f>SUM(J64:J73)</f>
        <v>0</v>
      </c>
      <c r="L74" s="121"/>
    </row>
    <row r="75" spans="1:12" ht="14.4" thickTop="1" x14ac:dyDescent="0.3">
      <c r="A75" s="130" t="s">
        <v>138</v>
      </c>
      <c r="B75" s="131">
        <f>'Časový snímek A+B'!$C$40</f>
        <v>0</v>
      </c>
      <c r="C75" s="132">
        <v>1</v>
      </c>
      <c r="D75" s="131"/>
      <c r="E75" s="231"/>
      <c r="F75" s="133"/>
      <c r="G75" s="149"/>
      <c r="H75" s="125">
        <f>L75</f>
        <v>0</v>
      </c>
      <c r="I75" s="151"/>
      <c r="J75" s="116">
        <f>I75*H75</f>
        <v>0</v>
      </c>
      <c r="L75" s="121">
        <f t="shared" ref="L75:L117" si="13">IFERROR((G75*60)/E75*F75,0)</f>
        <v>0</v>
      </c>
    </row>
    <row r="76" spans="1:12" x14ac:dyDescent="0.3">
      <c r="A76" s="146"/>
      <c r="B76" s="135"/>
      <c r="C76" s="136">
        <v>2</v>
      </c>
      <c r="D76" s="135"/>
      <c r="E76" s="230"/>
      <c r="F76" s="137"/>
      <c r="G76" s="138"/>
      <c r="H76" s="123">
        <f t="shared" ref="H76:H84" si="14">L76</f>
        <v>0</v>
      </c>
      <c r="I76" s="152"/>
      <c r="J76" s="117">
        <f t="shared" ref="J76:J84" si="15">I76*H76</f>
        <v>0</v>
      </c>
      <c r="L76" s="121">
        <f t="shared" si="13"/>
        <v>0</v>
      </c>
    </row>
    <row r="77" spans="1:12" x14ac:dyDescent="0.3">
      <c r="A77" s="146"/>
      <c r="B77" s="135"/>
      <c r="C77" s="136">
        <v>3</v>
      </c>
      <c r="D77" s="135"/>
      <c r="E77" s="230"/>
      <c r="F77" s="137"/>
      <c r="G77" s="138"/>
      <c r="H77" s="123">
        <f t="shared" si="14"/>
        <v>0</v>
      </c>
      <c r="I77" s="152"/>
      <c r="J77" s="117">
        <f t="shared" si="15"/>
        <v>0</v>
      </c>
      <c r="L77" s="121">
        <f t="shared" si="13"/>
        <v>0</v>
      </c>
    </row>
    <row r="78" spans="1:12" x14ac:dyDescent="0.3">
      <c r="A78" s="146"/>
      <c r="B78" s="135"/>
      <c r="C78" s="136">
        <v>4</v>
      </c>
      <c r="D78" s="135"/>
      <c r="E78" s="230"/>
      <c r="F78" s="137"/>
      <c r="G78" s="138"/>
      <c r="H78" s="123">
        <f t="shared" si="14"/>
        <v>0</v>
      </c>
      <c r="I78" s="152"/>
      <c r="J78" s="117">
        <f t="shared" si="15"/>
        <v>0</v>
      </c>
      <c r="L78" s="121">
        <f t="shared" si="13"/>
        <v>0</v>
      </c>
    </row>
    <row r="79" spans="1:12" x14ac:dyDescent="0.3">
      <c r="A79" s="146"/>
      <c r="B79" s="135"/>
      <c r="C79" s="136">
        <v>5</v>
      </c>
      <c r="D79" s="135"/>
      <c r="E79" s="230"/>
      <c r="F79" s="137"/>
      <c r="G79" s="138"/>
      <c r="H79" s="123">
        <f t="shared" si="14"/>
        <v>0</v>
      </c>
      <c r="I79" s="152"/>
      <c r="J79" s="117">
        <f t="shared" si="15"/>
        <v>0</v>
      </c>
      <c r="L79" s="121">
        <f t="shared" si="13"/>
        <v>0</v>
      </c>
    </row>
    <row r="80" spans="1:12" x14ac:dyDescent="0.3">
      <c r="A80" s="146"/>
      <c r="B80" s="135"/>
      <c r="C80" s="136">
        <v>6</v>
      </c>
      <c r="D80" s="135"/>
      <c r="E80" s="230"/>
      <c r="F80" s="137"/>
      <c r="G80" s="138"/>
      <c r="H80" s="123">
        <f t="shared" si="14"/>
        <v>0</v>
      </c>
      <c r="I80" s="152"/>
      <c r="J80" s="117">
        <f t="shared" si="15"/>
        <v>0</v>
      </c>
      <c r="L80" s="121">
        <f t="shared" si="13"/>
        <v>0</v>
      </c>
    </row>
    <row r="81" spans="1:12" x14ac:dyDescent="0.3">
      <c r="A81" s="146"/>
      <c r="B81" s="135"/>
      <c r="C81" s="136">
        <v>7</v>
      </c>
      <c r="D81" s="135"/>
      <c r="E81" s="230"/>
      <c r="F81" s="137"/>
      <c r="G81" s="138"/>
      <c r="H81" s="123">
        <f t="shared" si="14"/>
        <v>0</v>
      </c>
      <c r="I81" s="152"/>
      <c r="J81" s="117">
        <f t="shared" si="15"/>
        <v>0</v>
      </c>
      <c r="L81" s="121">
        <f t="shared" si="13"/>
        <v>0</v>
      </c>
    </row>
    <row r="82" spans="1:12" x14ac:dyDescent="0.3">
      <c r="A82" s="146"/>
      <c r="B82" s="135"/>
      <c r="C82" s="136">
        <v>8</v>
      </c>
      <c r="D82" s="135"/>
      <c r="E82" s="230"/>
      <c r="F82" s="137"/>
      <c r="G82" s="138"/>
      <c r="H82" s="123">
        <f t="shared" si="14"/>
        <v>0</v>
      </c>
      <c r="I82" s="152"/>
      <c r="J82" s="117">
        <f t="shared" si="15"/>
        <v>0</v>
      </c>
      <c r="L82" s="121">
        <f t="shared" si="13"/>
        <v>0</v>
      </c>
    </row>
    <row r="83" spans="1:12" x14ac:dyDescent="0.3">
      <c r="A83" s="146"/>
      <c r="B83" s="135"/>
      <c r="C83" s="136">
        <v>9</v>
      </c>
      <c r="D83" s="135"/>
      <c r="E83" s="230"/>
      <c r="F83" s="137"/>
      <c r="G83" s="138"/>
      <c r="H83" s="123">
        <f t="shared" si="14"/>
        <v>0</v>
      </c>
      <c r="I83" s="152"/>
      <c r="J83" s="117">
        <f t="shared" si="15"/>
        <v>0</v>
      </c>
      <c r="L83" s="121">
        <f t="shared" si="13"/>
        <v>0</v>
      </c>
    </row>
    <row r="84" spans="1:12" ht="14.4" thickBot="1" x14ac:dyDescent="0.35">
      <c r="A84" s="147"/>
      <c r="B84" s="140"/>
      <c r="C84" s="141">
        <v>10</v>
      </c>
      <c r="D84" s="140"/>
      <c r="E84" s="232"/>
      <c r="F84" s="142"/>
      <c r="G84" s="143"/>
      <c r="H84" s="124">
        <f t="shared" si="14"/>
        <v>0</v>
      </c>
      <c r="I84" s="153"/>
      <c r="J84" s="118">
        <f t="shared" si="15"/>
        <v>0</v>
      </c>
      <c r="L84" s="121">
        <f t="shared" si="13"/>
        <v>0</v>
      </c>
    </row>
    <row r="85" spans="1:12" ht="14.4" thickBot="1" x14ac:dyDescent="0.35">
      <c r="A85" s="489" t="s">
        <v>145</v>
      </c>
      <c r="B85" s="490"/>
      <c r="C85" s="491"/>
      <c r="D85" s="492"/>
      <c r="E85" s="233"/>
      <c r="F85" s="144"/>
      <c r="G85" s="145">
        <f>SUM(G75:G84)</f>
        <v>0</v>
      </c>
      <c r="H85" s="126">
        <f>SUM(H75:H84)</f>
        <v>0</v>
      </c>
      <c r="I85" s="154"/>
      <c r="J85" s="119">
        <f>SUM(J75:J84)</f>
        <v>0</v>
      </c>
      <c r="L85" s="121"/>
    </row>
    <row r="86" spans="1:12" ht="14.4" thickTop="1" x14ac:dyDescent="0.3">
      <c r="A86" s="130" t="s">
        <v>139</v>
      </c>
      <c r="B86" s="131">
        <f>'Časový snímek A+B'!$C$41</f>
        <v>0</v>
      </c>
      <c r="C86" s="132">
        <v>1</v>
      </c>
      <c r="D86" s="131"/>
      <c r="E86" s="231"/>
      <c r="F86" s="133"/>
      <c r="G86" s="149"/>
      <c r="H86" s="125">
        <f>L86</f>
        <v>0</v>
      </c>
      <c r="I86" s="151"/>
      <c r="J86" s="116">
        <f>I86*H86</f>
        <v>0</v>
      </c>
      <c r="L86" s="121">
        <f t="shared" si="13"/>
        <v>0</v>
      </c>
    </row>
    <row r="87" spans="1:12" x14ac:dyDescent="0.3">
      <c r="A87" s="146"/>
      <c r="B87" s="135"/>
      <c r="C87" s="136">
        <v>2</v>
      </c>
      <c r="D87" s="135"/>
      <c r="E87" s="230"/>
      <c r="F87" s="137"/>
      <c r="G87" s="138"/>
      <c r="H87" s="123">
        <f t="shared" ref="H87:H95" si="16">L87</f>
        <v>0</v>
      </c>
      <c r="I87" s="152"/>
      <c r="J87" s="117">
        <f t="shared" ref="J87:J95" si="17">I87*H87</f>
        <v>0</v>
      </c>
      <c r="L87" s="121">
        <f t="shared" si="13"/>
        <v>0</v>
      </c>
    </row>
    <row r="88" spans="1:12" x14ac:dyDescent="0.3">
      <c r="A88" s="146"/>
      <c r="B88" s="135"/>
      <c r="C88" s="136">
        <v>3</v>
      </c>
      <c r="D88" s="135"/>
      <c r="E88" s="230"/>
      <c r="F88" s="137"/>
      <c r="G88" s="138"/>
      <c r="H88" s="123">
        <f t="shared" si="16"/>
        <v>0</v>
      </c>
      <c r="I88" s="152"/>
      <c r="J88" s="117">
        <f t="shared" si="17"/>
        <v>0</v>
      </c>
      <c r="L88" s="121">
        <f t="shared" si="13"/>
        <v>0</v>
      </c>
    </row>
    <row r="89" spans="1:12" x14ac:dyDescent="0.3">
      <c r="A89" s="146"/>
      <c r="B89" s="135"/>
      <c r="C89" s="136">
        <v>4</v>
      </c>
      <c r="D89" s="135"/>
      <c r="E89" s="230"/>
      <c r="F89" s="137"/>
      <c r="G89" s="138"/>
      <c r="H89" s="123">
        <f t="shared" si="16"/>
        <v>0</v>
      </c>
      <c r="I89" s="152"/>
      <c r="J89" s="117">
        <f t="shared" si="17"/>
        <v>0</v>
      </c>
      <c r="L89" s="121">
        <f t="shared" si="13"/>
        <v>0</v>
      </c>
    </row>
    <row r="90" spans="1:12" x14ac:dyDescent="0.3">
      <c r="A90" s="146"/>
      <c r="B90" s="135"/>
      <c r="C90" s="136">
        <v>5</v>
      </c>
      <c r="D90" s="135"/>
      <c r="E90" s="230"/>
      <c r="F90" s="137"/>
      <c r="G90" s="138"/>
      <c r="H90" s="123">
        <f t="shared" si="16"/>
        <v>0</v>
      </c>
      <c r="I90" s="152"/>
      <c r="J90" s="117">
        <f t="shared" si="17"/>
        <v>0</v>
      </c>
      <c r="L90" s="121">
        <f t="shared" si="13"/>
        <v>0</v>
      </c>
    </row>
    <row r="91" spans="1:12" x14ac:dyDescent="0.3">
      <c r="A91" s="146"/>
      <c r="B91" s="135"/>
      <c r="C91" s="136">
        <v>6</v>
      </c>
      <c r="D91" s="135"/>
      <c r="E91" s="230"/>
      <c r="F91" s="137"/>
      <c r="G91" s="138"/>
      <c r="H91" s="123">
        <f t="shared" si="16"/>
        <v>0</v>
      </c>
      <c r="I91" s="152"/>
      <c r="J91" s="117">
        <f t="shared" si="17"/>
        <v>0</v>
      </c>
      <c r="L91" s="121">
        <f t="shared" si="13"/>
        <v>0</v>
      </c>
    </row>
    <row r="92" spans="1:12" x14ac:dyDescent="0.3">
      <c r="A92" s="146"/>
      <c r="B92" s="135"/>
      <c r="C92" s="136">
        <v>7</v>
      </c>
      <c r="D92" s="135"/>
      <c r="E92" s="230"/>
      <c r="F92" s="137"/>
      <c r="G92" s="138"/>
      <c r="H92" s="123">
        <f t="shared" si="16"/>
        <v>0</v>
      </c>
      <c r="I92" s="152"/>
      <c r="J92" s="117">
        <f t="shared" si="17"/>
        <v>0</v>
      </c>
      <c r="L92" s="121">
        <f t="shared" si="13"/>
        <v>0</v>
      </c>
    </row>
    <row r="93" spans="1:12" x14ac:dyDescent="0.3">
      <c r="A93" s="146"/>
      <c r="B93" s="135"/>
      <c r="C93" s="136">
        <v>8</v>
      </c>
      <c r="D93" s="135"/>
      <c r="E93" s="230"/>
      <c r="F93" s="137"/>
      <c r="G93" s="138"/>
      <c r="H93" s="123">
        <f t="shared" si="16"/>
        <v>0</v>
      </c>
      <c r="I93" s="152"/>
      <c r="J93" s="117">
        <f t="shared" si="17"/>
        <v>0</v>
      </c>
      <c r="L93" s="121">
        <f t="shared" si="13"/>
        <v>0</v>
      </c>
    </row>
    <row r="94" spans="1:12" x14ac:dyDescent="0.3">
      <c r="A94" s="146"/>
      <c r="B94" s="135"/>
      <c r="C94" s="136">
        <v>9</v>
      </c>
      <c r="D94" s="135"/>
      <c r="E94" s="230"/>
      <c r="F94" s="137"/>
      <c r="G94" s="138"/>
      <c r="H94" s="123">
        <f t="shared" si="16"/>
        <v>0</v>
      </c>
      <c r="I94" s="152"/>
      <c r="J94" s="117">
        <f t="shared" si="17"/>
        <v>0</v>
      </c>
      <c r="L94" s="121">
        <f t="shared" si="13"/>
        <v>0</v>
      </c>
    </row>
    <row r="95" spans="1:12" ht="14.4" thickBot="1" x14ac:dyDescent="0.35">
      <c r="A95" s="147"/>
      <c r="B95" s="140"/>
      <c r="C95" s="141">
        <v>10</v>
      </c>
      <c r="D95" s="140"/>
      <c r="E95" s="232"/>
      <c r="F95" s="142"/>
      <c r="G95" s="143"/>
      <c r="H95" s="124">
        <f t="shared" si="16"/>
        <v>0</v>
      </c>
      <c r="I95" s="153"/>
      <c r="J95" s="118">
        <f t="shared" si="17"/>
        <v>0</v>
      </c>
      <c r="L95" s="121">
        <f t="shared" si="13"/>
        <v>0</v>
      </c>
    </row>
    <row r="96" spans="1:12" ht="14.4" thickBot="1" x14ac:dyDescent="0.35">
      <c r="A96" s="489" t="s">
        <v>145</v>
      </c>
      <c r="B96" s="490"/>
      <c r="C96" s="491"/>
      <c r="D96" s="492"/>
      <c r="E96" s="233"/>
      <c r="F96" s="144"/>
      <c r="G96" s="145">
        <f>SUM(G86:G95)</f>
        <v>0</v>
      </c>
      <c r="H96" s="126">
        <f>SUM(H86:H95)</f>
        <v>0</v>
      </c>
      <c r="I96" s="154"/>
      <c r="J96" s="119">
        <f>SUM(J86:J95)</f>
        <v>0</v>
      </c>
      <c r="L96" s="121"/>
    </row>
    <row r="97" spans="1:12" ht="14.4" thickTop="1" x14ac:dyDescent="0.3">
      <c r="A97" s="130" t="s">
        <v>140</v>
      </c>
      <c r="B97" s="131">
        <f>'Časový snímek A+B'!$C$42</f>
        <v>0</v>
      </c>
      <c r="C97" s="132">
        <v>1</v>
      </c>
      <c r="D97" s="131"/>
      <c r="E97" s="231"/>
      <c r="F97" s="133"/>
      <c r="G97" s="149"/>
      <c r="H97" s="125">
        <f>L97</f>
        <v>0</v>
      </c>
      <c r="I97" s="151"/>
      <c r="J97" s="116">
        <f>I97*H97</f>
        <v>0</v>
      </c>
      <c r="L97" s="121">
        <f t="shared" si="13"/>
        <v>0</v>
      </c>
    </row>
    <row r="98" spans="1:12" x14ac:dyDescent="0.3">
      <c r="A98" s="146"/>
      <c r="B98" s="135"/>
      <c r="C98" s="136">
        <v>2</v>
      </c>
      <c r="D98" s="135"/>
      <c r="E98" s="230"/>
      <c r="F98" s="137"/>
      <c r="G98" s="138"/>
      <c r="H98" s="123">
        <f t="shared" ref="H98:H106" si="18">L98</f>
        <v>0</v>
      </c>
      <c r="I98" s="152"/>
      <c r="J98" s="117">
        <f t="shared" ref="J98:J106" si="19">I98*H98</f>
        <v>0</v>
      </c>
      <c r="L98" s="121">
        <f t="shared" si="13"/>
        <v>0</v>
      </c>
    </row>
    <row r="99" spans="1:12" x14ac:dyDescent="0.3">
      <c r="A99" s="146"/>
      <c r="B99" s="135"/>
      <c r="C99" s="136">
        <v>3</v>
      </c>
      <c r="D99" s="135"/>
      <c r="E99" s="230"/>
      <c r="F99" s="137"/>
      <c r="G99" s="138"/>
      <c r="H99" s="123">
        <f t="shared" si="18"/>
        <v>0</v>
      </c>
      <c r="I99" s="152"/>
      <c r="J99" s="117">
        <f t="shared" si="19"/>
        <v>0</v>
      </c>
      <c r="L99" s="121">
        <f t="shared" si="13"/>
        <v>0</v>
      </c>
    </row>
    <row r="100" spans="1:12" x14ac:dyDescent="0.3">
      <c r="A100" s="146"/>
      <c r="B100" s="135"/>
      <c r="C100" s="136">
        <v>4</v>
      </c>
      <c r="D100" s="135"/>
      <c r="E100" s="230"/>
      <c r="F100" s="137"/>
      <c r="G100" s="138"/>
      <c r="H100" s="123">
        <f t="shared" si="18"/>
        <v>0</v>
      </c>
      <c r="I100" s="152"/>
      <c r="J100" s="117">
        <f t="shared" si="19"/>
        <v>0</v>
      </c>
      <c r="L100" s="121">
        <f t="shared" si="13"/>
        <v>0</v>
      </c>
    </row>
    <row r="101" spans="1:12" x14ac:dyDescent="0.3">
      <c r="A101" s="146"/>
      <c r="B101" s="135"/>
      <c r="C101" s="136">
        <v>5</v>
      </c>
      <c r="D101" s="135"/>
      <c r="E101" s="230"/>
      <c r="F101" s="137"/>
      <c r="G101" s="138"/>
      <c r="H101" s="123">
        <f t="shared" si="18"/>
        <v>0</v>
      </c>
      <c r="I101" s="152"/>
      <c r="J101" s="117">
        <f t="shared" si="19"/>
        <v>0</v>
      </c>
      <c r="L101" s="121">
        <f t="shared" si="13"/>
        <v>0</v>
      </c>
    </row>
    <row r="102" spans="1:12" x14ac:dyDescent="0.3">
      <c r="A102" s="146"/>
      <c r="B102" s="135"/>
      <c r="C102" s="136">
        <v>6</v>
      </c>
      <c r="D102" s="135"/>
      <c r="E102" s="230"/>
      <c r="F102" s="137"/>
      <c r="G102" s="138"/>
      <c r="H102" s="123">
        <f t="shared" si="18"/>
        <v>0</v>
      </c>
      <c r="I102" s="152"/>
      <c r="J102" s="117">
        <f t="shared" si="19"/>
        <v>0</v>
      </c>
      <c r="L102" s="121">
        <f t="shared" si="13"/>
        <v>0</v>
      </c>
    </row>
    <row r="103" spans="1:12" x14ac:dyDescent="0.3">
      <c r="A103" s="146"/>
      <c r="B103" s="135"/>
      <c r="C103" s="136">
        <v>7</v>
      </c>
      <c r="D103" s="135"/>
      <c r="E103" s="230"/>
      <c r="F103" s="137"/>
      <c r="G103" s="138"/>
      <c r="H103" s="123">
        <f t="shared" si="18"/>
        <v>0</v>
      </c>
      <c r="I103" s="152"/>
      <c r="J103" s="117">
        <f t="shared" si="19"/>
        <v>0</v>
      </c>
      <c r="L103" s="121">
        <f t="shared" si="13"/>
        <v>0</v>
      </c>
    </row>
    <row r="104" spans="1:12" x14ac:dyDescent="0.3">
      <c r="A104" s="146"/>
      <c r="B104" s="135"/>
      <c r="C104" s="136">
        <v>8</v>
      </c>
      <c r="D104" s="135"/>
      <c r="E104" s="230"/>
      <c r="F104" s="137"/>
      <c r="G104" s="138"/>
      <c r="H104" s="123">
        <f t="shared" si="18"/>
        <v>0</v>
      </c>
      <c r="I104" s="152"/>
      <c r="J104" s="117">
        <f t="shared" si="19"/>
        <v>0</v>
      </c>
      <c r="L104" s="121">
        <f t="shared" si="13"/>
        <v>0</v>
      </c>
    </row>
    <row r="105" spans="1:12" x14ac:dyDescent="0.3">
      <c r="A105" s="146"/>
      <c r="B105" s="135"/>
      <c r="C105" s="136">
        <v>9</v>
      </c>
      <c r="D105" s="135"/>
      <c r="E105" s="230"/>
      <c r="F105" s="137"/>
      <c r="G105" s="138"/>
      <c r="H105" s="123">
        <f t="shared" si="18"/>
        <v>0</v>
      </c>
      <c r="I105" s="152"/>
      <c r="J105" s="117">
        <f t="shared" si="19"/>
        <v>0</v>
      </c>
      <c r="L105" s="121">
        <f t="shared" si="13"/>
        <v>0</v>
      </c>
    </row>
    <row r="106" spans="1:12" ht="14.4" thickBot="1" x14ac:dyDescent="0.35">
      <c r="A106" s="147"/>
      <c r="B106" s="140"/>
      <c r="C106" s="141">
        <v>10</v>
      </c>
      <c r="D106" s="140"/>
      <c r="E106" s="232"/>
      <c r="F106" s="142"/>
      <c r="G106" s="143"/>
      <c r="H106" s="124">
        <f t="shared" si="18"/>
        <v>0</v>
      </c>
      <c r="I106" s="153"/>
      <c r="J106" s="118">
        <f t="shared" si="19"/>
        <v>0</v>
      </c>
      <c r="L106" s="121">
        <f t="shared" si="13"/>
        <v>0</v>
      </c>
    </row>
    <row r="107" spans="1:12" ht="14.4" thickBot="1" x14ac:dyDescent="0.35">
      <c r="A107" s="489" t="s">
        <v>145</v>
      </c>
      <c r="B107" s="490"/>
      <c r="C107" s="491"/>
      <c r="D107" s="492"/>
      <c r="E107" s="233"/>
      <c r="F107" s="144"/>
      <c r="G107" s="145">
        <f>SUM(G97:G106)</f>
        <v>0</v>
      </c>
      <c r="H107" s="126">
        <f>SUM(H97:H106)</f>
        <v>0</v>
      </c>
      <c r="I107" s="154"/>
      <c r="J107" s="119">
        <f>SUM(J97:J106)</f>
        <v>0</v>
      </c>
      <c r="L107" s="121"/>
    </row>
    <row r="108" spans="1:12" ht="14.4" thickTop="1" x14ac:dyDescent="0.3">
      <c r="A108" s="134" t="s">
        <v>141</v>
      </c>
      <c r="B108" s="135">
        <f>'Časový snímek A+B'!$C$43</f>
        <v>0</v>
      </c>
      <c r="C108" s="136">
        <v>1</v>
      </c>
      <c r="D108" s="135"/>
      <c r="E108" s="230"/>
      <c r="F108" s="137"/>
      <c r="G108" s="138"/>
      <c r="H108" s="125">
        <f>L108</f>
        <v>0</v>
      </c>
      <c r="I108" s="151"/>
      <c r="J108" s="116">
        <f>I108*H108</f>
        <v>0</v>
      </c>
      <c r="L108" s="121">
        <f t="shared" si="13"/>
        <v>0</v>
      </c>
    </row>
    <row r="109" spans="1:12" x14ac:dyDescent="0.3">
      <c r="A109" s="146"/>
      <c r="B109" s="135"/>
      <c r="C109" s="136">
        <v>2</v>
      </c>
      <c r="D109" s="135"/>
      <c r="E109" s="230"/>
      <c r="F109" s="137"/>
      <c r="G109" s="138"/>
      <c r="H109" s="123">
        <f t="shared" ref="H109:H117" si="20">L109</f>
        <v>0</v>
      </c>
      <c r="I109" s="152"/>
      <c r="J109" s="117">
        <f t="shared" ref="J109:J117" si="21">I109*H109</f>
        <v>0</v>
      </c>
      <c r="L109" s="121">
        <f t="shared" si="13"/>
        <v>0</v>
      </c>
    </row>
    <row r="110" spans="1:12" x14ac:dyDescent="0.3">
      <c r="A110" s="146"/>
      <c r="B110" s="135"/>
      <c r="C110" s="136">
        <v>3</v>
      </c>
      <c r="D110" s="135"/>
      <c r="E110" s="230"/>
      <c r="F110" s="137"/>
      <c r="G110" s="138"/>
      <c r="H110" s="123">
        <f t="shared" si="20"/>
        <v>0</v>
      </c>
      <c r="I110" s="152"/>
      <c r="J110" s="117">
        <f t="shared" si="21"/>
        <v>0</v>
      </c>
      <c r="L110" s="121">
        <f t="shared" si="13"/>
        <v>0</v>
      </c>
    </row>
    <row r="111" spans="1:12" x14ac:dyDescent="0.3">
      <c r="A111" s="146"/>
      <c r="B111" s="135"/>
      <c r="C111" s="136">
        <v>4</v>
      </c>
      <c r="D111" s="135"/>
      <c r="E111" s="230"/>
      <c r="F111" s="137"/>
      <c r="G111" s="138"/>
      <c r="H111" s="123">
        <f t="shared" si="20"/>
        <v>0</v>
      </c>
      <c r="I111" s="152"/>
      <c r="J111" s="117">
        <f t="shared" si="21"/>
        <v>0</v>
      </c>
      <c r="L111" s="121">
        <f t="shared" si="13"/>
        <v>0</v>
      </c>
    </row>
    <row r="112" spans="1:12" x14ac:dyDescent="0.3">
      <c r="A112" s="146"/>
      <c r="B112" s="135"/>
      <c r="C112" s="136">
        <v>5</v>
      </c>
      <c r="D112" s="135"/>
      <c r="E112" s="230"/>
      <c r="F112" s="137"/>
      <c r="G112" s="138"/>
      <c r="H112" s="123">
        <f t="shared" si="20"/>
        <v>0</v>
      </c>
      <c r="I112" s="152"/>
      <c r="J112" s="117">
        <f t="shared" si="21"/>
        <v>0</v>
      </c>
      <c r="L112" s="121">
        <f t="shared" si="13"/>
        <v>0</v>
      </c>
    </row>
    <row r="113" spans="1:12" x14ac:dyDescent="0.3">
      <c r="A113" s="146"/>
      <c r="B113" s="135"/>
      <c r="C113" s="136">
        <v>6</v>
      </c>
      <c r="D113" s="135"/>
      <c r="E113" s="230"/>
      <c r="F113" s="137"/>
      <c r="G113" s="138"/>
      <c r="H113" s="123">
        <f t="shared" si="20"/>
        <v>0</v>
      </c>
      <c r="I113" s="152"/>
      <c r="J113" s="117">
        <f t="shared" si="21"/>
        <v>0</v>
      </c>
      <c r="L113" s="121">
        <f t="shared" si="13"/>
        <v>0</v>
      </c>
    </row>
    <row r="114" spans="1:12" x14ac:dyDescent="0.3">
      <c r="A114" s="146"/>
      <c r="B114" s="135"/>
      <c r="C114" s="136">
        <v>7</v>
      </c>
      <c r="D114" s="135"/>
      <c r="E114" s="230"/>
      <c r="F114" s="137"/>
      <c r="G114" s="138"/>
      <c r="H114" s="123">
        <f t="shared" si="20"/>
        <v>0</v>
      </c>
      <c r="I114" s="152"/>
      <c r="J114" s="117">
        <f t="shared" si="21"/>
        <v>0</v>
      </c>
      <c r="L114" s="121">
        <f t="shared" si="13"/>
        <v>0</v>
      </c>
    </row>
    <row r="115" spans="1:12" x14ac:dyDescent="0.3">
      <c r="A115" s="146"/>
      <c r="B115" s="135"/>
      <c r="C115" s="136">
        <v>8</v>
      </c>
      <c r="D115" s="135"/>
      <c r="E115" s="230"/>
      <c r="F115" s="137"/>
      <c r="G115" s="138"/>
      <c r="H115" s="123">
        <f t="shared" si="20"/>
        <v>0</v>
      </c>
      <c r="I115" s="152"/>
      <c r="J115" s="117">
        <f t="shared" si="21"/>
        <v>0</v>
      </c>
      <c r="L115" s="121">
        <f t="shared" si="13"/>
        <v>0</v>
      </c>
    </row>
    <row r="116" spans="1:12" x14ac:dyDescent="0.3">
      <c r="A116" s="146"/>
      <c r="B116" s="135"/>
      <c r="C116" s="136">
        <v>9</v>
      </c>
      <c r="D116" s="135"/>
      <c r="E116" s="230"/>
      <c r="F116" s="137"/>
      <c r="G116" s="138"/>
      <c r="H116" s="123">
        <f t="shared" si="20"/>
        <v>0</v>
      </c>
      <c r="I116" s="152"/>
      <c r="J116" s="117">
        <f t="shared" si="21"/>
        <v>0</v>
      </c>
      <c r="L116" s="121">
        <f t="shared" si="13"/>
        <v>0</v>
      </c>
    </row>
    <row r="117" spans="1:12" ht="14.4" thickBot="1" x14ac:dyDescent="0.35">
      <c r="A117" s="147"/>
      <c r="B117" s="140"/>
      <c r="C117" s="141">
        <v>10</v>
      </c>
      <c r="D117" s="140"/>
      <c r="E117" s="230"/>
      <c r="F117" s="142"/>
      <c r="G117" s="138"/>
      <c r="H117" s="124">
        <f t="shared" si="20"/>
        <v>0</v>
      </c>
      <c r="I117" s="153"/>
      <c r="J117" s="118">
        <f t="shared" si="21"/>
        <v>0</v>
      </c>
      <c r="L117" s="121">
        <f t="shared" si="13"/>
        <v>0</v>
      </c>
    </row>
    <row r="118" spans="1:12" ht="14.4" thickBot="1" x14ac:dyDescent="0.35">
      <c r="A118" s="489" t="s">
        <v>145</v>
      </c>
      <c r="B118" s="490"/>
      <c r="C118" s="491"/>
      <c r="D118" s="492"/>
      <c r="E118" s="233"/>
      <c r="F118" s="144"/>
      <c r="G118" s="145">
        <f>SUM(G108:G117)</f>
        <v>0</v>
      </c>
      <c r="H118" s="126">
        <f>SUM(H108:H117)</f>
        <v>0</v>
      </c>
      <c r="I118" s="154"/>
      <c r="J118" s="119">
        <f>SUM(J108:J117)</f>
        <v>0</v>
      </c>
      <c r="L118" s="121"/>
    </row>
    <row r="119" spans="1:12" s="120" customFormat="1" ht="22.2" customHeight="1" thickTop="1" thickBot="1" x14ac:dyDescent="0.3">
      <c r="A119" s="487" t="s">
        <v>147</v>
      </c>
      <c r="B119" s="488"/>
      <c r="C119" s="488"/>
      <c r="D119" s="488"/>
      <c r="E119" s="150"/>
      <c r="F119" s="150"/>
      <c r="G119" s="193">
        <f>SUM(G118,G107,G96,G85,G74,G63,G52,G41,G30,G19)</f>
        <v>0</v>
      </c>
      <c r="H119" s="127"/>
      <c r="I119" s="150"/>
      <c r="J119" s="128">
        <f>SUM(J118,J107,J96,J85,J74,J63,J52,J41,J30,J19)</f>
        <v>0</v>
      </c>
    </row>
  </sheetData>
  <mergeCells count="14">
    <mergeCell ref="A19:D19"/>
    <mergeCell ref="A30:D30"/>
    <mergeCell ref="A41:D41"/>
    <mergeCell ref="A52:D52"/>
    <mergeCell ref="A1:J1"/>
    <mergeCell ref="A8:B8"/>
    <mergeCell ref="C8:D8"/>
    <mergeCell ref="A119:D119"/>
    <mergeCell ref="A63:D63"/>
    <mergeCell ref="A74:D74"/>
    <mergeCell ref="A85:D85"/>
    <mergeCell ref="A96:D96"/>
    <mergeCell ref="A107:D107"/>
    <mergeCell ref="A118:D118"/>
  </mergeCells>
  <phoneticPr fontId="7" type="noConversion"/>
  <pageMargins left="0.7" right="0.7" top="0.78740157499999996" bottom="0.78740157499999996" header="0.3" footer="0.3"/>
  <pageSetup paperSize="9" scale="44" orientation="portrait" verticalDpi="0" r:id="rId1"/>
  <colBreaks count="1" manualBreakCount="1">
    <brk id="10" max="1048575" man="1"/>
  </colBreaks>
  <ignoredErrors>
    <ignoredError sqref="D4 B9 B20 D6" unlockedFormula="1"/>
    <ignoredError sqref="H19 H30 H41 H52 H63 H74 H85 H96 H107 J19 J30 J41 J52 J63 J74 J85 J96 J10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119"/>
  <sheetViews>
    <sheetView zoomScaleNormal="100" workbookViewId="0">
      <pane ySplit="8" topLeftCell="A9" activePane="bottomLeft" state="frozen"/>
      <selection pane="bottomLeft" activeCell="H40" sqref="H40"/>
    </sheetView>
  </sheetViews>
  <sheetFormatPr defaultColWidth="11" defaultRowHeight="13.8" x14ac:dyDescent="0.3"/>
  <cols>
    <col min="1" max="1" width="4.109375" style="111" customWidth="1"/>
    <col min="2" max="2" width="24.33203125" style="69" customWidth="1"/>
    <col min="3" max="3" width="3.44140625" style="111" customWidth="1"/>
    <col min="4" max="4" width="24.33203125" style="69" customWidth="1"/>
    <col min="5" max="7" width="11.6640625" style="69" customWidth="1"/>
    <col min="8" max="8" width="11.6640625" style="85" customWidth="1"/>
    <col min="9" max="9" width="11.6640625" style="69" customWidth="1"/>
    <col min="10" max="10" width="11" style="69"/>
    <col min="11" max="11" width="10.109375" style="69" customWidth="1"/>
    <col min="12" max="12" width="1.109375" style="69" customWidth="1"/>
    <col min="13" max="13" width="11" style="69"/>
    <col min="14" max="14" width="14.6640625" style="69" customWidth="1"/>
    <col min="15" max="16384" width="11" style="69"/>
  </cols>
  <sheetData>
    <row r="1" spans="1:13" ht="21" customHeight="1" x14ac:dyDescent="0.3">
      <c r="A1" s="407" t="s">
        <v>157</v>
      </c>
      <c r="B1" s="407"/>
      <c r="C1" s="407"/>
      <c r="D1" s="407"/>
      <c r="E1" s="407"/>
      <c r="F1" s="407"/>
      <c r="G1" s="407"/>
      <c r="H1" s="407"/>
      <c r="I1" s="407"/>
      <c r="J1" s="407"/>
    </row>
    <row r="2" spans="1:13" s="17" customFormat="1" x14ac:dyDescent="0.3">
      <c r="C2" s="24" t="s">
        <v>28</v>
      </c>
      <c r="D2" s="129">
        <f>'Časový snímek A+B'!D3</f>
        <v>0</v>
      </c>
      <c r="E2" s="22"/>
      <c r="F2" s="18"/>
      <c r="G2" s="18"/>
      <c r="H2" s="18"/>
      <c r="I2" s="19"/>
      <c r="J2" s="20"/>
      <c r="K2" s="21"/>
      <c r="L2" s="22"/>
      <c r="M2" s="23"/>
    </row>
    <row r="3" spans="1:13" s="17" customFormat="1" x14ac:dyDescent="0.3">
      <c r="C3" s="24" t="s">
        <v>29</v>
      </c>
      <c r="D3" s="129">
        <f>'Časový snímek A+B'!D4</f>
        <v>0</v>
      </c>
      <c r="E3" s="22"/>
      <c r="F3" s="18"/>
      <c r="G3" s="18"/>
      <c r="H3" s="18"/>
      <c r="I3" s="19"/>
      <c r="J3" s="20"/>
      <c r="K3" s="21"/>
      <c r="L3" s="22"/>
      <c r="M3" s="23"/>
    </row>
    <row r="4" spans="1:13" s="17" customFormat="1" x14ac:dyDescent="0.3">
      <c r="C4" s="24" t="s">
        <v>30</v>
      </c>
      <c r="D4" s="68">
        <f>'Časový snímek A+B'!D5</f>
        <v>0</v>
      </c>
      <c r="E4" s="26"/>
      <c r="F4" s="18"/>
      <c r="G4" s="27"/>
      <c r="H4" s="18"/>
      <c r="I4" s="28"/>
      <c r="J4" s="20"/>
      <c r="K4" s="21"/>
      <c r="L4" s="22"/>
      <c r="M4" s="23"/>
    </row>
    <row r="5" spans="1:13" s="17" customFormat="1" x14ac:dyDescent="0.3">
      <c r="C5" s="24" t="s">
        <v>31</v>
      </c>
      <c r="D5" s="129">
        <f>'Časový snímek A+B'!D6</f>
        <v>480</v>
      </c>
      <c r="F5" s="24" t="s">
        <v>32</v>
      </c>
      <c r="G5" s="129">
        <f>'Časový snímek A+B'!J6</f>
        <v>30</v>
      </c>
      <c r="H5" s="18"/>
      <c r="I5" s="29" t="s">
        <v>33</v>
      </c>
      <c r="J5" s="30">
        <f>D5-G5</f>
        <v>450</v>
      </c>
    </row>
    <row r="6" spans="1:13" s="17" customFormat="1" x14ac:dyDescent="0.3">
      <c r="C6" s="24" t="s">
        <v>35</v>
      </c>
      <c r="D6" s="25">
        <f>'Časový snímek A+B'!D8</f>
        <v>0</v>
      </c>
      <c r="E6" s="22"/>
      <c r="F6" s="18"/>
      <c r="G6" s="18"/>
      <c r="H6" s="18"/>
      <c r="I6" s="19"/>
      <c r="J6" s="20"/>
      <c r="K6" s="21"/>
      <c r="L6" s="22"/>
      <c r="M6" s="23"/>
    </row>
    <row r="7" spans="1:13" ht="9.75" customHeight="1" thickBot="1" x14ac:dyDescent="0.35">
      <c r="A7" s="69"/>
      <c r="C7" s="69"/>
    </row>
    <row r="8" spans="1:13" ht="44.4" customHeight="1" thickBot="1" x14ac:dyDescent="0.35">
      <c r="A8" s="493" t="s">
        <v>128</v>
      </c>
      <c r="B8" s="494"/>
      <c r="C8" s="495" t="s">
        <v>144</v>
      </c>
      <c r="D8" s="496"/>
      <c r="E8" s="112" t="s">
        <v>131</v>
      </c>
      <c r="F8" s="114" t="s">
        <v>132</v>
      </c>
      <c r="G8" s="113" t="s">
        <v>133</v>
      </c>
      <c r="H8" s="114" t="s">
        <v>142</v>
      </c>
      <c r="I8" s="113" t="s">
        <v>146</v>
      </c>
      <c r="J8" s="115" t="s">
        <v>143</v>
      </c>
    </row>
    <row r="9" spans="1:13" x14ac:dyDescent="0.3">
      <c r="A9" s="130" t="s">
        <v>129</v>
      </c>
      <c r="B9" s="131">
        <f>'Časový snímek A+B'!$C$34</f>
        <v>0</v>
      </c>
      <c r="C9" s="132">
        <v>1</v>
      </c>
      <c r="D9" s="131"/>
      <c r="E9" s="231"/>
      <c r="F9" s="133"/>
      <c r="G9" s="194"/>
      <c r="H9" s="122">
        <f>L9</f>
        <v>0</v>
      </c>
      <c r="I9" s="151"/>
      <c r="J9" s="116">
        <f>I9*H9</f>
        <v>0</v>
      </c>
      <c r="L9" s="121">
        <f>IFERROR((G9*60)/E9*F9,0)</f>
        <v>0</v>
      </c>
      <c r="M9" s="121"/>
    </row>
    <row r="10" spans="1:13" x14ac:dyDescent="0.3">
      <c r="A10" s="134"/>
      <c r="B10" s="135"/>
      <c r="C10" s="136">
        <v>2</v>
      </c>
      <c r="D10" s="135"/>
      <c r="E10" s="230"/>
      <c r="F10" s="137"/>
      <c r="G10" s="194"/>
      <c r="H10" s="123">
        <f t="shared" ref="H10:H18" si="0">L10</f>
        <v>0</v>
      </c>
      <c r="I10" s="152"/>
      <c r="J10" s="117">
        <f t="shared" ref="J10:J18" si="1">I10*H10</f>
        <v>0</v>
      </c>
      <c r="L10" s="121">
        <f t="shared" ref="L10:L73" si="2">IFERROR((G10*60)/E10*F10,0)</f>
        <v>0</v>
      </c>
      <c r="M10" s="121"/>
    </row>
    <row r="11" spans="1:13" x14ac:dyDescent="0.3">
      <c r="A11" s="134"/>
      <c r="B11" s="135"/>
      <c r="C11" s="136">
        <v>3</v>
      </c>
      <c r="D11" s="135"/>
      <c r="E11" s="230"/>
      <c r="F11" s="137"/>
      <c r="G11" s="194"/>
      <c r="H11" s="123">
        <f t="shared" si="0"/>
        <v>0</v>
      </c>
      <c r="I11" s="152"/>
      <c r="J11" s="117">
        <f t="shared" si="1"/>
        <v>0</v>
      </c>
      <c r="L11" s="121">
        <f t="shared" si="2"/>
        <v>0</v>
      </c>
      <c r="M11" s="121"/>
    </row>
    <row r="12" spans="1:13" x14ac:dyDescent="0.3">
      <c r="A12" s="134"/>
      <c r="B12" s="135"/>
      <c r="C12" s="136">
        <v>4</v>
      </c>
      <c r="D12" s="135"/>
      <c r="E12" s="230"/>
      <c r="F12" s="137"/>
      <c r="G12" s="194"/>
      <c r="H12" s="123">
        <f t="shared" si="0"/>
        <v>0</v>
      </c>
      <c r="I12" s="152"/>
      <c r="J12" s="117">
        <f t="shared" si="1"/>
        <v>0</v>
      </c>
      <c r="L12" s="121">
        <f t="shared" si="2"/>
        <v>0</v>
      </c>
      <c r="M12" s="121"/>
    </row>
    <row r="13" spans="1:13" x14ac:dyDescent="0.3">
      <c r="A13" s="134"/>
      <c r="B13" s="135"/>
      <c r="C13" s="136">
        <v>5</v>
      </c>
      <c r="D13" s="135"/>
      <c r="E13" s="230"/>
      <c r="F13" s="137"/>
      <c r="G13" s="194"/>
      <c r="H13" s="123">
        <f t="shared" si="0"/>
        <v>0</v>
      </c>
      <c r="I13" s="152"/>
      <c r="J13" s="117">
        <f t="shared" si="1"/>
        <v>0</v>
      </c>
      <c r="L13" s="121">
        <f t="shared" si="2"/>
        <v>0</v>
      </c>
      <c r="M13" s="121"/>
    </row>
    <row r="14" spans="1:13" x14ac:dyDescent="0.3">
      <c r="A14" s="134"/>
      <c r="B14" s="135"/>
      <c r="C14" s="136">
        <v>6</v>
      </c>
      <c r="D14" s="135"/>
      <c r="E14" s="230"/>
      <c r="F14" s="137"/>
      <c r="G14" s="194"/>
      <c r="H14" s="123">
        <f t="shared" si="0"/>
        <v>0</v>
      </c>
      <c r="I14" s="152"/>
      <c r="J14" s="117">
        <f t="shared" si="1"/>
        <v>0</v>
      </c>
      <c r="L14" s="121">
        <f t="shared" si="2"/>
        <v>0</v>
      </c>
      <c r="M14" s="121"/>
    </row>
    <row r="15" spans="1:13" x14ac:dyDescent="0.3">
      <c r="A15" s="134"/>
      <c r="B15" s="135"/>
      <c r="C15" s="136">
        <v>7</v>
      </c>
      <c r="D15" s="135"/>
      <c r="E15" s="230"/>
      <c r="F15" s="137"/>
      <c r="G15" s="194"/>
      <c r="H15" s="123">
        <f t="shared" si="0"/>
        <v>0</v>
      </c>
      <c r="I15" s="152"/>
      <c r="J15" s="117">
        <f t="shared" si="1"/>
        <v>0</v>
      </c>
      <c r="L15" s="121">
        <f t="shared" si="2"/>
        <v>0</v>
      </c>
      <c r="M15" s="121"/>
    </row>
    <row r="16" spans="1:13" x14ac:dyDescent="0.3">
      <c r="A16" s="134"/>
      <c r="B16" s="135"/>
      <c r="C16" s="136">
        <v>8</v>
      </c>
      <c r="D16" s="135"/>
      <c r="E16" s="230"/>
      <c r="F16" s="137"/>
      <c r="G16" s="194"/>
      <c r="H16" s="123">
        <f t="shared" si="0"/>
        <v>0</v>
      </c>
      <c r="I16" s="152"/>
      <c r="J16" s="117">
        <f t="shared" si="1"/>
        <v>0</v>
      </c>
      <c r="L16" s="121">
        <f t="shared" si="2"/>
        <v>0</v>
      </c>
      <c r="M16" s="121"/>
    </row>
    <row r="17" spans="1:13" x14ac:dyDescent="0.3">
      <c r="A17" s="134"/>
      <c r="B17" s="135"/>
      <c r="C17" s="136">
        <v>9</v>
      </c>
      <c r="D17" s="135"/>
      <c r="E17" s="230"/>
      <c r="F17" s="137"/>
      <c r="G17" s="194"/>
      <c r="H17" s="123">
        <f t="shared" si="0"/>
        <v>0</v>
      </c>
      <c r="I17" s="152"/>
      <c r="J17" s="117">
        <f t="shared" si="1"/>
        <v>0</v>
      </c>
      <c r="L17" s="121">
        <f t="shared" si="2"/>
        <v>0</v>
      </c>
      <c r="M17" s="121"/>
    </row>
    <row r="18" spans="1:13" ht="14.4" thickBot="1" x14ac:dyDescent="0.35">
      <c r="A18" s="139"/>
      <c r="B18" s="140"/>
      <c r="C18" s="141">
        <v>10</v>
      </c>
      <c r="D18" s="140"/>
      <c r="E18" s="232"/>
      <c r="F18" s="142"/>
      <c r="G18" s="194"/>
      <c r="H18" s="124">
        <f t="shared" si="0"/>
        <v>0</v>
      </c>
      <c r="I18" s="153"/>
      <c r="J18" s="118">
        <f t="shared" si="1"/>
        <v>0</v>
      </c>
      <c r="L18" s="121">
        <f t="shared" si="2"/>
        <v>0</v>
      </c>
      <c r="M18" s="121"/>
    </row>
    <row r="19" spans="1:13" ht="14.4" thickBot="1" x14ac:dyDescent="0.35">
      <c r="A19" s="489" t="s">
        <v>145</v>
      </c>
      <c r="B19" s="490"/>
      <c r="C19" s="491"/>
      <c r="D19" s="492"/>
      <c r="E19" s="233"/>
      <c r="F19" s="144"/>
      <c r="G19" s="145">
        <f>'Časový snímek A+B'!F34</f>
        <v>0</v>
      </c>
      <c r="H19" s="126">
        <f>SUM(H9:H18)</f>
        <v>0</v>
      </c>
      <c r="I19" s="154"/>
      <c r="J19" s="119">
        <f>SUM(J9:J18)</f>
        <v>0</v>
      </c>
      <c r="L19" s="121"/>
    </row>
    <row r="20" spans="1:13" ht="14.4" thickTop="1" x14ac:dyDescent="0.3">
      <c r="A20" s="134" t="s">
        <v>130</v>
      </c>
      <c r="B20" s="135">
        <f>'Časový snímek A+B'!$C$35</f>
        <v>0</v>
      </c>
      <c r="C20" s="136">
        <v>1</v>
      </c>
      <c r="D20" s="135"/>
      <c r="E20" s="230"/>
      <c r="F20" s="137"/>
      <c r="G20" s="138"/>
      <c r="H20" s="125">
        <f>L20</f>
        <v>0</v>
      </c>
      <c r="I20" s="151"/>
      <c r="J20" s="116">
        <f>I20*H20</f>
        <v>0</v>
      </c>
      <c r="L20" s="121">
        <f t="shared" si="2"/>
        <v>0</v>
      </c>
    </row>
    <row r="21" spans="1:13" x14ac:dyDescent="0.3">
      <c r="A21" s="146"/>
      <c r="B21" s="135"/>
      <c r="C21" s="136">
        <v>2</v>
      </c>
      <c r="D21" s="135"/>
      <c r="E21" s="230"/>
      <c r="F21" s="137"/>
      <c r="G21" s="138"/>
      <c r="H21" s="123">
        <f t="shared" ref="H21:H29" si="3">L21</f>
        <v>0</v>
      </c>
      <c r="I21" s="152"/>
      <c r="J21" s="117">
        <f t="shared" ref="J21:J29" si="4">I21*H21</f>
        <v>0</v>
      </c>
      <c r="L21" s="121">
        <f t="shared" si="2"/>
        <v>0</v>
      </c>
    </row>
    <row r="22" spans="1:13" x14ac:dyDescent="0.3">
      <c r="A22" s="146"/>
      <c r="B22" s="135"/>
      <c r="C22" s="136">
        <v>3</v>
      </c>
      <c r="D22" s="135"/>
      <c r="E22" s="230"/>
      <c r="F22" s="137"/>
      <c r="G22" s="138"/>
      <c r="H22" s="123">
        <f t="shared" si="3"/>
        <v>0</v>
      </c>
      <c r="I22" s="152"/>
      <c r="J22" s="117">
        <f t="shared" si="4"/>
        <v>0</v>
      </c>
      <c r="L22" s="121">
        <f t="shared" si="2"/>
        <v>0</v>
      </c>
    </row>
    <row r="23" spans="1:13" x14ac:dyDescent="0.3">
      <c r="A23" s="146"/>
      <c r="B23" s="135"/>
      <c r="C23" s="136">
        <v>4</v>
      </c>
      <c r="D23" s="135"/>
      <c r="E23" s="230"/>
      <c r="F23" s="137"/>
      <c r="G23" s="138"/>
      <c r="H23" s="123">
        <f t="shared" si="3"/>
        <v>0</v>
      </c>
      <c r="I23" s="152"/>
      <c r="J23" s="117">
        <f t="shared" si="4"/>
        <v>0</v>
      </c>
      <c r="L23" s="121">
        <f t="shared" si="2"/>
        <v>0</v>
      </c>
    </row>
    <row r="24" spans="1:13" x14ac:dyDescent="0.3">
      <c r="A24" s="146"/>
      <c r="B24" s="135"/>
      <c r="C24" s="136">
        <v>5</v>
      </c>
      <c r="D24" s="135"/>
      <c r="E24" s="230"/>
      <c r="F24" s="137"/>
      <c r="G24" s="138"/>
      <c r="H24" s="123">
        <f t="shared" si="3"/>
        <v>0</v>
      </c>
      <c r="I24" s="152"/>
      <c r="J24" s="117">
        <f t="shared" si="4"/>
        <v>0</v>
      </c>
      <c r="L24" s="121">
        <f t="shared" si="2"/>
        <v>0</v>
      </c>
    </row>
    <row r="25" spans="1:13" x14ac:dyDescent="0.3">
      <c r="A25" s="146"/>
      <c r="B25" s="135"/>
      <c r="C25" s="136">
        <v>6</v>
      </c>
      <c r="D25" s="135"/>
      <c r="E25" s="230"/>
      <c r="F25" s="137"/>
      <c r="G25" s="138"/>
      <c r="H25" s="123">
        <f t="shared" si="3"/>
        <v>0</v>
      </c>
      <c r="I25" s="152"/>
      <c r="J25" s="117">
        <f t="shared" si="4"/>
        <v>0</v>
      </c>
      <c r="L25" s="121">
        <f t="shared" si="2"/>
        <v>0</v>
      </c>
    </row>
    <row r="26" spans="1:13" x14ac:dyDescent="0.3">
      <c r="A26" s="146"/>
      <c r="B26" s="135"/>
      <c r="C26" s="136">
        <v>7</v>
      </c>
      <c r="D26" s="135"/>
      <c r="E26" s="230"/>
      <c r="F26" s="137"/>
      <c r="G26" s="138"/>
      <c r="H26" s="123">
        <f t="shared" si="3"/>
        <v>0</v>
      </c>
      <c r="I26" s="152"/>
      <c r="J26" s="117">
        <f t="shared" si="4"/>
        <v>0</v>
      </c>
      <c r="L26" s="121">
        <f t="shared" si="2"/>
        <v>0</v>
      </c>
    </row>
    <row r="27" spans="1:13" x14ac:dyDescent="0.3">
      <c r="A27" s="146"/>
      <c r="B27" s="135"/>
      <c r="C27" s="136">
        <v>8</v>
      </c>
      <c r="D27" s="135"/>
      <c r="E27" s="230"/>
      <c r="F27" s="137"/>
      <c r="G27" s="138"/>
      <c r="H27" s="123">
        <f t="shared" si="3"/>
        <v>0</v>
      </c>
      <c r="I27" s="152"/>
      <c r="J27" s="117">
        <f t="shared" si="4"/>
        <v>0</v>
      </c>
      <c r="L27" s="121">
        <f t="shared" si="2"/>
        <v>0</v>
      </c>
    </row>
    <row r="28" spans="1:13" x14ac:dyDescent="0.3">
      <c r="A28" s="146"/>
      <c r="B28" s="135"/>
      <c r="C28" s="136">
        <v>9</v>
      </c>
      <c r="D28" s="135"/>
      <c r="E28" s="230"/>
      <c r="F28" s="137"/>
      <c r="G28" s="138"/>
      <c r="H28" s="123">
        <f t="shared" si="3"/>
        <v>0</v>
      </c>
      <c r="I28" s="152"/>
      <c r="J28" s="117">
        <f t="shared" si="4"/>
        <v>0</v>
      </c>
      <c r="L28" s="121">
        <f t="shared" si="2"/>
        <v>0</v>
      </c>
    </row>
    <row r="29" spans="1:13" ht="14.4" thickBot="1" x14ac:dyDescent="0.35">
      <c r="A29" s="147"/>
      <c r="B29" s="140"/>
      <c r="C29" s="141">
        <v>10</v>
      </c>
      <c r="D29" s="140"/>
      <c r="E29" s="232"/>
      <c r="F29" s="142"/>
      <c r="G29" s="143"/>
      <c r="H29" s="124">
        <f t="shared" si="3"/>
        <v>0</v>
      </c>
      <c r="I29" s="153"/>
      <c r="J29" s="118">
        <f t="shared" si="4"/>
        <v>0</v>
      </c>
      <c r="L29" s="121">
        <f t="shared" si="2"/>
        <v>0</v>
      </c>
    </row>
    <row r="30" spans="1:13" ht="14.4" thickBot="1" x14ac:dyDescent="0.35">
      <c r="A30" s="489" t="s">
        <v>145</v>
      </c>
      <c r="B30" s="490"/>
      <c r="C30" s="491"/>
      <c r="D30" s="492"/>
      <c r="E30" s="233"/>
      <c r="F30" s="144"/>
      <c r="G30" s="145">
        <f>'Časový snímek A+B'!F35</f>
        <v>0</v>
      </c>
      <c r="H30" s="126">
        <f>SUM(H20:H29)</f>
        <v>0</v>
      </c>
      <c r="I30" s="154"/>
      <c r="J30" s="119">
        <f>SUM(J20:J29)</f>
        <v>0</v>
      </c>
      <c r="L30" s="121"/>
    </row>
    <row r="31" spans="1:13" ht="14.4" thickTop="1" x14ac:dyDescent="0.3">
      <c r="A31" s="148" t="s">
        <v>134</v>
      </c>
      <c r="B31" s="131">
        <f>'Časový snímek A+B'!$C$36</f>
        <v>0</v>
      </c>
      <c r="C31" s="132">
        <v>1</v>
      </c>
      <c r="D31" s="131"/>
      <c r="E31" s="231"/>
      <c r="F31" s="133"/>
      <c r="G31" s="149"/>
      <c r="H31" s="125">
        <f>L31</f>
        <v>0</v>
      </c>
      <c r="I31" s="151"/>
      <c r="J31" s="116">
        <f>I31*H31</f>
        <v>0</v>
      </c>
      <c r="L31" s="121">
        <f t="shared" si="2"/>
        <v>0</v>
      </c>
    </row>
    <row r="32" spans="1:13" x14ac:dyDescent="0.3">
      <c r="A32" s="146"/>
      <c r="B32" s="135"/>
      <c r="C32" s="136">
        <v>2</v>
      </c>
      <c r="D32" s="135"/>
      <c r="E32" s="230"/>
      <c r="F32" s="137"/>
      <c r="G32" s="138"/>
      <c r="H32" s="123">
        <f t="shared" ref="H32:H40" si="5">L32</f>
        <v>0</v>
      </c>
      <c r="I32" s="152"/>
      <c r="J32" s="117">
        <f t="shared" ref="J32:J40" si="6">I32*H32</f>
        <v>0</v>
      </c>
      <c r="L32" s="121">
        <f t="shared" si="2"/>
        <v>0</v>
      </c>
      <c r="M32" s="111"/>
    </row>
    <row r="33" spans="1:18" x14ac:dyDescent="0.3">
      <c r="A33" s="146"/>
      <c r="B33" s="135"/>
      <c r="C33" s="136">
        <v>3</v>
      </c>
      <c r="D33" s="135"/>
      <c r="E33" s="230"/>
      <c r="F33" s="137"/>
      <c r="G33" s="138"/>
      <c r="H33" s="123">
        <f t="shared" si="5"/>
        <v>0</v>
      </c>
      <c r="I33" s="152"/>
      <c r="J33" s="117">
        <f t="shared" si="6"/>
        <v>0</v>
      </c>
      <c r="L33" s="121">
        <f t="shared" si="2"/>
        <v>0</v>
      </c>
      <c r="M33" s="111"/>
      <c r="Q33" s="110"/>
      <c r="R33" s="110"/>
    </row>
    <row r="34" spans="1:18" x14ac:dyDescent="0.3">
      <c r="A34" s="146"/>
      <c r="B34" s="135"/>
      <c r="C34" s="136">
        <v>4</v>
      </c>
      <c r="D34" s="135"/>
      <c r="E34" s="230"/>
      <c r="F34" s="137"/>
      <c r="G34" s="138"/>
      <c r="H34" s="123">
        <f t="shared" si="5"/>
        <v>0</v>
      </c>
      <c r="I34" s="152"/>
      <c r="J34" s="117">
        <f t="shared" si="6"/>
        <v>0</v>
      </c>
      <c r="L34" s="121">
        <f t="shared" si="2"/>
        <v>0</v>
      </c>
      <c r="M34" s="111"/>
      <c r="Q34" s="110"/>
      <c r="R34" s="110"/>
    </row>
    <row r="35" spans="1:18" x14ac:dyDescent="0.3">
      <c r="A35" s="146"/>
      <c r="B35" s="135"/>
      <c r="C35" s="136">
        <v>5</v>
      </c>
      <c r="D35" s="135"/>
      <c r="E35" s="230"/>
      <c r="F35" s="137"/>
      <c r="G35" s="138"/>
      <c r="H35" s="123">
        <f t="shared" si="5"/>
        <v>0</v>
      </c>
      <c r="I35" s="152"/>
      <c r="J35" s="117">
        <f t="shared" si="6"/>
        <v>0</v>
      </c>
      <c r="L35" s="121">
        <f t="shared" si="2"/>
        <v>0</v>
      </c>
      <c r="M35" s="111"/>
      <c r="Q35" s="110"/>
      <c r="R35" s="110"/>
    </row>
    <row r="36" spans="1:18" x14ac:dyDescent="0.3">
      <c r="A36" s="146"/>
      <c r="B36" s="135"/>
      <c r="C36" s="136">
        <v>6</v>
      </c>
      <c r="D36" s="135"/>
      <c r="E36" s="230"/>
      <c r="F36" s="137"/>
      <c r="G36" s="138"/>
      <c r="H36" s="123">
        <f t="shared" si="5"/>
        <v>0</v>
      </c>
      <c r="I36" s="152"/>
      <c r="J36" s="117">
        <f t="shared" si="6"/>
        <v>0</v>
      </c>
      <c r="L36" s="121">
        <f t="shared" si="2"/>
        <v>0</v>
      </c>
      <c r="M36" s="111"/>
      <c r="Q36" s="110"/>
      <c r="R36" s="110"/>
    </row>
    <row r="37" spans="1:18" x14ac:dyDescent="0.3">
      <c r="A37" s="146"/>
      <c r="B37" s="135"/>
      <c r="C37" s="136">
        <v>7</v>
      </c>
      <c r="D37" s="135"/>
      <c r="E37" s="230"/>
      <c r="F37" s="137"/>
      <c r="G37" s="138"/>
      <c r="H37" s="123">
        <f t="shared" si="5"/>
        <v>0</v>
      </c>
      <c r="I37" s="152"/>
      <c r="J37" s="117">
        <f t="shared" si="6"/>
        <v>0</v>
      </c>
      <c r="L37" s="121">
        <f t="shared" si="2"/>
        <v>0</v>
      </c>
      <c r="M37" s="111"/>
      <c r="Q37" s="110"/>
      <c r="R37" s="110"/>
    </row>
    <row r="38" spans="1:18" x14ac:dyDescent="0.3">
      <c r="A38" s="146"/>
      <c r="B38" s="135"/>
      <c r="C38" s="136">
        <v>8</v>
      </c>
      <c r="D38" s="135"/>
      <c r="E38" s="230"/>
      <c r="F38" s="137"/>
      <c r="G38" s="138"/>
      <c r="H38" s="123">
        <f t="shared" si="5"/>
        <v>0</v>
      </c>
      <c r="I38" s="152"/>
      <c r="J38" s="117">
        <f t="shared" si="6"/>
        <v>0</v>
      </c>
      <c r="L38" s="121">
        <f t="shared" si="2"/>
        <v>0</v>
      </c>
      <c r="M38" s="111"/>
    </row>
    <row r="39" spans="1:18" x14ac:dyDescent="0.3">
      <c r="A39" s="146"/>
      <c r="B39" s="135"/>
      <c r="C39" s="136">
        <v>9</v>
      </c>
      <c r="D39" s="135"/>
      <c r="E39" s="230"/>
      <c r="F39" s="137"/>
      <c r="G39" s="138"/>
      <c r="H39" s="123">
        <f t="shared" si="5"/>
        <v>0</v>
      </c>
      <c r="I39" s="152"/>
      <c r="J39" s="117">
        <f t="shared" si="6"/>
        <v>0</v>
      </c>
      <c r="L39" s="121">
        <f t="shared" si="2"/>
        <v>0</v>
      </c>
    </row>
    <row r="40" spans="1:18" ht="14.4" thickBot="1" x14ac:dyDescent="0.35">
      <c r="A40" s="147"/>
      <c r="B40" s="140"/>
      <c r="C40" s="141">
        <v>10</v>
      </c>
      <c r="D40" s="140"/>
      <c r="E40" s="232"/>
      <c r="F40" s="142"/>
      <c r="G40" s="143"/>
      <c r="H40" s="124">
        <f t="shared" si="5"/>
        <v>0</v>
      </c>
      <c r="I40" s="153"/>
      <c r="J40" s="118">
        <f t="shared" si="6"/>
        <v>0</v>
      </c>
      <c r="L40" s="121">
        <f t="shared" si="2"/>
        <v>0</v>
      </c>
    </row>
    <row r="41" spans="1:18" ht="14.4" thickBot="1" x14ac:dyDescent="0.35">
      <c r="A41" s="489" t="s">
        <v>145</v>
      </c>
      <c r="B41" s="490"/>
      <c r="C41" s="491"/>
      <c r="D41" s="492"/>
      <c r="E41" s="233"/>
      <c r="F41" s="144"/>
      <c r="G41" s="145">
        <f>'Časový snímek A+B'!F36</f>
        <v>0</v>
      </c>
      <c r="H41" s="126">
        <f>SUM(H31:H40)</f>
        <v>0</v>
      </c>
      <c r="I41" s="154"/>
      <c r="J41" s="119">
        <f>SUM(J31:J40)</f>
        <v>0</v>
      </c>
      <c r="L41" s="121"/>
    </row>
    <row r="42" spans="1:18" ht="14.4" thickTop="1" x14ac:dyDescent="0.3">
      <c r="A42" s="130" t="s">
        <v>135</v>
      </c>
      <c r="B42" s="131">
        <f>'Časový snímek A+B'!$C$37</f>
        <v>0</v>
      </c>
      <c r="C42" s="132">
        <v>1</v>
      </c>
      <c r="D42" s="131"/>
      <c r="E42" s="231"/>
      <c r="F42" s="133"/>
      <c r="G42" s="149"/>
      <c r="H42" s="125">
        <f>L42</f>
        <v>0</v>
      </c>
      <c r="I42" s="151"/>
      <c r="J42" s="116">
        <f>I42*H42</f>
        <v>0</v>
      </c>
      <c r="L42" s="121">
        <f t="shared" si="2"/>
        <v>0</v>
      </c>
    </row>
    <row r="43" spans="1:18" x14ac:dyDescent="0.3">
      <c r="A43" s="146"/>
      <c r="B43" s="135"/>
      <c r="C43" s="136">
        <v>2</v>
      </c>
      <c r="D43" s="135"/>
      <c r="E43" s="230"/>
      <c r="F43" s="137"/>
      <c r="G43" s="138"/>
      <c r="H43" s="123">
        <f t="shared" ref="H43:H51" si="7">L43</f>
        <v>0</v>
      </c>
      <c r="I43" s="152"/>
      <c r="J43" s="117">
        <f t="shared" ref="J43:J51" si="8">I43*H43</f>
        <v>0</v>
      </c>
      <c r="L43" s="121">
        <f t="shared" si="2"/>
        <v>0</v>
      </c>
    </row>
    <row r="44" spans="1:18" x14ac:dyDescent="0.3">
      <c r="A44" s="146"/>
      <c r="B44" s="135"/>
      <c r="C44" s="136">
        <v>3</v>
      </c>
      <c r="D44" s="135"/>
      <c r="E44" s="230"/>
      <c r="F44" s="137"/>
      <c r="G44" s="138"/>
      <c r="H44" s="123">
        <f t="shared" si="7"/>
        <v>0</v>
      </c>
      <c r="I44" s="152"/>
      <c r="J44" s="117">
        <f t="shared" si="8"/>
        <v>0</v>
      </c>
      <c r="L44" s="121">
        <f t="shared" si="2"/>
        <v>0</v>
      </c>
    </row>
    <row r="45" spans="1:18" x14ac:dyDescent="0.3">
      <c r="A45" s="146"/>
      <c r="B45" s="135"/>
      <c r="C45" s="136">
        <v>4</v>
      </c>
      <c r="D45" s="135"/>
      <c r="E45" s="230"/>
      <c r="F45" s="137"/>
      <c r="G45" s="138"/>
      <c r="H45" s="123">
        <f t="shared" si="7"/>
        <v>0</v>
      </c>
      <c r="I45" s="152"/>
      <c r="J45" s="117">
        <f t="shared" si="8"/>
        <v>0</v>
      </c>
      <c r="L45" s="121">
        <f t="shared" si="2"/>
        <v>0</v>
      </c>
    </row>
    <row r="46" spans="1:18" x14ac:dyDescent="0.3">
      <c r="A46" s="146"/>
      <c r="B46" s="135"/>
      <c r="C46" s="136">
        <v>5</v>
      </c>
      <c r="D46" s="135"/>
      <c r="E46" s="230"/>
      <c r="F46" s="137"/>
      <c r="G46" s="138"/>
      <c r="H46" s="123">
        <f t="shared" si="7"/>
        <v>0</v>
      </c>
      <c r="I46" s="152"/>
      <c r="J46" s="117">
        <f t="shared" si="8"/>
        <v>0</v>
      </c>
      <c r="L46" s="121">
        <f t="shared" si="2"/>
        <v>0</v>
      </c>
    </row>
    <row r="47" spans="1:18" x14ac:dyDescent="0.3">
      <c r="A47" s="146"/>
      <c r="B47" s="135"/>
      <c r="C47" s="136">
        <v>6</v>
      </c>
      <c r="D47" s="135"/>
      <c r="E47" s="230"/>
      <c r="F47" s="137"/>
      <c r="G47" s="138"/>
      <c r="H47" s="123">
        <f t="shared" si="7"/>
        <v>0</v>
      </c>
      <c r="I47" s="152"/>
      <c r="J47" s="117">
        <f t="shared" si="8"/>
        <v>0</v>
      </c>
      <c r="L47" s="121">
        <f t="shared" si="2"/>
        <v>0</v>
      </c>
    </row>
    <row r="48" spans="1:18" x14ac:dyDescent="0.3">
      <c r="A48" s="146"/>
      <c r="B48" s="135"/>
      <c r="C48" s="136">
        <v>7</v>
      </c>
      <c r="D48" s="135"/>
      <c r="E48" s="230"/>
      <c r="F48" s="137"/>
      <c r="G48" s="138"/>
      <c r="H48" s="123">
        <f t="shared" si="7"/>
        <v>0</v>
      </c>
      <c r="I48" s="152"/>
      <c r="J48" s="117">
        <f t="shared" si="8"/>
        <v>0</v>
      </c>
      <c r="L48" s="121">
        <f t="shared" si="2"/>
        <v>0</v>
      </c>
    </row>
    <row r="49" spans="1:12" x14ac:dyDescent="0.3">
      <c r="A49" s="146"/>
      <c r="B49" s="135"/>
      <c r="C49" s="136">
        <v>8</v>
      </c>
      <c r="D49" s="135"/>
      <c r="E49" s="230"/>
      <c r="F49" s="137"/>
      <c r="G49" s="138"/>
      <c r="H49" s="123">
        <f t="shared" si="7"/>
        <v>0</v>
      </c>
      <c r="I49" s="152"/>
      <c r="J49" s="117">
        <f t="shared" si="8"/>
        <v>0</v>
      </c>
      <c r="L49" s="121">
        <f t="shared" si="2"/>
        <v>0</v>
      </c>
    </row>
    <row r="50" spans="1:12" x14ac:dyDescent="0.3">
      <c r="A50" s="146"/>
      <c r="B50" s="135"/>
      <c r="C50" s="136">
        <v>9</v>
      </c>
      <c r="D50" s="135"/>
      <c r="E50" s="230"/>
      <c r="F50" s="137"/>
      <c r="G50" s="138"/>
      <c r="H50" s="123">
        <f t="shared" si="7"/>
        <v>0</v>
      </c>
      <c r="I50" s="152"/>
      <c r="J50" s="117">
        <f t="shared" si="8"/>
        <v>0</v>
      </c>
      <c r="L50" s="121">
        <f t="shared" si="2"/>
        <v>0</v>
      </c>
    </row>
    <row r="51" spans="1:12" ht="14.4" thickBot="1" x14ac:dyDescent="0.35">
      <c r="A51" s="147"/>
      <c r="B51" s="140"/>
      <c r="C51" s="141">
        <v>10</v>
      </c>
      <c r="D51" s="140"/>
      <c r="E51" s="232"/>
      <c r="F51" s="142"/>
      <c r="G51" s="143"/>
      <c r="H51" s="124">
        <f t="shared" si="7"/>
        <v>0</v>
      </c>
      <c r="I51" s="153"/>
      <c r="J51" s="118">
        <f t="shared" si="8"/>
        <v>0</v>
      </c>
      <c r="L51" s="121">
        <f t="shared" si="2"/>
        <v>0</v>
      </c>
    </row>
    <row r="52" spans="1:12" ht="14.4" thickBot="1" x14ac:dyDescent="0.35">
      <c r="A52" s="489" t="s">
        <v>145</v>
      </c>
      <c r="B52" s="490"/>
      <c r="C52" s="491"/>
      <c r="D52" s="492"/>
      <c r="E52" s="233"/>
      <c r="F52" s="144"/>
      <c r="G52" s="145">
        <f>'Časový snímek A+B'!F37</f>
        <v>0</v>
      </c>
      <c r="H52" s="126">
        <f>SUM(H42:H51)</f>
        <v>0</v>
      </c>
      <c r="I52" s="154"/>
      <c r="J52" s="119">
        <f>SUM(J42:J51)</f>
        <v>0</v>
      </c>
      <c r="L52" s="121"/>
    </row>
    <row r="53" spans="1:12" ht="14.4" thickTop="1" x14ac:dyDescent="0.3">
      <c r="A53" s="130" t="s">
        <v>136</v>
      </c>
      <c r="B53" s="131">
        <f>'Časový snímek A+B'!$C$38</f>
        <v>0</v>
      </c>
      <c r="C53" s="132">
        <v>1</v>
      </c>
      <c r="D53" s="131"/>
      <c r="E53" s="231"/>
      <c r="F53" s="133"/>
      <c r="G53" s="149"/>
      <c r="H53" s="125">
        <f>L53</f>
        <v>0</v>
      </c>
      <c r="I53" s="151"/>
      <c r="J53" s="116">
        <f>I53*H53</f>
        <v>0</v>
      </c>
      <c r="L53" s="121">
        <f t="shared" si="2"/>
        <v>0</v>
      </c>
    </row>
    <row r="54" spans="1:12" x14ac:dyDescent="0.3">
      <c r="A54" s="146"/>
      <c r="B54" s="135"/>
      <c r="C54" s="136">
        <v>2</v>
      </c>
      <c r="D54" s="135"/>
      <c r="E54" s="230"/>
      <c r="F54" s="137"/>
      <c r="G54" s="138"/>
      <c r="H54" s="123">
        <f t="shared" ref="H54:H62" si="9">L54</f>
        <v>0</v>
      </c>
      <c r="I54" s="152"/>
      <c r="J54" s="117">
        <f t="shared" ref="J54:J62" si="10">I54*H54</f>
        <v>0</v>
      </c>
      <c r="L54" s="121">
        <f t="shared" si="2"/>
        <v>0</v>
      </c>
    </row>
    <row r="55" spans="1:12" x14ac:dyDescent="0.3">
      <c r="A55" s="146"/>
      <c r="B55" s="135"/>
      <c r="C55" s="136">
        <v>3</v>
      </c>
      <c r="D55" s="135"/>
      <c r="E55" s="230"/>
      <c r="F55" s="137"/>
      <c r="G55" s="138"/>
      <c r="H55" s="123">
        <f t="shared" si="9"/>
        <v>0</v>
      </c>
      <c r="I55" s="152"/>
      <c r="J55" s="117">
        <f t="shared" si="10"/>
        <v>0</v>
      </c>
      <c r="L55" s="121">
        <f t="shared" si="2"/>
        <v>0</v>
      </c>
    </row>
    <row r="56" spans="1:12" x14ac:dyDescent="0.3">
      <c r="A56" s="146"/>
      <c r="B56" s="135"/>
      <c r="C56" s="136">
        <v>4</v>
      </c>
      <c r="D56" s="135"/>
      <c r="E56" s="230"/>
      <c r="F56" s="137"/>
      <c r="G56" s="138"/>
      <c r="H56" s="123">
        <f t="shared" si="9"/>
        <v>0</v>
      </c>
      <c r="I56" s="152"/>
      <c r="J56" s="117">
        <f t="shared" si="10"/>
        <v>0</v>
      </c>
      <c r="L56" s="121">
        <f t="shared" si="2"/>
        <v>0</v>
      </c>
    </row>
    <row r="57" spans="1:12" x14ac:dyDescent="0.3">
      <c r="A57" s="146"/>
      <c r="B57" s="135"/>
      <c r="C57" s="136">
        <v>5</v>
      </c>
      <c r="D57" s="135"/>
      <c r="E57" s="230"/>
      <c r="F57" s="137"/>
      <c r="G57" s="138"/>
      <c r="H57" s="123">
        <f t="shared" si="9"/>
        <v>0</v>
      </c>
      <c r="I57" s="152"/>
      <c r="J57" s="117">
        <f t="shared" si="10"/>
        <v>0</v>
      </c>
      <c r="L57" s="121">
        <f t="shared" si="2"/>
        <v>0</v>
      </c>
    </row>
    <row r="58" spans="1:12" x14ac:dyDescent="0.3">
      <c r="A58" s="146"/>
      <c r="B58" s="135"/>
      <c r="C58" s="136">
        <v>6</v>
      </c>
      <c r="D58" s="135"/>
      <c r="E58" s="230"/>
      <c r="F58" s="137"/>
      <c r="G58" s="138"/>
      <c r="H58" s="123">
        <f t="shared" si="9"/>
        <v>0</v>
      </c>
      <c r="I58" s="152"/>
      <c r="J58" s="117">
        <f t="shared" si="10"/>
        <v>0</v>
      </c>
      <c r="L58" s="121">
        <f t="shared" si="2"/>
        <v>0</v>
      </c>
    </row>
    <row r="59" spans="1:12" x14ac:dyDescent="0.3">
      <c r="A59" s="146"/>
      <c r="B59" s="135"/>
      <c r="C59" s="136">
        <v>7</v>
      </c>
      <c r="D59" s="135"/>
      <c r="E59" s="230"/>
      <c r="F59" s="137"/>
      <c r="G59" s="138"/>
      <c r="H59" s="123">
        <f t="shared" si="9"/>
        <v>0</v>
      </c>
      <c r="I59" s="152"/>
      <c r="J59" s="117">
        <f t="shared" si="10"/>
        <v>0</v>
      </c>
      <c r="L59" s="121">
        <f t="shared" si="2"/>
        <v>0</v>
      </c>
    </row>
    <row r="60" spans="1:12" x14ac:dyDescent="0.3">
      <c r="A60" s="146"/>
      <c r="B60" s="135"/>
      <c r="C60" s="136">
        <v>8</v>
      </c>
      <c r="D60" s="135"/>
      <c r="E60" s="230"/>
      <c r="F60" s="137"/>
      <c r="G60" s="138"/>
      <c r="H60" s="123">
        <f t="shared" si="9"/>
        <v>0</v>
      </c>
      <c r="I60" s="152"/>
      <c r="J60" s="117">
        <f t="shared" si="10"/>
        <v>0</v>
      </c>
      <c r="L60" s="121">
        <f t="shared" si="2"/>
        <v>0</v>
      </c>
    </row>
    <row r="61" spans="1:12" x14ac:dyDescent="0.3">
      <c r="A61" s="146"/>
      <c r="B61" s="135"/>
      <c r="C61" s="136">
        <v>9</v>
      </c>
      <c r="D61" s="135"/>
      <c r="E61" s="230"/>
      <c r="F61" s="137"/>
      <c r="G61" s="138"/>
      <c r="H61" s="123">
        <f t="shared" si="9"/>
        <v>0</v>
      </c>
      <c r="I61" s="152"/>
      <c r="J61" s="117">
        <f t="shared" si="10"/>
        <v>0</v>
      </c>
      <c r="L61" s="121">
        <f t="shared" si="2"/>
        <v>0</v>
      </c>
    </row>
    <row r="62" spans="1:12" ht="14.4" thickBot="1" x14ac:dyDescent="0.35">
      <c r="A62" s="147"/>
      <c r="B62" s="140"/>
      <c r="C62" s="141">
        <v>10</v>
      </c>
      <c r="D62" s="140"/>
      <c r="E62" s="232"/>
      <c r="F62" s="142"/>
      <c r="G62" s="143"/>
      <c r="H62" s="124">
        <f t="shared" si="9"/>
        <v>0</v>
      </c>
      <c r="I62" s="153"/>
      <c r="J62" s="118">
        <f t="shared" si="10"/>
        <v>0</v>
      </c>
      <c r="L62" s="121">
        <f t="shared" si="2"/>
        <v>0</v>
      </c>
    </row>
    <row r="63" spans="1:12" ht="14.4" thickBot="1" x14ac:dyDescent="0.35">
      <c r="A63" s="489" t="s">
        <v>145</v>
      </c>
      <c r="B63" s="490"/>
      <c r="C63" s="491"/>
      <c r="D63" s="492"/>
      <c r="E63" s="233"/>
      <c r="F63" s="144"/>
      <c r="G63" s="145">
        <f>SUM(G53:G62)</f>
        <v>0</v>
      </c>
      <c r="H63" s="126">
        <f>SUM(H53:H62)</f>
        <v>0</v>
      </c>
      <c r="I63" s="154"/>
      <c r="J63" s="119">
        <f>SUM(J53:J62)</f>
        <v>0</v>
      </c>
      <c r="L63" s="121"/>
    </row>
    <row r="64" spans="1:12" ht="14.4" thickTop="1" x14ac:dyDescent="0.3">
      <c r="A64" s="130" t="s">
        <v>137</v>
      </c>
      <c r="B64" s="131">
        <f>'Časový snímek A+B'!$C$39</f>
        <v>0</v>
      </c>
      <c r="C64" s="132">
        <v>1</v>
      </c>
      <c r="D64" s="131"/>
      <c r="E64" s="231"/>
      <c r="F64" s="133"/>
      <c r="G64" s="149"/>
      <c r="H64" s="125">
        <f>L64</f>
        <v>0</v>
      </c>
      <c r="I64" s="151"/>
      <c r="J64" s="116">
        <f>I64*H64</f>
        <v>0</v>
      </c>
      <c r="L64" s="121">
        <f t="shared" si="2"/>
        <v>0</v>
      </c>
    </row>
    <row r="65" spans="1:12" x14ac:dyDescent="0.3">
      <c r="A65" s="146"/>
      <c r="B65" s="135"/>
      <c r="C65" s="136">
        <v>2</v>
      </c>
      <c r="D65" s="135"/>
      <c r="E65" s="230"/>
      <c r="F65" s="137"/>
      <c r="G65" s="138"/>
      <c r="H65" s="123">
        <f t="shared" ref="H65:H73" si="11">L65</f>
        <v>0</v>
      </c>
      <c r="I65" s="152"/>
      <c r="J65" s="117">
        <f t="shared" ref="J65:J73" si="12">I65*H65</f>
        <v>0</v>
      </c>
      <c r="L65" s="121">
        <f t="shared" si="2"/>
        <v>0</v>
      </c>
    </row>
    <row r="66" spans="1:12" x14ac:dyDescent="0.3">
      <c r="A66" s="146"/>
      <c r="B66" s="135"/>
      <c r="C66" s="136">
        <v>3</v>
      </c>
      <c r="D66" s="135"/>
      <c r="E66" s="230"/>
      <c r="F66" s="137"/>
      <c r="G66" s="138"/>
      <c r="H66" s="123">
        <f t="shared" si="11"/>
        <v>0</v>
      </c>
      <c r="I66" s="152"/>
      <c r="J66" s="117">
        <f t="shared" si="12"/>
        <v>0</v>
      </c>
      <c r="L66" s="121">
        <f t="shared" si="2"/>
        <v>0</v>
      </c>
    </row>
    <row r="67" spans="1:12" x14ac:dyDescent="0.3">
      <c r="A67" s="146"/>
      <c r="B67" s="135"/>
      <c r="C67" s="136">
        <v>4</v>
      </c>
      <c r="D67" s="135"/>
      <c r="E67" s="230"/>
      <c r="F67" s="137"/>
      <c r="G67" s="138"/>
      <c r="H67" s="123">
        <f t="shared" si="11"/>
        <v>0</v>
      </c>
      <c r="I67" s="152"/>
      <c r="J67" s="117">
        <f t="shared" si="12"/>
        <v>0</v>
      </c>
      <c r="L67" s="121">
        <f t="shared" si="2"/>
        <v>0</v>
      </c>
    </row>
    <row r="68" spans="1:12" x14ac:dyDescent="0.3">
      <c r="A68" s="146"/>
      <c r="B68" s="135"/>
      <c r="C68" s="136">
        <v>5</v>
      </c>
      <c r="D68" s="135"/>
      <c r="E68" s="230"/>
      <c r="F68" s="137"/>
      <c r="G68" s="138"/>
      <c r="H68" s="123">
        <f t="shared" si="11"/>
        <v>0</v>
      </c>
      <c r="I68" s="152"/>
      <c r="J68" s="117">
        <f t="shared" si="12"/>
        <v>0</v>
      </c>
      <c r="L68" s="121">
        <f t="shared" si="2"/>
        <v>0</v>
      </c>
    </row>
    <row r="69" spans="1:12" x14ac:dyDescent="0.3">
      <c r="A69" s="146"/>
      <c r="B69" s="135"/>
      <c r="C69" s="136">
        <v>6</v>
      </c>
      <c r="D69" s="135"/>
      <c r="E69" s="230"/>
      <c r="F69" s="137"/>
      <c r="G69" s="138"/>
      <c r="H69" s="123">
        <f t="shared" si="11"/>
        <v>0</v>
      </c>
      <c r="I69" s="152"/>
      <c r="J69" s="117">
        <f t="shared" si="12"/>
        <v>0</v>
      </c>
      <c r="L69" s="121">
        <f t="shared" si="2"/>
        <v>0</v>
      </c>
    </row>
    <row r="70" spans="1:12" x14ac:dyDescent="0.3">
      <c r="A70" s="146"/>
      <c r="B70" s="135"/>
      <c r="C70" s="136">
        <v>7</v>
      </c>
      <c r="D70" s="135"/>
      <c r="E70" s="230"/>
      <c r="F70" s="137"/>
      <c r="G70" s="138"/>
      <c r="H70" s="123">
        <f t="shared" si="11"/>
        <v>0</v>
      </c>
      <c r="I70" s="152"/>
      <c r="J70" s="117">
        <f t="shared" si="12"/>
        <v>0</v>
      </c>
      <c r="L70" s="121">
        <f t="shared" si="2"/>
        <v>0</v>
      </c>
    </row>
    <row r="71" spans="1:12" x14ac:dyDescent="0.3">
      <c r="A71" s="146"/>
      <c r="B71" s="135"/>
      <c r="C71" s="136">
        <v>8</v>
      </c>
      <c r="D71" s="135"/>
      <c r="E71" s="230"/>
      <c r="F71" s="137"/>
      <c r="G71" s="138"/>
      <c r="H71" s="123">
        <f t="shared" si="11"/>
        <v>0</v>
      </c>
      <c r="I71" s="152"/>
      <c r="J71" s="117">
        <f t="shared" si="12"/>
        <v>0</v>
      </c>
      <c r="L71" s="121">
        <f t="shared" si="2"/>
        <v>0</v>
      </c>
    </row>
    <row r="72" spans="1:12" x14ac:dyDescent="0.3">
      <c r="A72" s="146"/>
      <c r="B72" s="135"/>
      <c r="C72" s="136">
        <v>9</v>
      </c>
      <c r="D72" s="135"/>
      <c r="E72" s="230"/>
      <c r="F72" s="137"/>
      <c r="G72" s="138"/>
      <c r="H72" s="123">
        <f t="shared" si="11"/>
        <v>0</v>
      </c>
      <c r="I72" s="152"/>
      <c r="J72" s="117">
        <f t="shared" si="12"/>
        <v>0</v>
      </c>
      <c r="L72" s="121">
        <f t="shared" si="2"/>
        <v>0</v>
      </c>
    </row>
    <row r="73" spans="1:12" ht="14.4" thickBot="1" x14ac:dyDescent="0.35">
      <c r="A73" s="147"/>
      <c r="B73" s="140"/>
      <c r="C73" s="141">
        <v>10</v>
      </c>
      <c r="D73" s="140"/>
      <c r="E73" s="232"/>
      <c r="F73" s="142"/>
      <c r="G73" s="143"/>
      <c r="H73" s="124">
        <f t="shared" si="11"/>
        <v>0</v>
      </c>
      <c r="I73" s="153"/>
      <c r="J73" s="118">
        <f t="shared" si="12"/>
        <v>0</v>
      </c>
      <c r="L73" s="121">
        <f t="shared" si="2"/>
        <v>0</v>
      </c>
    </row>
    <row r="74" spans="1:12" ht="14.4" thickBot="1" x14ac:dyDescent="0.35">
      <c r="A74" s="489" t="s">
        <v>145</v>
      </c>
      <c r="B74" s="490"/>
      <c r="C74" s="491"/>
      <c r="D74" s="492"/>
      <c r="E74" s="233"/>
      <c r="F74" s="144"/>
      <c r="G74" s="145">
        <f>SUM(G64:G73)</f>
        <v>0</v>
      </c>
      <c r="H74" s="126">
        <f>SUM(H64:H73)</f>
        <v>0</v>
      </c>
      <c r="I74" s="154"/>
      <c r="J74" s="119">
        <f>SUM(J64:J73)</f>
        <v>0</v>
      </c>
      <c r="L74" s="121"/>
    </row>
    <row r="75" spans="1:12" ht="14.4" thickTop="1" x14ac:dyDescent="0.3">
      <c r="A75" s="130" t="s">
        <v>138</v>
      </c>
      <c r="B75" s="131">
        <f>'Časový snímek A+B'!$C$40</f>
        <v>0</v>
      </c>
      <c r="C75" s="132">
        <v>1</v>
      </c>
      <c r="D75" s="131"/>
      <c r="E75" s="231"/>
      <c r="F75" s="133"/>
      <c r="G75" s="149"/>
      <c r="H75" s="125">
        <f>L75</f>
        <v>0</v>
      </c>
      <c r="I75" s="151"/>
      <c r="J75" s="116">
        <f>I75*H75</f>
        <v>0</v>
      </c>
      <c r="L75" s="121">
        <f t="shared" ref="L75:L117" si="13">IFERROR((G75*60)/E75*F75,0)</f>
        <v>0</v>
      </c>
    </row>
    <row r="76" spans="1:12" x14ac:dyDescent="0.3">
      <c r="A76" s="146"/>
      <c r="B76" s="135"/>
      <c r="C76" s="136">
        <v>2</v>
      </c>
      <c r="D76" s="135"/>
      <c r="E76" s="230"/>
      <c r="F76" s="137"/>
      <c r="G76" s="138"/>
      <c r="H76" s="123">
        <f t="shared" ref="H76:H84" si="14">L76</f>
        <v>0</v>
      </c>
      <c r="I76" s="152"/>
      <c r="J76" s="117">
        <f t="shared" ref="J76:J84" si="15">I76*H76</f>
        <v>0</v>
      </c>
      <c r="L76" s="121">
        <f t="shared" si="13"/>
        <v>0</v>
      </c>
    </row>
    <row r="77" spans="1:12" x14ac:dyDescent="0.3">
      <c r="A77" s="146"/>
      <c r="B77" s="135"/>
      <c r="C77" s="136">
        <v>3</v>
      </c>
      <c r="D77" s="135"/>
      <c r="E77" s="230"/>
      <c r="F77" s="137"/>
      <c r="G77" s="138"/>
      <c r="H77" s="123">
        <f t="shared" si="14"/>
        <v>0</v>
      </c>
      <c r="I77" s="152"/>
      <c r="J77" s="117">
        <f t="shared" si="15"/>
        <v>0</v>
      </c>
      <c r="L77" s="121">
        <f t="shared" si="13"/>
        <v>0</v>
      </c>
    </row>
    <row r="78" spans="1:12" x14ac:dyDescent="0.3">
      <c r="A78" s="146"/>
      <c r="B78" s="135"/>
      <c r="C78" s="136">
        <v>4</v>
      </c>
      <c r="D78" s="135"/>
      <c r="E78" s="230"/>
      <c r="F78" s="137"/>
      <c r="G78" s="138"/>
      <c r="H78" s="123">
        <f t="shared" si="14"/>
        <v>0</v>
      </c>
      <c r="I78" s="152"/>
      <c r="J78" s="117">
        <f t="shared" si="15"/>
        <v>0</v>
      </c>
      <c r="L78" s="121">
        <f t="shared" si="13"/>
        <v>0</v>
      </c>
    </row>
    <row r="79" spans="1:12" x14ac:dyDescent="0.3">
      <c r="A79" s="146"/>
      <c r="B79" s="135"/>
      <c r="C79" s="136">
        <v>5</v>
      </c>
      <c r="D79" s="135"/>
      <c r="E79" s="230"/>
      <c r="F79" s="137"/>
      <c r="G79" s="138"/>
      <c r="H79" s="123">
        <f t="shared" si="14"/>
        <v>0</v>
      </c>
      <c r="I79" s="152"/>
      <c r="J79" s="117">
        <f t="shared" si="15"/>
        <v>0</v>
      </c>
      <c r="L79" s="121">
        <f t="shared" si="13"/>
        <v>0</v>
      </c>
    </row>
    <row r="80" spans="1:12" x14ac:dyDescent="0.3">
      <c r="A80" s="146"/>
      <c r="B80" s="135"/>
      <c r="C80" s="136">
        <v>6</v>
      </c>
      <c r="D80" s="135"/>
      <c r="E80" s="230"/>
      <c r="F80" s="137"/>
      <c r="G80" s="138"/>
      <c r="H80" s="123">
        <f t="shared" si="14"/>
        <v>0</v>
      </c>
      <c r="I80" s="152"/>
      <c r="J80" s="117">
        <f t="shared" si="15"/>
        <v>0</v>
      </c>
      <c r="L80" s="121">
        <f t="shared" si="13"/>
        <v>0</v>
      </c>
    </row>
    <row r="81" spans="1:12" x14ac:dyDescent="0.3">
      <c r="A81" s="146"/>
      <c r="B81" s="135"/>
      <c r="C81" s="136">
        <v>7</v>
      </c>
      <c r="D81" s="135"/>
      <c r="E81" s="230"/>
      <c r="F81" s="137"/>
      <c r="G81" s="138"/>
      <c r="H81" s="123">
        <f t="shared" si="14"/>
        <v>0</v>
      </c>
      <c r="I81" s="152"/>
      <c r="J81" s="117">
        <f t="shared" si="15"/>
        <v>0</v>
      </c>
      <c r="L81" s="121">
        <f t="shared" si="13"/>
        <v>0</v>
      </c>
    </row>
    <row r="82" spans="1:12" x14ac:dyDescent="0.3">
      <c r="A82" s="146"/>
      <c r="B82" s="135"/>
      <c r="C82" s="136">
        <v>8</v>
      </c>
      <c r="D82" s="135"/>
      <c r="E82" s="230"/>
      <c r="F82" s="137"/>
      <c r="G82" s="138"/>
      <c r="H82" s="123">
        <f t="shared" si="14"/>
        <v>0</v>
      </c>
      <c r="I82" s="152"/>
      <c r="J82" s="117">
        <f t="shared" si="15"/>
        <v>0</v>
      </c>
      <c r="L82" s="121">
        <f t="shared" si="13"/>
        <v>0</v>
      </c>
    </row>
    <row r="83" spans="1:12" x14ac:dyDescent="0.3">
      <c r="A83" s="146"/>
      <c r="B83" s="135"/>
      <c r="C83" s="136">
        <v>9</v>
      </c>
      <c r="D83" s="135"/>
      <c r="E83" s="230"/>
      <c r="F83" s="137"/>
      <c r="G83" s="138"/>
      <c r="H83" s="123">
        <f t="shared" si="14"/>
        <v>0</v>
      </c>
      <c r="I83" s="152"/>
      <c r="J83" s="117">
        <f t="shared" si="15"/>
        <v>0</v>
      </c>
      <c r="L83" s="121">
        <f t="shared" si="13"/>
        <v>0</v>
      </c>
    </row>
    <row r="84" spans="1:12" ht="14.4" thickBot="1" x14ac:dyDescent="0.35">
      <c r="A84" s="147"/>
      <c r="B84" s="140"/>
      <c r="C84" s="141">
        <v>10</v>
      </c>
      <c r="D84" s="140"/>
      <c r="E84" s="232"/>
      <c r="F84" s="142"/>
      <c r="G84" s="143"/>
      <c r="H84" s="124">
        <f t="shared" si="14"/>
        <v>0</v>
      </c>
      <c r="I84" s="153"/>
      <c r="J84" s="118">
        <f t="shared" si="15"/>
        <v>0</v>
      </c>
      <c r="L84" s="121">
        <f t="shared" si="13"/>
        <v>0</v>
      </c>
    </row>
    <row r="85" spans="1:12" ht="14.4" thickBot="1" x14ac:dyDescent="0.35">
      <c r="A85" s="489" t="s">
        <v>145</v>
      </c>
      <c r="B85" s="490"/>
      <c r="C85" s="491"/>
      <c r="D85" s="492"/>
      <c r="E85" s="233"/>
      <c r="F85" s="144"/>
      <c r="G85" s="145">
        <f>SUM(G75:G84)</f>
        <v>0</v>
      </c>
      <c r="H85" s="126">
        <f>SUM(H75:H84)</f>
        <v>0</v>
      </c>
      <c r="I85" s="154"/>
      <c r="J85" s="119">
        <f>SUM(J75:J84)</f>
        <v>0</v>
      </c>
      <c r="L85" s="121"/>
    </row>
    <row r="86" spans="1:12" ht="14.4" thickTop="1" x14ac:dyDescent="0.3">
      <c r="A86" s="130" t="s">
        <v>139</v>
      </c>
      <c r="B86" s="131">
        <f>'Časový snímek A+B'!$C$41</f>
        <v>0</v>
      </c>
      <c r="C86" s="132">
        <v>1</v>
      </c>
      <c r="D86" s="131"/>
      <c r="E86" s="231"/>
      <c r="F86" s="133"/>
      <c r="G86" s="149"/>
      <c r="H86" s="125">
        <f>L86</f>
        <v>0</v>
      </c>
      <c r="I86" s="151"/>
      <c r="J86" s="116">
        <f>I86*H86</f>
        <v>0</v>
      </c>
      <c r="L86" s="121">
        <f t="shared" si="13"/>
        <v>0</v>
      </c>
    </row>
    <row r="87" spans="1:12" x14ac:dyDescent="0.3">
      <c r="A87" s="146"/>
      <c r="B87" s="135"/>
      <c r="C87" s="136">
        <v>2</v>
      </c>
      <c r="D87" s="135"/>
      <c r="E87" s="230"/>
      <c r="F87" s="137"/>
      <c r="G87" s="138"/>
      <c r="H87" s="123">
        <f t="shared" ref="H87:H95" si="16">L87</f>
        <v>0</v>
      </c>
      <c r="I87" s="152"/>
      <c r="J87" s="117">
        <f t="shared" ref="J87:J95" si="17">I87*H87</f>
        <v>0</v>
      </c>
      <c r="L87" s="121">
        <f t="shared" si="13"/>
        <v>0</v>
      </c>
    </row>
    <row r="88" spans="1:12" x14ac:dyDescent="0.3">
      <c r="A88" s="146"/>
      <c r="B88" s="135"/>
      <c r="C88" s="136">
        <v>3</v>
      </c>
      <c r="D88" s="135"/>
      <c r="E88" s="230"/>
      <c r="F88" s="137"/>
      <c r="G88" s="138"/>
      <c r="H88" s="123">
        <f t="shared" si="16"/>
        <v>0</v>
      </c>
      <c r="I88" s="152"/>
      <c r="J88" s="117">
        <f t="shared" si="17"/>
        <v>0</v>
      </c>
      <c r="L88" s="121">
        <f t="shared" si="13"/>
        <v>0</v>
      </c>
    </row>
    <row r="89" spans="1:12" x14ac:dyDescent="0.3">
      <c r="A89" s="146"/>
      <c r="B89" s="135"/>
      <c r="C89" s="136">
        <v>4</v>
      </c>
      <c r="D89" s="135"/>
      <c r="E89" s="230"/>
      <c r="F89" s="137"/>
      <c r="G89" s="138"/>
      <c r="H89" s="123">
        <f t="shared" si="16"/>
        <v>0</v>
      </c>
      <c r="I89" s="152"/>
      <c r="J89" s="117">
        <f t="shared" si="17"/>
        <v>0</v>
      </c>
      <c r="L89" s="121">
        <f t="shared" si="13"/>
        <v>0</v>
      </c>
    </row>
    <row r="90" spans="1:12" x14ac:dyDescent="0.3">
      <c r="A90" s="146"/>
      <c r="B90" s="135"/>
      <c r="C90" s="136">
        <v>5</v>
      </c>
      <c r="D90" s="135"/>
      <c r="E90" s="230"/>
      <c r="F90" s="137"/>
      <c r="G90" s="138"/>
      <c r="H90" s="123">
        <f t="shared" si="16"/>
        <v>0</v>
      </c>
      <c r="I90" s="152"/>
      <c r="J90" s="117">
        <f t="shared" si="17"/>
        <v>0</v>
      </c>
      <c r="L90" s="121">
        <f t="shared" si="13"/>
        <v>0</v>
      </c>
    </row>
    <row r="91" spans="1:12" x14ac:dyDescent="0.3">
      <c r="A91" s="146"/>
      <c r="B91" s="135"/>
      <c r="C91" s="136">
        <v>6</v>
      </c>
      <c r="D91" s="135"/>
      <c r="E91" s="230"/>
      <c r="F91" s="137"/>
      <c r="G91" s="138"/>
      <c r="H91" s="123">
        <f t="shared" si="16"/>
        <v>0</v>
      </c>
      <c r="I91" s="152"/>
      <c r="J91" s="117">
        <f t="shared" si="17"/>
        <v>0</v>
      </c>
      <c r="L91" s="121">
        <f t="shared" si="13"/>
        <v>0</v>
      </c>
    </row>
    <row r="92" spans="1:12" x14ac:dyDescent="0.3">
      <c r="A92" s="146"/>
      <c r="B92" s="135"/>
      <c r="C92" s="136">
        <v>7</v>
      </c>
      <c r="D92" s="135"/>
      <c r="E92" s="230"/>
      <c r="F92" s="137"/>
      <c r="G92" s="138"/>
      <c r="H92" s="123">
        <f t="shared" si="16"/>
        <v>0</v>
      </c>
      <c r="I92" s="152"/>
      <c r="J92" s="117">
        <f t="shared" si="17"/>
        <v>0</v>
      </c>
      <c r="L92" s="121">
        <f t="shared" si="13"/>
        <v>0</v>
      </c>
    </row>
    <row r="93" spans="1:12" x14ac:dyDescent="0.3">
      <c r="A93" s="146"/>
      <c r="B93" s="135"/>
      <c r="C93" s="136">
        <v>8</v>
      </c>
      <c r="D93" s="135"/>
      <c r="E93" s="230"/>
      <c r="F93" s="137"/>
      <c r="G93" s="138"/>
      <c r="H93" s="123">
        <f t="shared" si="16"/>
        <v>0</v>
      </c>
      <c r="I93" s="152"/>
      <c r="J93" s="117">
        <f t="shared" si="17"/>
        <v>0</v>
      </c>
      <c r="L93" s="121">
        <f t="shared" si="13"/>
        <v>0</v>
      </c>
    </row>
    <row r="94" spans="1:12" x14ac:dyDescent="0.3">
      <c r="A94" s="146"/>
      <c r="B94" s="135"/>
      <c r="C94" s="136">
        <v>9</v>
      </c>
      <c r="D94" s="135"/>
      <c r="E94" s="230"/>
      <c r="F94" s="137"/>
      <c r="G94" s="138"/>
      <c r="H94" s="123">
        <f t="shared" si="16"/>
        <v>0</v>
      </c>
      <c r="I94" s="152"/>
      <c r="J94" s="117">
        <f t="shared" si="17"/>
        <v>0</v>
      </c>
      <c r="L94" s="121">
        <f t="shared" si="13"/>
        <v>0</v>
      </c>
    </row>
    <row r="95" spans="1:12" ht="14.4" thickBot="1" x14ac:dyDescent="0.35">
      <c r="A95" s="147"/>
      <c r="B95" s="140"/>
      <c r="C95" s="141">
        <v>10</v>
      </c>
      <c r="D95" s="140"/>
      <c r="E95" s="232"/>
      <c r="F95" s="142"/>
      <c r="G95" s="143"/>
      <c r="H95" s="124">
        <f t="shared" si="16"/>
        <v>0</v>
      </c>
      <c r="I95" s="153"/>
      <c r="J95" s="118">
        <f t="shared" si="17"/>
        <v>0</v>
      </c>
      <c r="L95" s="121">
        <f t="shared" si="13"/>
        <v>0</v>
      </c>
    </row>
    <row r="96" spans="1:12" ht="14.4" thickBot="1" x14ac:dyDescent="0.35">
      <c r="A96" s="489" t="s">
        <v>145</v>
      </c>
      <c r="B96" s="490"/>
      <c r="C96" s="491"/>
      <c r="D96" s="492"/>
      <c r="E96" s="233"/>
      <c r="F96" s="144"/>
      <c r="G96" s="145">
        <f>SUM(G86:G95)</f>
        <v>0</v>
      </c>
      <c r="H96" s="126">
        <f>SUM(H86:H95)</f>
        <v>0</v>
      </c>
      <c r="I96" s="154"/>
      <c r="J96" s="119">
        <f>SUM(J86:J95)</f>
        <v>0</v>
      </c>
      <c r="L96" s="121"/>
    </row>
    <row r="97" spans="1:12" ht="14.4" thickTop="1" x14ac:dyDescent="0.3">
      <c r="A97" s="130" t="s">
        <v>140</v>
      </c>
      <c r="B97" s="131">
        <f>'Časový snímek A+B'!$C$42</f>
        <v>0</v>
      </c>
      <c r="C97" s="132">
        <v>1</v>
      </c>
      <c r="D97" s="131"/>
      <c r="E97" s="231"/>
      <c r="F97" s="133"/>
      <c r="G97" s="149"/>
      <c r="H97" s="125">
        <f>L97</f>
        <v>0</v>
      </c>
      <c r="I97" s="151"/>
      <c r="J97" s="116">
        <f>I97*H97</f>
        <v>0</v>
      </c>
      <c r="L97" s="121">
        <f t="shared" si="13"/>
        <v>0</v>
      </c>
    </row>
    <row r="98" spans="1:12" x14ac:dyDescent="0.3">
      <c r="A98" s="146"/>
      <c r="B98" s="135"/>
      <c r="C98" s="136">
        <v>2</v>
      </c>
      <c r="D98" s="135"/>
      <c r="E98" s="230"/>
      <c r="F98" s="137"/>
      <c r="G98" s="138"/>
      <c r="H98" s="123">
        <f t="shared" ref="H98:H106" si="18">L98</f>
        <v>0</v>
      </c>
      <c r="I98" s="152"/>
      <c r="J98" s="117">
        <f t="shared" ref="J98:J106" si="19">I98*H98</f>
        <v>0</v>
      </c>
      <c r="L98" s="121">
        <f t="shared" si="13"/>
        <v>0</v>
      </c>
    </row>
    <row r="99" spans="1:12" x14ac:dyDescent="0.3">
      <c r="A99" s="146"/>
      <c r="B99" s="135"/>
      <c r="C99" s="136">
        <v>3</v>
      </c>
      <c r="D99" s="135"/>
      <c r="E99" s="230"/>
      <c r="F99" s="137"/>
      <c r="G99" s="138"/>
      <c r="H99" s="123">
        <f t="shared" si="18"/>
        <v>0</v>
      </c>
      <c r="I99" s="152"/>
      <c r="J99" s="117">
        <f t="shared" si="19"/>
        <v>0</v>
      </c>
      <c r="L99" s="121">
        <f t="shared" si="13"/>
        <v>0</v>
      </c>
    </row>
    <row r="100" spans="1:12" x14ac:dyDescent="0.3">
      <c r="A100" s="146"/>
      <c r="B100" s="135"/>
      <c r="C100" s="136">
        <v>4</v>
      </c>
      <c r="D100" s="135"/>
      <c r="E100" s="230"/>
      <c r="F100" s="137"/>
      <c r="G100" s="138"/>
      <c r="H100" s="123">
        <f t="shared" si="18"/>
        <v>0</v>
      </c>
      <c r="I100" s="152"/>
      <c r="J100" s="117">
        <f t="shared" si="19"/>
        <v>0</v>
      </c>
      <c r="L100" s="121">
        <f t="shared" si="13"/>
        <v>0</v>
      </c>
    </row>
    <row r="101" spans="1:12" x14ac:dyDescent="0.3">
      <c r="A101" s="146"/>
      <c r="B101" s="135"/>
      <c r="C101" s="136">
        <v>5</v>
      </c>
      <c r="D101" s="135"/>
      <c r="E101" s="230"/>
      <c r="F101" s="137"/>
      <c r="G101" s="138"/>
      <c r="H101" s="123">
        <f t="shared" si="18"/>
        <v>0</v>
      </c>
      <c r="I101" s="152"/>
      <c r="J101" s="117">
        <f t="shared" si="19"/>
        <v>0</v>
      </c>
      <c r="L101" s="121">
        <f t="shared" si="13"/>
        <v>0</v>
      </c>
    </row>
    <row r="102" spans="1:12" x14ac:dyDescent="0.3">
      <c r="A102" s="146"/>
      <c r="B102" s="135"/>
      <c r="C102" s="136">
        <v>6</v>
      </c>
      <c r="D102" s="135"/>
      <c r="E102" s="230"/>
      <c r="F102" s="137"/>
      <c r="G102" s="138"/>
      <c r="H102" s="123">
        <f t="shared" si="18"/>
        <v>0</v>
      </c>
      <c r="I102" s="152"/>
      <c r="J102" s="117">
        <f t="shared" si="19"/>
        <v>0</v>
      </c>
      <c r="L102" s="121">
        <f t="shared" si="13"/>
        <v>0</v>
      </c>
    </row>
    <row r="103" spans="1:12" x14ac:dyDescent="0.3">
      <c r="A103" s="146"/>
      <c r="B103" s="135"/>
      <c r="C103" s="136">
        <v>7</v>
      </c>
      <c r="D103" s="135"/>
      <c r="E103" s="230"/>
      <c r="F103" s="137"/>
      <c r="G103" s="138"/>
      <c r="H103" s="123">
        <f t="shared" si="18"/>
        <v>0</v>
      </c>
      <c r="I103" s="152"/>
      <c r="J103" s="117">
        <f t="shared" si="19"/>
        <v>0</v>
      </c>
      <c r="L103" s="121">
        <f t="shared" si="13"/>
        <v>0</v>
      </c>
    </row>
    <row r="104" spans="1:12" x14ac:dyDescent="0.3">
      <c r="A104" s="146"/>
      <c r="B104" s="135"/>
      <c r="C104" s="136">
        <v>8</v>
      </c>
      <c r="D104" s="135"/>
      <c r="E104" s="230"/>
      <c r="F104" s="137"/>
      <c r="G104" s="138"/>
      <c r="H104" s="123">
        <f t="shared" si="18"/>
        <v>0</v>
      </c>
      <c r="I104" s="152"/>
      <c r="J104" s="117">
        <f t="shared" si="19"/>
        <v>0</v>
      </c>
      <c r="L104" s="121">
        <f t="shared" si="13"/>
        <v>0</v>
      </c>
    </row>
    <row r="105" spans="1:12" x14ac:dyDescent="0.3">
      <c r="A105" s="146"/>
      <c r="B105" s="135"/>
      <c r="C105" s="136">
        <v>9</v>
      </c>
      <c r="D105" s="135"/>
      <c r="E105" s="230"/>
      <c r="F105" s="137"/>
      <c r="G105" s="138"/>
      <c r="H105" s="123">
        <f t="shared" si="18"/>
        <v>0</v>
      </c>
      <c r="I105" s="152"/>
      <c r="J105" s="117">
        <f t="shared" si="19"/>
        <v>0</v>
      </c>
      <c r="L105" s="121">
        <f t="shared" si="13"/>
        <v>0</v>
      </c>
    </row>
    <row r="106" spans="1:12" ht="14.4" thickBot="1" x14ac:dyDescent="0.35">
      <c r="A106" s="147"/>
      <c r="B106" s="140"/>
      <c r="C106" s="141">
        <v>10</v>
      </c>
      <c r="D106" s="140"/>
      <c r="E106" s="232"/>
      <c r="F106" s="142"/>
      <c r="G106" s="143"/>
      <c r="H106" s="124">
        <f t="shared" si="18"/>
        <v>0</v>
      </c>
      <c r="I106" s="153"/>
      <c r="J106" s="118">
        <f t="shared" si="19"/>
        <v>0</v>
      </c>
      <c r="L106" s="121">
        <f t="shared" si="13"/>
        <v>0</v>
      </c>
    </row>
    <row r="107" spans="1:12" ht="14.4" thickBot="1" x14ac:dyDescent="0.35">
      <c r="A107" s="489" t="s">
        <v>145</v>
      </c>
      <c r="B107" s="490"/>
      <c r="C107" s="491"/>
      <c r="D107" s="492"/>
      <c r="E107" s="233"/>
      <c r="F107" s="144"/>
      <c r="G107" s="145">
        <f>SUM(G97:G106)</f>
        <v>0</v>
      </c>
      <c r="H107" s="126">
        <f>SUM(H97:H106)</f>
        <v>0</v>
      </c>
      <c r="I107" s="154"/>
      <c r="J107" s="119">
        <f>SUM(J97:J106)</f>
        <v>0</v>
      </c>
      <c r="L107" s="121"/>
    </row>
    <row r="108" spans="1:12" ht="14.4" thickTop="1" x14ac:dyDescent="0.3">
      <c r="A108" s="134" t="s">
        <v>141</v>
      </c>
      <c r="B108" s="135">
        <f>'Časový snímek A+B'!$C$43</f>
        <v>0</v>
      </c>
      <c r="C108" s="136">
        <v>1</v>
      </c>
      <c r="D108" s="135"/>
      <c r="E108" s="230"/>
      <c r="F108" s="137"/>
      <c r="G108" s="138"/>
      <c r="H108" s="125">
        <f>L108</f>
        <v>0</v>
      </c>
      <c r="I108" s="151"/>
      <c r="J108" s="116">
        <f>I108*H108</f>
        <v>0</v>
      </c>
      <c r="L108" s="121">
        <f t="shared" si="13"/>
        <v>0</v>
      </c>
    </row>
    <row r="109" spans="1:12" x14ac:dyDescent="0.3">
      <c r="A109" s="146"/>
      <c r="B109" s="135"/>
      <c r="C109" s="136">
        <v>2</v>
      </c>
      <c r="D109" s="135"/>
      <c r="E109" s="230"/>
      <c r="F109" s="137"/>
      <c r="G109" s="138"/>
      <c r="H109" s="123">
        <f t="shared" ref="H109:H117" si="20">L109</f>
        <v>0</v>
      </c>
      <c r="I109" s="152"/>
      <c r="J109" s="117">
        <f t="shared" ref="J109:J117" si="21">I109*H109</f>
        <v>0</v>
      </c>
      <c r="L109" s="121">
        <f t="shared" si="13"/>
        <v>0</v>
      </c>
    </row>
    <row r="110" spans="1:12" x14ac:dyDescent="0.3">
      <c r="A110" s="146"/>
      <c r="B110" s="135"/>
      <c r="C110" s="136">
        <v>3</v>
      </c>
      <c r="D110" s="135"/>
      <c r="E110" s="230"/>
      <c r="F110" s="137"/>
      <c r="G110" s="138"/>
      <c r="H110" s="123">
        <f t="shared" si="20"/>
        <v>0</v>
      </c>
      <c r="I110" s="152"/>
      <c r="J110" s="117">
        <f t="shared" si="21"/>
        <v>0</v>
      </c>
      <c r="L110" s="121">
        <f t="shared" si="13"/>
        <v>0</v>
      </c>
    </row>
    <row r="111" spans="1:12" x14ac:dyDescent="0.3">
      <c r="A111" s="146"/>
      <c r="B111" s="135"/>
      <c r="C111" s="136">
        <v>4</v>
      </c>
      <c r="D111" s="135"/>
      <c r="E111" s="230"/>
      <c r="F111" s="137"/>
      <c r="G111" s="138"/>
      <c r="H111" s="123">
        <f t="shared" si="20"/>
        <v>0</v>
      </c>
      <c r="I111" s="152"/>
      <c r="J111" s="117">
        <f t="shared" si="21"/>
        <v>0</v>
      </c>
      <c r="L111" s="121">
        <f t="shared" si="13"/>
        <v>0</v>
      </c>
    </row>
    <row r="112" spans="1:12" x14ac:dyDescent="0.3">
      <c r="A112" s="146"/>
      <c r="B112" s="135"/>
      <c r="C112" s="136">
        <v>5</v>
      </c>
      <c r="D112" s="135"/>
      <c r="E112" s="230"/>
      <c r="F112" s="137"/>
      <c r="G112" s="138"/>
      <c r="H112" s="123">
        <f t="shared" si="20"/>
        <v>0</v>
      </c>
      <c r="I112" s="152"/>
      <c r="J112" s="117">
        <f t="shared" si="21"/>
        <v>0</v>
      </c>
      <c r="L112" s="121">
        <f t="shared" si="13"/>
        <v>0</v>
      </c>
    </row>
    <row r="113" spans="1:12" x14ac:dyDescent="0.3">
      <c r="A113" s="146"/>
      <c r="B113" s="135"/>
      <c r="C113" s="136">
        <v>6</v>
      </c>
      <c r="D113" s="135"/>
      <c r="E113" s="230"/>
      <c r="F113" s="137"/>
      <c r="G113" s="138"/>
      <c r="H113" s="123">
        <f t="shared" si="20"/>
        <v>0</v>
      </c>
      <c r="I113" s="152"/>
      <c r="J113" s="117">
        <f t="shared" si="21"/>
        <v>0</v>
      </c>
      <c r="L113" s="121">
        <f t="shared" si="13"/>
        <v>0</v>
      </c>
    </row>
    <row r="114" spans="1:12" x14ac:dyDescent="0.3">
      <c r="A114" s="146"/>
      <c r="B114" s="135"/>
      <c r="C114" s="136">
        <v>7</v>
      </c>
      <c r="D114" s="135"/>
      <c r="E114" s="230"/>
      <c r="F114" s="137"/>
      <c r="G114" s="138"/>
      <c r="H114" s="123">
        <f t="shared" si="20"/>
        <v>0</v>
      </c>
      <c r="I114" s="152"/>
      <c r="J114" s="117">
        <f t="shared" si="21"/>
        <v>0</v>
      </c>
      <c r="L114" s="121">
        <f t="shared" si="13"/>
        <v>0</v>
      </c>
    </row>
    <row r="115" spans="1:12" x14ac:dyDescent="0.3">
      <c r="A115" s="146"/>
      <c r="B115" s="135"/>
      <c r="C115" s="136">
        <v>8</v>
      </c>
      <c r="D115" s="135"/>
      <c r="E115" s="230"/>
      <c r="F115" s="137"/>
      <c r="G115" s="138"/>
      <c r="H115" s="123">
        <f t="shared" si="20"/>
        <v>0</v>
      </c>
      <c r="I115" s="152"/>
      <c r="J115" s="117">
        <f t="shared" si="21"/>
        <v>0</v>
      </c>
      <c r="L115" s="121">
        <f t="shared" si="13"/>
        <v>0</v>
      </c>
    </row>
    <row r="116" spans="1:12" x14ac:dyDescent="0.3">
      <c r="A116" s="146"/>
      <c r="B116" s="135"/>
      <c r="C116" s="136">
        <v>9</v>
      </c>
      <c r="D116" s="135"/>
      <c r="E116" s="230"/>
      <c r="F116" s="137"/>
      <c r="G116" s="138"/>
      <c r="H116" s="123">
        <f t="shared" si="20"/>
        <v>0</v>
      </c>
      <c r="I116" s="152"/>
      <c r="J116" s="117">
        <f t="shared" si="21"/>
        <v>0</v>
      </c>
      <c r="L116" s="121">
        <f t="shared" si="13"/>
        <v>0</v>
      </c>
    </row>
    <row r="117" spans="1:12" ht="14.4" thickBot="1" x14ac:dyDescent="0.35">
      <c r="A117" s="147"/>
      <c r="B117" s="140"/>
      <c r="C117" s="141">
        <v>10</v>
      </c>
      <c r="D117" s="140"/>
      <c r="E117" s="230"/>
      <c r="F117" s="142"/>
      <c r="G117" s="138"/>
      <c r="H117" s="124">
        <f t="shared" si="20"/>
        <v>0</v>
      </c>
      <c r="I117" s="153"/>
      <c r="J117" s="118">
        <f t="shared" si="21"/>
        <v>0</v>
      </c>
      <c r="L117" s="121">
        <f t="shared" si="13"/>
        <v>0</v>
      </c>
    </row>
    <row r="118" spans="1:12" ht="14.4" thickBot="1" x14ac:dyDescent="0.35">
      <c r="A118" s="489" t="s">
        <v>145</v>
      </c>
      <c r="B118" s="490"/>
      <c r="C118" s="491"/>
      <c r="D118" s="492"/>
      <c r="E118" s="233"/>
      <c r="F118" s="144"/>
      <c r="G118" s="145">
        <f>SUM(G108:G117)</f>
        <v>0</v>
      </c>
      <c r="H118" s="126">
        <f>SUM(H108:H117)</f>
        <v>0</v>
      </c>
      <c r="I118" s="154"/>
      <c r="J118" s="119">
        <f>SUM(J108:J117)</f>
        <v>0</v>
      </c>
    </row>
    <row r="119" spans="1:12" s="120" customFormat="1" ht="22.2" customHeight="1" thickTop="1" thickBot="1" x14ac:dyDescent="0.3">
      <c r="A119" s="487" t="s">
        <v>147</v>
      </c>
      <c r="B119" s="488"/>
      <c r="C119" s="488"/>
      <c r="D119" s="488"/>
      <c r="E119" s="150"/>
      <c r="F119" s="150"/>
      <c r="G119" s="193">
        <f>SUM(G118,G107,G96,G85,G74,G63,G52,G41,G30,G19)</f>
        <v>0</v>
      </c>
      <c r="H119" s="127"/>
      <c r="I119" s="150"/>
      <c r="J119" s="128">
        <f>SUM(J118,J107,J96,J85,J74,J63,J52,J41,J30,J19)</f>
        <v>0</v>
      </c>
    </row>
  </sheetData>
  <mergeCells count="14">
    <mergeCell ref="A41:D41"/>
    <mergeCell ref="A1:J1"/>
    <mergeCell ref="A8:B8"/>
    <mergeCell ref="C8:D8"/>
    <mergeCell ref="A19:D19"/>
    <mergeCell ref="A30:D30"/>
    <mergeCell ref="A118:D118"/>
    <mergeCell ref="A119:D119"/>
    <mergeCell ref="A52:D52"/>
    <mergeCell ref="A63:D63"/>
    <mergeCell ref="A74:D74"/>
    <mergeCell ref="A85:D85"/>
    <mergeCell ref="A96:D96"/>
    <mergeCell ref="A107:D107"/>
  </mergeCells>
  <pageMargins left="0.7" right="0.7" top="0.78740157499999996" bottom="0.78740157499999996" header="0.3" footer="0.3"/>
  <pageSetup paperSize="9" scale="44" orientation="portrait" verticalDpi="0" r:id="rId1"/>
  <colBreaks count="1" manualBreakCount="1">
    <brk id="10" max="1048575" man="1"/>
  </colBreaks>
  <ignoredErrors>
    <ignoredError sqref="D4 D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2</vt:i4>
      </vt:variant>
    </vt:vector>
  </HeadingPairs>
  <TitlesOfParts>
    <vt:vector size="12" baseType="lpstr">
      <vt:lpstr>List1</vt:lpstr>
      <vt:lpstr>Časový snímek A+B</vt:lpstr>
      <vt:lpstr>Vstupní údaje A+B</vt:lpstr>
      <vt:lpstr>Časové vážení činností</vt:lpstr>
      <vt:lpstr>MUŽI</vt:lpstr>
      <vt:lpstr>ŽENY</vt:lpstr>
      <vt:lpstr>Vztah mezi metab. produkcí  (2)</vt:lpstr>
      <vt:lpstr>Břemena 1A</vt:lpstr>
      <vt:lpstr>Břemena 1B</vt:lpstr>
      <vt:lpstr>Břemena průměr+přepočet limitů</vt:lpstr>
      <vt:lpstr>'Časový snímek A+B'!Oblast_tisku</vt:lpstr>
      <vt:lpstr>'Vstupní údaje A+B'!Oblast_tisku</vt:lpstr>
    </vt:vector>
  </TitlesOfParts>
  <Company>Zlin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Mgr. Tomáš Dombek</dc:creator>
  <cp:lastModifiedBy>Licha Simona</cp:lastModifiedBy>
  <cp:lastPrinted>2019-08-16T02:20:57Z</cp:lastPrinted>
  <dcterms:created xsi:type="dcterms:W3CDTF">2010-10-25T04:50:06Z</dcterms:created>
  <dcterms:modified xsi:type="dcterms:W3CDTF">2025-09-29T11:38:32Z</dcterms:modified>
</cp:coreProperties>
</file>